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CRMWEB\sirma\scripts\"/>
    </mc:Choice>
  </mc:AlternateContent>
  <bookViews>
    <workbookView xWindow="0" yWindow="0" windowWidth="20490" windowHeight="7770"/>
  </bookViews>
  <sheets>
    <sheet name="ARAMA LİSTELERİ V.2" sheetId="1" r:id="rId1"/>
    <sheet name="ARAMA LİSTELERİ" sheetId="2" r:id="rId2"/>
    <sheet name="OTOMATİK LİSTE İSİMLERİ " sheetId="3" r:id="rId3"/>
    <sheet name="VERİLEN TEKLİFLER1" sheetId="4" r:id="rId4"/>
    <sheet name="VERİLEN TEKLİFLER" sheetId="5" state="hidden" r:id="rId5"/>
  </sheets>
  <definedNames>
    <definedName name="A">#REF!</definedName>
    <definedName name="aramasonuçları">'OTOMATİK LİSTE İSİMLERİ '!$O$2:$O$1001</definedName>
    <definedName name="COUNTRYCODES">'OTOMATİK LİSTE İSİMLERİ '!$D:$D</definedName>
    <definedName name="COUNTRYNAMES">'OTOMATİK LİSTE İSİMLERİ '!$B:$B</definedName>
    <definedName name="ekleyenler">'OTOMATİK LİSTE İSİMLERİ '!$K$2:$K$1001</definedName>
    <definedName name="faaliyet">'OTOMATİK LİSTE İSİMLERİ '!$I$2:$I$1001</definedName>
    <definedName name="FİRMA" localSheetId="0">#REF!</definedName>
    <definedName name="FİRMA">'ARAMA LİSTELERİ'!$C$3:$C$1001</definedName>
    <definedName name="irtibatşekli">'OTOMATİK LİSTE İSİMLERİ '!$M$2:$M$1001</definedName>
    <definedName name="onaydurumu">'OTOMATİK LİSTE İSİMLERİ '!$Q$2:$Q$1001</definedName>
    <definedName name="telno" localSheetId="0">#REF!</definedName>
    <definedName name="telno">'ARAMA LİSTELERİ'!$G$3:$G$1001</definedName>
    <definedName name="ULKEADLARI">'OTOMATİK LİSTE İSİMLERİ '!$G:$G</definedName>
    <definedName name="Z_0D87BB11_4249_4289_901C_D530D48D55F0_.wvu.FilterData" localSheetId="0" hidden="1">'ARAMA LİSTELERİ V.2'!$A$2:$BY$322</definedName>
    <definedName name="Z_118C3980_56E2_44FE_AB42_410A514C9A5D_.wvu.FilterData" localSheetId="0" hidden="1">'ARAMA LİSTELERİ V.2'!$A$1:$M$323</definedName>
    <definedName name="Z_4C6E62DE_77C1_45B6_8FD2_976AD7C65FE2_.wvu.FilterData" localSheetId="0" hidden="1">'ARAMA LİSTELERİ V.2'!$A$337:$L$1012</definedName>
    <definedName name="Z_61CC9F09_816E_4E06_AE15_6DFB60DA7C98_.wvu.FilterData" localSheetId="0" hidden="1">'ARAMA LİSTELERİ V.2'!$A$2:$BY$335</definedName>
    <definedName name="Z_688220C4_0E87_42B0_B61B_644A95BDA2AD_.wvu.FilterData" localSheetId="0" hidden="1">'ARAMA LİSTELERİ V.2'!$A$1:$CJ$1012</definedName>
    <definedName name="Z_70E9AEF7_4E06_4D49_B714_2BBDF7D9A803_.wvu.FilterData" localSheetId="0" hidden="1">'ARAMA LİSTELERİ V.2'!$A$1:$M$323</definedName>
    <definedName name="Z_A39CA7B0_3B54_4899_91FA_39A12922428A_.wvu.FilterData" localSheetId="0" hidden="1">'ARAMA LİSTELERİ V.2'!$A$1:$M$335</definedName>
    <definedName name="Z_B7EE3FA4_70CD_42F3_A0DC_4F676AC488E7_.wvu.FilterData" localSheetId="0" hidden="1">'ARAMA LİSTELERİ V.2'!$L$224</definedName>
    <definedName name="Z_DC6C4B3F_D2E8_443E_9E31_A568A8BF7290_.wvu.FilterData" localSheetId="0" hidden="1">'ARAMA LİSTELERİ V.2'!$I$911:$I$967</definedName>
  </definedNames>
  <calcPr calcId="152511"/>
  <customWorkbookViews>
    <customWorkbookView name="Filtre 1" guid="{688220C4-0E87-42B0-B61B-644A95BDA2AD}" maximized="1" windowWidth="0" windowHeight="0" activeSheetId="0"/>
    <customWorkbookView name="Filtre 6" guid="{0D87BB11-4249-4289-901C-D530D48D55F0}" maximized="1" windowWidth="0" windowHeight="0" activeSheetId="0"/>
    <customWorkbookView name="Filtre 7" guid="{61CC9F09-816E-4E06-AE15-6DFB60DA7C98}" maximized="1" windowWidth="0" windowHeight="0" activeSheetId="0"/>
    <customWorkbookView name="Filtre 8" guid="{A39CA7B0-3B54-4899-91FA-39A12922428A}" maximized="1" windowWidth="0" windowHeight="0" activeSheetId="0"/>
    <customWorkbookView name="Filtre 9" guid="{DC6C4B3F-D2E8-443E-9E31-A568A8BF7290}" maximized="1" windowWidth="0" windowHeight="0" activeSheetId="0"/>
    <customWorkbookView name="Filtre 2" guid="{B7EE3FA4-70CD-42F3-A0DC-4F676AC488E7}" maximized="1" windowWidth="0" windowHeight="0" activeSheetId="0"/>
    <customWorkbookView name="Filtre 3" guid="{118C3980-56E2-44FE-AB42-410A514C9A5D}" maximized="1" windowWidth="0" windowHeight="0" activeSheetId="0"/>
    <customWorkbookView name="Filtre 4" guid="{70E9AEF7-4E06-4D49-B714-2BBDF7D9A803}" maximized="1" windowWidth="0" windowHeight="0" activeSheetId="0"/>
    <customWorkbookView name="Filtre 5" guid="{4C6E62DE-77C1-45B6-8FD2-976AD7C65FE2}" maximized="1" windowWidth="0" windowHeight="0" activeSheetId="0"/>
  </customWorkbookViews>
  <fileRecoveryPr repairLoad="1"/>
</workbook>
</file>

<file path=xl/calcChain.xml><?xml version="1.0" encoding="utf-8"?>
<calcChain xmlns="http://schemas.openxmlformats.org/spreadsheetml/2006/main">
  <c r="L1001" i="5" l="1"/>
  <c r="F1001" i="5"/>
  <c r="C1001" i="5"/>
  <c r="D1001" i="5" s="1"/>
  <c r="B1001" i="5"/>
  <c r="L1000" i="5"/>
  <c r="F1000" i="5"/>
  <c r="D1000" i="5"/>
  <c r="C1000" i="5"/>
  <c r="B1000" i="5"/>
  <c r="L999" i="5"/>
  <c r="F999" i="5"/>
  <c r="C999" i="5"/>
  <c r="D999" i="5" s="1"/>
  <c r="B999" i="5"/>
  <c r="L998" i="5"/>
  <c r="F998" i="5"/>
  <c r="C998" i="5"/>
  <c r="D998" i="5" s="1"/>
  <c r="B998" i="5"/>
  <c r="L997" i="5"/>
  <c r="F997" i="5"/>
  <c r="C997" i="5"/>
  <c r="D997" i="5" s="1"/>
  <c r="B997" i="5"/>
  <c r="L996" i="5"/>
  <c r="F996" i="5"/>
  <c r="D996" i="5"/>
  <c r="C996" i="5"/>
  <c r="B996" i="5"/>
  <c r="L995" i="5"/>
  <c r="F995" i="5"/>
  <c r="C995" i="5"/>
  <c r="D995" i="5" s="1"/>
  <c r="B995" i="5"/>
  <c r="L994" i="5"/>
  <c r="F994" i="5"/>
  <c r="C994" i="5"/>
  <c r="D994" i="5" s="1"/>
  <c r="B994" i="5"/>
  <c r="L993" i="5"/>
  <c r="F993" i="5"/>
  <c r="C993" i="5"/>
  <c r="D993" i="5" s="1"/>
  <c r="B993" i="5"/>
  <c r="L992" i="5"/>
  <c r="F992" i="5"/>
  <c r="D992" i="5"/>
  <c r="C992" i="5"/>
  <c r="B992" i="5"/>
  <c r="L991" i="5"/>
  <c r="F991" i="5"/>
  <c r="C991" i="5"/>
  <c r="D991" i="5" s="1"/>
  <c r="B991" i="5"/>
  <c r="L990" i="5"/>
  <c r="F990" i="5"/>
  <c r="C990" i="5"/>
  <c r="B990" i="5"/>
  <c r="L989" i="5"/>
  <c r="F989" i="5"/>
  <c r="C989" i="5"/>
  <c r="D989" i="5" s="1"/>
  <c r="B989" i="5"/>
  <c r="L988" i="5"/>
  <c r="F988" i="5"/>
  <c r="D988" i="5"/>
  <c r="C988" i="5"/>
  <c r="B988" i="5"/>
  <c r="L987" i="5"/>
  <c r="F987" i="5"/>
  <c r="C987" i="5"/>
  <c r="D987" i="5" s="1"/>
  <c r="B987" i="5"/>
  <c r="L986" i="5"/>
  <c r="F986" i="5"/>
  <c r="C986" i="5"/>
  <c r="B986" i="5"/>
  <c r="L985" i="5"/>
  <c r="F985" i="5"/>
  <c r="C985" i="5"/>
  <c r="D985" i="5" s="1"/>
  <c r="B985" i="5"/>
  <c r="L984" i="5"/>
  <c r="F984" i="5"/>
  <c r="D984" i="5"/>
  <c r="C984" i="5"/>
  <c r="B984" i="5"/>
  <c r="L983" i="5"/>
  <c r="F983" i="5"/>
  <c r="C983" i="5"/>
  <c r="D983" i="5" s="1"/>
  <c r="B983" i="5"/>
  <c r="L982" i="5"/>
  <c r="F982" i="5"/>
  <c r="C982" i="5"/>
  <c r="D982" i="5" s="1"/>
  <c r="B982" i="5"/>
  <c r="L981" i="5"/>
  <c r="F981" i="5"/>
  <c r="C981" i="5"/>
  <c r="D981" i="5" s="1"/>
  <c r="B981" i="5"/>
  <c r="L980" i="5"/>
  <c r="F980" i="5"/>
  <c r="D980" i="5"/>
  <c r="C980" i="5"/>
  <c r="B980" i="5"/>
  <c r="L979" i="5"/>
  <c r="F979" i="5"/>
  <c r="C979" i="5"/>
  <c r="D979" i="5" s="1"/>
  <c r="B979" i="5"/>
  <c r="L978" i="5"/>
  <c r="F978" i="5"/>
  <c r="C978" i="5"/>
  <c r="D978" i="5" s="1"/>
  <c r="B978" i="5"/>
  <c r="L977" i="5"/>
  <c r="F977" i="5"/>
  <c r="C977" i="5"/>
  <c r="D977" i="5" s="1"/>
  <c r="B977" i="5"/>
  <c r="L976" i="5"/>
  <c r="F976" i="5"/>
  <c r="D976" i="5"/>
  <c r="C976" i="5"/>
  <c r="B976" i="5"/>
  <c r="L975" i="5"/>
  <c r="F975" i="5"/>
  <c r="C975" i="5"/>
  <c r="D975" i="5" s="1"/>
  <c r="B975" i="5"/>
  <c r="L974" i="5"/>
  <c r="F974" i="5"/>
  <c r="C974" i="5"/>
  <c r="D974" i="5" s="1"/>
  <c r="B974" i="5"/>
  <c r="L973" i="5"/>
  <c r="F973" i="5"/>
  <c r="C973" i="5"/>
  <c r="D973" i="5" s="1"/>
  <c r="B973" i="5"/>
  <c r="L972" i="5"/>
  <c r="F972" i="5"/>
  <c r="D972" i="5"/>
  <c r="C972" i="5"/>
  <c r="B972" i="5"/>
  <c r="L971" i="5"/>
  <c r="F971" i="5"/>
  <c r="C971" i="5"/>
  <c r="B971" i="5"/>
  <c r="D971" i="5" s="1"/>
  <c r="L970" i="5"/>
  <c r="F970" i="5"/>
  <c r="C970" i="5"/>
  <c r="B970" i="5"/>
  <c r="L969" i="5"/>
  <c r="F969" i="5"/>
  <c r="C969" i="5"/>
  <c r="D969" i="5" s="1"/>
  <c r="B969" i="5"/>
  <c r="L968" i="5"/>
  <c r="F968" i="5"/>
  <c r="D968" i="5"/>
  <c r="C968" i="5"/>
  <c r="B968" i="5"/>
  <c r="L967" i="5"/>
  <c r="F967" i="5"/>
  <c r="C967" i="5"/>
  <c r="B967" i="5"/>
  <c r="D967" i="5" s="1"/>
  <c r="L966" i="5"/>
  <c r="F966" i="5"/>
  <c r="C966" i="5"/>
  <c r="D966" i="5" s="1"/>
  <c r="B966" i="5"/>
  <c r="L965" i="5"/>
  <c r="F965" i="5"/>
  <c r="C965" i="5"/>
  <c r="D965" i="5" s="1"/>
  <c r="B965" i="5"/>
  <c r="L964" i="5"/>
  <c r="F964" i="5"/>
  <c r="D964" i="5"/>
  <c r="C964" i="5"/>
  <c r="B964" i="5"/>
  <c r="L963" i="5"/>
  <c r="F963" i="5"/>
  <c r="C963" i="5"/>
  <c r="B963" i="5"/>
  <c r="D963" i="5" s="1"/>
  <c r="L962" i="5"/>
  <c r="F962" i="5"/>
  <c r="C962" i="5"/>
  <c r="D962" i="5" s="1"/>
  <c r="B962" i="5"/>
  <c r="L961" i="5"/>
  <c r="F961" i="5"/>
  <c r="C961" i="5"/>
  <c r="D961" i="5" s="1"/>
  <c r="B961" i="5"/>
  <c r="L960" i="5"/>
  <c r="F960" i="5"/>
  <c r="D960" i="5"/>
  <c r="C960" i="5"/>
  <c r="B960" i="5"/>
  <c r="L959" i="5"/>
  <c r="F959" i="5"/>
  <c r="C959" i="5"/>
  <c r="B959" i="5"/>
  <c r="D959" i="5" s="1"/>
  <c r="L958" i="5"/>
  <c r="F958" i="5"/>
  <c r="C958" i="5"/>
  <c r="D958" i="5" s="1"/>
  <c r="B958" i="5"/>
  <c r="L957" i="5"/>
  <c r="F957" i="5"/>
  <c r="C957" i="5"/>
  <c r="D957" i="5" s="1"/>
  <c r="B957" i="5"/>
  <c r="L956" i="5"/>
  <c r="F956" i="5"/>
  <c r="D956" i="5"/>
  <c r="C956" i="5"/>
  <c r="B956" i="5"/>
  <c r="L955" i="5"/>
  <c r="F955" i="5"/>
  <c r="C955" i="5"/>
  <c r="B955" i="5"/>
  <c r="D955" i="5" s="1"/>
  <c r="L954" i="5"/>
  <c r="F954" i="5"/>
  <c r="C954" i="5"/>
  <c r="B954" i="5"/>
  <c r="L953" i="5"/>
  <c r="F953" i="5"/>
  <c r="C953" i="5"/>
  <c r="D953" i="5" s="1"/>
  <c r="B953" i="5"/>
  <c r="L952" i="5"/>
  <c r="F952" i="5"/>
  <c r="D952" i="5"/>
  <c r="C952" i="5"/>
  <c r="B952" i="5"/>
  <c r="L951" i="5"/>
  <c r="F951" i="5"/>
  <c r="C951" i="5"/>
  <c r="B951" i="5"/>
  <c r="D951" i="5" s="1"/>
  <c r="L950" i="5"/>
  <c r="F950" i="5"/>
  <c r="C950" i="5"/>
  <c r="D950" i="5" s="1"/>
  <c r="B950" i="5"/>
  <c r="L949" i="5"/>
  <c r="F949" i="5"/>
  <c r="C949" i="5"/>
  <c r="D949" i="5" s="1"/>
  <c r="B949" i="5"/>
  <c r="L948" i="5"/>
  <c r="F948" i="5"/>
  <c r="D948" i="5"/>
  <c r="C948" i="5"/>
  <c r="B948" i="5"/>
  <c r="L947" i="5"/>
  <c r="F947" i="5"/>
  <c r="C947" i="5"/>
  <c r="D947" i="5" s="1"/>
  <c r="B947" i="5"/>
  <c r="L946" i="5"/>
  <c r="F946" i="5"/>
  <c r="C946" i="5"/>
  <c r="D946" i="5" s="1"/>
  <c r="B946" i="5"/>
  <c r="L945" i="5"/>
  <c r="F945" i="5"/>
  <c r="C945" i="5"/>
  <c r="D945" i="5" s="1"/>
  <c r="B945" i="5"/>
  <c r="L944" i="5"/>
  <c r="F944" i="5"/>
  <c r="D944" i="5"/>
  <c r="C944" i="5"/>
  <c r="B944" i="5"/>
  <c r="L943" i="5"/>
  <c r="F943" i="5"/>
  <c r="C943" i="5"/>
  <c r="D943" i="5" s="1"/>
  <c r="B943" i="5"/>
  <c r="L942" i="5"/>
  <c r="F942" i="5"/>
  <c r="C942" i="5"/>
  <c r="D942" i="5" s="1"/>
  <c r="B942" i="5"/>
  <c r="L941" i="5"/>
  <c r="F941" i="5"/>
  <c r="C941" i="5"/>
  <c r="D941" i="5" s="1"/>
  <c r="B941" i="5"/>
  <c r="L940" i="5"/>
  <c r="F940" i="5"/>
  <c r="D940" i="5"/>
  <c r="C940" i="5"/>
  <c r="B940" i="5"/>
  <c r="L939" i="5"/>
  <c r="F939" i="5"/>
  <c r="C939" i="5"/>
  <c r="B939" i="5"/>
  <c r="D939" i="5" s="1"/>
  <c r="L938" i="5"/>
  <c r="F938" i="5"/>
  <c r="C938" i="5"/>
  <c r="B938" i="5"/>
  <c r="L937" i="5"/>
  <c r="F937" i="5"/>
  <c r="C937" i="5"/>
  <c r="D937" i="5" s="1"/>
  <c r="B937" i="5"/>
  <c r="L936" i="5"/>
  <c r="F936" i="5"/>
  <c r="D936" i="5"/>
  <c r="C936" i="5"/>
  <c r="B936" i="5"/>
  <c r="L935" i="5"/>
  <c r="F935" i="5"/>
  <c r="C935" i="5"/>
  <c r="B935" i="5"/>
  <c r="D935" i="5" s="1"/>
  <c r="L934" i="5"/>
  <c r="F934" i="5"/>
  <c r="C934" i="5"/>
  <c r="D934" i="5" s="1"/>
  <c r="B934" i="5"/>
  <c r="L933" i="5"/>
  <c r="F933" i="5"/>
  <c r="C933" i="5"/>
  <c r="D933" i="5" s="1"/>
  <c r="B933" i="5"/>
  <c r="L932" i="5"/>
  <c r="F932" i="5"/>
  <c r="D932" i="5"/>
  <c r="C932" i="5"/>
  <c r="B932" i="5"/>
  <c r="L931" i="5"/>
  <c r="F931" i="5"/>
  <c r="C931" i="5"/>
  <c r="B931" i="5"/>
  <c r="D931" i="5" s="1"/>
  <c r="L930" i="5"/>
  <c r="F930" i="5"/>
  <c r="C930" i="5"/>
  <c r="D930" i="5" s="1"/>
  <c r="B930" i="5"/>
  <c r="L929" i="5"/>
  <c r="F929" i="5"/>
  <c r="C929" i="5"/>
  <c r="D929" i="5" s="1"/>
  <c r="B929" i="5"/>
  <c r="L928" i="5"/>
  <c r="F928" i="5"/>
  <c r="D928" i="5"/>
  <c r="C928" i="5"/>
  <c r="B928" i="5"/>
  <c r="L927" i="5"/>
  <c r="F927" i="5"/>
  <c r="C927" i="5"/>
  <c r="B927" i="5"/>
  <c r="D927" i="5" s="1"/>
  <c r="L926" i="5"/>
  <c r="F926" i="5"/>
  <c r="C926" i="5"/>
  <c r="D926" i="5" s="1"/>
  <c r="B926" i="5"/>
  <c r="L925" i="5"/>
  <c r="F925" i="5"/>
  <c r="C925" i="5"/>
  <c r="D925" i="5" s="1"/>
  <c r="B925" i="5"/>
  <c r="L924" i="5"/>
  <c r="F924" i="5"/>
  <c r="D924" i="5"/>
  <c r="C924" i="5"/>
  <c r="B924" i="5"/>
  <c r="L923" i="5"/>
  <c r="F923" i="5"/>
  <c r="C923" i="5"/>
  <c r="B923" i="5"/>
  <c r="D923" i="5" s="1"/>
  <c r="L922" i="5"/>
  <c r="F922" i="5"/>
  <c r="C922" i="5"/>
  <c r="B922" i="5"/>
  <c r="L921" i="5"/>
  <c r="F921" i="5"/>
  <c r="C921" i="5"/>
  <c r="D921" i="5" s="1"/>
  <c r="B921" i="5"/>
  <c r="L920" i="5"/>
  <c r="F920" i="5"/>
  <c r="D920" i="5"/>
  <c r="C920" i="5"/>
  <c r="B920" i="5"/>
  <c r="L919" i="5"/>
  <c r="F919" i="5"/>
  <c r="C919" i="5"/>
  <c r="B919" i="5"/>
  <c r="D919" i="5" s="1"/>
  <c r="L918" i="5"/>
  <c r="F918" i="5"/>
  <c r="C918" i="5"/>
  <c r="D918" i="5" s="1"/>
  <c r="B918" i="5"/>
  <c r="L917" i="5"/>
  <c r="F917" i="5"/>
  <c r="C917" i="5"/>
  <c r="D917" i="5" s="1"/>
  <c r="B917" i="5"/>
  <c r="L916" i="5"/>
  <c r="F916" i="5"/>
  <c r="D916" i="5"/>
  <c r="C916" i="5"/>
  <c r="B916" i="5"/>
  <c r="L915" i="5"/>
  <c r="F915" i="5"/>
  <c r="C915" i="5"/>
  <c r="B915" i="5"/>
  <c r="D915" i="5" s="1"/>
  <c r="L914" i="5"/>
  <c r="F914" i="5"/>
  <c r="C914" i="5"/>
  <c r="D914" i="5" s="1"/>
  <c r="B914" i="5"/>
  <c r="L913" i="5"/>
  <c r="F913" i="5"/>
  <c r="C913" i="5"/>
  <c r="D913" i="5" s="1"/>
  <c r="B913" i="5"/>
  <c r="L912" i="5"/>
  <c r="F912" i="5"/>
  <c r="D912" i="5"/>
  <c r="C912" i="5"/>
  <c r="B912" i="5"/>
  <c r="L911" i="5"/>
  <c r="F911" i="5"/>
  <c r="C911" i="5"/>
  <c r="B911" i="5"/>
  <c r="D911" i="5" s="1"/>
  <c r="L910" i="5"/>
  <c r="F910" i="5"/>
  <c r="C910" i="5"/>
  <c r="D910" i="5" s="1"/>
  <c r="B910" i="5"/>
  <c r="L909" i="5"/>
  <c r="F909" i="5"/>
  <c r="C909" i="5"/>
  <c r="D909" i="5" s="1"/>
  <c r="B909" i="5"/>
  <c r="L908" i="5"/>
  <c r="F908" i="5"/>
  <c r="D908" i="5"/>
  <c r="C908" i="5"/>
  <c r="B908" i="5"/>
  <c r="L907" i="5"/>
  <c r="F907" i="5"/>
  <c r="C907" i="5"/>
  <c r="B907" i="5"/>
  <c r="D907" i="5" s="1"/>
  <c r="L906" i="5"/>
  <c r="F906" i="5"/>
  <c r="C906" i="5"/>
  <c r="B906" i="5"/>
  <c r="L905" i="5"/>
  <c r="F905" i="5"/>
  <c r="C905" i="5"/>
  <c r="D905" i="5" s="1"/>
  <c r="B905" i="5"/>
  <c r="L904" i="5"/>
  <c r="F904" i="5"/>
  <c r="D904" i="5"/>
  <c r="C904" i="5"/>
  <c r="B904" i="5"/>
  <c r="L903" i="5"/>
  <c r="F903" i="5"/>
  <c r="C903" i="5"/>
  <c r="B903" i="5"/>
  <c r="D903" i="5" s="1"/>
  <c r="L902" i="5"/>
  <c r="F902" i="5"/>
  <c r="C902" i="5"/>
  <c r="D902" i="5" s="1"/>
  <c r="B902" i="5"/>
  <c r="L901" i="5"/>
  <c r="F901" i="5"/>
  <c r="C901" i="5"/>
  <c r="D901" i="5" s="1"/>
  <c r="B901" i="5"/>
  <c r="L900" i="5"/>
  <c r="F900" i="5"/>
  <c r="D900" i="5"/>
  <c r="C900" i="5"/>
  <c r="B900" i="5"/>
  <c r="L899" i="5"/>
  <c r="F899" i="5"/>
  <c r="C899" i="5"/>
  <c r="B899" i="5"/>
  <c r="D899" i="5" s="1"/>
  <c r="L898" i="5"/>
  <c r="F898" i="5"/>
  <c r="C898" i="5"/>
  <c r="D898" i="5" s="1"/>
  <c r="B898" i="5"/>
  <c r="L897" i="5"/>
  <c r="F897" i="5"/>
  <c r="C897" i="5"/>
  <c r="D897" i="5" s="1"/>
  <c r="B897" i="5"/>
  <c r="L896" i="5"/>
  <c r="F896" i="5"/>
  <c r="D896" i="5"/>
  <c r="C896" i="5"/>
  <c r="B896" i="5"/>
  <c r="L895" i="5"/>
  <c r="F895" i="5"/>
  <c r="C895" i="5"/>
  <c r="B895" i="5"/>
  <c r="D895" i="5" s="1"/>
  <c r="L894" i="5"/>
  <c r="F894" i="5"/>
  <c r="C894" i="5"/>
  <c r="D894" i="5" s="1"/>
  <c r="B894" i="5"/>
  <c r="L893" i="5"/>
  <c r="F893" i="5"/>
  <c r="C893" i="5"/>
  <c r="D893" i="5" s="1"/>
  <c r="B893" i="5"/>
  <c r="L892" i="5"/>
  <c r="F892" i="5"/>
  <c r="D892" i="5"/>
  <c r="C892" i="5"/>
  <c r="B892" i="5"/>
  <c r="L891" i="5"/>
  <c r="F891" i="5"/>
  <c r="C891" i="5"/>
  <c r="B891" i="5"/>
  <c r="D891" i="5" s="1"/>
  <c r="L890" i="5"/>
  <c r="F890" i="5"/>
  <c r="C890" i="5"/>
  <c r="B890" i="5"/>
  <c r="L889" i="5"/>
  <c r="F889" i="5"/>
  <c r="C889" i="5"/>
  <c r="D889" i="5" s="1"/>
  <c r="B889" i="5"/>
  <c r="L888" i="5"/>
  <c r="F888" i="5"/>
  <c r="D888" i="5"/>
  <c r="C888" i="5"/>
  <c r="B888" i="5"/>
  <c r="L887" i="5"/>
  <c r="F887" i="5"/>
  <c r="C887" i="5"/>
  <c r="B887" i="5"/>
  <c r="D887" i="5" s="1"/>
  <c r="L886" i="5"/>
  <c r="F886" i="5"/>
  <c r="C886" i="5"/>
  <c r="D886" i="5" s="1"/>
  <c r="B886" i="5"/>
  <c r="L885" i="5"/>
  <c r="F885" i="5"/>
  <c r="C885" i="5"/>
  <c r="D885" i="5" s="1"/>
  <c r="B885" i="5"/>
  <c r="L884" i="5"/>
  <c r="F884" i="5"/>
  <c r="D884" i="5"/>
  <c r="C884" i="5"/>
  <c r="B884" i="5"/>
  <c r="L883" i="5"/>
  <c r="F883" i="5"/>
  <c r="C883" i="5"/>
  <c r="B883" i="5"/>
  <c r="D883" i="5" s="1"/>
  <c r="L882" i="5"/>
  <c r="F882" i="5"/>
  <c r="C882" i="5"/>
  <c r="D882" i="5" s="1"/>
  <c r="B882" i="5"/>
  <c r="L881" i="5"/>
  <c r="F881" i="5"/>
  <c r="C881" i="5"/>
  <c r="D881" i="5" s="1"/>
  <c r="B881" i="5"/>
  <c r="L880" i="5"/>
  <c r="F880" i="5"/>
  <c r="D880" i="5"/>
  <c r="C880" i="5"/>
  <c r="B880" i="5"/>
  <c r="L879" i="5"/>
  <c r="F879" i="5"/>
  <c r="C879" i="5"/>
  <c r="B879" i="5"/>
  <c r="D879" i="5" s="1"/>
  <c r="L878" i="5"/>
  <c r="F878" i="5"/>
  <c r="C878" i="5"/>
  <c r="D878" i="5" s="1"/>
  <c r="B878" i="5"/>
  <c r="L877" i="5"/>
  <c r="F877" i="5"/>
  <c r="C877" i="5"/>
  <c r="D877" i="5" s="1"/>
  <c r="B877" i="5"/>
  <c r="L876" i="5"/>
  <c r="F876" i="5"/>
  <c r="D876" i="5"/>
  <c r="C876" i="5"/>
  <c r="B876" i="5"/>
  <c r="L875" i="5"/>
  <c r="F875" i="5"/>
  <c r="C875" i="5"/>
  <c r="B875" i="5"/>
  <c r="D875" i="5" s="1"/>
  <c r="L874" i="5"/>
  <c r="F874" i="5"/>
  <c r="C874" i="5"/>
  <c r="B874" i="5"/>
  <c r="L873" i="5"/>
  <c r="F873" i="5"/>
  <c r="C873" i="5"/>
  <c r="D873" i="5" s="1"/>
  <c r="B873" i="5"/>
  <c r="L872" i="5"/>
  <c r="F872" i="5"/>
  <c r="D872" i="5"/>
  <c r="C872" i="5"/>
  <c r="B872" i="5"/>
  <c r="L871" i="5"/>
  <c r="F871" i="5"/>
  <c r="C871" i="5"/>
  <c r="B871" i="5"/>
  <c r="D871" i="5" s="1"/>
  <c r="L870" i="5"/>
  <c r="F870" i="5"/>
  <c r="C870" i="5"/>
  <c r="D870" i="5" s="1"/>
  <c r="B870" i="5"/>
  <c r="L869" i="5"/>
  <c r="F869" i="5"/>
  <c r="C869" i="5"/>
  <c r="D869" i="5" s="1"/>
  <c r="B869" i="5"/>
  <c r="L868" i="5"/>
  <c r="F868" i="5"/>
  <c r="D868" i="5"/>
  <c r="C868" i="5"/>
  <c r="B868" i="5"/>
  <c r="L867" i="5"/>
  <c r="F867" i="5"/>
  <c r="C867" i="5"/>
  <c r="B867" i="5"/>
  <c r="D867" i="5" s="1"/>
  <c r="L866" i="5"/>
  <c r="F866" i="5"/>
  <c r="C866" i="5"/>
  <c r="D866" i="5" s="1"/>
  <c r="B866" i="5"/>
  <c r="L865" i="5"/>
  <c r="F865" i="5"/>
  <c r="C865" i="5"/>
  <c r="D865" i="5" s="1"/>
  <c r="B865" i="5"/>
  <c r="L864" i="5"/>
  <c r="F864" i="5"/>
  <c r="D864" i="5"/>
  <c r="C864" i="5"/>
  <c r="B864" i="5"/>
  <c r="L863" i="5"/>
  <c r="F863" i="5"/>
  <c r="C863" i="5"/>
  <c r="B863" i="5"/>
  <c r="D863" i="5" s="1"/>
  <c r="L862" i="5"/>
  <c r="F862" i="5"/>
  <c r="C862" i="5"/>
  <c r="D862" i="5" s="1"/>
  <c r="B862" i="5"/>
  <c r="L861" i="5"/>
  <c r="F861" i="5"/>
  <c r="C861" i="5"/>
  <c r="D861" i="5" s="1"/>
  <c r="B861" i="5"/>
  <c r="L860" i="5"/>
  <c r="F860" i="5"/>
  <c r="D860" i="5"/>
  <c r="C860" i="5"/>
  <c r="B860" i="5"/>
  <c r="L859" i="5"/>
  <c r="F859" i="5"/>
  <c r="C859" i="5"/>
  <c r="B859" i="5"/>
  <c r="D859" i="5" s="1"/>
  <c r="L858" i="5"/>
  <c r="F858" i="5"/>
  <c r="C858" i="5"/>
  <c r="B858" i="5"/>
  <c r="L857" i="5"/>
  <c r="F857" i="5"/>
  <c r="C857" i="5"/>
  <c r="D857" i="5" s="1"/>
  <c r="B857" i="5"/>
  <c r="L856" i="5"/>
  <c r="F856" i="5"/>
  <c r="D856" i="5"/>
  <c r="C856" i="5"/>
  <c r="B856" i="5"/>
  <c r="L855" i="5"/>
  <c r="F855" i="5"/>
  <c r="C855" i="5"/>
  <c r="B855" i="5"/>
  <c r="D855" i="5" s="1"/>
  <c r="L854" i="5"/>
  <c r="F854" i="5"/>
  <c r="C854" i="5"/>
  <c r="D854" i="5" s="1"/>
  <c r="B854" i="5"/>
  <c r="L853" i="5"/>
  <c r="F853" i="5"/>
  <c r="C853" i="5"/>
  <c r="D853" i="5" s="1"/>
  <c r="B853" i="5"/>
  <c r="L852" i="5"/>
  <c r="F852" i="5"/>
  <c r="D852" i="5"/>
  <c r="C852" i="5"/>
  <c r="B852" i="5"/>
  <c r="L851" i="5"/>
  <c r="F851" i="5"/>
  <c r="C851" i="5"/>
  <c r="B851" i="5"/>
  <c r="D851" i="5" s="1"/>
  <c r="L850" i="5"/>
  <c r="F850" i="5"/>
  <c r="C850" i="5"/>
  <c r="D850" i="5" s="1"/>
  <c r="B850" i="5"/>
  <c r="L849" i="5"/>
  <c r="F849" i="5"/>
  <c r="C849" i="5"/>
  <c r="D849" i="5" s="1"/>
  <c r="B849" i="5"/>
  <c r="L848" i="5"/>
  <c r="F848" i="5"/>
  <c r="D848" i="5"/>
  <c r="C848" i="5"/>
  <c r="B848" i="5"/>
  <c r="L847" i="5"/>
  <c r="F847" i="5"/>
  <c r="C847" i="5"/>
  <c r="B847" i="5"/>
  <c r="D847" i="5" s="1"/>
  <c r="L846" i="5"/>
  <c r="F846" i="5"/>
  <c r="C846" i="5"/>
  <c r="D846" i="5" s="1"/>
  <c r="B846" i="5"/>
  <c r="L845" i="5"/>
  <c r="F845" i="5"/>
  <c r="C845" i="5"/>
  <c r="D845" i="5" s="1"/>
  <c r="B845" i="5"/>
  <c r="L844" i="5"/>
  <c r="F844" i="5"/>
  <c r="D844" i="5"/>
  <c r="C844" i="5"/>
  <c r="B844" i="5"/>
  <c r="L843" i="5"/>
  <c r="F843" i="5"/>
  <c r="C843" i="5"/>
  <c r="B843" i="5"/>
  <c r="D843" i="5" s="1"/>
  <c r="L842" i="5"/>
  <c r="F842" i="5"/>
  <c r="C842" i="5"/>
  <c r="B842" i="5"/>
  <c r="L841" i="5"/>
  <c r="F841" i="5"/>
  <c r="C841" i="5"/>
  <c r="D841" i="5" s="1"/>
  <c r="B841" i="5"/>
  <c r="L840" i="5"/>
  <c r="F840" i="5"/>
  <c r="D840" i="5"/>
  <c r="C840" i="5"/>
  <c r="B840" i="5"/>
  <c r="L839" i="5"/>
  <c r="F839" i="5"/>
  <c r="C839" i="5"/>
  <c r="B839" i="5"/>
  <c r="D839" i="5" s="1"/>
  <c r="L838" i="5"/>
  <c r="F838" i="5"/>
  <c r="C838" i="5"/>
  <c r="D838" i="5" s="1"/>
  <c r="B838" i="5"/>
  <c r="L837" i="5"/>
  <c r="F837" i="5"/>
  <c r="C837" i="5"/>
  <c r="D837" i="5" s="1"/>
  <c r="B837" i="5"/>
  <c r="L836" i="5"/>
  <c r="F836" i="5"/>
  <c r="D836" i="5"/>
  <c r="C836" i="5"/>
  <c r="B836" i="5"/>
  <c r="L835" i="5"/>
  <c r="F835" i="5"/>
  <c r="C835" i="5"/>
  <c r="B835" i="5"/>
  <c r="D835" i="5" s="1"/>
  <c r="L834" i="5"/>
  <c r="F834" i="5"/>
  <c r="C834" i="5"/>
  <c r="D834" i="5" s="1"/>
  <c r="B834" i="5"/>
  <c r="L833" i="5"/>
  <c r="F833" i="5"/>
  <c r="C833" i="5"/>
  <c r="D833" i="5" s="1"/>
  <c r="B833" i="5"/>
  <c r="L832" i="5"/>
  <c r="F832" i="5"/>
  <c r="D832" i="5"/>
  <c r="C832" i="5"/>
  <c r="B832" i="5"/>
  <c r="L831" i="5"/>
  <c r="F831" i="5"/>
  <c r="C831" i="5"/>
  <c r="B831" i="5"/>
  <c r="D831" i="5" s="1"/>
  <c r="L830" i="5"/>
  <c r="F830" i="5"/>
  <c r="C830" i="5"/>
  <c r="D830" i="5" s="1"/>
  <c r="B830" i="5"/>
  <c r="L829" i="5"/>
  <c r="F829" i="5"/>
  <c r="C829" i="5"/>
  <c r="D829" i="5" s="1"/>
  <c r="B829" i="5"/>
  <c r="L828" i="5"/>
  <c r="F828" i="5"/>
  <c r="D828" i="5"/>
  <c r="C828" i="5"/>
  <c r="B828" i="5"/>
  <c r="L827" i="5"/>
  <c r="F827" i="5"/>
  <c r="C827" i="5"/>
  <c r="B827" i="5"/>
  <c r="D827" i="5" s="1"/>
  <c r="L826" i="5"/>
  <c r="F826" i="5"/>
  <c r="C826" i="5"/>
  <c r="B826" i="5"/>
  <c r="L825" i="5"/>
  <c r="F825" i="5"/>
  <c r="C825" i="5"/>
  <c r="D825" i="5" s="1"/>
  <c r="B825" i="5"/>
  <c r="L824" i="5"/>
  <c r="F824" i="5"/>
  <c r="D824" i="5"/>
  <c r="C824" i="5"/>
  <c r="B824" i="5"/>
  <c r="L823" i="5"/>
  <c r="F823" i="5"/>
  <c r="C823" i="5"/>
  <c r="B823" i="5"/>
  <c r="D823" i="5" s="1"/>
  <c r="L822" i="5"/>
  <c r="F822" i="5"/>
  <c r="C822" i="5"/>
  <c r="D822" i="5" s="1"/>
  <c r="B822" i="5"/>
  <c r="L821" i="5"/>
  <c r="F821" i="5"/>
  <c r="C821" i="5"/>
  <c r="D821" i="5" s="1"/>
  <c r="B821" i="5"/>
  <c r="L820" i="5"/>
  <c r="F820" i="5"/>
  <c r="D820" i="5"/>
  <c r="C820" i="5"/>
  <c r="B820" i="5"/>
  <c r="L819" i="5"/>
  <c r="F819" i="5"/>
  <c r="C819" i="5"/>
  <c r="B819" i="5"/>
  <c r="D819" i="5" s="1"/>
  <c r="L818" i="5"/>
  <c r="F818" i="5"/>
  <c r="C818" i="5"/>
  <c r="D818" i="5" s="1"/>
  <c r="B818" i="5"/>
  <c r="L817" i="5"/>
  <c r="F817" i="5"/>
  <c r="C817" i="5"/>
  <c r="D817" i="5" s="1"/>
  <c r="B817" i="5"/>
  <c r="L816" i="5"/>
  <c r="F816" i="5"/>
  <c r="D816" i="5"/>
  <c r="C816" i="5"/>
  <c r="B816" i="5"/>
  <c r="L815" i="5"/>
  <c r="F815" i="5"/>
  <c r="C815" i="5"/>
  <c r="B815" i="5"/>
  <c r="D815" i="5" s="1"/>
  <c r="L814" i="5"/>
  <c r="F814" i="5"/>
  <c r="C814" i="5"/>
  <c r="D814" i="5" s="1"/>
  <c r="B814" i="5"/>
  <c r="L813" i="5"/>
  <c r="F813" i="5"/>
  <c r="C813" i="5"/>
  <c r="D813" i="5" s="1"/>
  <c r="B813" i="5"/>
  <c r="L812" i="5"/>
  <c r="F812" i="5"/>
  <c r="D812" i="5"/>
  <c r="C812" i="5"/>
  <c r="B812" i="5"/>
  <c r="L811" i="5"/>
  <c r="F811" i="5"/>
  <c r="C811" i="5"/>
  <c r="B811" i="5"/>
  <c r="D811" i="5" s="1"/>
  <c r="L810" i="5"/>
  <c r="F810" i="5"/>
  <c r="C810" i="5"/>
  <c r="B810" i="5"/>
  <c r="L809" i="5"/>
  <c r="F809" i="5"/>
  <c r="C809" i="5"/>
  <c r="D809" i="5" s="1"/>
  <c r="B809" i="5"/>
  <c r="L808" i="5"/>
  <c r="F808" i="5"/>
  <c r="D808" i="5"/>
  <c r="C808" i="5"/>
  <c r="B808" i="5"/>
  <c r="L807" i="5"/>
  <c r="F807" i="5"/>
  <c r="C807" i="5"/>
  <c r="B807" i="5"/>
  <c r="D807" i="5" s="1"/>
  <c r="L806" i="5"/>
  <c r="F806" i="5"/>
  <c r="C806" i="5"/>
  <c r="D806" i="5" s="1"/>
  <c r="B806" i="5"/>
  <c r="L805" i="5"/>
  <c r="F805" i="5"/>
  <c r="C805" i="5"/>
  <c r="D805" i="5" s="1"/>
  <c r="B805" i="5"/>
  <c r="L804" i="5"/>
  <c r="F804" i="5"/>
  <c r="D804" i="5"/>
  <c r="C804" i="5"/>
  <c r="B804" i="5"/>
  <c r="L803" i="5"/>
  <c r="F803" i="5"/>
  <c r="C803" i="5"/>
  <c r="B803" i="5"/>
  <c r="D803" i="5" s="1"/>
  <c r="L802" i="5"/>
  <c r="F802" i="5"/>
  <c r="C802" i="5"/>
  <c r="D802" i="5" s="1"/>
  <c r="B802" i="5"/>
  <c r="L801" i="5"/>
  <c r="F801" i="5"/>
  <c r="C801" i="5"/>
  <c r="D801" i="5" s="1"/>
  <c r="B801" i="5"/>
  <c r="L800" i="5"/>
  <c r="F800" i="5"/>
  <c r="D800" i="5"/>
  <c r="C800" i="5"/>
  <c r="B800" i="5"/>
  <c r="L799" i="5"/>
  <c r="F799" i="5"/>
  <c r="C799" i="5"/>
  <c r="B799" i="5"/>
  <c r="D799" i="5" s="1"/>
  <c r="L798" i="5"/>
  <c r="F798" i="5"/>
  <c r="C798" i="5"/>
  <c r="D798" i="5" s="1"/>
  <c r="B798" i="5"/>
  <c r="L797" i="5"/>
  <c r="F797" i="5"/>
  <c r="C797" i="5"/>
  <c r="D797" i="5" s="1"/>
  <c r="B797" i="5"/>
  <c r="L796" i="5"/>
  <c r="F796" i="5"/>
  <c r="D796" i="5"/>
  <c r="C796" i="5"/>
  <c r="B796" i="5"/>
  <c r="L795" i="5"/>
  <c r="F795" i="5"/>
  <c r="C795" i="5"/>
  <c r="B795" i="5"/>
  <c r="D795" i="5" s="1"/>
  <c r="L794" i="5"/>
  <c r="F794" i="5"/>
  <c r="C794" i="5"/>
  <c r="B794" i="5"/>
  <c r="L793" i="5"/>
  <c r="F793" i="5"/>
  <c r="C793" i="5"/>
  <c r="D793" i="5" s="1"/>
  <c r="B793" i="5"/>
  <c r="L792" i="5"/>
  <c r="F792" i="5"/>
  <c r="D792" i="5"/>
  <c r="C792" i="5"/>
  <c r="B792" i="5"/>
  <c r="L791" i="5"/>
  <c r="F791" i="5"/>
  <c r="C791" i="5"/>
  <c r="B791" i="5"/>
  <c r="D791" i="5" s="1"/>
  <c r="L790" i="5"/>
  <c r="F790" i="5"/>
  <c r="C790" i="5"/>
  <c r="D790" i="5" s="1"/>
  <c r="B790" i="5"/>
  <c r="L789" i="5"/>
  <c r="F789" i="5"/>
  <c r="C789" i="5"/>
  <c r="D789" i="5" s="1"/>
  <c r="B789" i="5"/>
  <c r="L788" i="5"/>
  <c r="F788" i="5"/>
  <c r="D788" i="5"/>
  <c r="C788" i="5"/>
  <c r="B788" i="5"/>
  <c r="L787" i="5"/>
  <c r="F787" i="5"/>
  <c r="C787" i="5"/>
  <c r="B787" i="5"/>
  <c r="D787" i="5" s="1"/>
  <c r="L786" i="5"/>
  <c r="F786" i="5"/>
  <c r="C786" i="5"/>
  <c r="D786" i="5" s="1"/>
  <c r="B786" i="5"/>
  <c r="L785" i="5"/>
  <c r="F785" i="5"/>
  <c r="C785" i="5"/>
  <c r="D785" i="5" s="1"/>
  <c r="B785" i="5"/>
  <c r="L784" i="5"/>
  <c r="F784" i="5"/>
  <c r="D784" i="5"/>
  <c r="C784" i="5"/>
  <c r="B784" i="5"/>
  <c r="L783" i="5"/>
  <c r="F783" i="5"/>
  <c r="C783" i="5"/>
  <c r="B783" i="5"/>
  <c r="D783" i="5" s="1"/>
  <c r="L782" i="5"/>
  <c r="F782" i="5"/>
  <c r="C782" i="5"/>
  <c r="D782" i="5" s="1"/>
  <c r="B782" i="5"/>
  <c r="L781" i="5"/>
  <c r="F781" i="5"/>
  <c r="C781" i="5"/>
  <c r="D781" i="5" s="1"/>
  <c r="B781" i="5"/>
  <c r="L780" i="5"/>
  <c r="F780" i="5"/>
  <c r="D780" i="5"/>
  <c r="C780" i="5"/>
  <c r="B780" i="5"/>
  <c r="L779" i="5"/>
  <c r="F779" i="5"/>
  <c r="C779" i="5"/>
  <c r="B779" i="5"/>
  <c r="D779" i="5" s="1"/>
  <c r="L778" i="5"/>
  <c r="F778" i="5"/>
  <c r="C778" i="5"/>
  <c r="B778" i="5"/>
  <c r="L777" i="5"/>
  <c r="F777" i="5"/>
  <c r="C777" i="5"/>
  <c r="D777" i="5" s="1"/>
  <c r="B777" i="5"/>
  <c r="L776" i="5"/>
  <c r="F776" i="5"/>
  <c r="D776" i="5"/>
  <c r="C776" i="5"/>
  <c r="B776" i="5"/>
  <c r="L775" i="5"/>
  <c r="F775" i="5"/>
  <c r="C775" i="5"/>
  <c r="B775" i="5"/>
  <c r="D775" i="5" s="1"/>
  <c r="L774" i="5"/>
  <c r="F774" i="5"/>
  <c r="C774" i="5"/>
  <c r="D774" i="5" s="1"/>
  <c r="B774" i="5"/>
  <c r="L773" i="5"/>
  <c r="F773" i="5"/>
  <c r="C773" i="5"/>
  <c r="D773" i="5" s="1"/>
  <c r="B773" i="5"/>
  <c r="L772" i="5"/>
  <c r="F772" i="5"/>
  <c r="D772" i="5"/>
  <c r="C772" i="5"/>
  <c r="B772" i="5"/>
  <c r="L771" i="5"/>
  <c r="F771" i="5"/>
  <c r="C771" i="5"/>
  <c r="B771" i="5"/>
  <c r="D771" i="5" s="1"/>
  <c r="L770" i="5"/>
  <c r="F770" i="5"/>
  <c r="C770" i="5"/>
  <c r="D770" i="5" s="1"/>
  <c r="B770" i="5"/>
  <c r="L769" i="5"/>
  <c r="F769" i="5"/>
  <c r="C769" i="5"/>
  <c r="D769" i="5" s="1"/>
  <c r="B769" i="5"/>
  <c r="L768" i="5"/>
  <c r="F768" i="5"/>
  <c r="D768" i="5"/>
  <c r="C768" i="5"/>
  <c r="B768" i="5"/>
  <c r="L767" i="5"/>
  <c r="F767" i="5"/>
  <c r="C767" i="5"/>
  <c r="B767" i="5"/>
  <c r="D767" i="5" s="1"/>
  <c r="L766" i="5"/>
  <c r="F766" i="5"/>
  <c r="C766" i="5"/>
  <c r="D766" i="5" s="1"/>
  <c r="B766" i="5"/>
  <c r="L765" i="5"/>
  <c r="F765" i="5"/>
  <c r="C765" i="5"/>
  <c r="D765" i="5" s="1"/>
  <c r="B765" i="5"/>
  <c r="L764" i="5"/>
  <c r="F764" i="5"/>
  <c r="D764" i="5"/>
  <c r="C764" i="5"/>
  <c r="B764" i="5"/>
  <c r="L763" i="5"/>
  <c r="F763" i="5"/>
  <c r="C763" i="5"/>
  <c r="B763" i="5"/>
  <c r="D763" i="5" s="1"/>
  <c r="L762" i="5"/>
  <c r="F762" i="5"/>
  <c r="C762" i="5"/>
  <c r="B762" i="5"/>
  <c r="L761" i="5"/>
  <c r="F761" i="5"/>
  <c r="C761" i="5"/>
  <c r="D761" i="5" s="1"/>
  <c r="B761" i="5"/>
  <c r="L760" i="5"/>
  <c r="F760" i="5"/>
  <c r="D760" i="5"/>
  <c r="C760" i="5"/>
  <c r="B760" i="5"/>
  <c r="L759" i="5"/>
  <c r="F759" i="5"/>
  <c r="C759" i="5"/>
  <c r="B759" i="5"/>
  <c r="D759" i="5" s="1"/>
  <c r="L758" i="5"/>
  <c r="F758" i="5"/>
  <c r="C758" i="5"/>
  <c r="D758" i="5" s="1"/>
  <c r="B758" i="5"/>
  <c r="L757" i="5"/>
  <c r="F757" i="5"/>
  <c r="C757" i="5"/>
  <c r="D757" i="5" s="1"/>
  <c r="B757" i="5"/>
  <c r="L756" i="5"/>
  <c r="F756" i="5"/>
  <c r="D756" i="5"/>
  <c r="C756" i="5"/>
  <c r="B756" i="5"/>
  <c r="L755" i="5"/>
  <c r="F755" i="5"/>
  <c r="C755" i="5"/>
  <c r="B755" i="5"/>
  <c r="D755" i="5" s="1"/>
  <c r="L754" i="5"/>
  <c r="F754" i="5"/>
  <c r="C754" i="5"/>
  <c r="D754" i="5" s="1"/>
  <c r="B754" i="5"/>
  <c r="L753" i="5"/>
  <c r="F753" i="5"/>
  <c r="C753" i="5"/>
  <c r="D753" i="5" s="1"/>
  <c r="B753" i="5"/>
  <c r="L752" i="5"/>
  <c r="F752" i="5"/>
  <c r="D752" i="5"/>
  <c r="C752" i="5"/>
  <c r="B752" i="5"/>
  <c r="L751" i="5"/>
  <c r="F751" i="5"/>
  <c r="C751" i="5"/>
  <c r="B751" i="5"/>
  <c r="D751" i="5" s="1"/>
  <c r="L750" i="5"/>
  <c r="F750" i="5"/>
  <c r="C750" i="5"/>
  <c r="D750" i="5" s="1"/>
  <c r="B750" i="5"/>
  <c r="L749" i="5"/>
  <c r="F749" i="5"/>
  <c r="C749" i="5"/>
  <c r="D749" i="5" s="1"/>
  <c r="B749" i="5"/>
  <c r="L748" i="5"/>
  <c r="F748" i="5"/>
  <c r="D748" i="5"/>
  <c r="C748" i="5"/>
  <c r="B748" i="5"/>
  <c r="L747" i="5"/>
  <c r="F747" i="5"/>
  <c r="C747" i="5"/>
  <c r="B747" i="5"/>
  <c r="D747" i="5" s="1"/>
  <c r="L746" i="5"/>
  <c r="F746" i="5"/>
  <c r="C746" i="5"/>
  <c r="B746" i="5"/>
  <c r="L745" i="5"/>
  <c r="F745" i="5"/>
  <c r="C745" i="5"/>
  <c r="D745" i="5" s="1"/>
  <c r="B745" i="5"/>
  <c r="L744" i="5"/>
  <c r="F744" i="5"/>
  <c r="D744" i="5"/>
  <c r="C744" i="5"/>
  <c r="B744" i="5"/>
  <c r="L743" i="5"/>
  <c r="F743" i="5"/>
  <c r="C743" i="5"/>
  <c r="B743" i="5"/>
  <c r="D743" i="5" s="1"/>
  <c r="L742" i="5"/>
  <c r="F742" i="5"/>
  <c r="C742" i="5"/>
  <c r="D742" i="5" s="1"/>
  <c r="B742" i="5"/>
  <c r="L741" i="5"/>
  <c r="F741" i="5"/>
  <c r="C741" i="5"/>
  <c r="D741" i="5" s="1"/>
  <c r="B741" i="5"/>
  <c r="L740" i="5"/>
  <c r="F740" i="5"/>
  <c r="D740" i="5"/>
  <c r="C740" i="5"/>
  <c r="B740" i="5"/>
  <c r="L739" i="5"/>
  <c r="F739" i="5"/>
  <c r="C739" i="5"/>
  <c r="B739" i="5"/>
  <c r="D739" i="5" s="1"/>
  <c r="L738" i="5"/>
  <c r="F738" i="5"/>
  <c r="C738" i="5"/>
  <c r="D738" i="5" s="1"/>
  <c r="B738" i="5"/>
  <c r="L737" i="5"/>
  <c r="F737" i="5"/>
  <c r="C737" i="5"/>
  <c r="D737" i="5" s="1"/>
  <c r="B737" i="5"/>
  <c r="L736" i="5"/>
  <c r="F736" i="5"/>
  <c r="D736" i="5"/>
  <c r="C736" i="5"/>
  <c r="B736" i="5"/>
  <c r="L735" i="5"/>
  <c r="F735" i="5"/>
  <c r="C735" i="5"/>
  <c r="B735" i="5"/>
  <c r="D735" i="5" s="1"/>
  <c r="L734" i="5"/>
  <c r="F734" i="5"/>
  <c r="C734" i="5"/>
  <c r="D734" i="5" s="1"/>
  <c r="B734" i="5"/>
  <c r="L733" i="5"/>
  <c r="F733" i="5"/>
  <c r="C733" i="5"/>
  <c r="D733" i="5" s="1"/>
  <c r="B733" i="5"/>
  <c r="L732" i="5"/>
  <c r="F732" i="5"/>
  <c r="D732" i="5"/>
  <c r="C732" i="5"/>
  <c r="B732" i="5"/>
  <c r="L731" i="5"/>
  <c r="F731" i="5"/>
  <c r="C731" i="5"/>
  <c r="B731" i="5"/>
  <c r="D731" i="5" s="1"/>
  <c r="L730" i="5"/>
  <c r="F730" i="5"/>
  <c r="C730" i="5"/>
  <c r="B730" i="5"/>
  <c r="L729" i="5"/>
  <c r="F729" i="5"/>
  <c r="C729" i="5"/>
  <c r="D729" i="5" s="1"/>
  <c r="B729" i="5"/>
  <c r="L728" i="5"/>
  <c r="F728" i="5"/>
  <c r="D728" i="5"/>
  <c r="C728" i="5"/>
  <c r="B728" i="5"/>
  <c r="L727" i="5"/>
  <c r="F727" i="5"/>
  <c r="C727" i="5"/>
  <c r="B727" i="5"/>
  <c r="D727" i="5" s="1"/>
  <c r="L726" i="5"/>
  <c r="F726" i="5"/>
  <c r="C726" i="5"/>
  <c r="D726" i="5" s="1"/>
  <c r="B726" i="5"/>
  <c r="L725" i="5"/>
  <c r="F725" i="5"/>
  <c r="C725" i="5"/>
  <c r="D725" i="5" s="1"/>
  <c r="B725" i="5"/>
  <c r="L724" i="5"/>
  <c r="F724" i="5"/>
  <c r="D724" i="5"/>
  <c r="C724" i="5"/>
  <c r="B724" i="5"/>
  <c r="L723" i="5"/>
  <c r="F723" i="5"/>
  <c r="C723" i="5"/>
  <c r="B723" i="5"/>
  <c r="D723" i="5" s="1"/>
  <c r="L722" i="5"/>
  <c r="F722" i="5"/>
  <c r="C722" i="5"/>
  <c r="D722" i="5" s="1"/>
  <c r="B722" i="5"/>
  <c r="L721" i="5"/>
  <c r="F721" i="5"/>
  <c r="C721" i="5"/>
  <c r="D721" i="5" s="1"/>
  <c r="B721" i="5"/>
  <c r="L720" i="5"/>
  <c r="F720" i="5"/>
  <c r="D720" i="5"/>
  <c r="C720" i="5"/>
  <c r="B720" i="5"/>
  <c r="L719" i="5"/>
  <c r="F719" i="5"/>
  <c r="C719" i="5"/>
  <c r="B719" i="5"/>
  <c r="D719" i="5" s="1"/>
  <c r="L718" i="5"/>
  <c r="F718" i="5"/>
  <c r="C718" i="5"/>
  <c r="D718" i="5" s="1"/>
  <c r="B718" i="5"/>
  <c r="L717" i="5"/>
  <c r="F717" i="5"/>
  <c r="C717" i="5"/>
  <c r="D717" i="5" s="1"/>
  <c r="B717" i="5"/>
  <c r="L716" i="5"/>
  <c r="F716" i="5"/>
  <c r="D716" i="5"/>
  <c r="C716" i="5"/>
  <c r="B716" i="5"/>
  <c r="L715" i="5"/>
  <c r="F715" i="5"/>
  <c r="C715" i="5"/>
  <c r="B715" i="5"/>
  <c r="D715" i="5" s="1"/>
  <c r="L714" i="5"/>
  <c r="F714" i="5"/>
  <c r="C714" i="5"/>
  <c r="B714" i="5"/>
  <c r="L713" i="5"/>
  <c r="F713" i="5"/>
  <c r="C713" i="5"/>
  <c r="D713" i="5" s="1"/>
  <c r="B713" i="5"/>
  <c r="L712" i="5"/>
  <c r="F712" i="5"/>
  <c r="D712" i="5"/>
  <c r="C712" i="5"/>
  <c r="B712" i="5"/>
  <c r="L711" i="5"/>
  <c r="F711" i="5"/>
  <c r="C711" i="5"/>
  <c r="B711" i="5"/>
  <c r="D711" i="5" s="1"/>
  <c r="L710" i="5"/>
  <c r="F710" i="5"/>
  <c r="C710" i="5"/>
  <c r="D710" i="5" s="1"/>
  <c r="B710" i="5"/>
  <c r="L709" i="5"/>
  <c r="F709" i="5"/>
  <c r="C709" i="5"/>
  <c r="D709" i="5" s="1"/>
  <c r="B709" i="5"/>
  <c r="L708" i="5"/>
  <c r="F708" i="5"/>
  <c r="D708" i="5"/>
  <c r="C708" i="5"/>
  <c r="B708" i="5"/>
  <c r="L707" i="5"/>
  <c r="F707" i="5"/>
  <c r="C707" i="5"/>
  <c r="B707" i="5"/>
  <c r="D707" i="5" s="1"/>
  <c r="L706" i="5"/>
  <c r="F706" i="5"/>
  <c r="C706" i="5"/>
  <c r="D706" i="5" s="1"/>
  <c r="B706" i="5"/>
  <c r="L705" i="5"/>
  <c r="F705" i="5"/>
  <c r="C705" i="5"/>
  <c r="D705" i="5" s="1"/>
  <c r="B705" i="5"/>
  <c r="L704" i="5"/>
  <c r="F704" i="5"/>
  <c r="D704" i="5"/>
  <c r="C704" i="5"/>
  <c r="B704" i="5"/>
  <c r="L703" i="5"/>
  <c r="F703" i="5"/>
  <c r="C703" i="5"/>
  <c r="B703" i="5"/>
  <c r="D703" i="5" s="1"/>
  <c r="L702" i="5"/>
  <c r="F702" i="5"/>
  <c r="C702" i="5"/>
  <c r="D702" i="5" s="1"/>
  <c r="B702" i="5"/>
  <c r="L701" i="5"/>
  <c r="F701" i="5"/>
  <c r="D701" i="5"/>
  <c r="C701" i="5"/>
  <c r="B701" i="5"/>
  <c r="L700" i="5"/>
  <c r="F700" i="5"/>
  <c r="D700" i="5"/>
  <c r="C700" i="5"/>
  <c r="B700" i="5"/>
  <c r="L699" i="5"/>
  <c r="F699" i="5"/>
  <c r="C699" i="5"/>
  <c r="B699" i="5"/>
  <c r="D699" i="5" s="1"/>
  <c r="L698" i="5"/>
  <c r="F698" i="5"/>
  <c r="C698" i="5"/>
  <c r="D698" i="5" s="1"/>
  <c r="B698" i="5"/>
  <c r="L697" i="5"/>
  <c r="F697" i="5"/>
  <c r="D697" i="5"/>
  <c r="C697" i="5"/>
  <c r="B697" i="5"/>
  <c r="L696" i="5"/>
  <c r="F696" i="5"/>
  <c r="D696" i="5"/>
  <c r="C696" i="5"/>
  <c r="B696" i="5"/>
  <c r="L695" i="5"/>
  <c r="F695" i="5"/>
  <c r="C695" i="5"/>
  <c r="B695" i="5"/>
  <c r="D695" i="5" s="1"/>
  <c r="L694" i="5"/>
  <c r="F694" i="5"/>
  <c r="C694" i="5"/>
  <c r="D694" i="5" s="1"/>
  <c r="B694" i="5"/>
  <c r="L693" i="5"/>
  <c r="F693" i="5"/>
  <c r="D693" i="5"/>
  <c r="C693" i="5"/>
  <c r="B693" i="5"/>
  <c r="L692" i="5"/>
  <c r="F692" i="5"/>
  <c r="D692" i="5"/>
  <c r="C692" i="5"/>
  <c r="B692" i="5"/>
  <c r="L691" i="5"/>
  <c r="F691" i="5"/>
  <c r="C691" i="5"/>
  <c r="B691" i="5"/>
  <c r="D691" i="5" s="1"/>
  <c r="L690" i="5"/>
  <c r="F690" i="5"/>
  <c r="C690" i="5"/>
  <c r="D690" i="5" s="1"/>
  <c r="B690" i="5"/>
  <c r="L689" i="5"/>
  <c r="F689" i="5"/>
  <c r="D689" i="5"/>
  <c r="C689" i="5"/>
  <c r="B689" i="5"/>
  <c r="L688" i="5"/>
  <c r="F688" i="5"/>
  <c r="D688" i="5"/>
  <c r="C688" i="5"/>
  <c r="B688" i="5"/>
  <c r="L687" i="5"/>
  <c r="F687" i="5"/>
  <c r="C687" i="5"/>
  <c r="B687" i="5"/>
  <c r="D687" i="5" s="1"/>
  <c r="L686" i="5"/>
  <c r="F686" i="5"/>
  <c r="C686" i="5"/>
  <c r="D686" i="5" s="1"/>
  <c r="B686" i="5"/>
  <c r="L685" i="5"/>
  <c r="F685" i="5"/>
  <c r="D685" i="5"/>
  <c r="C685" i="5"/>
  <c r="B685" i="5"/>
  <c r="L684" i="5"/>
  <c r="F684" i="5"/>
  <c r="D684" i="5"/>
  <c r="C684" i="5"/>
  <c r="B684" i="5"/>
  <c r="L683" i="5"/>
  <c r="F683" i="5"/>
  <c r="C683" i="5"/>
  <c r="B683" i="5"/>
  <c r="D683" i="5" s="1"/>
  <c r="L682" i="5"/>
  <c r="F682" i="5"/>
  <c r="C682" i="5"/>
  <c r="D682" i="5" s="1"/>
  <c r="B682" i="5"/>
  <c r="L681" i="5"/>
  <c r="F681" i="5"/>
  <c r="D681" i="5"/>
  <c r="C681" i="5"/>
  <c r="B681" i="5"/>
  <c r="L680" i="5"/>
  <c r="F680" i="5"/>
  <c r="D680" i="5"/>
  <c r="C680" i="5"/>
  <c r="B680" i="5"/>
  <c r="L679" i="5"/>
  <c r="F679" i="5"/>
  <c r="C679" i="5"/>
  <c r="B679" i="5"/>
  <c r="D679" i="5" s="1"/>
  <c r="L678" i="5"/>
  <c r="F678" i="5"/>
  <c r="C678" i="5"/>
  <c r="D678" i="5" s="1"/>
  <c r="B678" i="5"/>
  <c r="L677" i="5"/>
  <c r="F677" i="5"/>
  <c r="D677" i="5"/>
  <c r="C677" i="5"/>
  <c r="B677" i="5"/>
  <c r="L676" i="5"/>
  <c r="F676" i="5"/>
  <c r="D676" i="5"/>
  <c r="C676" i="5"/>
  <c r="B676" i="5"/>
  <c r="L675" i="5"/>
  <c r="F675" i="5"/>
  <c r="C675" i="5"/>
  <c r="B675" i="5"/>
  <c r="D675" i="5" s="1"/>
  <c r="L674" i="5"/>
  <c r="F674" i="5"/>
  <c r="C674" i="5"/>
  <c r="D674" i="5" s="1"/>
  <c r="B674" i="5"/>
  <c r="L673" i="5"/>
  <c r="F673" i="5"/>
  <c r="D673" i="5"/>
  <c r="C673" i="5"/>
  <c r="B673" i="5"/>
  <c r="L672" i="5"/>
  <c r="F672" i="5"/>
  <c r="D672" i="5"/>
  <c r="C672" i="5"/>
  <c r="B672" i="5"/>
  <c r="L671" i="5"/>
  <c r="F671" i="5"/>
  <c r="C671" i="5"/>
  <c r="B671" i="5"/>
  <c r="D671" i="5" s="1"/>
  <c r="L670" i="5"/>
  <c r="F670" i="5"/>
  <c r="C670" i="5"/>
  <c r="D670" i="5" s="1"/>
  <c r="B670" i="5"/>
  <c r="L669" i="5"/>
  <c r="F669" i="5"/>
  <c r="D669" i="5"/>
  <c r="C669" i="5"/>
  <c r="B669" i="5"/>
  <c r="L668" i="5"/>
  <c r="F668" i="5"/>
  <c r="D668" i="5"/>
  <c r="C668" i="5"/>
  <c r="B668" i="5"/>
  <c r="L667" i="5"/>
  <c r="F667" i="5"/>
  <c r="C667" i="5"/>
  <c r="B667" i="5"/>
  <c r="D667" i="5" s="1"/>
  <c r="L666" i="5"/>
  <c r="F666" i="5"/>
  <c r="C666" i="5"/>
  <c r="D666" i="5" s="1"/>
  <c r="B666" i="5"/>
  <c r="L665" i="5"/>
  <c r="F665" i="5"/>
  <c r="D665" i="5"/>
  <c r="C665" i="5"/>
  <c r="B665" i="5"/>
  <c r="L664" i="5"/>
  <c r="F664" i="5"/>
  <c r="D664" i="5"/>
  <c r="C664" i="5"/>
  <c r="B664" i="5"/>
  <c r="L663" i="5"/>
  <c r="F663" i="5"/>
  <c r="C663" i="5"/>
  <c r="B663" i="5"/>
  <c r="D663" i="5" s="1"/>
  <c r="L662" i="5"/>
  <c r="F662" i="5"/>
  <c r="C662" i="5"/>
  <c r="B662" i="5"/>
  <c r="L661" i="5"/>
  <c r="F661" i="5"/>
  <c r="C661" i="5"/>
  <c r="D661" i="5" s="1"/>
  <c r="B661" i="5"/>
  <c r="L660" i="5"/>
  <c r="F660" i="5"/>
  <c r="D660" i="5"/>
  <c r="C660" i="5"/>
  <c r="B660" i="5"/>
  <c r="L659" i="5"/>
  <c r="F659" i="5"/>
  <c r="D659" i="5"/>
  <c r="C659" i="5"/>
  <c r="B659" i="5"/>
  <c r="L658" i="5"/>
  <c r="F658" i="5"/>
  <c r="C658" i="5"/>
  <c r="B658" i="5"/>
  <c r="D658" i="5" s="1"/>
  <c r="L657" i="5"/>
  <c r="F657" i="5"/>
  <c r="C657" i="5"/>
  <c r="D657" i="5" s="1"/>
  <c r="B657" i="5"/>
  <c r="L656" i="5"/>
  <c r="F656" i="5"/>
  <c r="D656" i="5"/>
  <c r="C656" i="5"/>
  <c r="B656" i="5"/>
  <c r="L655" i="5"/>
  <c r="F655" i="5"/>
  <c r="D655" i="5"/>
  <c r="C655" i="5"/>
  <c r="B655" i="5"/>
  <c r="L654" i="5"/>
  <c r="F654" i="5"/>
  <c r="C654" i="5"/>
  <c r="B654" i="5"/>
  <c r="D654" i="5" s="1"/>
  <c r="L653" i="5"/>
  <c r="F653" i="5"/>
  <c r="C653" i="5"/>
  <c r="D653" i="5" s="1"/>
  <c r="B653" i="5"/>
  <c r="L652" i="5"/>
  <c r="F652" i="5"/>
  <c r="D652" i="5"/>
  <c r="C652" i="5"/>
  <c r="B652" i="5"/>
  <c r="L651" i="5"/>
  <c r="F651" i="5"/>
  <c r="D651" i="5"/>
  <c r="C651" i="5"/>
  <c r="B651" i="5"/>
  <c r="L650" i="5"/>
  <c r="F650" i="5"/>
  <c r="C650" i="5"/>
  <c r="B650" i="5"/>
  <c r="D650" i="5" s="1"/>
  <c r="L649" i="5"/>
  <c r="F649" i="5"/>
  <c r="C649" i="5"/>
  <c r="D649" i="5" s="1"/>
  <c r="B649" i="5"/>
  <c r="L648" i="5"/>
  <c r="F648" i="5"/>
  <c r="D648" i="5"/>
  <c r="C648" i="5"/>
  <c r="B648" i="5"/>
  <c r="L647" i="5"/>
  <c r="F647" i="5"/>
  <c r="D647" i="5"/>
  <c r="C647" i="5"/>
  <c r="B647" i="5"/>
  <c r="L646" i="5"/>
  <c r="F646" i="5"/>
  <c r="C646" i="5"/>
  <c r="B646" i="5"/>
  <c r="D646" i="5" s="1"/>
  <c r="L645" i="5"/>
  <c r="F645" i="5"/>
  <c r="C645" i="5"/>
  <c r="D645" i="5" s="1"/>
  <c r="B645" i="5"/>
  <c r="L644" i="5"/>
  <c r="F644" i="5"/>
  <c r="D644" i="5"/>
  <c r="C644" i="5"/>
  <c r="B644" i="5"/>
  <c r="L643" i="5"/>
  <c r="F643" i="5"/>
  <c r="D643" i="5"/>
  <c r="C643" i="5"/>
  <c r="B643" i="5"/>
  <c r="L642" i="5"/>
  <c r="F642" i="5"/>
  <c r="C642" i="5"/>
  <c r="B642" i="5"/>
  <c r="D642" i="5" s="1"/>
  <c r="L641" i="5"/>
  <c r="F641" i="5"/>
  <c r="C641" i="5"/>
  <c r="D641" i="5" s="1"/>
  <c r="B641" i="5"/>
  <c r="L640" i="5"/>
  <c r="F640" i="5"/>
  <c r="D640" i="5"/>
  <c r="C640" i="5"/>
  <c r="B640" i="5"/>
  <c r="L639" i="5"/>
  <c r="F639" i="5"/>
  <c r="D639" i="5"/>
  <c r="C639" i="5"/>
  <c r="B639" i="5"/>
  <c r="L638" i="5"/>
  <c r="F638" i="5"/>
  <c r="C638" i="5"/>
  <c r="B638" i="5"/>
  <c r="D638" i="5" s="1"/>
  <c r="L637" i="5"/>
  <c r="F637" i="5"/>
  <c r="C637" i="5"/>
  <c r="D637" i="5" s="1"/>
  <c r="B637" i="5"/>
  <c r="L636" i="5"/>
  <c r="F636" i="5"/>
  <c r="D636" i="5"/>
  <c r="C636" i="5"/>
  <c r="B636" i="5"/>
  <c r="L635" i="5"/>
  <c r="F635" i="5"/>
  <c r="D635" i="5"/>
  <c r="C635" i="5"/>
  <c r="B635" i="5"/>
  <c r="L634" i="5"/>
  <c r="F634" i="5"/>
  <c r="C634" i="5"/>
  <c r="B634" i="5"/>
  <c r="D634" i="5" s="1"/>
  <c r="L633" i="5"/>
  <c r="F633" i="5"/>
  <c r="C633" i="5"/>
  <c r="D633" i="5" s="1"/>
  <c r="B633" i="5"/>
  <c r="L632" i="5"/>
  <c r="F632" i="5"/>
  <c r="D632" i="5"/>
  <c r="C632" i="5"/>
  <c r="B632" i="5"/>
  <c r="L631" i="5"/>
  <c r="F631" i="5"/>
  <c r="D631" i="5"/>
  <c r="C631" i="5"/>
  <c r="B631" i="5"/>
  <c r="L630" i="5"/>
  <c r="F630" i="5"/>
  <c r="C630" i="5"/>
  <c r="B630" i="5"/>
  <c r="D630" i="5" s="1"/>
  <c r="L629" i="5"/>
  <c r="F629" i="5"/>
  <c r="C629" i="5"/>
  <c r="D629" i="5" s="1"/>
  <c r="B629" i="5"/>
  <c r="L628" i="5"/>
  <c r="F628" i="5"/>
  <c r="D628" i="5"/>
  <c r="C628" i="5"/>
  <c r="B628" i="5"/>
  <c r="L627" i="5"/>
  <c r="F627" i="5"/>
  <c r="D627" i="5"/>
  <c r="C627" i="5"/>
  <c r="B627" i="5"/>
  <c r="L626" i="5"/>
  <c r="F626" i="5"/>
  <c r="C626" i="5"/>
  <c r="B626" i="5"/>
  <c r="D626" i="5" s="1"/>
  <c r="L625" i="5"/>
  <c r="F625" i="5"/>
  <c r="C625" i="5"/>
  <c r="D625" i="5" s="1"/>
  <c r="B625" i="5"/>
  <c r="L624" i="5"/>
  <c r="F624" i="5"/>
  <c r="D624" i="5"/>
  <c r="C624" i="5"/>
  <c r="B624" i="5"/>
  <c r="L623" i="5"/>
  <c r="F623" i="5"/>
  <c r="D623" i="5"/>
  <c r="C623" i="5"/>
  <c r="B623" i="5"/>
  <c r="L622" i="5"/>
  <c r="F622" i="5"/>
  <c r="C622" i="5"/>
  <c r="B622" i="5"/>
  <c r="D622" i="5" s="1"/>
  <c r="L621" i="5"/>
  <c r="F621" i="5"/>
  <c r="C621" i="5"/>
  <c r="D621" i="5" s="1"/>
  <c r="B621" i="5"/>
  <c r="L620" i="5"/>
  <c r="F620" i="5"/>
  <c r="D620" i="5"/>
  <c r="C620" i="5"/>
  <c r="B620" i="5"/>
  <c r="L619" i="5"/>
  <c r="F619" i="5"/>
  <c r="D619" i="5"/>
  <c r="C619" i="5"/>
  <c r="B619" i="5"/>
  <c r="L618" i="5"/>
  <c r="F618" i="5"/>
  <c r="C618" i="5"/>
  <c r="B618" i="5"/>
  <c r="D618" i="5" s="1"/>
  <c r="L617" i="5"/>
  <c r="F617" i="5"/>
  <c r="C617" i="5"/>
  <c r="D617" i="5" s="1"/>
  <c r="B617" i="5"/>
  <c r="L616" i="5"/>
  <c r="F616" i="5"/>
  <c r="D616" i="5"/>
  <c r="C616" i="5"/>
  <c r="B616" i="5"/>
  <c r="L615" i="5"/>
  <c r="F615" i="5"/>
  <c r="D615" i="5"/>
  <c r="C615" i="5"/>
  <c r="B615" i="5"/>
  <c r="L614" i="5"/>
  <c r="F614" i="5"/>
  <c r="C614" i="5"/>
  <c r="B614" i="5"/>
  <c r="D614" i="5" s="1"/>
  <c r="L613" i="5"/>
  <c r="F613" i="5"/>
  <c r="C613" i="5"/>
  <c r="D613" i="5" s="1"/>
  <c r="B613" i="5"/>
  <c r="L612" i="5"/>
  <c r="F612" i="5"/>
  <c r="D612" i="5"/>
  <c r="C612" i="5"/>
  <c r="B612" i="5"/>
  <c r="L611" i="5"/>
  <c r="F611" i="5"/>
  <c r="D611" i="5"/>
  <c r="C611" i="5"/>
  <c r="B611" i="5"/>
  <c r="L610" i="5"/>
  <c r="F610" i="5"/>
  <c r="C610" i="5"/>
  <c r="B610" i="5"/>
  <c r="D610" i="5" s="1"/>
  <c r="L609" i="5"/>
  <c r="F609" i="5"/>
  <c r="C609" i="5"/>
  <c r="D609" i="5" s="1"/>
  <c r="B609" i="5"/>
  <c r="L608" i="5"/>
  <c r="F608" i="5"/>
  <c r="D608" i="5"/>
  <c r="C608" i="5"/>
  <c r="B608" i="5"/>
  <c r="L607" i="5"/>
  <c r="F607" i="5"/>
  <c r="D607" i="5"/>
  <c r="C607" i="5"/>
  <c r="B607" i="5"/>
  <c r="L606" i="5"/>
  <c r="F606" i="5"/>
  <c r="C606" i="5"/>
  <c r="B606" i="5"/>
  <c r="D606" i="5" s="1"/>
  <c r="L605" i="5"/>
  <c r="F605" i="5"/>
  <c r="C605" i="5"/>
  <c r="D605" i="5" s="1"/>
  <c r="B605" i="5"/>
  <c r="L604" i="5"/>
  <c r="F604" i="5"/>
  <c r="D604" i="5"/>
  <c r="C604" i="5"/>
  <c r="B604" i="5"/>
  <c r="L603" i="5"/>
  <c r="F603" i="5"/>
  <c r="D603" i="5"/>
  <c r="C603" i="5"/>
  <c r="B603" i="5"/>
  <c r="L602" i="5"/>
  <c r="F602" i="5"/>
  <c r="C602" i="5"/>
  <c r="B602" i="5"/>
  <c r="D602" i="5" s="1"/>
  <c r="L601" i="5"/>
  <c r="F601" i="5"/>
  <c r="C601" i="5"/>
  <c r="D601" i="5" s="1"/>
  <c r="B601" i="5"/>
  <c r="L600" i="5"/>
  <c r="F600" i="5"/>
  <c r="D600" i="5"/>
  <c r="C600" i="5"/>
  <c r="B600" i="5"/>
  <c r="L599" i="5"/>
  <c r="F599" i="5"/>
  <c r="D599" i="5"/>
  <c r="C599" i="5"/>
  <c r="B599" i="5"/>
  <c r="L598" i="5"/>
  <c r="F598" i="5"/>
  <c r="C598" i="5"/>
  <c r="B598" i="5"/>
  <c r="D598" i="5" s="1"/>
  <c r="L597" i="5"/>
  <c r="F597" i="5"/>
  <c r="C597" i="5"/>
  <c r="D597" i="5" s="1"/>
  <c r="B597" i="5"/>
  <c r="L596" i="5"/>
  <c r="F596" i="5"/>
  <c r="D596" i="5"/>
  <c r="C596" i="5"/>
  <c r="B596" i="5"/>
  <c r="L595" i="5"/>
  <c r="F595" i="5"/>
  <c r="D595" i="5"/>
  <c r="C595" i="5"/>
  <c r="B595" i="5"/>
  <c r="L594" i="5"/>
  <c r="F594" i="5"/>
  <c r="C594" i="5"/>
  <c r="B594" i="5"/>
  <c r="D594" i="5" s="1"/>
  <c r="L593" i="5"/>
  <c r="F593" i="5"/>
  <c r="C593" i="5"/>
  <c r="D593" i="5" s="1"/>
  <c r="B593" i="5"/>
  <c r="L592" i="5"/>
  <c r="F592" i="5"/>
  <c r="D592" i="5"/>
  <c r="C592" i="5"/>
  <c r="B592" i="5"/>
  <c r="L591" i="5"/>
  <c r="F591" i="5"/>
  <c r="D591" i="5"/>
  <c r="C591" i="5"/>
  <c r="B591" i="5"/>
  <c r="L590" i="5"/>
  <c r="F590" i="5"/>
  <c r="C590" i="5"/>
  <c r="B590" i="5"/>
  <c r="D590" i="5" s="1"/>
  <c r="L589" i="5"/>
  <c r="F589" i="5"/>
  <c r="C589" i="5"/>
  <c r="D589" i="5" s="1"/>
  <c r="B589" i="5"/>
  <c r="L588" i="5"/>
  <c r="F588" i="5"/>
  <c r="D588" i="5"/>
  <c r="C588" i="5"/>
  <c r="B588" i="5"/>
  <c r="L587" i="5"/>
  <c r="F587" i="5"/>
  <c r="D587" i="5"/>
  <c r="C587" i="5"/>
  <c r="B587" i="5"/>
  <c r="L586" i="5"/>
  <c r="F586" i="5"/>
  <c r="C586" i="5"/>
  <c r="B586" i="5"/>
  <c r="D586" i="5" s="1"/>
  <c r="L585" i="5"/>
  <c r="F585" i="5"/>
  <c r="C585" i="5"/>
  <c r="D585" i="5" s="1"/>
  <c r="B585" i="5"/>
  <c r="L584" i="5"/>
  <c r="F584" i="5"/>
  <c r="D584" i="5"/>
  <c r="C584" i="5"/>
  <c r="B584" i="5"/>
  <c r="L583" i="5"/>
  <c r="F583" i="5"/>
  <c r="D583" i="5"/>
  <c r="C583" i="5"/>
  <c r="B583" i="5"/>
  <c r="L582" i="5"/>
  <c r="F582" i="5"/>
  <c r="C582" i="5"/>
  <c r="B582" i="5"/>
  <c r="D582" i="5" s="1"/>
  <c r="L581" i="5"/>
  <c r="F581" i="5"/>
  <c r="C581" i="5"/>
  <c r="D581" i="5" s="1"/>
  <c r="B581" i="5"/>
  <c r="L580" i="5"/>
  <c r="F580" i="5"/>
  <c r="D580" i="5"/>
  <c r="C580" i="5"/>
  <c r="B580" i="5"/>
  <c r="L579" i="5"/>
  <c r="F579" i="5"/>
  <c r="D579" i="5"/>
  <c r="C579" i="5"/>
  <c r="B579" i="5"/>
  <c r="L578" i="5"/>
  <c r="F578" i="5"/>
  <c r="C578" i="5"/>
  <c r="B578" i="5"/>
  <c r="D578" i="5" s="1"/>
  <c r="L577" i="5"/>
  <c r="F577" i="5"/>
  <c r="C577" i="5"/>
  <c r="D577" i="5" s="1"/>
  <c r="B577" i="5"/>
  <c r="L576" i="5"/>
  <c r="F576" i="5"/>
  <c r="D576" i="5"/>
  <c r="C576" i="5"/>
  <c r="B576" i="5"/>
  <c r="L575" i="5"/>
  <c r="F575" i="5"/>
  <c r="D575" i="5"/>
  <c r="C575" i="5"/>
  <c r="B575" i="5"/>
  <c r="L574" i="5"/>
  <c r="F574" i="5"/>
  <c r="C574" i="5"/>
  <c r="B574" i="5"/>
  <c r="D574" i="5" s="1"/>
  <c r="L573" i="5"/>
  <c r="F573" i="5"/>
  <c r="C573" i="5"/>
  <c r="D573" i="5" s="1"/>
  <c r="B573" i="5"/>
  <c r="L572" i="5"/>
  <c r="F572" i="5"/>
  <c r="D572" i="5"/>
  <c r="C572" i="5"/>
  <c r="B572" i="5"/>
  <c r="L571" i="5"/>
  <c r="F571" i="5"/>
  <c r="D571" i="5"/>
  <c r="C571" i="5"/>
  <c r="B571" i="5"/>
  <c r="L570" i="5"/>
  <c r="F570" i="5"/>
  <c r="C570" i="5"/>
  <c r="B570" i="5"/>
  <c r="D570" i="5" s="1"/>
  <c r="L569" i="5"/>
  <c r="F569" i="5"/>
  <c r="C569" i="5"/>
  <c r="D569" i="5" s="1"/>
  <c r="B569" i="5"/>
  <c r="L568" i="5"/>
  <c r="F568" i="5"/>
  <c r="D568" i="5"/>
  <c r="C568" i="5"/>
  <c r="B568" i="5"/>
  <c r="L567" i="5"/>
  <c r="F567" i="5"/>
  <c r="D567" i="5"/>
  <c r="C567" i="5"/>
  <c r="B567" i="5"/>
  <c r="L566" i="5"/>
  <c r="F566" i="5"/>
  <c r="C566" i="5"/>
  <c r="B566" i="5"/>
  <c r="D566" i="5" s="1"/>
  <c r="L565" i="5"/>
  <c r="F565" i="5"/>
  <c r="C565" i="5"/>
  <c r="D565" i="5" s="1"/>
  <c r="B565" i="5"/>
  <c r="L564" i="5"/>
  <c r="F564" i="5"/>
  <c r="D564" i="5"/>
  <c r="C564" i="5"/>
  <c r="B564" i="5"/>
  <c r="L563" i="5"/>
  <c r="F563" i="5"/>
  <c r="D563" i="5"/>
  <c r="C563" i="5"/>
  <c r="B563" i="5"/>
  <c r="L562" i="5"/>
  <c r="F562" i="5"/>
  <c r="C562" i="5"/>
  <c r="B562" i="5"/>
  <c r="D562" i="5" s="1"/>
  <c r="L561" i="5"/>
  <c r="F561" i="5"/>
  <c r="C561" i="5"/>
  <c r="D561" i="5" s="1"/>
  <c r="B561" i="5"/>
  <c r="L560" i="5"/>
  <c r="F560" i="5"/>
  <c r="D560" i="5"/>
  <c r="C560" i="5"/>
  <c r="B560" i="5"/>
  <c r="L559" i="5"/>
  <c r="F559" i="5"/>
  <c r="D559" i="5"/>
  <c r="C559" i="5"/>
  <c r="B559" i="5"/>
  <c r="L558" i="5"/>
  <c r="F558" i="5"/>
  <c r="C558" i="5"/>
  <c r="B558" i="5"/>
  <c r="D558" i="5" s="1"/>
  <c r="L557" i="5"/>
  <c r="F557" i="5"/>
  <c r="C557" i="5"/>
  <c r="D557" i="5" s="1"/>
  <c r="B557" i="5"/>
  <c r="L556" i="5"/>
  <c r="F556" i="5"/>
  <c r="D556" i="5"/>
  <c r="C556" i="5"/>
  <c r="B556" i="5"/>
  <c r="L555" i="5"/>
  <c r="F555" i="5"/>
  <c r="D555" i="5"/>
  <c r="C555" i="5"/>
  <c r="B555" i="5"/>
  <c r="L554" i="5"/>
  <c r="F554" i="5"/>
  <c r="C554" i="5"/>
  <c r="B554" i="5"/>
  <c r="D554" i="5" s="1"/>
  <c r="L553" i="5"/>
  <c r="F553" i="5"/>
  <c r="C553" i="5"/>
  <c r="D553" i="5" s="1"/>
  <c r="B553" i="5"/>
  <c r="L552" i="5"/>
  <c r="F552" i="5"/>
  <c r="D552" i="5"/>
  <c r="C552" i="5"/>
  <c r="B552" i="5"/>
  <c r="L551" i="5"/>
  <c r="F551" i="5"/>
  <c r="D551" i="5"/>
  <c r="C551" i="5"/>
  <c r="B551" i="5"/>
  <c r="L550" i="5"/>
  <c r="F550" i="5"/>
  <c r="C550" i="5"/>
  <c r="B550" i="5"/>
  <c r="D550" i="5" s="1"/>
  <c r="L549" i="5"/>
  <c r="F549" i="5"/>
  <c r="C549" i="5"/>
  <c r="D549" i="5" s="1"/>
  <c r="B549" i="5"/>
  <c r="L548" i="5"/>
  <c r="F548" i="5"/>
  <c r="D548" i="5"/>
  <c r="C548" i="5"/>
  <c r="B548" i="5"/>
  <c r="L547" i="5"/>
  <c r="F547" i="5"/>
  <c r="D547" i="5"/>
  <c r="C547" i="5"/>
  <c r="B547" i="5"/>
  <c r="L546" i="5"/>
  <c r="F546" i="5"/>
  <c r="C546" i="5"/>
  <c r="B546" i="5"/>
  <c r="D546" i="5" s="1"/>
  <c r="L545" i="5"/>
  <c r="F545" i="5"/>
  <c r="C545" i="5"/>
  <c r="D545" i="5" s="1"/>
  <c r="B545" i="5"/>
  <c r="L544" i="5"/>
  <c r="F544" i="5"/>
  <c r="D544" i="5"/>
  <c r="C544" i="5"/>
  <c r="B544" i="5"/>
  <c r="L543" i="5"/>
  <c r="F543" i="5"/>
  <c r="D543" i="5"/>
  <c r="C543" i="5"/>
  <c r="B543" i="5"/>
  <c r="L542" i="5"/>
  <c r="F542" i="5"/>
  <c r="C542" i="5"/>
  <c r="B542" i="5"/>
  <c r="D542" i="5" s="1"/>
  <c r="L541" i="5"/>
  <c r="F541" i="5"/>
  <c r="C541" i="5"/>
  <c r="D541" i="5" s="1"/>
  <c r="B541" i="5"/>
  <c r="L540" i="5"/>
  <c r="F540" i="5"/>
  <c r="D540" i="5"/>
  <c r="C540" i="5"/>
  <c r="B540" i="5"/>
  <c r="L539" i="5"/>
  <c r="F539" i="5"/>
  <c r="D539" i="5"/>
  <c r="C539" i="5"/>
  <c r="B539" i="5"/>
  <c r="L538" i="5"/>
  <c r="F538" i="5"/>
  <c r="C538" i="5"/>
  <c r="B538" i="5"/>
  <c r="D538" i="5" s="1"/>
  <c r="L537" i="5"/>
  <c r="F537" i="5"/>
  <c r="C537" i="5"/>
  <c r="D537" i="5" s="1"/>
  <c r="B537" i="5"/>
  <c r="L536" i="5"/>
  <c r="F536" i="5"/>
  <c r="D536" i="5"/>
  <c r="C536" i="5"/>
  <c r="B536" i="5"/>
  <c r="L535" i="5"/>
  <c r="F535" i="5"/>
  <c r="D535" i="5"/>
  <c r="C535" i="5"/>
  <c r="B535" i="5"/>
  <c r="L534" i="5"/>
  <c r="F534" i="5"/>
  <c r="C534" i="5"/>
  <c r="B534" i="5"/>
  <c r="D534" i="5" s="1"/>
  <c r="L533" i="5"/>
  <c r="F533" i="5"/>
  <c r="C533" i="5"/>
  <c r="D533" i="5" s="1"/>
  <c r="B533" i="5"/>
  <c r="L532" i="5"/>
  <c r="F532" i="5"/>
  <c r="D532" i="5"/>
  <c r="C532" i="5"/>
  <c r="B532" i="5"/>
  <c r="L531" i="5"/>
  <c r="F531" i="5"/>
  <c r="D531" i="5"/>
  <c r="C531" i="5"/>
  <c r="B531" i="5"/>
  <c r="L530" i="5"/>
  <c r="F530" i="5"/>
  <c r="C530" i="5"/>
  <c r="B530" i="5"/>
  <c r="D530" i="5" s="1"/>
  <c r="L529" i="5"/>
  <c r="F529" i="5"/>
  <c r="C529" i="5"/>
  <c r="D529" i="5" s="1"/>
  <c r="B529" i="5"/>
  <c r="L528" i="5"/>
  <c r="F528" i="5"/>
  <c r="D528" i="5"/>
  <c r="C528" i="5"/>
  <c r="B528" i="5"/>
  <c r="L527" i="5"/>
  <c r="F527" i="5"/>
  <c r="D527" i="5"/>
  <c r="C527" i="5"/>
  <c r="B527" i="5"/>
  <c r="L526" i="5"/>
  <c r="F526" i="5"/>
  <c r="C526" i="5"/>
  <c r="B526" i="5"/>
  <c r="D526" i="5" s="1"/>
  <c r="L525" i="5"/>
  <c r="F525" i="5"/>
  <c r="C525" i="5"/>
  <c r="D525" i="5" s="1"/>
  <c r="B525" i="5"/>
  <c r="L524" i="5"/>
  <c r="F524" i="5"/>
  <c r="D524" i="5"/>
  <c r="C524" i="5"/>
  <c r="B524" i="5"/>
  <c r="L523" i="5"/>
  <c r="F523" i="5"/>
  <c r="D523" i="5"/>
  <c r="C523" i="5"/>
  <c r="B523" i="5"/>
  <c r="L522" i="5"/>
  <c r="F522" i="5"/>
  <c r="C522" i="5"/>
  <c r="B522" i="5"/>
  <c r="D522" i="5" s="1"/>
  <c r="L521" i="5"/>
  <c r="F521" i="5"/>
  <c r="C521" i="5"/>
  <c r="D521" i="5" s="1"/>
  <c r="B521" i="5"/>
  <c r="L520" i="5"/>
  <c r="F520" i="5"/>
  <c r="D520" i="5"/>
  <c r="C520" i="5"/>
  <c r="B520" i="5"/>
  <c r="L519" i="5"/>
  <c r="F519" i="5"/>
  <c r="D519" i="5"/>
  <c r="C519" i="5"/>
  <c r="B519" i="5"/>
  <c r="L518" i="5"/>
  <c r="F518" i="5"/>
  <c r="C518" i="5"/>
  <c r="B518" i="5"/>
  <c r="D518" i="5" s="1"/>
  <c r="L517" i="5"/>
  <c r="F517" i="5"/>
  <c r="C517" i="5"/>
  <c r="D517" i="5" s="1"/>
  <c r="B517" i="5"/>
  <c r="L516" i="5"/>
  <c r="F516" i="5"/>
  <c r="D516" i="5"/>
  <c r="C516" i="5"/>
  <c r="B516" i="5"/>
  <c r="L515" i="5"/>
  <c r="F515" i="5"/>
  <c r="D515" i="5"/>
  <c r="C515" i="5"/>
  <c r="B515" i="5"/>
  <c r="L514" i="5"/>
  <c r="F514" i="5"/>
  <c r="C514" i="5"/>
  <c r="B514" i="5"/>
  <c r="D514" i="5" s="1"/>
  <c r="L513" i="5"/>
  <c r="F513" i="5"/>
  <c r="C513" i="5"/>
  <c r="D513" i="5" s="1"/>
  <c r="B513" i="5"/>
  <c r="L512" i="5"/>
  <c r="F512" i="5"/>
  <c r="D512" i="5"/>
  <c r="C512" i="5"/>
  <c r="B512" i="5"/>
  <c r="L511" i="5"/>
  <c r="F511" i="5"/>
  <c r="D511" i="5"/>
  <c r="C511" i="5"/>
  <c r="B511" i="5"/>
  <c r="L510" i="5"/>
  <c r="F510" i="5"/>
  <c r="C510" i="5"/>
  <c r="B510" i="5"/>
  <c r="D510" i="5" s="1"/>
  <c r="L509" i="5"/>
  <c r="F509" i="5"/>
  <c r="C509" i="5"/>
  <c r="D509" i="5" s="1"/>
  <c r="B509" i="5"/>
  <c r="L508" i="5"/>
  <c r="F508" i="5"/>
  <c r="D508" i="5"/>
  <c r="C508" i="5"/>
  <c r="B508" i="5"/>
  <c r="L507" i="5"/>
  <c r="F507" i="5"/>
  <c r="D507" i="5"/>
  <c r="C507" i="5"/>
  <c r="B507" i="5"/>
  <c r="L506" i="5"/>
  <c r="F506" i="5"/>
  <c r="C506" i="5"/>
  <c r="B506" i="5"/>
  <c r="D506" i="5" s="1"/>
  <c r="L505" i="5"/>
  <c r="F505" i="5"/>
  <c r="C505" i="5"/>
  <c r="D505" i="5" s="1"/>
  <c r="B505" i="5"/>
  <c r="L504" i="5"/>
  <c r="F504" i="5"/>
  <c r="D504" i="5"/>
  <c r="C504" i="5"/>
  <c r="B504" i="5"/>
  <c r="L503" i="5"/>
  <c r="F503" i="5"/>
  <c r="D503" i="5"/>
  <c r="C503" i="5"/>
  <c r="B503" i="5"/>
  <c r="L502" i="5"/>
  <c r="F502" i="5"/>
  <c r="C502" i="5"/>
  <c r="B502" i="5"/>
  <c r="D502" i="5" s="1"/>
  <c r="L501" i="5"/>
  <c r="F501" i="5"/>
  <c r="C501" i="5"/>
  <c r="D501" i="5" s="1"/>
  <c r="B501" i="5"/>
  <c r="L500" i="5"/>
  <c r="F500" i="5"/>
  <c r="D500" i="5"/>
  <c r="C500" i="5"/>
  <c r="B500" i="5"/>
  <c r="L499" i="5"/>
  <c r="F499" i="5"/>
  <c r="D499" i="5"/>
  <c r="C499" i="5"/>
  <c r="B499" i="5"/>
  <c r="L498" i="5"/>
  <c r="F498" i="5"/>
  <c r="C498" i="5"/>
  <c r="B498" i="5"/>
  <c r="D498" i="5" s="1"/>
  <c r="L497" i="5"/>
  <c r="F497" i="5"/>
  <c r="C497" i="5"/>
  <c r="D497" i="5" s="1"/>
  <c r="B497" i="5"/>
  <c r="L496" i="5"/>
  <c r="F496" i="5"/>
  <c r="D496" i="5"/>
  <c r="C496" i="5"/>
  <c r="B496" i="5"/>
  <c r="L495" i="5"/>
  <c r="F495" i="5"/>
  <c r="D495" i="5"/>
  <c r="C495" i="5"/>
  <c r="B495" i="5"/>
  <c r="L494" i="5"/>
  <c r="F494" i="5"/>
  <c r="C494" i="5"/>
  <c r="B494" i="5"/>
  <c r="D494" i="5" s="1"/>
  <c r="L493" i="5"/>
  <c r="F493" i="5"/>
  <c r="C493" i="5"/>
  <c r="D493" i="5" s="1"/>
  <c r="B493" i="5"/>
  <c r="L492" i="5"/>
  <c r="F492" i="5"/>
  <c r="D492" i="5"/>
  <c r="C492" i="5"/>
  <c r="B492" i="5"/>
  <c r="L491" i="5"/>
  <c r="F491" i="5"/>
  <c r="D491" i="5"/>
  <c r="C491" i="5"/>
  <c r="B491" i="5"/>
  <c r="L490" i="5"/>
  <c r="F490" i="5"/>
  <c r="C490" i="5"/>
  <c r="B490" i="5"/>
  <c r="D490" i="5" s="1"/>
  <c r="L489" i="5"/>
  <c r="F489" i="5"/>
  <c r="C489" i="5"/>
  <c r="D489" i="5" s="1"/>
  <c r="B489" i="5"/>
  <c r="L488" i="5"/>
  <c r="F488" i="5"/>
  <c r="D488" i="5"/>
  <c r="C488" i="5"/>
  <c r="B488" i="5"/>
  <c r="L487" i="5"/>
  <c r="F487" i="5"/>
  <c r="D487" i="5"/>
  <c r="C487" i="5"/>
  <c r="B487" i="5"/>
  <c r="L486" i="5"/>
  <c r="F486" i="5"/>
  <c r="C486" i="5"/>
  <c r="B486" i="5"/>
  <c r="D486" i="5" s="1"/>
  <c r="L485" i="5"/>
  <c r="F485" i="5"/>
  <c r="C485" i="5"/>
  <c r="D485" i="5" s="1"/>
  <c r="B485" i="5"/>
  <c r="L484" i="5"/>
  <c r="F484" i="5"/>
  <c r="D484" i="5"/>
  <c r="C484" i="5"/>
  <c r="B484" i="5"/>
  <c r="L483" i="5"/>
  <c r="F483" i="5"/>
  <c r="D483" i="5"/>
  <c r="C483" i="5"/>
  <c r="B483" i="5"/>
  <c r="L482" i="5"/>
  <c r="F482" i="5"/>
  <c r="C482" i="5"/>
  <c r="B482" i="5"/>
  <c r="D482" i="5" s="1"/>
  <c r="L481" i="5"/>
  <c r="F481" i="5"/>
  <c r="C481" i="5"/>
  <c r="D481" i="5" s="1"/>
  <c r="B481" i="5"/>
  <c r="L480" i="5"/>
  <c r="F480" i="5"/>
  <c r="D480" i="5"/>
  <c r="C480" i="5"/>
  <c r="B480" i="5"/>
  <c r="L479" i="5"/>
  <c r="F479" i="5"/>
  <c r="D479" i="5"/>
  <c r="C479" i="5"/>
  <c r="B479" i="5"/>
  <c r="L478" i="5"/>
  <c r="F478" i="5"/>
  <c r="C478" i="5"/>
  <c r="B478" i="5"/>
  <c r="D478" i="5" s="1"/>
  <c r="L477" i="5"/>
  <c r="F477" i="5"/>
  <c r="C477" i="5"/>
  <c r="D477" i="5" s="1"/>
  <c r="B477" i="5"/>
  <c r="L476" i="5"/>
  <c r="F476" i="5"/>
  <c r="D476" i="5"/>
  <c r="C476" i="5"/>
  <c r="B476" i="5"/>
  <c r="L475" i="5"/>
  <c r="F475" i="5"/>
  <c r="D475" i="5"/>
  <c r="C475" i="5"/>
  <c r="B475" i="5"/>
  <c r="L474" i="5"/>
  <c r="F474" i="5"/>
  <c r="C474" i="5"/>
  <c r="B474" i="5"/>
  <c r="D474" i="5" s="1"/>
  <c r="L473" i="5"/>
  <c r="F473" i="5"/>
  <c r="C473" i="5"/>
  <c r="D473" i="5" s="1"/>
  <c r="B473" i="5"/>
  <c r="L472" i="5"/>
  <c r="F472" i="5"/>
  <c r="D472" i="5"/>
  <c r="C472" i="5"/>
  <c r="B472" i="5"/>
  <c r="L471" i="5"/>
  <c r="F471" i="5"/>
  <c r="D471" i="5"/>
  <c r="C471" i="5"/>
  <c r="B471" i="5"/>
  <c r="L470" i="5"/>
  <c r="F470" i="5"/>
  <c r="C470" i="5"/>
  <c r="B470" i="5"/>
  <c r="D470" i="5" s="1"/>
  <c r="L469" i="5"/>
  <c r="F469" i="5"/>
  <c r="C469" i="5"/>
  <c r="D469" i="5" s="1"/>
  <c r="B469" i="5"/>
  <c r="L468" i="5"/>
  <c r="F468" i="5"/>
  <c r="D468" i="5"/>
  <c r="C468" i="5"/>
  <c r="B468" i="5"/>
  <c r="L467" i="5"/>
  <c r="F467" i="5"/>
  <c r="D467" i="5"/>
  <c r="C467" i="5"/>
  <c r="B467" i="5"/>
  <c r="L466" i="5"/>
  <c r="F466" i="5"/>
  <c r="C466" i="5"/>
  <c r="B466" i="5"/>
  <c r="D466" i="5" s="1"/>
  <c r="L465" i="5"/>
  <c r="F465" i="5"/>
  <c r="C465" i="5"/>
  <c r="D465" i="5" s="1"/>
  <c r="B465" i="5"/>
  <c r="L464" i="5"/>
  <c r="F464" i="5"/>
  <c r="D464" i="5"/>
  <c r="C464" i="5"/>
  <c r="B464" i="5"/>
  <c r="L463" i="5"/>
  <c r="F463" i="5"/>
  <c r="D463" i="5"/>
  <c r="C463" i="5"/>
  <c r="B463" i="5"/>
  <c r="L462" i="5"/>
  <c r="F462" i="5"/>
  <c r="C462" i="5"/>
  <c r="B462" i="5"/>
  <c r="D462" i="5" s="1"/>
  <c r="L461" i="5"/>
  <c r="F461" i="5"/>
  <c r="C461" i="5"/>
  <c r="D461" i="5" s="1"/>
  <c r="B461" i="5"/>
  <c r="L460" i="5"/>
  <c r="F460" i="5"/>
  <c r="D460" i="5"/>
  <c r="C460" i="5"/>
  <c r="B460" i="5"/>
  <c r="L459" i="5"/>
  <c r="F459" i="5"/>
  <c r="D459" i="5"/>
  <c r="C459" i="5"/>
  <c r="B459" i="5"/>
  <c r="L458" i="5"/>
  <c r="F458" i="5"/>
  <c r="C458" i="5"/>
  <c r="B458" i="5"/>
  <c r="D458" i="5" s="1"/>
  <c r="L457" i="5"/>
  <c r="F457" i="5"/>
  <c r="C457" i="5"/>
  <c r="D457" i="5" s="1"/>
  <c r="B457" i="5"/>
  <c r="L456" i="5"/>
  <c r="F456" i="5"/>
  <c r="D456" i="5"/>
  <c r="C456" i="5"/>
  <c r="B456" i="5"/>
  <c r="L455" i="5"/>
  <c r="F455" i="5"/>
  <c r="D455" i="5"/>
  <c r="C455" i="5"/>
  <c r="B455" i="5"/>
  <c r="L454" i="5"/>
  <c r="F454" i="5"/>
  <c r="C454" i="5"/>
  <c r="B454" i="5"/>
  <c r="D454" i="5" s="1"/>
  <c r="L453" i="5"/>
  <c r="F453" i="5"/>
  <c r="C453" i="5"/>
  <c r="D453" i="5" s="1"/>
  <c r="B453" i="5"/>
  <c r="L452" i="5"/>
  <c r="F452" i="5"/>
  <c r="D452" i="5"/>
  <c r="C452" i="5"/>
  <c r="B452" i="5"/>
  <c r="L451" i="5"/>
  <c r="F451" i="5"/>
  <c r="D451" i="5"/>
  <c r="C451" i="5"/>
  <c r="B451" i="5"/>
  <c r="L450" i="5"/>
  <c r="F450" i="5"/>
  <c r="C450" i="5"/>
  <c r="B450" i="5"/>
  <c r="D450" i="5" s="1"/>
  <c r="L449" i="5"/>
  <c r="F449" i="5"/>
  <c r="C449" i="5"/>
  <c r="D449" i="5" s="1"/>
  <c r="B449" i="5"/>
  <c r="L448" i="5"/>
  <c r="F448" i="5"/>
  <c r="D448" i="5"/>
  <c r="C448" i="5"/>
  <c r="B448" i="5"/>
  <c r="L447" i="5"/>
  <c r="F447" i="5"/>
  <c r="D447" i="5"/>
  <c r="C447" i="5"/>
  <c r="B447" i="5"/>
  <c r="L446" i="5"/>
  <c r="F446" i="5"/>
  <c r="C446" i="5"/>
  <c r="B446" i="5"/>
  <c r="D446" i="5" s="1"/>
  <c r="L445" i="5"/>
  <c r="F445" i="5"/>
  <c r="C445" i="5"/>
  <c r="D445" i="5" s="1"/>
  <c r="B445" i="5"/>
  <c r="L444" i="5"/>
  <c r="F444" i="5"/>
  <c r="D444" i="5"/>
  <c r="C444" i="5"/>
  <c r="B444" i="5"/>
  <c r="L443" i="5"/>
  <c r="F443" i="5"/>
  <c r="D443" i="5"/>
  <c r="C443" i="5"/>
  <c r="B443" i="5"/>
  <c r="L442" i="5"/>
  <c r="F442" i="5"/>
  <c r="C442" i="5"/>
  <c r="B442" i="5"/>
  <c r="D442" i="5" s="1"/>
  <c r="L441" i="5"/>
  <c r="F441" i="5"/>
  <c r="C441" i="5"/>
  <c r="D441" i="5" s="1"/>
  <c r="B441" i="5"/>
  <c r="L440" i="5"/>
  <c r="F440" i="5"/>
  <c r="D440" i="5"/>
  <c r="C440" i="5"/>
  <c r="B440" i="5"/>
  <c r="L439" i="5"/>
  <c r="F439" i="5"/>
  <c r="D439" i="5"/>
  <c r="C439" i="5"/>
  <c r="B439" i="5"/>
  <c r="L438" i="5"/>
  <c r="F438" i="5"/>
  <c r="C438" i="5"/>
  <c r="B438" i="5"/>
  <c r="D438" i="5" s="1"/>
  <c r="L437" i="5"/>
  <c r="F437" i="5"/>
  <c r="C437" i="5"/>
  <c r="D437" i="5" s="1"/>
  <c r="B437" i="5"/>
  <c r="L436" i="5"/>
  <c r="F436" i="5"/>
  <c r="D436" i="5"/>
  <c r="C436" i="5"/>
  <c r="B436" i="5"/>
  <c r="L435" i="5"/>
  <c r="F435" i="5"/>
  <c r="D435" i="5"/>
  <c r="C435" i="5"/>
  <c r="B435" i="5"/>
  <c r="L434" i="5"/>
  <c r="F434" i="5"/>
  <c r="C434" i="5"/>
  <c r="B434" i="5"/>
  <c r="D434" i="5" s="1"/>
  <c r="L433" i="5"/>
  <c r="F433" i="5"/>
  <c r="C433" i="5"/>
  <c r="D433" i="5" s="1"/>
  <c r="B433" i="5"/>
  <c r="L432" i="5"/>
  <c r="F432" i="5"/>
  <c r="D432" i="5"/>
  <c r="C432" i="5"/>
  <c r="B432" i="5"/>
  <c r="L431" i="5"/>
  <c r="F431" i="5"/>
  <c r="D431" i="5"/>
  <c r="C431" i="5"/>
  <c r="B431" i="5"/>
  <c r="L430" i="5"/>
  <c r="F430" i="5"/>
  <c r="C430" i="5"/>
  <c r="B430" i="5"/>
  <c r="D430" i="5" s="1"/>
  <c r="L429" i="5"/>
  <c r="F429" i="5"/>
  <c r="C429" i="5"/>
  <c r="D429" i="5" s="1"/>
  <c r="B429" i="5"/>
  <c r="L428" i="5"/>
  <c r="F428" i="5"/>
  <c r="D428" i="5"/>
  <c r="C428" i="5"/>
  <c r="B428" i="5"/>
  <c r="L427" i="5"/>
  <c r="F427" i="5"/>
  <c r="D427" i="5"/>
  <c r="C427" i="5"/>
  <c r="B427" i="5"/>
  <c r="L426" i="5"/>
  <c r="F426" i="5"/>
  <c r="C426" i="5"/>
  <c r="B426" i="5"/>
  <c r="D426" i="5" s="1"/>
  <c r="L425" i="5"/>
  <c r="F425" i="5"/>
  <c r="C425" i="5"/>
  <c r="D425" i="5" s="1"/>
  <c r="B425" i="5"/>
  <c r="L424" i="5"/>
  <c r="F424" i="5"/>
  <c r="D424" i="5"/>
  <c r="C424" i="5"/>
  <c r="B424" i="5"/>
  <c r="L423" i="5"/>
  <c r="F423" i="5"/>
  <c r="D423" i="5"/>
  <c r="C423" i="5"/>
  <c r="B423" i="5"/>
  <c r="L422" i="5"/>
  <c r="F422" i="5"/>
  <c r="C422" i="5"/>
  <c r="B422" i="5"/>
  <c r="D422" i="5" s="1"/>
  <c r="L421" i="5"/>
  <c r="F421" i="5"/>
  <c r="C421" i="5"/>
  <c r="D421" i="5" s="1"/>
  <c r="B421" i="5"/>
  <c r="L420" i="5"/>
  <c r="F420" i="5"/>
  <c r="D420" i="5"/>
  <c r="C420" i="5"/>
  <c r="B420" i="5"/>
  <c r="L419" i="5"/>
  <c r="F419" i="5"/>
  <c r="D419" i="5"/>
  <c r="C419" i="5"/>
  <c r="B419" i="5"/>
  <c r="L418" i="5"/>
  <c r="F418" i="5"/>
  <c r="C418" i="5"/>
  <c r="B418" i="5"/>
  <c r="D418" i="5" s="1"/>
  <c r="L417" i="5"/>
  <c r="F417" i="5"/>
  <c r="C417" i="5"/>
  <c r="D417" i="5" s="1"/>
  <c r="B417" i="5"/>
  <c r="L416" i="5"/>
  <c r="F416" i="5"/>
  <c r="D416" i="5"/>
  <c r="C416" i="5"/>
  <c r="B416" i="5"/>
  <c r="L415" i="5"/>
  <c r="F415" i="5"/>
  <c r="D415" i="5"/>
  <c r="C415" i="5"/>
  <c r="B415" i="5"/>
  <c r="L414" i="5"/>
  <c r="F414" i="5"/>
  <c r="C414" i="5"/>
  <c r="B414" i="5"/>
  <c r="D414" i="5" s="1"/>
  <c r="L413" i="5"/>
  <c r="F413" i="5"/>
  <c r="C413" i="5"/>
  <c r="D413" i="5" s="1"/>
  <c r="B413" i="5"/>
  <c r="L412" i="5"/>
  <c r="F412" i="5"/>
  <c r="D412" i="5"/>
  <c r="C412" i="5"/>
  <c r="B412" i="5"/>
  <c r="L411" i="5"/>
  <c r="F411" i="5"/>
  <c r="D411" i="5"/>
  <c r="C411" i="5"/>
  <c r="B411" i="5"/>
  <c r="L410" i="5"/>
  <c r="F410" i="5"/>
  <c r="C410" i="5"/>
  <c r="B410" i="5"/>
  <c r="D410" i="5" s="1"/>
  <c r="L409" i="5"/>
  <c r="F409" i="5"/>
  <c r="C409" i="5"/>
  <c r="D409" i="5" s="1"/>
  <c r="B409" i="5"/>
  <c r="L408" i="5"/>
  <c r="F408" i="5"/>
  <c r="D408" i="5"/>
  <c r="C408" i="5"/>
  <c r="B408" i="5"/>
  <c r="L407" i="5"/>
  <c r="F407" i="5"/>
  <c r="D407" i="5"/>
  <c r="C407" i="5"/>
  <c r="B407" i="5"/>
  <c r="L406" i="5"/>
  <c r="F406" i="5"/>
  <c r="C406" i="5"/>
  <c r="B406" i="5"/>
  <c r="D406" i="5" s="1"/>
  <c r="L405" i="5"/>
  <c r="F405" i="5"/>
  <c r="C405" i="5"/>
  <c r="B405" i="5"/>
  <c r="L404" i="5"/>
  <c r="F404" i="5"/>
  <c r="C404" i="5"/>
  <c r="D404" i="5" s="1"/>
  <c r="B404" i="5"/>
  <c r="L403" i="5"/>
  <c r="F403" i="5"/>
  <c r="D403" i="5"/>
  <c r="C403" i="5"/>
  <c r="B403" i="5"/>
  <c r="L402" i="5"/>
  <c r="F402" i="5"/>
  <c r="D402" i="5"/>
  <c r="C402" i="5"/>
  <c r="B402" i="5"/>
  <c r="L401" i="5"/>
  <c r="F401" i="5"/>
  <c r="C401" i="5"/>
  <c r="D401" i="5" s="1"/>
  <c r="B401" i="5"/>
  <c r="L400" i="5"/>
  <c r="F400" i="5"/>
  <c r="C400" i="5"/>
  <c r="B400" i="5"/>
  <c r="D400" i="5" s="1"/>
  <c r="L399" i="5"/>
  <c r="F399" i="5"/>
  <c r="C399" i="5"/>
  <c r="D399" i="5" s="1"/>
  <c r="B399" i="5"/>
  <c r="L398" i="5"/>
  <c r="F398" i="5"/>
  <c r="D398" i="5"/>
  <c r="C398" i="5"/>
  <c r="B398" i="5"/>
  <c r="L397" i="5"/>
  <c r="F397" i="5"/>
  <c r="C397" i="5"/>
  <c r="D397" i="5" s="1"/>
  <c r="B397" i="5"/>
  <c r="L396" i="5"/>
  <c r="F396" i="5"/>
  <c r="C396" i="5"/>
  <c r="B396" i="5"/>
  <c r="D396" i="5" s="1"/>
  <c r="L395" i="5"/>
  <c r="F395" i="5"/>
  <c r="C395" i="5"/>
  <c r="D395" i="5" s="1"/>
  <c r="B395" i="5"/>
  <c r="L394" i="5"/>
  <c r="F394" i="5"/>
  <c r="D394" i="5"/>
  <c r="C394" i="5"/>
  <c r="B394" i="5"/>
  <c r="L393" i="5"/>
  <c r="F393" i="5"/>
  <c r="C393" i="5"/>
  <c r="D393" i="5" s="1"/>
  <c r="B393" i="5"/>
  <c r="L392" i="5"/>
  <c r="F392" i="5"/>
  <c r="C392" i="5"/>
  <c r="B392" i="5"/>
  <c r="D392" i="5" s="1"/>
  <c r="L391" i="5"/>
  <c r="F391" i="5"/>
  <c r="C391" i="5"/>
  <c r="D391" i="5" s="1"/>
  <c r="B391" i="5"/>
  <c r="L390" i="5"/>
  <c r="F390" i="5"/>
  <c r="D390" i="5"/>
  <c r="C390" i="5"/>
  <c r="B390" i="5"/>
  <c r="L389" i="5"/>
  <c r="F389" i="5"/>
  <c r="C389" i="5"/>
  <c r="D389" i="5" s="1"/>
  <c r="B389" i="5"/>
  <c r="L388" i="5"/>
  <c r="F388" i="5"/>
  <c r="C388" i="5"/>
  <c r="B388" i="5"/>
  <c r="D388" i="5" s="1"/>
  <c r="L387" i="5"/>
  <c r="F387" i="5"/>
  <c r="C387" i="5"/>
  <c r="D387" i="5" s="1"/>
  <c r="B387" i="5"/>
  <c r="L386" i="5"/>
  <c r="F386" i="5"/>
  <c r="D386" i="5"/>
  <c r="C386" i="5"/>
  <c r="B386" i="5"/>
  <c r="L385" i="5"/>
  <c r="F385" i="5"/>
  <c r="C385" i="5"/>
  <c r="D385" i="5" s="1"/>
  <c r="B385" i="5"/>
  <c r="L384" i="5"/>
  <c r="F384" i="5"/>
  <c r="C384" i="5"/>
  <c r="B384" i="5"/>
  <c r="D384" i="5" s="1"/>
  <c r="L383" i="5"/>
  <c r="F383" i="5"/>
  <c r="C383" i="5"/>
  <c r="D383" i="5" s="1"/>
  <c r="B383" i="5"/>
  <c r="L382" i="5"/>
  <c r="F382" i="5"/>
  <c r="D382" i="5"/>
  <c r="C382" i="5"/>
  <c r="B382" i="5"/>
  <c r="L381" i="5"/>
  <c r="F381" i="5"/>
  <c r="C381" i="5"/>
  <c r="D381" i="5" s="1"/>
  <c r="B381" i="5"/>
  <c r="L380" i="5"/>
  <c r="F380" i="5"/>
  <c r="C380" i="5"/>
  <c r="B380" i="5"/>
  <c r="D380" i="5" s="1"/>
  <c r="L379" i="5"/>
  <c r="F379" i="5"/>
  <c r="C379" i="5"/>
  <c r="D379" i="5" s="1"/>
  <c r="B379" i="5"/>
  <c r="L378" i="5"/>
  <c r="F378" i="5"/>
  <c r="D378" i="5"/>
  <c r="C378" i="5"/>
  <c r="B378" i="5"/>
  <c r="L377" i="5"/>
  <c r="F377" i="5"/>
  <c r="C377" i="5"/>
  <c r="D377" i="5" s="1"/>
  <c r="B377" i="5"/>
  <c r="L376" i="5"/>
  <c r="F376" i="5"/>
  <c r="C376" i="5"/>
  <c r="B376" i="5"/>
  <c r="D376" i="5" s="1"/>
  <c r="L375" i="5"/>
  <c r="F375" i="5"/>
  <c r="C375" i="5"/>
  <c r="D375" i="5" s="1"/>
  <c r="B375" i="5"/>
  <c r="L374" i="5"/>
  <c r="F374" i="5"/>
  <c r="D374" i="5"/>
  <c r="C374" i="5"/>
  <c r="B374" i="5"/>
  <c r="L373" i="5"/>
  <c r="F373" i="5"/>
  <c r="C373" i="5"/>
  <c r="D373" i="5" s="1"/>
  <c r="B373" i="5"/>
  <c r="L372" i="5"/>
  <c r="F372" i="5"/>
  <c r="C372" i="5"/>
  <c r="B372" i="5"/>
  <c r="D372" i="5" s="1"/>
  <c r="L371" i="5"/>
  <c r="F371" i="5"/>
  <c r="C371" i="5"/>
  <c r="D371" i="5" s="1"/>
  <c r="B371" i="5"/>
  <c r="L370" i="5"/>
  <c r="F370" i="5"/>
  <c r="D370" i="5"/>
  <c r="C370" i="5"/>
  <c r="B370" i="5"/>
  <c r="L369" i="5"/>
  <c r="F369" i="5"/>
  <c r="C369" i="5"/>
  <c r="D369" i="5" s="1"/>
  <c r="B369" i="5"/>
  <c r="L368" i="5"/>
  <c r="F368" i="5"/>
  <c r="C368" i="5"/>
  <c r="B368" i="5"/>
  <c r="D368" i="5" s="1"/>
  <c r="L367" i="5"/>
  <c r="F367" i="5"/>
  <c r="C367" i="5"/>
  <c r="D367" i="5" s="1"/>
  <c r="B367" i="5"/>
  <c r="L366" i="5"/>
  <c r="F366" i="5"/>
  <c r="D366" i="5"/>
  <c r="C366" i="5"/>
  <c r="B366" i="5"/>
  <c r="L365" i="5"/>
  <c r="F365" i="5"/>
  <c r="C365" i="5"/>
  <c r="D365" i="5" s="1"/>
  <c r="B365" i="5"/>
  <c r="L364" i="5"/>
  <c r="F364" i="5"/>
  <c r="C364" i="5"/>
  <c r="B364" i="5"/>
  <c r="D364" i="5" s="1"/>
  <c r="L363" i="5"/>
  <c r="F363" i="5"/>
  <c r="C363" i="5"/>
  <c r="D363" i="5" s="1"/>
  <c r="B363" i="5"/>
  <c r="L362" i="5"/>
  <c r="F362" i="5"/>
  <c r="D362" i="5"/>
  <c r="C362" i="5"/>
  <c r="B362" i="5"/>
  <c r="L361" i="5"/>
  <c r="F361" i="5"/>
  <c r="C361" i="5"/>
  <c r="D361" i="5" s="1"/>
  <c r="B361" i="5"/>
  <c r="L360" i="5"/>
  <c r="F360" i="5"/>
  <c r="C360" i="5"/>
  <c r="B360" i="5"/>
  <c r="D360" i="5" s="1"/>
  <c r="L359" i="5"/>
  <c r="F359" i="5"/>
  <c r="C359" i="5"/>
  <c r="D359" i="5" s="1"/>
  <c r="B359" i="5"/>
  <c r="L358" i="5"/>
  <c r="F358" i="5"/>
  <c r="D358" i="5"/>
  <c r="C358" i="5"/>
  <c r="B358" i="5"/>
  <c r="L357" i="5"/>
  <c r="F357" i="5"/>
  <c r="C357" i="5"/>
  <c r="D357" i="5" s="1"/>
  <c r="B357" i="5"/>
  <c r="L356" i="5"/>
  <c r="F356" i="5"/>
  <c r="C356" i="5"/>
  <c r="B356" i="5"/>
  <c r="D356" i="5" s="1"/>
  <c r="L355" i="5"/>
  <c r="F355" i="5"/>
  <c r="C355" i="5"/>
  <c r="D355" i="5" s="1"/>
  <c r="B355" i="5"/>
  <c r="L354" i="5"/>
  <c r="F354" i="5"/>
  <c r="D354" i="5"/>
  <c r="C354" i="5"/>
  <c r="B354" i="5"/>
  <c r="L353" i="5"/>
  <c r="F353" i="5"/>
  <c r="C353" i="5"/>
  <c r="D353" i="5" s="1"/>
  <c r="B353" i="5"/>
  <c r="L352" i="5"/>
  <c r="F352" i="5"/>
  <c r="C352" i="5"/>
  <c r="B352" i="5"/>
  <c r="D352" i="5" s="1"/>
  <c r="L351" i="5"/>
  <c r="F351" i="5"/>
  <c r="C351" i="5"/>
  <c r="D351" i="5" s="1"/>
  <c r="B351" i="5"/>
  <c r="L350" i="5"/>
  <c r="F350" i="5"/>
  <c r="D350" i="5"/>
  <c r="C350" i="5"/>
  <c r="B350" i="5"/>
  <c r="L349" i="5"/>
  <c r="F349" i="5"/>
  <c r="C349" i="5"/>
  <c r="D349" i="5" s="1"/>
  <c r="B349" i="5"/>
  <c r="L348" i="5"/>
  <c r="F348" i="5"/>
  <c r="C348" i="5"/>
  <c r="B348" i="5"/>
  <c r="D348" i="5" s="1"/>
  <c r="L347" i="5"/>
  <c r="F347" i="5"/>
  <c r="C347" i="5"/>
  <c r="D347" i="5" s="1"/>
  <c r="B347" i="5"/>
  <c r="L346" i="5"/>
  <c r="F346" i="5"/>
  <c r="D346" i="5"/>
  <c r="C346" i="5"/>
  <c r="B346" i="5"/>
  <c r="L345" i="5"/>
  <c r="F345" i="5"/>
  <c r="C345" i="5"/>
  <c r="D345" i="5" s="1"/>
  <c r="B345" i="5"/>
  <c r="L344" i="5"/>
  <c r="F344" i="5"/>
  <c r="C344" i="5"/>
  <c r="B344" i="5"/>
  <c r="D344" i="5" s="1"/>
  <c r="L343" i="5"/>
  <c r="F343" i="5"/>
  <c r="C343" i="5"/>
  <c r="D343" i="5" s="1"/>
  <c r="B343" i="5"/>
  <c r="L342" i="5"/>
  <c r="F342" i="5"/>
  <c r="D342" i="5"/>
  <c r="C342" i="5"/>
  <c r="B342" i="5"/>
  <c r="L341" i="5"/>
  <c r="F341" i="5"/>
  <c r="C341" i="5"/>
  <c r="D341" i="5" s="1"/>
  <c r="B341" i="5"/>
  <c r="L340" i="5"/>
  <c r="F340" i="5"/>
  <c r="C340" i="5"/>
  <c r="B340" i="5"/>
  <c r="D340" i="5" s="1"/>
  <c r="L339" i="5"/>
  <c r="F339" i="5"/>
  <c r="C339" i="5"/>
  <c r="D339" i="5" s="1"/>
  <c r="B339" i="5"/>
  <c r="L338" i="5"/>
  <c r="F338" i="5"/>
  <c r="D338" i="5"/>
  <c r="C338" i="5"/>
  <c r="B338" i="5"/>
  <c r="L337" i="5"/>
  <c r="F337" i="5"/>
  <c r="C337" i="5"/>
  <c r="D337" i="5" s="1"/>
  <c r="B337" i="5"/>
  <c r="L336" i="5"/>
  <c r="F336" i="5"/>
  <c r="C336" i="5"/>
  <c r="B336" i="5"/>
  <c r="D336" i="5" s="1"/>
  <c r="L335" i="5"/>
  <c r="F335" i="5"/>
  <c r="C335" i="5"/>
  <c r="D335" i="5" s="1"/>
  <c r="B335" i="5"/>
  <c r="L334" i="5"/>
  <c r="F334" i="5"/>
  <c r="D334" i="5"/>
  <c r="C334" i="5"/>
  <c r="B334" i="5"/>
  <c r="L333" i="5"/>
  <c r="F333" i="5"/>
  <c r="C333" i="5"/>
  <c r="D333" i="5" s="1"/>
  <c r="B333" i="5"/>
  <c r="L332" i="5"/>
  <c r="F332" i="5"/>
  <c r="C332" i="5"/>
  <c r="B332" i="5"/>
  <c r="D332" i="5" s="1"/>
  <c r="L331" i="5"/>
  <c r="F331" i="5"/>
  <c r="C331" i="5"/>
  <c r="D331" i="5" s="1"/>
  <c r="B331" i="5"/>
  <c r="L330" i="5"/>
  <c r="F330" i="5"/>
  <c r="D330" i="5"/>
  <c r="C330" i="5"/>
  <c r="B330" i="5"/>
  <c r="L329" i="5"/>
  <c r="F329" i="5"/>
  <c r="C329" i="5"/>
  <c r="D329" i="5" s="1"/>
  <c r="B329" i="5"/>
  <c r="L328" i="5"/>
  <c r="F328" i="5"/>
  <c r="C328" i="5"/>
  <c r="B328" i="5"/>
  <c r="D328" i="5" s="1"/>
  <c r="L327" i="5"/>
  <c r="F327" i="5"/>
  <c r="C327" i="5"/>
  <c r="D327" i="5" s="1"/>
  <c r="B327" i="5"/>
  <c r="L326" i="5"/>
  <c r="F326" i="5"/>
  <c r="D326" i="5"/>
  <c r="C326" i="5"/>
  <c r="B326" i="5"/>
  <c r="L325" i="5"/>
  <c r="F325" i="5"/>
  <c r="C325" i="5"/>
  <c r="D325" i="5" s="1"/>
  <c r="B325" i="5"/>
  <c r="L324" i="5"/>
  <c r="F324" i="5"/>
  <c r="C324" i="5"/>
  <c r="B324" i="5"/>
  <c r="D324" i="5" s="1"/>
  <c r="L323" i="5"/>
  <c r="F323" i="5"/>
  <c r="C323" i="5"/>
  <c r="D323" i="5" s="1"/>
  <c r="B323" i="5"/>
  <c r="L322" i="5"/>
  <c r="F322" i="5"/>
  <c r="D322" i="5"/>
  <c r="C322" i="5"/>
  <c r="B322" i="5"/>
  <c r="L321" i="5"/>
  <c r="F321" i="5"/>
  <c r="C321" i="5"/>
  <c r="D321" i="5" s="1"/>
  <c r="B321" i="5"/>
  <c r="L320" i="5"/>
  <c r="F320" i="5"/>
  <c r="C320" i="5"/>
  <c r="B320" i="5"/>
  <c r="D320" i="5" s="1"/>
  <c r="L319" i="5"/>
  <c r="F319" i="5"/>
  <c r="C319" i="5"/>
  <c r="D319" i="5" s="1"/>
  <c r="B319" i="5"/>
  <c r="L318" i="5"/>
  <c r="F318" i="5"/>
  <c r="D318" i="5"/>
  <c r="C318" i="5"/>
  <c r="B318" i="5"/>
  <c r="L317" i="5"/>
  <c r="F317" i="5"/>
  <c r="C317" i="5"/>
  <c r="D317" i="5" s="1"/>
  <c r="B317" i="5"/>
  <c r="L316" i="5"/>
  <c r="F316" i="5"/>
  <c r="C316" i="5"/>
  <c r="B316" i="5"/>
  <c r="D316" i="5" s="1"/>
  <c r="L315" i="5"/>
  <c r="F315" i="5"/>
  <c r="C315" i="5"/>
  <c r="D315" i="5" s="1"/>
  <c r="B315" i="5"/>
  <c r="L314" i="5"/>
  <c r="F314" i="5"/>
  <c r="D314" i="5"/>
  <c r="C314" i="5"/>
  <c r="B314" i="5"/>
  <c r="L313" i="5"/>
  <c r="F313" i="5"/>
  <c r="C313" i="5"/>
  <c r="D313" i="5" s="1"/>
  <c r="B313" i="5"/>
  <c r="L312" i="5"/>
  <c r="F312" i="5"/>
  <c r="C312" i="5"/>
  <c r="B312" i="5"/>
  <c r="D312" i="5" s="1"/>
  <c r="L311" i="5"/>
  <c r="F311" i="5"/>
  <c r="C311" i="5"/>
  <c r="D311" i="5" s="1"/>
  <c r="B311" i="5"/>
  <c r="L310" i="5"/>
  <c r="F310" i="5"/>
  <c r="D310" i="5"/>
  <c r="C310" i="5"/>
  <c r="B310" i="5"/>
  <c r="L309" i="5"/>
  <c r="F309" i="5"/>
  <c r="C309" i="5"/>
  <c r="D309" i="5" s="1"/>
  <c r="B309" i="5"/>
  <c r="L308" i="5"/>
  <c r="F308" i="5"/>
  <c r="C308" i="5"/>
  <c r="B308" i="5"/>
  <c r="D308" i="5" s="1"/>
  <c r="L307" i="5"/>
  <c r="F307" i="5"/>
  <c r="C307" i="5"/>
  <c r="D307" i="5" s="1"/>
  <c r="B307" i="5"/>
  <c r="L306" i="5"/>
  <c r="F306" i="5"/>
  <c r="D306" i="5"/>
  <c r="C306" i="5"/>
  <c r="B306" i="5"/>
  <c r="L305" i="5"/>
  <c r="F305" i="5"/>
  <c r="C305" i="5"/>
  <c r="D305" i="5" s="1"/>
  <c r="B305" i="5"/>
  <c r="L304" i="5"/>
  <c r="F304" i="5"/>
  <c r="C304" i="5"/>
  <c r="B304" i="5"/>
  <c r="D304" i="5" s="1"/>
  <c r="L303" i="5"/>
  <c r="F303" i="5"/>
  <c r="C303" i="5"/>
  <c r="D303" i="5" s="1"/>
  <c r="B303" i="5"/>
  <c r="L302" i="5"/>
  <c r="F302" i="5"/>
  <c r="D302" i="5"/>
  <c r="C302" i="5"/>
  <c r="B302" i="5"/>
  <c r="L301" i="5"/>
  <c r="F301" i="5"/>
  <c r="C301" i="5"/>
  <c r="D301" i="5" s="1"/>
  <c r="B301" i="5"/>
  <c r="L300" i="5"/>
  <c r="F300" i="5"/>
  <c r="C300" i="5"/>
  <c r="B300" i="5"/>
  <c r="D300" i="5" s="1"/>
  <c r="L299" i="5"/>
  <c r="F299" i="5"/>
  <c r="C299" i="5"/>
  <c r="D299" i="5" s="1"/>
  <c r="B299" i="5"/>
  <c r="L298" i="5"/>
  <c r="F298" i="5"/>
  <c r="D298" i="5"/>
  <c r="C298" i="5"/>
  <c r="B298" i="5"/>
  <c r="L297" i="5"/>
  <c r="F297" i="5"/>
  <c r="C297" i="5"/>
  <c r="D297" i="5" s="1"/>
  <c r="B297" i="5"/>
  <c r="L296" i="5"/>
  <c r="F296" i="5"/>
  <c r="C296" i="5"/>
  <c r="B296" i="5"/>
  <c r="D296" i="5" s="1"/>
  <c r="L295" i="5"/>
  <c r="F295" i="5"/>
  <c r="C295" i="5"/>
  <c r="D295" i="5" s="1"/>
  <c r="B295" i="5"/>
  <c r="L294" i="5"/>
  <c r="F294" i="5"/>
  <c r="D294" i="5"/>
  <c r="C294" i="5"/>
  <c r="B294" i="5"/>
  <c r="L293" i="5"/>
  <c r="F293" i="5"/>
  <c r="C293" i="5"/>
  <c r="D293" i="5" s="1"/>
  <c r="B293" i="5"/>
  <c r="L292" i="5"/>
  <c r="F292" i="5"/>
  <c r="C292" i="5"/>
  <c r="B292" i="5"/>
  <c r="D292" i="5" s="1"/>
  <c r="L291" i="5"/>
  <c r="F291" i="5"/>
  <c r="C291" i="5"/>
  <c r="D291" i="5" s="1"/>
  <c r="B291" i="5"/>
  <c r="L290" i="5"/>
  <c r="F290" i="5"/>
  <c r="D290" i="5"/>
  <c r="C290" i="5"/>
  <c r="B290" i="5"/>
  <c r="L289" i="5"/>
  <c r="F289" i="5"/>
  <c r="C289" i="5"/>
  <c r="D289" i="5" s="1"/>
  <c r="B289" i="5"/>
  <c r="L288" i="5"/>
  <c r="F288" i="5"/>
  <c r="C288" i="5"/>
  <c r="B288" i="5"/>
  <c r="D288" i="5" s="1"/>
  <c r="L287" i="5"/>
  <c r="F287" i="5"/>
  <c r="C287" i="5"/>
  <c r="D287" i="5" s="1"/>
  <c r="B287" i="5"/>
  <c r="L286" i="5"/>
  <c r="F286" i="5"/>
  <c r="D286" i="5"/>
  <c r="C286" i="5"/>
  <c r="B286" i="5"/>
  <c r="L285" i="5"/>
  <c r="F285" i="5"/>
  <c r="C285" i="5"/>
  <c r="D285" i="5" s="1"/>
  <c r="B285" i="5"/>
  <c r="L284" i="5"/>
  <c r="F284" i="5"/>
  <c r="C284" i="5"/>
  <c r="B284" i="5"/>
  <c r="D284" i="5" s="1"/>
  <c r="L283" i="5"/>
  <c r="F283" i="5"/>
  <c r="C283" i="5"/>
  <c r="D283" i="5" s="1"/>
  <c r="B283" i="5"/>
  <c r="L282" i="5"/>
  <c r="F282" i="5"/>
  <c r="D282" i="5"/>
  <c r="C282" i="5"/>
  <c r="B282" i="5"/>
  <c r="L281" i="5"/>
  <c r="F281" i="5"/>
  <c r="C281" i="5"/>
  <c r="D281" i="5" s="1"/>
  <c r="B281" i="5"/>
  <c r="L280" i="5"/>
  <c r="F280" i="5"/>
  <c r="C280" i="5"/>
  <c r="B280" i="5"/>
  <c r="D280" i="5" s="1"/>
  <c r="L279" i="5"/>
  <c r="F279" i="5"/>
  <c r="C279" i="5"/>
  <c r="D279" i="5" s="1"/>
  <c r="B279" i="5"/>
  <c r="L278" i="5"/>
  <c r="F278" i="5"/>
  <c r="D278" i="5"/>
  <c r="C278" i="5"/>
  <c r="B278" i="5"/>
  <c r="L277" i="5"/>
  <c r="F277" i="5"/>
  <c r="C277" i="5"/>
  <c r="D277" i="5" s="1"/>
  <c r="B277" i="5"/>
  <c r="L276" i="5"/>
  <c r="F276" i="5"/>
  <c r="C276" i="5"/>
  <c r="B276" i="5"/>
  <c r="D276" i="5" s="1"/>
  <c r="L275" i="5"/>
  <c r="F275" i="5"/>
  <c r="C275" i="5"/>
  <c r="D275" i="5" s="1"/>
  <c r="B275" i="5"/>
  <c r="L274" i="5"/>
  <c r="F274" i="5"/>
  <c r="D274" i="5"/>
  <c r="C274" i="5"/>
  <c r="B274" i="5"/>
  <c r="L273" i="5"/>
  <c r="F273" i="5"/>
  <c r="C273" i="5"/>
  <c r="D273" i="5" s="1"/>
  <c r="B273" i="5"/>
  <c r="L272" i="5"/>
  <c r="F272" i="5"/>
  <c r="C272" i="5"/>
  <c r="B272" i="5"/>
  <c r="D272" i="5" s="1"/>
  <c r="L271" i="5"/>
  <c r="F271" i="5"/>
  <c r="C271" i="5"/>
  <c r="D271" i="5" s="1"/>
  <c r="B271" i="5"/>
  <c r="L270" i="5"/>
  <c r="F270" i="5"/>
  <c r="D270" i="5"/>
  <c r="C270" i="5"/>
  <c r="B270" i="5"/>
  <c r="L269" i="5"/>
  <c r="F269" i="5"/>
  <c r="C269" i="5"/>
  <c r="D269" i="5" s="1"/>
  <c r="B269" i="5"/>
  <c r="L268" i="5"/>
  <c r="F268" i="5"/>
  <c r="C268" i="5"/>
  <c r="B268" i="5"/>
  <c r="D268" i="5" s="1"/>
  <c r="L267" i="5"/>
  <c r="F267" i="5"/>
  <c r="C267" i="5"/>
  <c r="D267" i="5" s="1"/>
  <c r="B267" i="5"/>
  <c r="L266" i="5"/>
  <c r="F266" i="5"/>
  <c r="D266" i="5"/>
  <c r="C266" i="5"/>
  <c r="B266" i="5"/>
  <c r="L265" i="5"/>
  <c r="F265" i="5"/>
  <c r="C265" i="5"/>
  <c r="D265" i="5" s="1"/>
  <c r="B265" i="5"/>
  <c r="L264" i="5"/>
  <c r="F264" i="5"/>
  <c r="C264" i="5"/>
  <c r="B264" i="5"/>
  <c r="D264" i="5" s="1"/>
  <c r="L263" i="5"/>
  <c r="F263" i="5"/>
  <c r="C263" i="5"/>
  <c r="D263" i="5" s="1"/>
  <c r="B263" i="5"/>
  <c r="L262" i="5"/>
  <c r="F262" i="5"/>
  <c r="D262" i="5"/>
  <c r="C262" i="5"/>
  <c r="B262" i="5"/>
  <c r="L261" i="5"/>
  <c r="F261" i="5"/>
  <c r="C261" i="5"/>
  <c r="D261" i="5" s="1"/>
  <c r="B261" i="5"/>
  <c r="L260" i="5"/>
  <c r="F260" i="5"/>
  <c r="C260" i="5"/>
  <c r="B260" i="5"/>
  <c r="D260" i="5" s="1"/>
  <c r="L259" i="5"/>
  <c r="F259" i="5"/>
  <c r="C259" i="5"/>
  <c r="D259" i="5" s="1"/>
  <c r="B259" i="5"/>
  <c r="L258" i="5"/>
  <c r="F258" i="5"/>
  <c r="D258" i="5"/>
  <c r="C258" i="5"/>
  <c r="B258" i="5"/>
  <c r="L257" i="5"/>
  <c r="F257" i="5"/>
  <c r="C257" i="5"/>
  <c r="D257" i="5" s="1"/>
  <c r="B257" i="5"/>
  <c r="L256" i="5"/>
  <c r="F256" i="5"/>
  <c r="C256" i="5"/>
  <c r="B256" i="5"/>
  <c r="D256" i="5" s="1"/>
  <c r="L255" i="5"/>
  <c r="F255" i="5"/>
  <c r="C255" i="5"/>
  <c r="D255" i="5" s="1"/>
  <c r="B255" i="5"/>
  <c r="L254" i="5"/>
  <c r="F254" i="5"/>
  <c r="D254" i="5"/>
  <c r="C254" i="5"/>
  <c r="B254" i="5"/>
  <c r="L253" i="5"/>
  <c r="F253" i="5"/>
  <c r="C253" i="5"/>
  <c r="D253" i="5" s="1"/>
  <c r="B253" i="5"/>
  <c r="L252" i="5"/>
  <c r="F252" i="5"/>
  <c r="C252" i="5"/>
  <c r="B252" i="5"/>
  <c r="D252" i="5" s="1"/>
  <c r="L251" i="5"/>
  <c r="F251" i="5"/>
  <c r="C251" i="5"/>
  <c r="D251" i="5" s="1"/>
  <c r="B251" i="5"/>
  <c r="L250" i="5"/>
  <c r="F250" i="5"/>
  <c r="D250" i="5"/>
  <c r="C250" i="5"/>
  <c r="B250" i="5"/>
  <c r="L249" i="5"/>
  <c r="F249" i="5"/>
  <c r="C249" i="5"/>
  <c r="D249" i="5" s="1"/>
  <c r="B249" i="5"/>
  <c r="L248" i="5"/>
  <c r="F248" i="5"/>
  <c r="C248" i="5"/>
  <c r="B248" i="5"/>
  <c r="D248" i="5" s="1"/>
  <c r="L247" i="5"/>
  <c r="F247" i="5"/>
  <c r="C247" i="5"/>
  <c r="D247" i="5" s="1"/>
  <c r="B247" i="5"/>
  <c r="L246" i="5"/>
  <c r="F246" i="5"/>
  <c r="D246" i="5"/>
  <c r="C246" i="5"/>
  <c r="B246" i="5"/>
  <c r="L245" i="5"/>
  <c r="F245" i="5"/>
  <c r="C245" i="5"/>
  <c r="D245" i="5" s="1"/>
  <c r="B245" i="5"/>
  <c r="L244" i="5"/>
  <c r="F244" i="5"/>
  <c r="C244" i="5"/>
  <c r="B244" i="5"/>
  <c r="D244" i="5" s="1"/>
  <c r="L243" i="5"/>
  <c r="F243" i="5"/>
  <c r="C243" i="5"/>
  <c r="D243" i="5" s="1"/>
  <c r="B243" i="5"/>
  <c r="L242" i="5"/>
  <c r="F242" i="5"/>
  <c r="D242" i="5"/>
  <c r="C242" i="5"/>
  <c r="B242" i="5"/>
  <c r="L241" i="5"/>
  <c r="F241" i="5"/>
  <c r="C241" i="5"/>
  <c r="D241" i="5" s="1"/>
  <c r="B241" i="5"/>
  <c r="L240" i="5"/>
  <c r="F240" i="5"/>
  <c r="C240" i="5"/>
  <c r="B240" i="5"/>
  <c r="D240" i="5" s="1"/>
  <c r="L239" i="5"/>
  <c r="F239" i="5"/>
  <c r="C239" i="5"/>
  <c r="D239" i="5" s="1"/>
  <c r="B239" i="5"/>
  <c r="L238" i="5"/>
  <c r="F238" i="5"/>
  <c r="D238" i="5"/>
  <c r="C238" i="5"/>
  <c r="B238" i="5"/>
  <c r="L237" i="5"/>
  <c r="F237" i="5"/>
  <c r="C237" i="5"/>
  <c r="D237" i="5" s="1"/>
  <c r="B237" i="5"/>
  <c r="L236" i="5"/>
  <c r="F236" i="5"/>
  <c r="C236" i="5"/>
  <c r="B236" i="5"/>
  <c r="D236" i="5" s="1"/>
  <c r="L235" i="5"/>
  <c r="F235" i="5"/>
  <c r="C235" i="5"/>
  <c r="D235" i="5" s="1"/>
  <c r="B235" i="5"/>
  <c r="L234" i="5"/>
  <c r="F234" i="5"/>
  <c r="D234" i="5"/>
  <c r="C234" i="5"/>
  <c r="B234" i="5"/>
  <c r="L233" i="5"/>
  <c r="F233" i="5"/>
  <c r="C233" i="5"/>
  <c r="D233" i="5" s="1"/>
  <c r="B233" i="5"/>
  <c r="L232" i="5"/>
  <c r="F232" i="5"/>
  <c r="C232" i="5"/>
  <c r="B232" i="5"/>
  <c r="D232" i="5" s="1"/>
  <c r="L231" i="5"/>
  <c r="F231" i="5"/>
  <c r="C231" i="5"/>
  <c r="D231" i="5" s="1"/>
  <c r="B231" i="5"/>
  <c r="L230" i="5"/>
  <c r="F230" i="5"/>
  <c r="D230" i="5"/>
  <c r="C230" i="5"/>
  <c r="B230" i="5"/>
  <c r="L229" i="5"/>
  <c r="F229" i="5"/>
  <c r="C229" i="5"/>
  <c r="D229" i="5" s="1"/>
  <c r="B229" i="5"/>
  <c r="L228" i="5"/>
  <c r="F228" i="5"/>
  <c r="C228" i="5"/>
  <c r="B228" i="5"/>
  <c r="D228" i="5" s="1"/>
  <c r="L227" i="5"/>
  <c r="F227" i="5"/>
  <c r="C227" i="5"/>
  <c r="D227" i="5" s="1"/>
  <c r="B227" i="5"/>
  <c r="L226" i="5"/>
  <c r="F226" i="5"/>
  <c r="D226" i="5"/>
  <c r="C226" i="5"/>
  <c r="B226" i="5"/>
  <c r="L225" i="5"/>
  <c r="F225" i="5"/>
  <c r="C225" i="5"/>
  <c r="D225" i="5" s="1"/>
  <c r="B225" i="5"/>
  <c r="L224" i="5"/>
  <c r="F224" i="5"/>
  <c r="C224" i="5"/>
  <c r="B224" i="5"/>
  <c r="D224" i="5" s="1"/>
  <c r="L223" i="5"/>
  <c r="F223" i="5"/>
  <c r="C223" i="5"/>
  <c r="D223" i="5" s="1"/>
  <c r="B223" i="5"/>
  <c r="L222" i="5"/>
  <c r="F222" i="5"/>
  <c r="D222" i="5"/>
  <c r="C222" i="5"/>
  <c r="B222" i="5"/>
  <c r="L221" i="5"/>
  <c r="F221" i="5"/>
  <c r="C221" i="5"/>
  <c r="D221" i="5" s="1"/>
  <c r="B221" i="5"/>
  <c r="L220" i="5"/>
  <c r="F220" i="5"/>
  <c r="C220" i="5"/>
  <c r="B220" i="5"/>
  <c r="D220" i="5" s="1"/>
  <c r="L219" i="5"/>
  <c r="F219" i="5"/>
  <c r="C219" i="5"/>
  <c r="D219" i="5" s="1"/>
  <c r="B219" i="5"/>
  <c r="L218" i="5"/>
  <c r="F218" i="5"/>
  <c r="D218" i="5"/>
  <c r="C218" i="5"/>
  <c r="B218" i="5"/>
  <c r="L217" i="5"/>
  <c r="F217" i="5"/>
  <c r="C217" i="5"/>
  <c r="D217" i="5" s="1"/>
  <c r="B217" i="5"/>
  <c r="L216" i="5"/>
  <c r="F216" i="5"/>
  <c r="C216" i="5"/>
  <c r="B216" i="5"/>
  <c r="D216" i="5" s="1"/>
  <c r="L215" i="5"/>
  <c r="F215" i="5"/>
  <c r="C215" i="5"/>
  <c r="D215" i="5" s="1"/>
  <c r="B215" i="5"/>
  <c r="L214" i="5"/>
  <c r="F214" i="5"/>
  <c r="D214" i="5"/>
  <c r="C214" i="5"/>
  <c r="B214" i="5"/>
  <c r="L213" i="5"/>
  <c r="F213" i="5"/>
  <c r="C213" i="5"/>
  <c r="D213" i="5" s="1"/>
  <c r="B213" i="5"/>
  <c r="L212" i="5"/>
  <c r="F212" i="5"/>
  <c r="C212" i="5"/>
  <c r="B212" i="5"/>
  <c r="D212" i="5" s="1"/>
  <c r="L211" i="5"/>
  <c r="F211" i="5"/>
  <c r="C211" i="5"/>
  <c r="D211" i="5" s="1"/>
  <c r="B211" i="5"/>
  <c r="L210" i="5"/>
  <c r="F210" i="5"/>
  <c r="D210" i="5"/>
  <c r="C210" i="5"/>
  <c r="B210" i="5"/>
  <c r="L209" i="5"/>
  <c r="F209" i="5"/>
  <c r="C209" i="5"/>
  <c r="D209" i="5" s="1"/>
  <c r="B209" i="5"/>
  <c r="L208" i="5"/>
  <c r="F208" i="5"/>
  <c r="C208" i="5"/>
  <c r="B208" i="5"/>
  <c r="D208" i="5" s="1"/>
  <c r="L207" i="5"/>
  <c r="F207" i="5"/>
  <c r="C207" i="5"/>
  <c r="D207" i="5" s="1"/>
  <c r="B207" i="5"/>
  <c r="L206" i="5"/>
  <c r="F206" i="5"/>
  <c r="D206" i="5"/>
  <c r="C206" i="5"/>
  <c r="B206" i="5"/>
  <c r="L205" i="5"/>
  <c r="F205" i="5"/>
  <c r="C205" i="5"/>
  <c r="D205" i="5" s="1"/>
  <c r="B205" i="5"/>
  <c r="L204" i="5"/>
  <c r="F204" i="5"/>
  <c r="C204" i="5"/>
  <c r="B204" i="5"/>
  <c r="D204" i="5" s="1"/>
  <c r="L203" i="5"/>
  <c r="F203" i="5"/>
  <c r="C203" i="5"/>
  <c r="D203" i="5" s="1"/>
  <c r="B203" i="5"/>
  <c r="L202" i="5"/>
  <c r="F202" i="5"/>
  <c r="D202" i="5"/>
  <c r="C202" i="5"/>
  <c r="B202" i="5"/>
  <c r="L201" i="5"/>
  <c r="F201" i="5"/>
  <c r="C201" i="5"/>
  <c r="D201" i="5" s="1"/>
  <c r="B201" i="5"/>
  <c r="L200" i="5"/>
  <c r="F200" i="5"/>
  <c r="C200" i="5"/>
  <c r="B200" i="5"/>
  <c r="D200" i="5" s="1"/>
  <c r="L199" i="5"/>
  <c r="F199" i="5"/>
  <c r="C199" i="5"/>
  <c r="D199" i="5" s="1"/>
  <c r="B199" i="5"/>
  <c r="L198" i="5"/>
  <c r="F198" i="5"/>
  <c r="D198" i="5"/>
  <c r="C198" i="5"/>
  <c r="B198" i="5"/>
  <c r="L197" i="5"/>
  <c r="F197" i="5"/>
  <c r="C197" i="5"/>
  <c r="D197" i="5" s="1"/>
  <c r="B197" i="5"/>
  <c r="L196" i="5"/>
  <c r="F196" i="5"/>
  <c r="C196" i="5"/>
  <c r="B196" i="5"/>
  <c r="D196" i="5" s="1"/>
  <c r="L195" i="5"/>
  <c r="F195" i="5"/>
  <c r="C195" i="5"/>
  <c r="D195" i="5" s="1"/>
  <c r="B195" i="5"/>
  <c r="L194" i="5"/>
  <c r="F194" i="5"/>
  <c r="D194" i="5"/>
  <c r="C194" i="5"/>
  <c r="B194" i="5"/>
  <c r="L193" i="5"/>
  <c r="F193" i="5"/>
  <c r="C193" i="5"/>
  <c r="D193" i="5" s="1"/>
  <c r="B193" i="5"/>
  <c r="L192" i="5"/>
  <c r="F192" i="5"/>
  <c r="C192" i="5"/>
  <c r="B192" i="5"/>
  <c r="D192" i="5" s="1"/>
  <c r="L191" i="5"/>
  <c r="F191" i="5"/>
  <c r="C191" i="5"/>
  <c r="D191" i="5" s="1"/>
  <c r="B191" i="5"/>
  <c r="L190" i="5"/>
  <c r="F190" i="5"/>
  <c r="D190" i="5"/>
  <c r="C190" i="5"/>
  <c r="B190" i="5"/>
  <c r="L189" i="5"/>
  <c r="F189" i="5"/>
  <c r="C189" i="5"/>
  <c r="D189" i="5" s="1"/>
  <c r="B189" i="5"/>
  <c r="L188" i="5"/>
  <c r="F188" i="5"/>
  <c r="C188" i="5"/>
  <c r="B188" i="5"/>
  <c r="D188" i="5" s="1"/>
  <c r="L187" i="5"/>
  <c r="F187" i="5"/>
  <c r="C187" i="5"/>
  <c r="D187" i="5" s="1"/>
  <c r="B187" i="5"/>
  <c r="L186" i="5"/>
  <c r="F186" i="5"/>
  <c r="D186" i="5"/>
  <c r="C186" i="5"/>
  <c r="B186" i="5"/>
  <c r="L185" i="5"/>
  <c r="F185" i="5"/>
  <c r="C185" i="5"/>
  <c r="D185" i="5" s="1"/>
  <c r="B185" i="5"/>
  <c r="L184" i="5"/>
  <c r="F184" i="5"/>
  <c r="C184" i="5"/>
  <c r="B184" i="5"/>
  <c r="D184" i="5" s="1"/>
  <c r="L183" i="5"/>
  <c r="F183" i="5"/>
  <c r="C183" i="5"/>
  <c r="D183" i="5" s="1"/>
  <c r="B183" i="5"/>
  <c r="L182" i="5"/>
  <c r="F182" i="5"/>
  <c r="D182" i="5"/>
  <c r="C182" i="5"/>
  <c r="B182" i="5"/>
  <c r="L181" i="5"/>
  <c r="F181" i="5"/>
  <c r="C181" i="5"/>
  <c r="D181" i="5" s="1"/>
  <c r="B181" i="5"/>
  <c r="L180" i="5"/>
  <c r="F180" i="5"/>
  <c r="C180" i="5"/>
  <c r="B180" i="5"/>
  <c r="D180" i="5" s="1"/>
  <c r="L179" i="5"/>
  <c r="F179" i="5"/>
  <c r="C179" i="5"/>
  <c r="D179" i="5" s="1"/>
  <c r="B179" i="5"/>
  <c r="L178" i="5"/>
  <c r="F178" i="5"/>
  <c r="D178" i="5"/>
  <c r="C178" i="5"/>
  <c r="B178" i="5"/>
  <c r="L177" i="5"/>
  <c r="F177" i="5"/>
  <c r="C177" i="5"/>
  <c r="D177" i="5" s="1"/>
  <c r="B177" i="5"/>
  <c r="L176" i="5"/>
  <c r="F176" i="5"/>
  <c r="C176" i="5"/>
  <c r="B176" i="5"/>
  <c r="D176" i="5" s="1"/>
  <c r="L175" i="5"/>
  <c r="F175" i="5"/>
  <c r="C175" i="5"/>
  <c r="D175" i="5" s="1"/>
  <c r="B175" i="5"/>
  <c r="L174" i="5"/>
  <c r="F174" i="5"/>
  <c r="D174" i="5"/>
  <c r="C174" i="5"/>
  <c r="B174" i="5"/>
  <c r="L173" i="5"/>
  <c r="F173" i="5"/>
  <c r="C173" i="5"/>
  <c r="D173" i="5" s="1"/>
  <c r="B173" i="5"/>
  <c r="L172" i="5"/>
  <c r="F172" i="5"/>
  <c r="C172" i="5"/>
  <c r="B172" i="5"/>
  <c r="D172" i="5" s="1"/>
  <c r="L171" i="5"/>
  <c r="F171" i="5"/>
  <c r="C171" i="5"/>
  <c r="D171" i="5" s="1"/>
  <c r="B171" i="5"/>
  <c r="L170" i="5"/>
  <c r="F170" i="5"/>
  <c r="D170" i="5"/>
  <c r="C170" i="5"/>
  <c r="B170" i="5"/>
  <c r="L169" i="5"/>
  <c r="F169" i="5"/>
  <c r="C169" i="5"/>
  <c r="D169" i="5" s="1"/>
  <c r="B169" i="5"/>
  <c r="L168" i="5"/>
  <c r="F168" i="5"/>
  <c r="C168" i="5"/>
  <c r="B168" i="5"/>
  <c r="D168" i="5" s="1"/>
  <c r="L167" i="5"/>
  <c r="F167" i="5"/>
  <c r="C167" i="5"/>
  <c r="D167" i="5" s="1"/>
  <c r="B167" i="5"/>
  <c r="L166" i="5"/>
  <c r="F166" i="5"/>
  <c r="D166" i="5"/>
  <c r="C166" i="5"/>
  <c r="B166" i="5"/>
  <c r="L165" i="5"/>
  <c r="F165" i="5"/>
  <c r="C165" i="5"/>
  <c r="D165" i="5" s="1"/>
  <c r="B165" i="5"/>
  <c r="L164" i="5"/>
  <c r="F164" i="5"/>
  <c r="C164" i="5"/>
  <c r="B164" i="5"/>
  <c r="D164" i="5" s="1"/>
  <c r="L163" i="5"/>
  <c r="F163" i="5"/>
  <c r="C163" i="5"/>
  <c r="D163" i="5" s="1"/>
  <c r="B163" i="5"/>
  <c r="L162" i="5"/>
  <c r="F162" i="5"/>
  <c r="D162" i="5"/>
  <c r="C162" i="5"/>
  <c r="B162" i="5"/>
  <c r="L161" i="5"/>
  <c r="F161" i="5"/>
  <c r="C161" i="5"/>
  <c r="D161" i="5" s="1"/>
  <c r="B161" i="5"/>
  <c r="L160" i="5"/>
  <c r="F160" i="5"/>
  <c r="C160" i="5"/>
  <c r="B160" i="5"/>
  <c r="D160" i="5" s="1"/>
  <c r="L159" i="5"/>
  <c r="F159" i="5"/>
  <c r="C159" i="5"/>
  <c r="D159" i="5" s="1"/>
  <c r="B159" i="5"/>
  <c r="L158" i="5"/>
  <c r="F158" i="5"/>
  <c r="D158" i="5"/>
  <c r="C158" i="5"/>
  <c r="B158" i="5"/>
  <c r="L157" i="5"/>
  <c r="F157" i="5"/>
  <c r="C157" i="5"/>
  <c r="D157" i="5" s="1"/>
  <c r="B157" i="5"/>
  <c r="L156" i="5"/>
  <c r="F156" i="5"/>
  <c r="C156" i="5"/>
  <c r="B156" i="5"/>
  <c r="D156" i="5" s="1"/>
  <c r="L155" i="5"/>
  <c r="F155" i="5"/>
  <c r="C155" i="5"/>
  <c r="D155" i="5" s="1"/>
  <c r="B155" i="5"/>
  <c r="L154" i="5"/>
  <c r="F154" i="5"/>
  <c r="D154" i="5"/>
  <c r="C154" i="5"/>
  <c r="B154" i="5"/>
  <c r="L153" i="5"/>
  <c r="F153" i="5"/>
  <c r="C153" i="5"/>
  <c r="D153" i="5" s="1"/>
  <c r="B153" i="5"/>
  <c r="L152" i="5"/>
  <c r="F152" i="5"/>
  <c r="C152" i="5"/>
  <c r="B152" i="5"/>
  <c r="D152" i="5" s="1"/>
  <c r="L151" i="5"/>
  <c r="F151" i="5"/>
  <c r="C151" i="5"/>
  <c r="D151" i="5" s="1"/>
  <c r="B151" i="5"/>
  <c r="L150" i="5"/>
  <c r="F150" i="5"/>
  <c r="D150" i="5"/>
  <c r="C150" i="5"/>
  <c r="B150" i="5"/>
  <c r="L149" i="5"/>
  <c r="F149" i="5"/>
  <c r="C149" i="5"/>
  <c r="D149" i="5" s="1"/>
  <c r="B149" i="5"/>
  <c r="L148" i="5"/>
  <c r="F148" i="5"/>
  <c r="C148" i="5"/>
  <c r="B148" i="5"/>
  <c r="D148" i="5" s="1"/>
  <c r="L147" i="5"/>
  <c r="F147" i="5"/>
  <c r="C147" i="5"/>
  <c r="D147" i="5" s="1"/>
  <c r="B147" i="5"/>
  <c r="L146" i="5"/>
  <c r="F146" i="5"/>
  <c r="D146" i="5"/>
  <c r="C146" i="5"/>
  <c r="B146" i="5"/>
  <c r="L145" i="5"/>
  <c r="F145" i="5"/>
  <c r="C145" i="5"/>
  <c r="D145" i="5" s="1"/>
  <c r="B145" i="5"/>
  <c r="L144" i="5"/>
  <c r="F144" i="5"/>
  <c r="C144" i="5"/>
  <c r="B144" i="5"/>
  <c r="D144" i="5" s="1"/>
  <c r="L143" i="5"/>
  <c r="F143" i="5"/>
  <c r="C143" i="5"/>
  <c r="D143" i="5" s="1"/>
  <c r="B143" i="5"/>
  <c r="L142" i="5"/>
  <c r="F142" i="5"/>
  <c r="D142" i="5"/>
  <c r="C142" i="5"/>
  <c r="B142" i="5"/>
  <c r="L141" i="5"/>
  <c r="F141" i="5"/>
  <c r="C141" i="5"/>
  <c r="D141" i="5" s="1"/>
  <c r="B141" i="5"/>
  <c r="L140" i="5"/>
  <c r="F140" i="5"/>
  <c r="C140" i="5"/>
  <c r="B140" i="5"/>
  <c r="D140" i="5" s="1"/>
  <c r="L139" i="5"/>
  <c r="F139" i="5"/>
  <c r="C139" i="5"/>
  <c r="D139" i="5" s="1"/>
  <c r="B139" i="5"/>
  <c r="L138" i="5"/>
  <c r="F138" i="5"/>
  <c r="D138" i="5"/>
  <c r="C138" i="5"/>
  <c r="B138" i="5"/>
  <c r="L137" i="5"/>
  <c r="F137" i="5"/>
  <c r="C137" i="5"/>
  <c r="D137" i="5" s="1"/>
  <c r="B137" i="5"/>
  <c r="L136" i="5"/>
  <c r="F136" i="5"/>
  <c r="C136" i="5"/>
  <c r="B136" i="5"/>
  <c r="D136" i="5" s="1"/>
  <c r="L135" i="5"/>
  <c r="F135" i="5"/>
  <c r="C135" i="5"/>
  <c r="D135" i="5" s="1"/>
  <c r="B135" i="5"/>
  <c r="L134" i="5"/>
  <c r="F134" i="5"/>
  <c r="D134" i="5"/>
  <c r="C134" i="5"/>
  <c r="B134" i="5"/>
  <c r="L133" i="5"/>
  <c r="F133" i="5"/>
  <c r="C133" i="5"/>
  <c r="D133" i="5" s="1"/>
  <c r="B133" i="5"/>
  <c r="L132" i="5"/>
  <c r="F132" i="5"/>
  <c r="C132" i="5"/>
  <c r="B132" i="5"/>
  <c r="D132" i="5" s="1"/>
  <c r="L131" i="5"/>
  <c r="F131" i="5"/>
  <c r="C131" i="5"/>
  <c r="D131" i="5" s="1"/>
  <c r="B131" i="5"/>
  <c r="L130" i="5"/>
  <c r="F130" i="5"/>
  <c r="D130" i="5"/>
  <c r="C130" i="5"/>
  <c r="B130" i="5"/>
  <c r="L129" i="5"/>
  <c r="F129" i="5"/>
  <c r="C129" i="5"/>
  <c r="D129" i="5" s="1"/>
  <c r="B129" i="5"/>
  <c r="L128" i="5"/>
  <c r="F128" i="5"/>
  <c r="C128" i="5"/>
  <c r="B128" i="5"/>
  <c r="D128" i="5" s="1"/>
  <c r="L127" i="5"/>
  <c r="F127" i="5"/>
  <c r="C127" i="5"/>
  <c r="D127" i="5" s="1"/>
  <c r="B127" i="5"/>
  <c r="L126" i="5"/>
  <c r="F126" i="5"/>
  <c r="D126" i="5"/>
  <c r="C126" i="5"/>
  <c r="B126" i="5"/>
  <c r="L125" i="5"/>
  <c r="F125" i="5"/>
  <c r="C125" i="5"/>
  <c r="D125" i="5" s="1"/>
  <c r="B125" i="5"/>
  <c r="L124" i="5"/>
  <c r="F124" i="5"/>
  <c r="C124" i="5"/>
  <c r="B124" i="5"/>
  <c r="D124" i="5" s="1"/>
  <c r="L123" i="5"/>
  <c r="F123" i="5"/>
  <c r="C123" i="5"/>
  <c r="D123" i="5" s="1"/>
  <c r="B123" i="5"/>
  <c r="L122" i="5"/>
  <c r="F122" i="5"/>
  <c r="D122" i="5"/>
  <c r="C122" i="5"/>
  <c r="B122" i="5"/>
  <c r="L121" i="5"/>
  <c r="F121" i="5"/>
  <c r="C121" i="5"/>
  <c r="D121" i="5" s="1"/>
  <c r="B121" i="5"/>
  <c r="L120" i="5"/>
  <c r="F120" i="5"/>
  <c r="C120" i="5"/>
  <c r="B120" i="5"/>
  <c r="D120" i="5" s="1"/>
  <c r="L119" i="5"/>
  <c r="F119" i="5"/>
  <c r="C119" i="5"/>
  <c r="D119" i="5" s="1"/>
  <c r="B119" i="5"/>
  <c r="L118" i="5"/>
  <c r="F118" i="5"/>
  <c r="D118" i="5"/>
  <c r="C118" i="5"/>
  <c r="B118" i="5"/>
  <c r="L117" i="5"/>
  <c r="F117" i="5"/>
  <c r="C117" i="5"/>
  <c r="D117" i="5" s="1"/>
  <c r="B117" i="5"/>
  <c r="L116" i="5"/>
  <c r="F116" i="5"/>
  <c r="C116" i="5"/>
  <c r="B116" i="5"/>
  <c r="D116" i="5" s="1"/>
  <c r="L115" i="5"/>
  <c r="F115" i="5"/>
  <c r="C115" i="5"/>
  <c r="D115" i="5" s="1"/>
  <c r="B115" i="5"/>
  <c r="L114" i="5"/>
  <c r="F114" i="5"/>
  <c r="D114" i="5"/>
  <c r="C114" i="5"/>
  <c r="B114" i="5"/>
  <c r="L113" i="5"/>
  <c r="F113" i="5"/>
  <c r="C113" i="5"/>
  <c r="D113" i="5" s="1"/>
  <c r="B113" i="5"/>
  <c r="L112" i="5"/>
  <c r="F112" i="5"/>
  <c r="C112" i="5"/>
  <c r="B112" i="5"/>
  <c r="D112" i="5" s="1"/>
  <c r="L111" i="5"/>
  <c r="F111" i="5"/>
  <c r="C111" i="5"/>
  <c r="D111" i="5" s="1"/>
  <c r="B111" i="5"/>
  <c r="L110" i="5"/>
  <c r="F110" i="5"/>
  <c r="C110" i="5"/>
  <c r="B110" i="5"/>
  <c r="D110" i="5" s="1"/>
  <c r="L109" i="5"/>
  <c r="F109" i="5"/>
  <c r="C109" i="5"/>
  <c r="D109" i="5" s="1"/>
  <c r="B109" i="5"/>
  <c r="L108" i="5"/>
  <c r="F108" i="5"/>
  <c r="D108" i="5"/>
  <c r="C108" i="5"/>
  <c r="B108" i="5"/>
  <c r="L107" i="5"/>
  <c r="F107" i="5"/>
  <c r="C107" i="5"/>
  <c r="D107" i="5" s="1"/>
  <c r="B107" i="5"/>
  <c r="L106" i="5"/>
  <c r="F106" i="5"/>
  <c r="D106" i="5"/>
  <c r="C106" i="5"/>
  <c r="B106" i="5"/>
  <c r="L105" i="5"/>
  <c r="F105" i="5"/>
  <c r="C105" i="5"/>
  <c r="D105" i="5" s="1"/>
  <c r="B105" i="5"/>
  <c r="L104" i="5"/>
  <c r="F104" i="5"/>
  <c r="C104" i="5"/>
  <c r="B104" i="5"/>
  <c r="D104" i="5" s="1"/>
  <c r="L103" i="5"/>
  <c r="F103" i="5"/>
  <c r="C103" i="5"/>
  <c r="D103" i="5" s="1"/>
  <c r="B103" i="5"/>
  <c r="L102" i="5"/>
  <c r="F102" i="5"/>
  <c r="C102" i="5"/>
  <c r="B102" i="5"/>
  <c r="D102" i="5" s="1"/>
  <c r="L101" i="5"/>
  <c r="F101" i="5"/>
  <c r="C101" i="5"/>
  <c r="D101" i="5" s="1"/>
  <c r="B101" i="5"/>
  <c r="L100" i="5"/>
  <c r="F100" i="5"/>
  <c r="D100" i="5"/>
  <c r="C100" i="5"/>
  <c r="B100" i="5"/>
  <c r="L99" i="5"/>
  <c r="F99" i="5"/>
  <c r="C99" i="5"/>
  <c r="D99" i="5" s="1"/>
  <c r="B99" i="5"/>
  <c r="L98" i="5"/>
  <c r="F98" i="5"/>
  <c r="D98" i="5"/>
  <c r="C98" i="5"/>
  <c r="B98" i="5"/>
  <c r="L97" i="5"/>
  <c r="F97" i="5"/>
  <c r="C97" i="5"/>
  <c r="D97" i="5" s="1"/>
  <c r="B97" i="5"/>
  <c r="L96" i="5"/>
  <c r="F96" i="5"/>
  <c r="C96" i="5"/>
  <c r="B96" i="5"/>
  <c r="D96" i="5" s="1"/>
  <c r="L95" i="5"/>
  <c r="F95" i="5"/>
  <c r="C95" i="5"/>
  <c r="D95" i="5" s="1"/>
  <c r="B95" i="5"/>
  <c r="L94" i="5"/>
  <c r="F94" i="5"/>
  <c r="C94" i="5"/>
  <c r="B94" i="5"/>
  <c r="D94" i="5" s="1"/>
  <c r="L93" i="5"/>
  <c r="F93" i="5"/>
  <c r="C93" i="5"/>
  <c r="D93" i="5" s="1"/>
  <c r="B93" i="5"/>
  <c r="L92" i="5"/>
  <c r="F92" i="5"/>
  <c r="D92" i="5"/>
  <c r="C92" i="5"/>
  <c r="B92" i="5"/>
  <c r="L91" i="5"/>
  <c r="F91" i="5"/>
  <c r="C91" i="5"/>
  <c r="D91" i="5" s="1"/>
  <c r="B91" i="5"/>
  <c r="L90" i="5"/>
  <c r="F90" i="5"/>
  <c r="D90" i="5"/>
  <c r="C90" i="5"/>
  <c r="B90" i="5"/>
  <c r="L89" i="5"/>
  <c r="F89" i="5"/>
  <c r="C89" i="5"/>
  <c r="D89" i="5" s="1"/>
  <c r="B89" i="5"/>
  <c r="L88" i="5"/>
  <c r="F88" i="5"/>
  <c r="C88" i="5"/>
  <c r="B88" i="5"/>
  <c r="D88" i="5" s="1"/>
  <c r="L87" i="5"/>
  <c r="F87" i="5"/>
  <c r="C87" i="5"/>
  <c r="D87" i="5" s="1"/>
  <c r="B87" i="5"/>
  <c r="L86" i="5"/>
  <c r="F86" i="5"/>
  <c r="C86" i="5"/>
  <c r="B86" i="5"/>
  <c r="D86" i="5" s="1"/>
  <c r="L85" i="5"/>
  <c r="F85" i="5"/>
  <c r="C85" i="5"/>
  <c r="D85" i="5" s="1"/>
  <c r="B85" i="5"/>
  <c r="L84" i="5"/>
  <c r="F84" i="5"/>
  <c r="D84" i="5"/>
  <c r="C84" i="5"/>
  <c r="B84" i="5"/>
  <c r="L83" i="5"/>
  <c r="F83" i="5"/>
  <c r="C83" i="5"/>
  <c r="D83" i="5" s="1"/>
  <c r="B83" i="5"/>
  <c r="L82" i="5"/>
  <c r="F82" i="5"/>
  <c r="D82" i="5"/>
  <c r="C82" i="5"/>
  <c r="B82" i="5"/>
  <c r="L81" i="5"/>
  <c r="F81" i="5"/>
  <c r="C81" i="5"/>
  <c r="D81" i="5" s="1"/>
  <c r="B81" i="5"/>
  <c r="L80" i="5"/>
  <c r="F80" i="5"/>
  <c r="C80" i="5"/>
  <c r="B80" i="5"/>
  <c r="D80" i="5" s="1"/>
  <c r="L79" i="5"/>
  <c r="F79" i="5"/>
  <c r="C79" i="5"/>
  <c r="D79" i="5" s="1"/>
  <c r="B79" i="5"/>
  <c r="L78" i="5"/>
  <c r="F78" i="5"/>
  <c r="C78" i="5"/>
  <c r="B78" i="5"/>
  <c r="D78" i="5" s="1"/>
  <c r="L77" i="5"/>
  <c r="F77" i="5"/>
  <c r="C77" i="5"/>
  <c r="D77" i="5" s="1"/>
  <c r="B77" i="5"/>
  <c r="L76" i="5"/>
  <c r="F76" i="5"/>
  <c r="D76" i="5"/>
  <c r="C76" i="5"/>
  <c r="B76" i="5"/>
  <c r="L75" i="5"/>
  <c r="F75" i="5"/>
  <c r="C75" i="5"/>
  <c r="D75" i="5" s="1"/>
  <c r="B75" i="5"/>
  <c r="L74" i="5"/>
  <c r="F74" i="5"/>
  <c r="D74" i="5"/>
  <c r="C74" i="5"/>
  <c r="B74" i="5"/>
  <c r="L73" i="5"/>
  <c r="F73" i="5"/>
  <c r="C73" i="5"/>
  <c r="D73" i="5" s="1"/>
  <c r="B73" i="5"/>
  <c r="L72" i="5"/>
  <c r="F72" i="5"/>
  <c r="C72" i="5"/>
  <c r="B72" i="5"/>
  <c r="D72" i="5" s="1"/>
  <c r="L71" i="5"/>
  <c r="F71" i="5"/>
  <c r="C71" i="5"/>
  <c r="D71" i="5" s="1"/>
  <c r="B71" i="5"/>
  <c r="L70" i="5"/>
  <c r="F70" i="5"/>
  <c r="C70" i="5"/>
  <c r="B70" i="5"/>
  <c r="D70" i="5" s="1"/>
  <c r="L69" i="5"/>
  <c r="F69" i="5"/>
  <c r="C69" i="5"/>
  <c r="D69" i="5" s="1"/>
  <c r="B69" i="5"/>
  <c r="L68" i="5"/>
  <c r="F68" i="5"/>
  <c r="D68" i="5"/>
  <c r="C68" i="5"/>
  <c r="B68" i="5"/>
  <c r="L67" i="5"/>
  <c r="F67" i="5"/>
  <c r="C67" i="5"/>
  <c r="D67" i="5" s="1"/>
  <c r="B67" i="5"/>
  <c r="L66" i="5"/>
  <c r="F66" i="5"/>
  <c r="D66" i="5"/>
  <c r="C66" i="5"/>
  <c r="B66" i="5"/>
  <c r="L65" i="5"/>
  <c r="F65" i="5"/>
  <c r="C65" i="5"/>
  <c r="D65" i="5" s="1"/>
  <c r="B65" i="5"/>
  <c r="L64" i="5"/>
  <c r="F64" i="5"/>
  <c r="C64" i="5"/>
  <c r="B64" i="5"/>
  <c r="D64" i="5" s="1"/>
  <c r="L63" i="5"/>
  <c r="F63" i="5"/>
  <c r="C63" i="5"/>
  <c r="D63" i="5" s="1"/>
  <c r="B63" i="5"/>
  <c r="L62" i="5"/>
  <c r="F62" i="5"/>
  <c r="C62" i="5"/>
  <c r="B62" i="5"/>
  <c r="D62" i="5" s="1"/>
  <c r="L61" i="5"/>
  <c r="F61" i="5"/>
  <c r="C61" i="5"/>
  <c r="D61" i="5" s="1"/>
  <c r="B61" i="5"/>
  <c r="L60" i="5"/>
  <c r="F60" i="5"/>
  <c r="D60" i="5"/>
  <c r="C60" i="5"/>
  <c r="B60" i="5"/>
  <c r="L59" i="5"/>
  <c r="F59" i="5"/>
  <c r="D59" i="5"/>
  <c r="C59" i="5"/>
  <c r="B59" i="5"/>
  <c r="L58" i="5"/>
  <c r="F58" i="5"/>
  <c r="C58" i="5"/>
  <c r="B58" i="5"/>
  <c r="D58" i="5" s="1"/>
  <c r="L57" i="5"/>
  <c r="F57" i="5"/>
  <c r="C57" i="5"/>
  <c r="D57" i="5" s="1"/>
  <c r="B57" i="5"/>
  <c r="L56" i="5"/>
  <c r="F56" i="5"/>
  <c r="D56" i="5"/>
  <c r="C56" i="5"/>
  <c r="B56" i="5"/>
  <c r="L55" i="5"/>
  <c r="F55" i="5"/>
  <c r="D55" i="5"/>
  <c r="C55" i="5"/>
  <c r="B55" i="5"/>
  <c r="L54" i="5"/>
  <c r="F54" i="5"/>
  <c r="C54" i="5"/>
  <c r="B54" i="5"/>
  <c r="D54" i="5" s="1"/>
  <c r="L53" i="5"/>
  <c r="F53" i="5"/>
  <c r="C53" i="5"/>
  <c r="D53" i="5" s="1"/>
  <c r="B53" i="5"/>
  <c r="L52" i="5"/>
  <c r="F52" i="5"/>
  <c r="D52" i="5"/>
  <c r="C52" i="5"/>
  <c r="B52" i="5"/>
  <c r="L51" i="5"/>
  <c r="F51" i="5"/>
  <c r="D51" i="5"/>
  <c r="C51" i="5"/>
  <c r="B51" i="5"/>
  <c r="L50" i="5"/>
  <c r="F50" i="5"/>
  <c r="C50" i="5"/>
  <c r="B50" i="5"/>
  <c r="D50" i="5" s="1"/>
  <c r="L49" i="5"/>
  <c r="F49" i="5"/>
  <c r="C49" i="5"/>
  <c r="D49" i="5" s="1"/>
  <c r="B49" i="5"/>
  <c r="L48" i="5"/>
  <c r="F48" i="5"/>
  <c r="D48" i="5"/>
  <c r="C48" i="5"/>
  <c r="B48" i="5"/>
  <c r="L47" i="5"/>
  <c r="F47" i="5"/>
  <c r="D47" i="5"/>
  <c r="C47" i="5"/>
  <c r="B47" i="5"/>
  <c r="L46" i="5"/>
  <c r="F46" i="5"/>
  <c r="C46" i="5"/>
  <c r="B46" i="5"/>
  <c r="D46" i="5" s="1"/>
  <c r="L45" i="5"/>
  <c r="F45" i="5"/>
  <c r="C45" i="5"/>
  <c r="D45" i="5" s="1"/>
  <c r="B45" i="5"/>
  <c r="L44" i="5"/>
  <c r="F44" i="5"/>
  <c r="D44" i="5"/>
  <c r="C44" i="5"/>
  <c r="B44" i="5"/>
  <c r="L43" i="5"/>
  <c r="F43" i="5"/>
  <c r="D43" i="5"/>
  <c r="C43" i="5"/>
  <c r="B43" i="5"/>
  <c r="L42" i="5"/>
  <c r="F42" i="5"/>
  <c r="C42" i="5"/>
  <c r="B42" i="5"/>
  <c r="D42" i="5" s="1"/>
  <c r="L41" i="5"/>
  <c r="F41" i="5"/>
  <c r="C41" i="5"/>
  <c r="D41" i="5" s="1"/>
  <c r="B41" i="5"/>
  <c r="L40" i="5"/>
  <c r="F40" i="5"/>
  <c r="D40" i="5"/>
  <c r="C40" i="5"/>
  <c r="B40" i="5"/>
  <c r="L39" i="5"/>
  <c r="F39" i="5"/>
  <c r="D39" i="5"/>
  <c r="C39" i="5"/>
  <c r="B39" i="5"/>
  <c r="L38" i="5"/>
  <c r="F38" i="5"/>
  <c r="C38" i="5"/>
  <c r="B38" i="5"/>
  <c r="D38" i="5" s="1"/>
  <c r="L37" i="5"/>
  <c r="F37" i="5"/>
  <c r="C37" i="5"/>
  <c r="D37" i="5" s="1"/>
  <c r="B37" i="5"/>
  <c r="L36" i="5"/>
  <c r="F36" i="5"/>
  <c r="D36" i="5"/>
  <c r="C36" i="5"/>
  <c r="B36" i="5"/>
  <c r="L35" i="5"/>
  <c r="F35" i="5"/>
  <c r="D35" i="5"/>
  <c r="C35" i="5"/>
  <c r="B35" i="5"/>
  <c r="L34" i="5"/>
  <c r="F34" i="5"/>
  <c r="C34" i="5"/>
  <c r="B34" i="5"/>
  <c r="D34" i="5" s="1"/>
  <c r="L33" i="5"/>
  <c r="F33" i="5"/>
  <c r="C33" i="5"/>
  <c r="D33" i="5" s="1"/>
  <c r="B33" i="5"/>
  <c r="L32" i="5"/>
  <c r="F32" i="5"/>
  <c r="D32" i="5"/>
  <c r="C32" i="5"/>
  <c r="B32" i="5"/>
  <c r="L31" i="5"/>
  <c r="F31" i="5"/>
  <c r="D31" i="5"/>
  <c r="C31" i="5"/>
  <c r="B31" i="5"/>
  <c r="L30" i="5"/>
  <c r="F30" i="5"/>
  <c r="C30" i="5"/>
  <c r="B30" i="5"/>
  <c r="D30" i="5" s="1"/>
  <c r="L29" i="5"/>
  <c r="F29" i="5"/>
  <c r="C29" i="5"/>
  <c r="D29" i="5" s="1"/>
  <c r="B29" i="5"/>
  <c r="L28" i="5"/>
  <c r="F28" i="5"/>
  <c r="D28" i="5"/>
  <c r="C28" i="5"/>
  <c r="B28" i="5"/>
  <c r="L27" i="5"/>
  <c r="F27" i="5"/>
  <c r="D27" i="5"/>
  <c r="C27" i="5"/>
  <c r="B27" i="5"/>
  <c r="L26" i="5"/>
  <c r="F26" i="5"/>
  <c r="C26" i="5"/>
  <c r="B26" i="5"/>
  <c r="D26" i="5" s="1"/>
  <c r="L25" i="5"/>
  <c r="F25" i="5"/>
  <c r="C25" i="5"/>
  <c r="D25" i="5" s="1"/>
  <c r="B25" i="5"/>
  <c r="L24" i="5"/>
  <c r="F24" i="5"/>
  <c r="D24" i="5"/>
  <c r="C24" i="5"/>
  <c r="B24" i="5"/>
  <c r="L23" i="5"/>
  <c r="F23" i="5"/>
  <c r="D23" i="5"/>
  <c r="C23" i="5"/>
  <c r="B23" i="5"/>
  <c r="L22" i="5"/>
  <c r="F22" i="5"/>
  <c r="C22" i="5"/>
  <c r="B22" i="5"/>
  <c r="D22" i="5" s="1"/>
  <c r="L21" i="5"/>
  <c r="F21" i="5"/>
  <c r="C21" i="5"/>
  <c r="D21" i="5" s="1"/>
  <c r="B21" i="5"/>
  <c r="L20" i="5"/>
  <c r="F20" i="5"/>
  <c r="D20" i="5"/>
  <c r="C20" i="5"/>
  <c r="B20" i="5"/>
  <c r="L19" i="5"/>
  <c r="F19" i="5"/>
  <c r="D19" i="5"/>
  <c r="C19" i="5"/>
  <c r="B19" i="5"/>
  <c r="L18" i="5"/>
  <c r="F18" i="5"/>
  <c r="C18" i="5"/>
  <c r="B18" i="5"/>
  <c r="D18" i="5" s="1"/>
  <c r="L17" i="5"/>
  <c r="F17" i="5"/>
  <c r="C17" i="5"/>
  <c r="D17" i="5" s="1"/>
  <c r="B17" i="5"/>
  <c r="L16" i="5"/>
  <c r="F16" i="5"/>
  <c r="D16" i="5"/>
  <c r="C16" i="5"/>
  <c r="B16" i="5"/>
  <c r="L15" i="5"/>
  <c r="F15" i="5"/>
  <c r="D15" i="5"/>
  <c r="C15" i="5"/>
  <c r="B15" i="5"/>
  <c r="L14" i="5"/>
  <c r="F14" i="5"/>
  <c r="C14" i="5"/>
  <c r="B14" i="5"/>
  <c r="D14" i="5" s="1"/>
  <c r="L13" i="5"/>
  <c r="F13" i="5"/>
  <c r="C13" i="5"/>
  <c r="D13" i="5" s="1"/>
  <c r="B13" i="5"/>
  <c r="L12" i="5"/>
  <c r="F12" i="5"/>
  <c r="D12" i="5"/>
  <c r="C12" i="5"/>
  <c r="B12" i="5"/>
  <c r="L11" i="5"/>
  <c r="F11" i="5"/>
  <c r="D11" i="5"/>
  <c r="C11" i="5"/>
  <c r="B11" i="5"/>
  <c r="L10" i="5"/>
  <c r="F10" i="5"/>
  <c r="C10" i="5"/>
  <c r="B10" i="5"/>
  <c r="D10" i="5" s="1"/>
  <c r="L9" i="5"/>
  <c r="F9" i="5"/>
  <c r="C9" i="5"/>
  <c r="D9" i="5" s="1"/>
  <c r="B9" i="5"/>
  <c r="L8" i="5"/>
  <c r="F8" i="5"/>
  <c r="C8" i="5"/>
  <c r="B8" i="5"/>
  <c r="D8" i="5" s="1"/>
  <c r="L7" i="5"/>
  <c r="C7" i="5"/>
  <c r="D7" i="5" s="1"/>
  <c r="B7" i="5"/>
  <c r="L6" i="5"/>
  <c r="F6" i="5"/>
  <c r="C6" i="5"/>
  <c r="D6" i="5" s="1"/>
  <c r="B6" i="5"/>
  <c r="L5" i="5"/>
  <c r="F5" i="5"/>
  <c r="D5" i="5"/>
  <c r="C5" i="5"/>
  <c r="B5" i="5"/>
  <c r="L4" i="5"/>
  <c r="F4" i="5"/>
  <c r="D4" i="5"/>
  <c r="C4" i="5"/>
  <c r="B4" i="5"/>
  <c r="L3" i="5"/>
  <c r="F3" i="5"/>
  <c r="D3" i="5"/>
  <c r="L1001" i="4"/>
  <c r="F1001" i="4"/>
  <c r="C1001" i="4"/>
  <c r="D1001" i="4" s="1"/>
  <c r="B1001" i="4"/>
  <c r="L1000" i="4"/>
  <c r="F1000" i="4"/>
  <c r="C1000" i="4"/>
  <c r="B1000" i="4"/>
  <c r="D1000" i="4" s="1"/>
  <c r="L999" i="4"/>
  <c r="F999" i="4"/>
  <c r="C999" i="4"/>
  <c r="D999" i="4" s="1"/>
  <c r="B999" i="4"/>
  <c r="L998" i="4"/>
  <c r="F998" i="4"/>
  <c r="D998" i="4"/>
  <c r="C998" i="4"/>
  <c r="B998" i="4"/>
  <c r="L997" i="4"/>
  <c r="F997" i="4"/>
  <c r="C997" i="4"/>
  <c r="D997" i="4" s="1"/>
  <c r="B997" i="4"/>
  <c r="L996" i="4"/>
  <c r="F996" i="4"/>
  <c r="D996" i="4"/>
  <c r="C996" i="4"/>
  <c r="B996" i="4"/>
  <c r="L995" i="4"/>
  <c r="F995" i="4"/>
  <c r="C995" i="4"/>
  <c r="D995" i="4" s="1"/>
  <c r="B995" i="4"/>
  <c r="L994" i="4"/>
  <c r="F994" i="4"/>
  <c r="C994" i="4"/>
  <c r="B994" i="4"/>
  <c r="D994" i="4" s="1"/>
  <c r="L993" i="4"/>
  <c r="F993" i="4"/>
  <c r="C993" i="4"/>
  <c r="D993" i="4" s="1"/>
  <c r="B993" i="4"/>
  <c r="L992" i="4"/>
  <c r="F992" i="4"/>
  <c r="C992" i="4"/>
  <c r="B992" i="4"/>
  <c r="D992" i="4" s="1"/>
  <c r="L991" i="4"/>
  <c r="F991" i="4"/>
  <c r="C991" i="4"/>
  <c r="D991" i="4" s="1"/>
  <c r="B991" i="4"/>
  <c r="L990" i="4"/>
  <c r="F990" i="4"/>
  <c r="D990" i="4"/>
  <c r="C990" i="4"/>
  <c r="B990" i="4"/>
  <c r="L989" i="4"/>
  <c r="F989" i="4"/>
  <c r="C989" i="4"/>
  <c r="D989" i="4" s="1"/>
  <c r="B989" i="4"/>
  <c r="L988" i="4"/>
  <c r="F988" i="4"/>
  <c r="D988" i="4"/>
  <c r="C988" i="4"/>
  <c r="B988" i="4"/>
  <c r="L987" i="4"/>
  <c r="F987" i="4"/>
  <c r="C987" i="4"/>
  <c r="D987" i="4" s="1"/>
  <c r="B987" i="4"/>
  <c r="L986" i="4"/>
  <c r="F986" i="4"/>
  <c r="C986" i="4"/>
  <c r="B986" i="4"/>
  <c r="D986" i="4" s="1"/>
  <c r="L985" i="4"/>
  <c r="F985" i="4"/>
  <c r="C985" i="4"/>
  <c r="D985" i="4" s="1"/>
  <c r="B985" i="4"/>
  <c r="L984" i="4"/>
  <c r="F984" i="4"/>
  <c r="C984" i="4"/>
  <c r="B984" i="4"/>
  <c r="D984" i="4" s="1"/>
  <c r="L983" i="4"/>
  <c r="F983" i="4"/>
  <c r="C983" i="4"/>
  <c r="D983" i="4" s="1"/>
  <c r="B983" i="4"/>
  <c r="L982" i="4"/>
  <c r="F982" i="4"/>
  <c r="D982" i="4"/>
  <c r="C982" i="4"/>
  <c r="B982" i="4"/>
  <c r="L981" i="4"/>
  <c r="F981" i="4"/>
  <c r="C981" i="4"/>
  <c r="D981" i="4" s="1"/>
  <c r="B981" i="4"/>
  <c r="L980" i="4"/>
  <c r="F980" i="4"/>
  <c r="D980" i="4"/>
  <c r="C980" i="4"/>
  <c r="B980" i="4"/>
  <c r="L979" i="4"/>
  <c r="F979" i="4"/>
  <c r="C979" i="4"/>
  <c r="D979" i="4" s="1"/>
  <c r="B979" i="4"/>
  <c r="L978" i="4"/>
  <c r="F978" i="4"/>
  <c r="C978" i="4"/>
  <c r="B978" i="4"/>
  <c r="D978" i="4" s="1"/>
  <c r="L977" i="4"/>
  <c r="F977" i="4"/>
  <c r="C977" i="4"/>
  <c r="D977" i="4" s="1"/>
  <c r="B977" i="4"/>
  <c r="L976" i="4"/>
  <c r="F976" i="4"/>
  <c r="C976" i="4"/>
  <c r="B976" i="4"/>
  <c r="D976" i="4" s="1"/>
  <c r="L975" i="4"/>
  <c r="F975" i="4"/>
  <c r="C975" i="4"/>
  <c r="D975" i="4" s="1"/>
  <c r="B975" i="4"/>
  <c r="L974" i="4"/>
  <c r="F974" i="4"/>
  <c r="D974" i="4"/>
  <c r="C974" i="4"/>
  <c r="B974" i="4"/>
  <c r="L973" i="4"/>
  <c r="F973" i="4"/>
  <c r="C973" i="4"/>
  <c r="D973" i="4" s="1"/>
  <c r="B973" i="4"/>
  <c r="L972" i="4"/>
  <c r="F972" i="4"/>
  <c r="D972" i="4"/>
  <c r="C972" i="4"/>
  <c r="B972" i="4"/>
  <c r="L971" i="4"/>
  <c r="F971" i="4"/>
  <c r="C971" i="4"/>
  <c r="D971" i="4" s="1"/>
  <c r="B971" i="4"/>
  <c r="L970" i="4"/>
  <c r="F970" i="4"/>
  <c r="C970" i="4"/>
  <c r="B970" i="4"/>
  <c r="D970" i="4" s="1"/>
  <c r="L969" i="4"/>
  <c r="F969" i="4"/>
  <c r="C969" i="4"/>
  <c r="D969" i="4" s="1"/>
  <c r="B969" i="4"/>
  <c r="L968" i="4"/>
  <c r="F968" i="4"/>
  <c r="C968" i="4"/>
  <c r="B968" i="4"/>
  <c r="D968" i="4" s="1"/>
  <c r="L967" i="4"/>
  <c r="F967" i="4"/>
  <c r="C967" i="4"/>
  <c r="D967" i="4" s="1"/>
  <c r="B967" i="4"/>
  <c r="L966" i="4"/>
  <c r="F966" i="4"/>
  <c r="D966" i="4"/>
  <c r="C966" i="4"/>
  <c r="B966" i="4"/>
  <c r="L965" i="4"/>
  <c r="F965" i="4"/>
  <c r="C965" i="4"/>
  <c r="D965" i="4" s="1"/>
  <c r="B965" i="4"/>
  <c r="L964" i="4"/>
  <c r="F964" i="4"/>
  <c r="D964" i="4"/>
  <c r="C964" i="4"/>
  <c r="B964" i="4"/>
  <c r="L963" i="4"/>
  <c r="F963" i="4"/>
  <c r="C963" i="4"/>
  <c r="D963" i="4" s="1"/>
  <c r="B963" i="4"/>
  <c r="L962" i="4"/>
  <c r="F962" i="4"/>
  <c r="C962" i="4"/>
  <c r="B962" i="4"/>
  <c r="D962" i="4" s="1"/>
  <c r="L961" i="4"/>
  <c r="F961" i="4"/>
  <c r="C961" i="4"/>
  <c r="D961" i="4" s="1"/>
  <c r="B961" i="4"/>
  <c r="L960" i="4"/>
  <c r="F960" i="4"/>
  <c r="C960" i="4"/>
  <c r="B960" i="4"/>
  <c r="D960" i="4" s="1"/>
  <c r="L959" i="4"/>
  <c r="F959" i="4"/>
  <c r="C959" i="4"/>
  <c r="D959" i="4" s="1"/>
  <c r="B959" i="4"/>
  <c r="L958" i="4"/>
  <c r="F958" i="4"/>
  <c r="D958" i="4"/>
  <c r="C958" i="4"/>
  <c r="B958" i="4"/>
  <c r="L957" i="4"/>
  <c r="F957" i="4"/>
  <c r="C957" i="4"/>
  <c r="D957" i="4" s="1"/>
  <c r="B957" i="4"/>
  <c r="L956" i="4"/>
  <c r="F956" i="4"/>
  <c r="D956" i="4"/>
  <c r="C956" i="4"/>
  <c r="B956" i="4"/>
  <c r="L955" i="4"/>
  <c r="F955" i="4"/>
  <c r="C955" i="4"/>
  <c r="D955" i="4" s="1"/>
  <c r="B955" i="4"/>
  <c r="L954" i="4"/>
  <c r="F954" i="4"/>
  <c r="C954" i="4"/>
  <c r="B954" i="4"/>
  <c r="D954" i="4" s="1"/>
  <c r="L953" i="4"/>
  <c r="F953" i="4"/>
  <c r="C953" i="4"/>
  <c r="D953" i="4" s="1"/>
  <c r="B953" i="4"/>
  <c r="L952" i="4"/>
  <c r="F952" i="4"/>
  <c r="C952" i="4"/>
  <c r="B952" i="4"/>
  <c r="D952" i="4" s="1"/>
  <c r="L951" i="4"/>
  <c r="F951" i="4"/>
  <c r="C951" i="4"/>
  <c r="D951" i="4" s="1"/>
  <c r="B951" i="4"/>
  <c r="L950" i="4"/>
  <c r="F950" i="4"/>
  <c r="D950" i="4"/>
  <c r="C950" i="4"/>
  <c r="B950" i="4"/>
  <c r="L949" i="4"/>
  <c r="F949" i="4"/>
  <c r="C949" i="4"/>
  <c r="D949" i="4" s="1"/>
  <c r="B949" i="4"/>
  <c r="L948" i="4"/>
  <c r="F948" i="4"/>
  <c r="D948" i="4"/>
  <c r="C948" i="4"/>
  <c r="B948" i="4"/>
  <c r="L947" i="4"/>
  <c r="F947" i="4"/>
  <c r="C947" i="4"/>
  <c r="D947" i="4" s="1"/>
  <c r="B947" i="4"/>
  <c r="L946" i="4"/>
  <c r="F946" i="4"/>
  <c r="C946" i="4"/>
  <c r="B946" i="4"/>
  <c r="D946" i="4" s="1"/>
  <c r="L945" i="4"/>
  <c r="F945" i="4"/>
  <c r="C945" i="4"/>
  <c r="D945" i="4" s="1"/>
  <c r="B945" i="4"/>
  <c r="L944" i="4"/>
  <c r="F944" i="4"/>
  <c r="C944" i="4"/>
  <c r="B944" i="4"/>
  <c r="D944" i="4" s="1"/>
  <c r="L943" i="4"/>
  <c r="F943" i="4"/>
  <c r="C943" i="4"/>
  <c r="D943" i="4" s="1"/>
  <c r="B943" i="4"/>
  <c r="L942" i="4"/>
  <c r="F942" i="4"/>
  <c r="D942" i="4"/>
  <c r="C942" i="4"/>
  <c r="B942" i="4"/>
  <c r="L941" i="4"/>
  <c r="F941" i="4"/>
  <c r="C941" i="4"/>
  <c r="D941" i="4" s="1"/>
  <c r="B941" i="4"/>
  <c r="L940" i="4"/>
  <c r="F940" i="4"/>
  <c r="D940" i="4"/>
  <c r="C940" i="4"/>
  <c r="B940" i="4"/>
  <c r="L939" i="4"/>
  <c r="F939" i="4"/>
  <c r="C939" i="4"/>
  <c r="D939" i="4" s="1"/>
  <c r="B939" i="4"/>
  <c r="L938" i="4"/>
  <c r="F938" i="4"/>
  <c r="C938" i="4"/>
  <c r="B938" i="4"/>
  <c r="D938" i="4" s="1"/>
  <c r="L937" i="4"/>
  <c r="F937" i="4"/>
  <c r="C937" i="4"/>
  <c r="D937" i="4" s="1"/>
  <c r="B937" i="4"/>
  <c r="L936" i="4"/>
  <c r="F936" i="4"/>
  <c r="C936" i="4"/>
  <c r="B936" i="4"/>
  <c r="D936" i="4" s="1"/>
  <c r="L935" i="4"/>
  <c r="F935" i="4"/>
  <c r="C935" i="4"/>
  <c r="D935" i="4" s="1"/>
  <c r="B935" i="4"/>
  <c r="L934" i="4"/>
  <c r="F934" i="4"/>
  <c r="D934" i="4"/>
  <c r="C934" i="4"/>
  <c r="B934" i="4"/>
  <c r="L933" i="4"/>
  <c r="F933" i="4"/>
  <c r="C933" i="4"/>
  <c r="D933" i="4" s="1"/>
  <c r="B933" i="4"/>
  <c r="L932" i="4"/>
  <c r="F932" i="4"/>
  <c r="D932" i="4"/>
  <c r="C932" i="4"/>
  <c r="B932" i="4"/>
  <c r="L931" i="4"/>
  <c r="F931" i="4"/>
  <c r="C931" i="4"/>
  <c r="D931" i="4" s="1"/>
  <c r="B931" i="4"/>
  <c r="L930" i="4"/>
  <c r="F930" i="4"/>
  <c r="C930" i="4"/>
  <c r="B930" i="4"/>
  <c r="D930" i="4" s="1"/>
  <c r="L929" i="4"/>
  <c r="F929" i="4"/>
  <c r="C929" i="4"/>
  <c r="D929" i="4" s="1"/>
  <c r="B929" i="4"/>
  <c r="L928" i="4"/>
  <c r="F928" i="4"/>
  <c r="C928" i="4"/>
  <c r="B928" i="4"/>
  <c r="D928" i="4" s="1"/>
  <c r="L927" i="4"/>
  <c r="F927" i="4"/>
  <c r="C927" i="4"/>
  <c r="D927" i="4" s="1"/>
  <c r="B927" i="4"/>
  <c r="L926" i="4"/>
  <c r="F926" i="4"/>
  <c r="D926" i="4"/>
  <c r="C926" i="4"/>
  <c r="B926" i="4"/>
  <c r="L925" i="4"/>
  <c r="F925" i="4"/>
  <c r="C925" i="4"/>
  <c r="D925" i="4" s="1"/>
  <c r="B925" i="4"/>
  <c r="L924" i="4"/>
  <c r="F924" i="4"/>
  <c r="D924" i="4"/>
  <c r="C924" i="4"/>
  <c r="B924" i="4"/>
  <c r="L923" i="4"/>
  <c r="F923" i="4"/>
  <c r="C923" i="4"/>
  <c r="D923" i="4" s="1"/>
  <c r="B923" i="4"/>
  <c r="L922" i="4"/>
  <c r="F922" i="4"/>
  <c r="C922" i="4"/>
  <c r="B922" i="4"/>
  <c r="D922" i="4" s="1"/>
  <c r="L921" i="4"/>
  <c r="F921" i="4"/>
  <c r="C921" i="4"/>
  <c r="D921" i="4" s="1"/>
  <c r="B921" i="4"/>
  <c r="L920" i="4"/>
  <c r="F920" i="4"/>
  <c r="C920" i="4"/>
  <c r="B920" i="4"/>
  <c r="D920" i="4" s="1"/>
  <c r="L919" i="4"/>
  <c r="F919" i="4"/>
  <c r="C919" i="4"/>
  <c r="D919" i="4" s="1"/>
  <c r="B919" i="4"/>
  <c r="L918" i="4"/>
  <c r="F918" i="4"/>
  <c r="D918" i="4"/>
  <c r="C918" i="4"/>
  <c r="B918" i="4"/>
  <c r="L917" i="4"/>
  <c r="F917" i="4"/>
  <c r="C917" i="4"/>
  <c r="D917" i="4" s="1"/>
  <c r="B917" i="4"/>
  <c r="L916" i="4"/>
  <c r="F916" i="4"/>
  <c r="D916" i="4"/>
  <c r="C916" i="4"/>
  <c r="B916" i="4"/>
  <c r="L915" i="4"/>
  <c r="F915" i="4"/>
  <c r="C915" i="4"/>
  <c r="D915" i="4" s="1"/>
  <c r="B915" i="4"/>
  <c r="L914" i="4"/>
  <c r="F914" i="4"/>
  <c r="C914" i="4"/>
  <c r="B914" i="4"/>
  <c r="D914" i="4" s="1"/>
  <c r="L913" i="4"/>
  <c r="F913" i="4"/>
  <c r="C913" i="4"/>
  <c r="D913" i="4" s="1"/>
  <c r="B913" i="4"/>
  <c r="L912" i="4"/>
  <c r="F912" i="4"/>
  <c r="C912" i="4"/>
  <c r="B912" i="4"/>
  <c r="D912" i="4" s="1"/>
  <c r="L911" i="4"/>
  <c r="F911" i="4"/>
  <c r="C911" i="4"/>
  <c r="D911" i="4" s="1"/>
  <c r="B911" i="4"/>
  <c r="L910" i="4"/>
  <c r="F910" i="4"/>
  <c r="D910" i="4"/>
  <c r="C910" i="4"/>
  <c r="B910" i="4"/>
  <c r="L909" i="4"/>
  <c r="F909" i="4"/>
  <c r="C909" i="4"/>
  <c r="D909" i="4" s="1"/>
  <c r="B909" i="4"/>
  <c r="L908" i="4"/>
  <c r="F908" i="4"/>
  <c r="D908" i="4"/>
  <c r="C908" i="4"/>
  <c r="B908" i="4"/>
  <c r="L907" i="4"/>
  <c r="F907" i="4"/>
  <c r="C907" i="4"/>
  <c r="D907" i="4" s="1"/>
  <c r="B907" i="4"/>
  <c r="L906" i="4"/>
  <c r="F906" i="4"/>
  <c r="C906" i="4"/>
  <c r="B906" i="4"/>
  <c r="D906" i="4" s="1"/>
  <c r="L905" i="4"/>
  <c r="F905" i="4"/>
  <c r="C905" i="4"/>
  <c r="D905" i="4" s="1"/>
  <c r="B905" i="4"/>
  <c r="L904" i="4"/>
  <c r="F904" i="4"/>
  <c r="C904" i="4"/>
  <c r="B904" i="4"/>
  <c r="D904" i="4" s="1"/>
  <c r="L903" i="4"/>
  <c r="F903" i="4"/>
  <c r="C903" i="4"/>
  <c r="D903" i="4" s="1"/>
  <c r="B903" i="4"/>
  <c r="L902" i="4"/>
  <c r="F902" i="4"/>
  <c r="D902" i="4"/>
  <c r="C902" i="4"/>
  <c r="B902" i="4"/>
  <c r="L901" i="4"/>
  <c r="F901" i="4"/>
  <c r="C901" i="4"/>
  <c r="D901" i="4" s="1"/>
  <c r="B901" i="4"/>
  <c r="L900" i="4"/>
  <c r="F900" i="4"/>
  <c r="D900" i="4"/>
  <c r="C900" i="4"/>
  <c r="B900" i="4"/>
  <c r="L899" i="4"/>
  <c r="F899" i="4"/>
  <c r="C899" i="4"/>
  <c r="D899" i="4" s="1"/>
  <c r="B899" i="4"/>
  <c r="L898" i="4"/>
  <c r="F898" i="4"/>
  <c r="C898" i="4"/>
  <c r="B898" i="4"/>
  <c r="D898" i="4" s="1"/>
  <c r="L897" i="4"/>
  <c r="F897" i="4"/>
  <c r="C897" i="4"/>
  <c r="D897" i="4" s="1"/>
  <c r="B897" i="4"/>
  <c r="L896" i="4"/>
  <c r="F896" i="4"/>
  <c r="C896" i="4"/>
  <c r="B896" i="4"/>
  <c r="D896" i="4" s="1"/>
  <c r="L895" i="4"/>
  <c r="F895" i="4"/>
  <c r="C895" i="4"/>
  <c r="D895" i="4" s="1"/>
  <c r="B895" i="4"/>
  <c r="L894" i="4"/>
  <c r="F894" i="4"/>
  <c r="D894" i="4"/>
  <c r="C894" i="4"/>
  <c r="B894" i="4"/>
  <c r="L893" i="4"/>
  <c r="F893" i="4"/>
  <c r="C893" i="4"/>
  <c r="D893" i="4" s="1"/>
  <c r="B893" i="4"/>
  <c r="L892" i="4"/>
  <c r="F892" i="4"/>
  <c r="D892" i="4"/>
  <c r="C892" i="4"/>
  <c r="B892" i="4"/>
  <c r="L891" i="4"/>
  <c r="F891" i="4"/>
  <c r="C891" i="4"/>
  <c r="D891" i="4" s="1"/>
  <c r="B891" i="4"/>
  <c r="L890" i="4"/>
  <c r="F890" i="4"/>
  <c r="C890" i="4"/>
  <c r="B890" i="4"/>
  <c r="D890" i="4" s="1"/>
  <c r="L889" i="4"/>
  <c r="F889" i="4"/>
  <c r="C889" i="4"/>
  <c r="D889" i="4" s="1"/>
  <c r="B889" i="4"/>
  <c r="L888" i="4"/>
  <c r="F888" i="4"/>
  <c r="C888" i="4"/>
  <c r="B888" i="4"/>
  <c r="D888" i="4" s="1"/>
  <c r="L887" i="4"/>
  <c r="F887" i="4"/>
  <c r="C887" i="4"/>
  <c r="D887" i="4" s="1"/>
  <c r="B887" i="4"/>
  <c r="L886" i="4"/>
  <c r="F886" i="4"/>
  <c r="D886" i="4"/>
  <c r="C886" i="4"/>
  <c r="B886" i="4"/>
  <c r="L885" i="4"/>
  <c r="F885" i="4"/>
  <c r="C885" i="4"/>
  <c r="D885" i="4" s="1"/>
  <c r="B885" i="4"/>
  <c r="L884" i="4"/>
  <c r="F884" i="4"/>
  <c r="D884" i="4"/>
  <c r="C884" i="4"/>
  <c r="B884" i="4"/>
  <c r="L883" i="4"/>
  <c r="F883" i="4"/>
  <c r="C883" i="4"/>
  <c r="D883" i="4" s="1"/>
  <c r="B883" i="4"/>
  <c r="L882" i="4"/>
  <c r="F882" i="4"/>
  <c r="C882" i="4"/>
  <c r="B882" i="4"/>
  <c r="D882" i="4" s="1"/>
  <c r="L881" i="4"/>
  <c r="F881" i="4"/>
  <c r="C881" i="4"/>
  <c r="D881" i="4" s="1"/>
  <c r="B881" i="4"/>
  <c r="L880" i="4"/>
  <c r="F880" i="4"/>
  <c r="C880" i="4"/>
  <c r="B880" i="4"/>
  <c r="D880" i="4" s="1"/>
  <c r="L879" i="4"/>
  <c r="F879" i="4"/>
  <c r="C879" i="4"/>
  <c r="D879" i="4" s="1"/>
  <c r="B879" i="4"/>
  <c r="L878" i="4"/>
  <c r="F878" i="4"/>
  <c r="D878" i="4"/>
  <c r="C878" i="4"/>
  <c r="B878" i="4"/>
  <c r="L877" i="4"/>
  <c r="F877" i="4"/>
  <c r="C877" i="4"/>
  <c r="D877" i="4" s="1"/>
  <c r="B877" i="4"/>
  <c r="L876" i="4"/>
  <c r="F876" i="4"/>
  <c r="D876" i="4"/>
  <c r="C876" i="4"/>
  <c r="B876" i="4"/>
  <c r="L875" i="4"/>
  <c r="F875" i="4"/>
  <c r="C875" i="4"/>
  <c r="D875" i="4" s="1"/>
  <c r="B875" i="4"/>
  <c r="L874" i="4"/>
  <c r="F874" i="4"/>
  <c r="C874" i="4"/>
  <c r="B874" i="4"/>
  <c r="D874" i="4" s="1"/>
  <c r="L873" i="4"/>
  <c r="F873" i="4"/>
  <c r="C873" i="4"/>
  <c r="D873" i="4" s="1"/>
  <c r="B873" i="4"/>
  <c r="L872" i="4"/>
  <c r="F872" i="4"/>
  <c r="C872" i="4"/>
  <c r="B872" i="4"/>
  <c r="D872" i="4" s="1"/>
  <c r="L871" i="4"/>
  <c r="F871" i="4"/>
  <c r="C871" i="4"/>
  <c r="D871" i="4" s="1"/>
  <c r="B871" i="4"/>
  <c r="L870" i="4"/>
  <c r="F870" i="4"/>
  <c r="D870" i="4"/>
  <c r="C870" i="4"/>
  <c r="B870" i="4"/>
  <c r="L869" i="4"/>
  <c r="F869" i="4"/>
  <c r="C869" i="4"/>
  <c r="D869" i="4" s="1"/>
  <c r="B869" i="4"/>
  <c r="L868" i="4"/>
  <c r="F868" i="4"/>
  <c r="D868" i="4"/>
  <c r="C868" i="4"/>
  <c r="B868" i="4"/>
  <c r="L867" i="4"/>
  <c r="F867" i="4"/>
  <c r="C867" i="4"/>
  <c r="D867" i="4" s="1"/>
  <c r="B867" i="4"/>
  <c r="L866" i="4"/>
  <c r="F866" i="4"/>
  <c r="C866" i="4"/>
  <c r="B866" i="4"/>
  <c r="D866" i="4" s="1"/>
  <c r="L865" i="4"/>
  <c r="F865" i="4"/>
  <c r="C865" i="4"/>
  <c r="D865" i="4" s="1"/>
  <c r="B865" i="4"/>
  <c r="L864" i="4"/>
  <c r="F864" i="4"/>
  <c r="C864" i="4"/>
  <c r="B864" i="4"/>
  <c r="D864" i="4" s="1"/>
  <c r="L863" i="4"/>
  <c r="F863" i="4"/>
  <c r="C863" i="4"/>
  <c r="D863" i="4" s="1"/>
  <c r="B863" i="4"/>
  <c r="L862" i="4"/>
  <c r="F862" i="4"/>
  <c r="D862" i="4"/>
  <c r="C862" i="4"/>
  <c r="B862" i="4"/>
  <c r="L861" i="4"/>
  <c r="F861" i="4"/>
  <c r="C861" i="4"/>
  <c r="D861" i="4" s="1"/>
  <c r="B861" i="4"/>
  <c r="L860" i="4"/>
  <c r="F860" i="4"/>
  <c r="D860" i="4"/>
  <c r="C860" i="4"/>
  <c r="B860" i="4"/>
  <c r="L859" i="4"/>
  <c r="F859" i="4"/>
  <c r="C859" i="4"/>
  <c r="D859" i="4" s="1"/>
  <c r="B859" i="4"/>
  <c r="L858" i="4"/>
  <c r="F858" i="4"/>
  <c r="C858" i="4"/>
  <c r="B858" i="4"/>
  <c r="D858" i="4" s="1"/>
  <c r="L857" i="4"/>
  <c r="F857" i="4"/>
  <c r="C857" i="4"/>
  <c r="D857" i="4" s="1"/>
  <c r="B857" i="4"/>
  <c r="L856" i="4"/>
  <c r="F856" i="4"/>
  <c r="C856" i="4"/>
  <c r="B856" i="4"/>
  <c r="D856" i="4" s="1"/>
  <c r="L855" i="4"/>
  <c r="F855" i="4"/>
  <c r="C855" i="4"/>
  <c r="D855" i="4" s="1"/>
  <c r="B855" i="4"/>
  <c r="L854" i="4"/>
  <c r="F854" i="4"/>
  <c r="D854" i="4"/>
  <c r="C854" i="4"/>
  <c r="B854" i="4"/>
  <c r="L853" i="4"/>
  <c r="F853" i="4"/>
  <c r="C853" i="4"/>
  <c r="D853" i="4" s="1"/>
  <c r="B853" i="4"/>
  <c r="L852" i="4"/>
  <c r="F852" i="4"/>
  <c r="D852" i="4"/>
  <c r="C852" i="4"/>
  <c r="B852" i="4"/>
  <c r="L851" i="4"/>
  <c r="F851" i="4"/>
  <c r="C851" i="4"/>
  <c r="D851" i="4" s="1"/>
  <c r="B851" i="4"/>
  <c r="L850" i="4"/>
  <c r="F850" i="4"/>
  <c r="C850" i="4"/>
  <c r="B850" i="4"/>
  <c r="D850" i="4" s="1"/>
  <c r="L849" i="4"/>
  <c r="F849" i="4"/>
  <c r="C849" i="4"/>
  <c r="D849" i="4" s="1"/>
  <c r="B849" i="4"/>
  <c r="L848" i="4"/>
  <c r="F848" i="4"/>
  <c r="C848" i="4"/>
  <c r="B848" i="4"/>
  <c r="D848" i="4" s="1"/>
  <c r="L847" i="4"/>
  <c r="F847" i="4"/>
  <c r="C847" i="4"/>
  <c r="D847" i="4" s="1"/>
  <c r="B847" i="4"/>
  <c r="L846" i="4"/>
  <c r="F846" i="4"/>
  <c r="D846" i="4"/>
  <c r="C846" i="4"/>
  <c r="B846" i="4"/>
  <c r="L845" i="4"/>
  <c r="F845" i="4"/>
  <c r="C845" i="4"/>
  <c r="D845" i="4" s="1"/>
  <c r="B845" i="4"/>
  <c r="L844" i="4"/>
  <c r="F844" i="4"/>
  <c r="D844" i="4"/>
  <c r="C844" i="4"/>
  <c r="B844" i="4"/>
  <c r="L843" i="4"/>
  <c r="F843" i="4"/>
  <c r="C843" i="4"/>
  <c r="D843" i="4" s="1"/>
  <c r="B843" i="4"/>
  <c r="L842" i="4"/>
  <c r="F842" i="4"/>
  <c r="C842" i="4"/>
  <c r="B842" i="4"/>
  <c r="D842" i="4" s="1"/>
  <c r="L841" i="4"/>
  <c r="F841" i="4"/>
  <c r="C841" i="4"/>
  <c r="D841" i="4" s="1"/>
  <c r="B841" i="4"/>
  <c r="L840" i="4"/>
  <c r="F840" i="4"/>
  <c r="C840" i="4"/>
  <c r="B840" i="4"/>
  <c r="D840" i="4" s="1"/>
  <c r="L839" i="4"/>
  <c r="F839" i="4"/>
  <c r="C839" i="4"/>
  <c r="D839" i="4" s="1"/>
  <c r="B839" i="4"/>
  <c r="L838" i="4"/>
  <c r="F838" i="4"/>
  <c r="C838" i="4"/>
  <c r="D838" i="4" s="1"/>
  <c r="B838" i="4"/>
  <c r="L837" i="4"/>
  <c r="F837" i="4"/>
  <c r="D837" i="4"/>
  <c r="C837" i="4"/>
  <c r="B837" i="4"/>
  <c r="L836" i="4"/>
  <c r="F836" i="4"/>
  <c r="C836" i="4"/>
  <c r="B836" i="4"/>
  <c r="D836" i="4" s="1"/>
  <c r="L835" i="4"/>
  <c r="F835" i="4"/>
  <c r="C835" i="4"/>
  <c r="B835" i="4"/>
  <c r="L834" i="4"/>
  <c r="F834" i="4"/>
  <c r="C834" i="4"/>
  <c r="B834" i="4"/>
  <c r="L833" i="4"/>
  <c r="F833" i="4"/>
  <c r="C833" i="4"/>
  <c r="D833" i="4" s="1"/>
  <c r="B833" i="4"/>
  <c r="L832" i="4"/>
  <c r="F832" i="4"/>
  <c r="D832" i="4"/>
  <c r="C832" i="4"/>
  <c r="B832" i="4"/>
  <c r="L831" i="4"/>
  <c r="F831" i="4"/>
  <c r="C831" i="4"/>
  <c r="D831" i="4" s="1"/>
  <c r="B831" i="4"/>
  <c r="L830" i="4"/>
  <c r="F830" i="4"/>
  <c r="C830" i="4"/>
  <c r="B830" i="4"/>
  <c r="D830" i="4" s="1"/>
  <c r="L829" i="4"/>
  <c r="F829" i="4"/>
  <c r="C829" i="4"/>
  <c r="D829" i="4" s="1"/>
  <c r="B829" i="4"/>
  <c r="L828" i="4"/>
  <c r="F828" i="4"/>
  <c r="D828" i="4"/>
  <c r="C828" i="4"/>
  <c r="B828" i="4"/>
  <c r="L827" i="4"/>
  <c r="F827" i="4"/>
  <c r="C827" i="4"/>
  <c r="D827" i="4" s="1"/>
  <c r="B827" i="4"/>
  <c r="L826" i="4"/>
  <c r="F826" i="4"/>
  <c r="D826" i="4"/>
  <c r="C826" i="4"/>
  <c r="B826" i="4"/>
  <c r="L825" i="4"/>
  <c r="F825" i="4"/>
  <c r="D825" i="4"/>
  <c r="C825" i="4"/>
  <c r="B825" i="4"/>
  <c r="L824" i="4"/>
  <c r="F824" i="4"/>
  <c r="C824" i="4"/>
  <c r="B824" i="4"/>
  <c r="D824" i="4" s="1"/>
  <c r="L823" i="4"/>
  <c r="F823" i="4"/>
  <c r="C823" i="4"/>
  <c r="B823" i="4"/>
  <c r="L822" i="4"/>
  <c r="F822" i="4"/>
  <c r="C822" i="4"/>
  <c r="D822" i="4" s="1"/>
  <c r="B822" i="4"/>
  <c r="L821" i="4"/>
  <c r="F821" i="4"/>
  <c r="D821" i="4"/>
  <c r="C821" i="4"/>
  <c r="B821" i="4"/>
  <c r="L820" i="4"/>
  <c r="F820" i="4"/>
  <c r="C820" i="4"/>
  <c r="B820" i="4"/>
  <c r="D820" i="4" s="1"/>
  <c r="L819" i="4"/>
  <c r="F819" i="4"/>
  <c r="C819" i="4"/>
  <c r="B819" i="4"/>
  <c r="L818" i="4"/>
  <c r="F818" i="4"/>
  <c r="C818" i="4"/>
  <c r="D818" i="4" s="1"/>
  <c r="B818" i="4"/>
  <c r="L817" i="4"/>
  <c r="F817" i="4"/>
  <c r="C817" i="4"/>
  <c r="D817" i="4" s="1"/>
  <c r="B817" i="4"/>
  <c r="L816" i="4"/>
  <c r="F816" i="4"/>
  <c r="D816" i="4"/>
  <c r="C816" i="4"/>
  <c r="B816" i="4"/>
  <c r="L815" i="4"/>
  <c r="F815" i="4"/>
  <c r="C815" i="4"/>
  <c r="D815" i="4" s="1"/>
  <c r="B815" i="4"/>
  <c r="L814" i="4"/>
  <c r="F814" i="4"/>
  <c r="C814" i="4"/>
  <c r="B814" i="4"/>
  <c r="D814" i="4" s="1"/>
  <c r="L813" i="4"/>
  <c r="F813" i="4"/>
  <c r="C813" i="4"/>
  <c r="D813" i="4" s="1"/>
  <c r="B813" i="4"/>
  <c r="L812" i="4"/>
  <c r="F812" i="4"/>
  <c r="D812" i="4"/>
  <c r="C812" i="4"/>
  <c r="B812" i="4"/>
  <c r="L811" i="4"/>
  <c r="F811" i="4"/>
  <c r="C811" i="4"/>
  <c r="D811" i="4" s="1"/>
  <c r="B811" i="4"/>
  <c r="L810" i="4"/>
  <c r="F810" i="4"/>
  <c r="D810" i="4"/>
  <c r="C810" i="4"/>
  <c r="B810" i="4"/>
  <c r="L809" i="4"/>
  <c r="F809" i="4"/>
  <c r="D809" i="4"/>
  <c r="C809" i="4"/>
  <c r="B809" i="4"/>
  <c r="L808" i="4"/>
  <c r="F808" i="4"/>
  <c r="C808" i="4"/>
  <c r="B808" i="4"/>
  <c r="D808" i="4" s="1"/>
  <c r="L807" i="4"/>
  <c r="F807" i="4"/>
  <c r="C807" i="4"/>
  <c r="B807" i="4"/>
  <c r="L806" i="4"/>
  <c r="F806" i="4"/>
  <c r="C806" i="4"/>
  <c r="D806" i="4" s="1"/>
  <c r="B806" i="4"/>
  <c r="L805" i="4"/>
  <c r="F805" i="4"/>
  <c r="D805" i="4"/>
  <c r="C805" i="4"/>
  <c r="B805" i="4"/>
  <c r="L804" i="4"/>
  <c r="F804" i="4"/>
  <c r="C804" i="4"/>
  <c r="B804" i="4"/>
  <c r="D804" i="4" s="1"/>
  <c r="L803" i="4"/>
  <c r="F803" i="4"/>
  <c r="C803" i="4"/>
  <c r="B803" i="4"/>
  <c r="L802" i="4"/>
  <c r="F802" i="4"/>
  <c r="C802" i="4"/>
  <c r="D802" i="4" s="1"/>
  <c r="B802" i="4"/>
  <c r="L801" i="4"/>
  <c r="F801" i="4"/>
  <c r="C801" i="4"/>
  <c r="D801" i="4" s="1"/>
  <c r="B801" i="4"/>
  <c r="L800" i="4"/>
  <c r="F800" i="4"/>
  <c r="D800" i="4"/>
  <c r="C800" i="4"/>
  <c r="B800" i="4"/>
  <c r="L799" i="4"/>
  <c r="F799" i="4"/>
  <c r="C799" i="4"/>
  <c r="D799" i="4" s="1"/>
  <c r="B799" i="4"/>
  <c r="L798" i="4"/>
  <c r="F798" i="4"/>
  <c r="C798" i="4"/>
  <c r="B798" i="4"/>
  <c r="D798" i="4" s="1"/>
  <c r="L797" i="4"/>
  <c r="F797" i="4"/>
  <c r="C797" i="4"/>
  <c r="D797" i="4" s="1"/>
  <c r="B797" i="4"/>
  <c r="L796" i="4"/>
  <c r="F796" i="4"/>
  <c r="D796" i="4"/>
  <c r="C796" i="4"/>
  <c r="B796" i="4"/>
  <c r="L795" i="4"/>
  <c r="F795" i="4"/>
  <c r="C795" i="4"/>
  <c r="D795" i="4" s="1"/>
  <c r="B795" i="4"/>
  <c r="L794" i="4"/>
  <c r="F794" i="4"/>
  <c r="D794" i="4"/>
  <c r="C794" i="4"/>
  <c r="B794" i="4"/>
  <c r="L793" i="4"/>
  <c r="F793" i="4"/>
  <c r="D793" i="4"/>
  <c r="C793" i="4"/>
  <c r="B793" i="4"/>
  <c r="L792" i="4"/>
  <c r="F792" i="4"/>
  <c r="C792" i="4"/>
  <c r="B792" i="4"/>
  <c r="D792" i="4" s="1"/>
  <c r="L791" i="4"/>
  <c r="F791" i="4"/>
  <c r="C791" i="4"/>
  <c r="B791" i="4"/>
  <c r="L790" i="4"/>
  <c r="F790" i="4"/>
  <c r="C790" i="4"/>
  <c r="D790" i="4" s="1"/>
  <c r="B790" i="4"/>
  <c r="L789" i="4"/>
  <c r="F789" i="4"/>
  <c r="D789" i="4"/>
  <c r="C789" i="4"/>
  <c r="B789" i="4"/>
  <c r="L788" i="4"/>
  <c r="F788" i="4"/>
  <c r="C788" i="4"/>
  <c r="B788" i="4"/>
  <c r="D788" i="4" s="1"/>
  <c r="L787" i="4"/>
  <c r="F787" i="4"/>
  <c r="C787" i="4"/>
  <c r="B787" i="4"/>
  <c r="L786" i="4"/>
  <c r="F786" i="4"/>
  <c r="C786" i="4"/>
  <c r="B786" i="4"/>
  <c r="L785" i="4"/>
  <c r="F785" i="4"/>
  <c r="C785" i="4"/>
  <c r="D785" i="4" s="1"/>
  <c r="B785" i="4"/>
  <c r="L784" i="4"/>
  <c r="F784" i="4"/>
  <c r="D784" i="4"/>
  <c r="C784" i="4"/>
  <c r="B784" i="4"/>
  <c r="L783" i="4"/>
  <c r="F783" i="4"/>
  <c r="C783" i="4"/>
  <c r="D783" i="4" s="1"/>
  <c r="B783" i="4"/>
  <c r="L782" i="4"/>
  <c r="F782" i="4"/>
  <c r="C782" i="4"/>
  <c r="B782" i="4"/>
  <c r="D782" i="4" s="1"/>
  <c r="L781" i="4"/>
  <c r="F781" i="4"/>
  <c r="C781" i="4"/>
  <c r="D781" i="4" s="1"/>
  <c r="B781" i="4"/>
  <c r="L780" i="4"/>
  <c r="F780" i="4"/>
  <c r="D780" i="4"/>
  <c r="C780" i="4"/>
  <c r="B780" i="4"/>
  <c r="L779" i="4"/>
  <c r="F779" i="4"/>
  <c r="C779" i="4"/>
  <c r="D779" i="4" s="1"/>
  <c r="B779" i="4"/>
  <c r="L778" i="4"/>
  <c r="F778" i="4"/>
  <c r="D778" i="4"/>
  <c r="C778" i="4"/>
  <c r="B778" i="4"/>
  <c r="L777" i="4"/>
  <c r="F777" i="4"/>
  <c r="D777" i="4"/>
  <c r="C777" i="4"/>
  <c r="B777" i="4"/>
  <c r="L776" i="4"/>
  <c r="F776" i="4"/>
  <c r="C776" i="4"/>
  <c r="B776" i="4"/>
  <c r="D776" i="4" s="1"/>
  <c r="L775" i="4"/>
  <c r="F775" i="4"/>
  <c r="C775" i="4"/>
  <c r="B775" i="4"/>
  <c r="L774" i="4"/>
  <c r="F774" i="4"/>
  <c r="C774" i="4"/>
  <c r="D774" i="4" s="1"/>
  <c r="B774" i="4"/>
  <c r="L773" i="4"/>
  <c r="F773" i="4"/>
  <c r="D773" i="4"/>
  <c r="C773" i="4"/>
  <c r="B773" i="4"/>
  <c r="L772" i="4"/>
  <c r="F772" i="4"/>
  <c r="C772" i="4"/>
  <c r="B772" i="4"/>
  <c r="D772" i="4" s="1"/>
  <c r="L771" i="4"/>
  <c r="F771" i="4"/>
  <c r="C771" i="4"/>
  <c r="B771" i="4"/>
  <c r="L770" i="4"/>
  <c r="F770" i="4"/>
  <c r="C770" i="4"/>
  <c r="B770" i="4"/>
  <c r="L769" i="4"/>
  <c r="F769" i="4"/>
  <c r="C769" i="4"/>
  <c r="D769" i="4" s="1"/>
  <c r="B769" i="4"/>
  <c r="L768" i="4"/>
  <c r="F768" i="4"/>
  <c r="D768" i="4"/>
  <c r="C768" i="4"/>
  <c r="B768" i="4"/>
  <c r="L767" i="4"/>
  <c r="F767" i="4"/>
  <c r="C767" i="4"/>
  <c r="D767" i="4" s="1"/>
  <c r="B767" i="4"/>
  <c r="L766" i="4"/>
  <c r="F766" i="4"/>
  <c r="C766" i="4"/>
  <c r="B766" i="4"/>
  <c r="D766" i="4" s="1"/>
  <c r="L765" i="4"/>
  <c r="F765" i="4"/>
  <c r="C765" i="4"/>
  <c r="D765" i="4" s="1"/>
  <c r="B765" i="4"/>
  <c r="L764" i="4"/>
  <c r="F764" i="4"/>
  <c r="D764" i="4"/>
  <c r="C764" i="4"/>
  <c r="B764" i="4"/>
  <c r="L763" i="4"/>
  <c r="F763" i="4"/>
  <c r="C763" i="4"/>
  <c r="D763" i="4" s="1"/>
  <c r="B763" i="4"/>
  <c r="L762" i="4"/>
  <c r="F762" i="4"/>
  <c r="D762" i="4"/>
  <c r="C762" i="4"/>
  <c r="B762" i="4"/>
  <c r="L761" i="4"/>
  <c r="F761" i="4"/>
  <c r="D761" i="4"/>
  <c r="C761" i="4"/>
  <c r="B761" i="4"/>
  <c r="L760" i="4"/>
  <c r="F760" i="4"/>
  <c r="C760" i="4"/>
  <c r="B760" i="4"/>
  <c r="D760" i="4" s="1"/>
  <c r="L759" i="4"/>
  <c r="F759" i="4"/>
  <c r="C759" i="4"/>
  <c r="B759" i="4"/>
  <c r="L758" i="4"/>
  <c r="F758" i="4"/>
  <c r="C758" i="4"/>
  <c r="D758" i="4" s="1"/>
  <c r="B758" i="4"/>
  <c r="L757" i="4"/>
  <c r="F757" i="4"/>
  <c r="D757" i="4"/>
  <c r="C757" i="4"/>
  <c r="B757" i="4"/>
  <c r="L756" i="4"/>
  <c r="F756" i="4"/>
  <c r="C756" i="4"/>
  <c r="B756" i="4"/>
  <c r="D756" i="4" s="1"/>
  <c r="L755" i="4"/>
  <c r="F755" i="4"/>
  <c r="C755" i="4"/>
  <c r="B755" i="4"/>
  <c r="L754" i="4"/>
  <c r="F754" i="4"/>
  <c r="C754" i="4"/>
  <c r="D754" i="4" s="1"/>
  <c r="B754" i="4"/>
  <c r="L753" i="4"/>
  <c r="F753" i="4"/>
  <c r="C753" i="4"/>
  <c r="D753" i="4" s="1"/>
  <c r="B753" i="4"/>
  <c r="L752" i="4"/>
  <c r="F752" i="4"/>
  <c r="D752" i="4"/>
  <c r="C752" i="4"/>
  <c r="B752" i="4"/>
  <c r="L751" i="4"/>
  <c r="F751" i="4"/>
  <c r="C751" i="4"/>
  <c r="D751" i="4" s="1"/>
  <c r="B751" i="4"/>
  <c r="L750" i="4"/>
  <c r="F750" i="4"/>
  <c r="C750" i="4"/>
  <c r="B750" i="4"/>
  <c r="D750" i="4" s="1"/>
  <c r="L749" i="4"/>
  <c r="F749" i="4"/>
  <c r="C749" i="4"/>
  <c r="D749" i="4" s="1"/>
  <c r="B749" i="4"/>
  <c r="L748" i="4"/>
  <c r="F748" i="4"/>
  <c r="D748" i="4"/>
  <c r="C748" i="4"/>
  <c r="B748" i="4"/>
  <c r="L747" i="4"/>
  <c r="F747" i="4"/>
  <c r="C747" i="4"/>
  <c r="D747" i="4" s="1"/>
  <c r="B747" i="4"/>
  <c r="L746" i="4"/>
  <c r="F746" i="4"/>
  <c r="D746" i="4"/>
  <c r="C746" i="4"/>
  <c r="B746" i="4"/>
  <c r="L745" i="4"/>
  <c r="F745" i="4"/>
  <c r="D745" i="4"/>
  <c r="C745" i="4"/>
  <c r="B745" i="4"/>
  <c r="L744" i="4"/>
  <c r="F744" i="4"/>
  <c r="C744" i="4"/>
  <c r="B744" i="4"/>
  <c r="D744" i="4" s="1"/>
  <c r="L743" i="4"/>
  <c r="F743" i="4"/>
  <c r="C743" i="4"/>
  <c r="B743" i="4"/>
  <c r="L742" i="4"/>
  <c r="F742" i="4"/>
  <c r="C742" i="4"/>
  <c r="D742" i="4" s="1"/>
  <c r="B742" i="4"/>
  <c r="L741" i="4"/>
  <c r="F741" i="4"/>
  <c r="D741" i="4"/>
  <c r="C741" i="4"/>
  <c r="B741" i="4"/>
  <c r="L740" i="4"/>
  <c r="F740" i="4"/>
  <c r="C740" i="4"/>
  <c r="B740" i="4"/>
  <c r="D740" i="4" s="1"/>
  <c r="L739" i="4"/>
  <c r="F739" i="4"/>
  <c r="C739" i="4"/>
  <c r="B739" i="4"/>
  <c r="L738" i="4"/>
  <c r="F738" i="4"/>
  <c r="C738" i="4"/>
  <c r="D738" i="4" s="1"/>
  <c r="B738" i="4"/>
  <c r="L737" i="4"/>
  <c r="F737" i="4"/>
  <c r="C737" i="4"/>
  <c r="D737" i="4" s="1"/>
  <c r="B737" i="4"/>
  <c r="L736" i="4"/>
  <c r="F736" i="4"/>
  <c r="D736" i="4"/>
  <c r="C736" i="4"/>
  <c r="B736" i="4"/>
  <c r="L735" i="4"/>
  <c r="F735" i="4"/>
  <c r="C735" i="4"/>
  <c r="D735" i="4" s="1"/>
  <c r="B735" i="4"/>
  <c r="L734" i="4"/>
  <c r="F734" i="4"/>
  <c r="C734" i="4"/>
  <c r="B734" i="4"/>
  <c r="D734" i="4" s="1"/>
  <c r="L733" i="4"/>
  <c r="F733" i="4"/>
  <c r="C733" i="4"/>
  <c r="D733" i="4" s="1"/>
  <c r="B733" i="4"/>
  <c r="L732" i="4"/>
  <c r="F732" i="4"/>
  <c r="D732" i="4"/>
  <c r="C732" i="4"/>
  <c r="B732" i="4"/>
  <c r="L731" i="4"/>
  <c r="F731" i="4"/>
  <c r="C731" i="4"/>
  <c r="D731" i="4" s="1"/>
  <c r="B731" i="4"/>
  <c r="L730" i="4"/>
  <c r="F730" i="4"/>
  <c r="D730" i="4"/>
  <c r="C730" i="4"/>
  <c r="B730" i="4"/>
  <c r="L729" i="4"/>
  <c r="F729" i="4"/>
  <c r="D729" i="4"/>
  <c r="C729" i="4"/>
  <c r="B729" i="4"/>
  <c r="L728" i="4"/>
  <c r="F728" i="4"/>
  <c r="C728" i="4"/>
  <c r="B728" i="4"/>
  <c r="D728" i="4" s="1"/>
  <c r="L727" i="4"/>
  <c r="F727" i="4"/>
  <c r="C727" i="4"/>
  <c r="B727" i="4"/>
  <c r="L726" i="4"/>
  <c r="F726" i="4"/>
  <c r="C726" i="4"/>
  <c r="D726" i="4" s="1"/>
  <c r="B726" i="4"/>
  <c r="L725" i="4"/>
  <c r="F725" i="4"/>
  <c r="D725" i="4"/>
  <c r="C725" i="4"/>
  <c r="B725" i="4"/>
  <c r="L724" i="4"/>
  <c r="F724" i="4"/>
  <c r="C724" i="4"/>
  <c r="B724" i="4"/>
  <c r="D724" i="4" s="1"/>
  <c r="L723" i="4"/>
  <c r="F723" i="4"/>
  <c r="C723" i="4"/>
  <c r="B723" i="4"/>
  <c r="L722" i="4"/>
  <c r="F722" i="4"/>
  <c r="C722" i="4"/>
  <c r="B722" i="4"/>
  <c r="L721" i="4"/>
  <c r="F721" i="4"/>
  <c r="C721" i="4"/>
  <c r="D721" i="4" s="1"/>
  <c r="B721" i="4"/>
  <c r="L720" i="4"/>
  <c r="F720" i="4"/>
  <c r="D720" i="4"/>
  <c r="C720" i="4"/>
  <c r="B720" i="4"/>
  <c r="L719" i="4"/>
  <c r="F719" i="4"/>
  <c r="C719" i="4"/>
  <c r="D719" i="4" s="1"/>
  <c r="B719" i="4"/>
  <c r="L718" i="4"/>
  <c r="F718" i="4"/>
  <c r="C718" i="4"/>
  <c r="B718" i="4"/>
  <c r="D718" i="4" s="1"/>
  <c r="L717" i="4"/>
  <c r="F717" i="4"/>
  <c r="C717" i="4"/>
  <c r="D717" i="4" s="1"/>
  <c r="B717" i="4"/>
  <c r="L716" i="4"/>
  <c r="F716" i="4"/>
  <c r="D716" i="4"/>
  <c r="C716" i="4"/>
  <c r="B716" i="4"/>
  <c r="L715" i="4"/>
  <c r="F715" i="4"/>
  <c r="C715" i="4"/>
  <c r="D715" i="4" s="1"/>
  <c r="B715" i="4"/>
  <c r="L714" i="4"/>
  <c r="F714" i="4"/>
  <c r="D714" i="4"/>
  <c r="C714" i="4"/>
  <c r="B714" i="4"/>
  <c r="L713" i="4"/>
  <c r="F713" i="4"/>
  <c r="D713" i="4"/>
  <c r="C713" i="4"/>
  <c r="B713" i="4"/>
  <c r="L712" i="4"/>
  <c r="F712" i="4"/>
  <c r="C712" i="4"/>
  <c r="B712" i="4"/>
  <c r="D712" i="4" s="1"/>
  <c r="L711" i="4"/>
  <c r="F711" i="4"/>
  <c r="C711" i="4"/>
  <c r="B711" i="4"/>
  <c r="L710" i="4"/>
  <c r="F710" i="4"/>
  <c r="C710" i="4"/>
  <c r="D710" i="4" s="1"/>
  <c r="B710" i="4"/>
  <c r="L709" i="4"/>
  <c r="F709" i="4"/>
  <c r="D709" i="4"/>
  <c r="C709" i="4"/>
  <c r="B709" i="4"/>
  <c r="L708" i="4"/>
  <c r="F708" i="4"/>
  <c r="C708" i="4"/>
  <c r="B708" i="4"/>
  <c r="D708" i="4" s="1"/>
  <c r="L707" i="4"/>
  <c r="F707" i="4"/>
  <c r="C707" i="4"/>
  <c r="B707" i="4"/>
  <c r="L706" i="4"/>
  <c r="F706" i="4"/>
  <c r="C706" i="4"/>
  <c r="B706" i="4"/>
  <c r="L705" i="4"/>
  <c r="F705" i="4"/>
  <c r="C705" i="4"/>
  <c r="D705" i="4" s="1"/>
  <c r="B705" i="4"/>
  <c r="L704" i="4"/>
  <c r="F704" i="4"/>
  <c r="D704" i="4"/>
  <c r="C704" i="4"/>
  <c r="B704" i="4"/>
  <c r="L703" i="4"/>
  <c r="F703" i="4"/>
  <c r="C703" i="4"/>
  <c r="D703" i="4" s="1"/>
  <c r="B703" i="4"/>
  <c r="L702" i="4"/>
  <c r="F702" i="4"/>
  <c r="C702" i="4"/>
  <c r="B702" i="4"/>
  <c r="D702" i="4" s="1"/>
  <c r="L701" i="4"/>
  <c r="F701" i="4"/>
  <c r="C701" i="4"/>
  <c r="D701" i="4" s="1"/>
  <c r="B701" i="4"/>
  <c r="L700" i="4"/>
  <c r="F700" i="4"/>
  <c r="D700" i="4"/>
  <c r="C700" i="4"/>
  <c r="B700" i="4"/>
  <c r="L699" i="4"/>
  <c r="F699" i="4"/>
  <c r="C699" i="4"/>
  <c r="D699" i="4" s="1"/>
  <c r="B699" i="4"/>
  <c r="L698" i="4"/>
  <c r="F698" i="4"/>
  <c r="D698" i="4"/>
  <c r="C698" i="4"/>
  <c r="B698" i="4"/>
  <c r="L697" i="4"/>
  <c r="F697" i="4"/>
  <c r="D697" i="4"/>
  <c r="C697" i="4"/>
  <c r="B697" i="4"/>
  <c r="L696" i="4"/>
  <c r="F696" i="4"/>
  <c r="C696" i="4"/>
  <c r="B696" i="4"/>
  <c r="D696" i="4" s="1"/>
  <c r="L695" i="4"/>
  <c r="F695" i="4"/>
  <c r="C695" i="4"/>
  <c r="B695" i="4"/>
  <c r="L694" i="4"/>
  <c r="F694" i="4"/>
  <c r="C694" i="4"/>
  <c r="D694" i="4" s="1"/>
  <c r="B694" i="4"/>
  <c r="L693" i="4"/>
  <c r="F693" i="4"/>
  <c r="D693" i="4"/>
  <c r="C693" i="4"/>
  <c r="B693" i="4"/>
  <c r="L692" i="4"/>
  <c r="F692" i="4"/>
  <c r="C692" i="4"/>
  <c r="B692" i="4"/>
  <c r="D692" i="4" s="1"/>
  <c r="L691" i="4"/>
  <c r="F691" i="4"/>
  <c r="C691" i="4"/>
  <c r="B691" i="4"/>
  <c r="L690" i="4"/>
  <c r="F690" i="4"/>
  <c r="C690" i="4"/>
  <c r="D690" i="4" s="1"/>
  <c r="B690" i="4"/>
  <c r="L689" i="4"/>
  <c r="F689" i="4"/>
  <c r="C689" i="4"/>
  <c r="D689" i="4" s="1"/>
  <c r="B689" i="4"/>
  <c r="L688" i="4"/>
  <c r="F688" i="4"/>
  <c r="D688" i="4"/>
  <c r="C688" i="4"/>
  <c r="B688" i="4"/>
  <c r="L687" i="4"/>
  <c r="F687" i="4"/>
  <c r="C687" i="4"/>
  <c r="D687" i="4" s="1"/>
  <c r="B687" i="4"/>
  <c r="L686" i="4"/>
  <c r="F686" i="4"/>
  <c r="C686" i="4"/>
  <c r="B686" i="4"/>
  <c r="D686" i="4" s="1"/>
  <c r="L685" i="4"/>
  <c r="F685" i="4"/>
  <c r="C685" i="4"/>
  <c r="D685" i="4" s="1"/>
  <c r="B685" i="4"/>
  <c r="L684" i="4"/>
  <c r="F684" i="4"/>
  <c r="D684" i="4"/>
  <c r="C684" i="4"/>
  <c r="B684" i="4"/>
  <c r="L683" i="4"/>
  <c r="F683" i="4"/>
  <c r="C683" i="4"/>
  <c r="D683" i="4" s="1"/>
  <c r="B683" i="4"/>
  <c r="L682" i="4"/>
  <c r="F682" i="4"/>
  <c r="D682" i="4"/>
  <c r="C682" i="4"/>
  <c r="B682" i="4"/>
  <c r="L681" i="4"/>
  <c r="F681" i="4"/>
  <c r="D681" i="4"/>
  <c r="C681" i="4"/>
  <c r="B681" i="4"/>
  <c r="L680" i="4"/>
  <c r="F680" i="4"/>
  <c r="C680" i="4"/>
  <c r="B680" i="4"/>
  <c r="D680" i="4" s="1"/>
  <c r="L679" i="4"/>
  <c r="F679" i="4"/>
  <c r="C679" i="4"/>
  <c r="B679" i="4"/>
  <c r="L678" i="4"/>
  <c r="F678" i="4"/>
  <c r="C678" i="4"/>
  <c r="D678" i="4" s="1"/>
  <c r="B678" i="4"/>
  <c r="L677" i="4"/>
  <c r="F677" i="4"/>
  <c r="D677" i="4"/>
  <c r="C677" i="4"/>
  <c r="B677" i="4"/>
  <c r="L676" i="4"/>
  <c r="F676" i="4"/>
  <c r="C676" i="4"/>
  <c r="B676" i="4"/>
  <c r="D676" i="4" s="1"/>
  <c r="L675" i="4"/>
  <c r="F675" i="4"/>
  <c r="C675" i="4"/>
  <c r="B675" i="4"/>
  <c r="L674" i="4"/>
  <c r="F674" i="4"/>
  <c r="C674" i="4"/>
  <c r="D674" i="4" s="1"/>
  <c r="B674" i="4"/>
  <c r="L673" i="4"/>
  <c r="F673" i="4"/>
  <c r="C673" i="4"/>
  <c r="D673" i="4" s="1"/>
  <c r="B673" i="4"/>
  <c r="L672" i="4"/>
  <c r="F672" i="4"/>
  <c r="D672" i="4"/>
  <c r="C672" i="4"/>
  <c r="B672" i="4"/>
  <c r="L671" i="4"/>
  <c r="F671" i="4"/>
  <c r="C671" i="4"/>
  <c r="D671" i="4" s="1"/>
  <c r="B671" i="4"/>
  <c r="L670" i="4"/>
  <c r="F670" i="4"/>
  <c r="C670" i="4"/>
  <c r="B670" i="4"/>
  <c r="D670" i="4" s="1"/>
  <c r="L669" i="4"/>
  <c r="F669" i="4"/>
  <c r="C669" i="4"/>
  <c r="D669" i="4" s="1"/>
  <c r="B669" i="4"/>
  <c r="L668" i="4"/>
  <c r="F668" i="4"/>
  <c r="D668" i="4"/>
  <c r="C668" i="4"/>
  <c r="B668" i="4"/>
  <c r="L667" i="4"/>
  <c r="F667" i="4"/>
  <c r="C667" i="4"/>
  <c r="D667" i="4" s="1"/>
  <c r="B667" i="4"/>
  <c r="L666" i="4"/>
  <c r="F666" i="4"/>
  <c r="D666" i="4"/>
  <c r="C666" i="4"/>
  <c r="B666" i="4"/>
  <c r="L665" i="4"/>
  <c r="F665" i="4"/>
  <c r="D665" i="4"/>
  <c r="C665" i="4"/>
  <c r="B665" i="4"/>
  <c r="L664" i="4"/>
  <c r="F664" i="4"/>
  <c r="C664" i="4"/>
  <c r="B664" i="4"/>
  <c r="D664" i="4" s="1"/>
  <c r="L663" i="4"/>
  <c r="F663" i="4"/>
  <c r="C663" i="4"/>
  <c r="B663" i="4"/>
  <c r="L662" i="4"/>
  <c r="F662" i="4"/>
  <c r="C662" i="4"/>
  <c r="D662" i="4" s="1"/>
  <c r="B662" i="4"/>
  <c r="L661" i="4"/>
  <c r="F661" i="4"/>
  <c r="D661" i="4"/>
  <c r="C661" i="4"/>
  <c r="B661" i="4"/>
  <c r="L660" i="4"/>
  <c r="F660" i="4"/>
  <c r="C660" i="4"/>
  <c r="B660" i="4"/>
  <c r="D660" i="4" s="1"/>
  <c r="L659" i="4"/>
  <c r="F659" i="4"/>
  <c r="C659" i="4"/>
  <c r="B659" i="4"/>
  <c r="L658" i="4"/>
  <c r="F658" i="4"/>
  <c r="C658" i="4"/>
  <c r="B658" i="4"/>
  <c r="L657" i="4"/>
  <c r="F657" i="4"/>
  <c r="C657" i="4"/>
  <c r="D657" i="4" s="1"/>
  <c r="B657" i="4"/>
  <c r="L656" i="4"/>
  <c r="F656" i="4"/>
  <c r="D656" i="4"/>
  <c r="C656" i="4"/>
  <c r="B656" i="4"/>
  <c r="L655" i="4"/>
  <c r="F655" i="4"/>
  <c r="C655" i="4"/>
  <c r="D655" i="4" s="1"/>
  <c r="B655" i="4"/>
  <c r="L654" i="4"/>
  <c r="F654" i="4"/>
  <c r="C654" i="4"/>
  <c r="B654" i="4"/>
  <c r="D654" i="4" s="1"/>
  <c r="L653" i="4"/>
  <c r="F653" i="4"/>
  <c r="C653" i="4"/>
  <c r="D653" i="4" s="1"/>
  <c r="B653" i="4"/>
  <c r="L652" i="4"/>
  <c r="F652" i="4"/>
  <c r="D652" i="4"/>
  <c r="C652" i="4"/>
  <c r="B652" i="4"/>
  <c r="L651" i="4"/>
  <c r="F651" i="4"/>
  <c r="C651" i="4"/>
  <c r="D651" i="4" s="1"/>
  <c r="B651" i="4"/>
  <c r="L650" i="4"/>
  <c r="F650" i="4"/>
  <c r="D650" i="4"/>
  <c r="C650" i="4"/>
  <c r="B650" i="4"/>
  <c r="L649" i="4"/>
  <c r="F649" i="4"/>
  <c r="D649" i="4"/>
  <c r="C649" i="4"/>
  <c r="B649" i="4"/>
  <c r="L648" i="4"/>
  <c r="F648" i="4"/>
  <c r="C648" i="4"/>
  <c r="B648" i="4"/>
  <c r="D648" i="4" s="1"/>
  <c r="L647" i="4"/>
  <c r="F647" i="4"/>
  <c r="C647" i="4"/>
  <c r="B647" i="4"/>
  <c r="L646" i="4"/>
  <c r="F646" i="4"/>
  <c r="C646" i="4"/>
  <c r="D646" i="4" s="1"/>
  <c r="B646" i="4"/>
  <c r="L645" i="4"/>
  <c r="F645" i="4"/>
  <c r="D645" i="4"/>
  <c r="C645" i="4"/>
  <c r="B645" i="4"/>
  <c r="L644" i="4"/>
  <c r="F644" i="4"/>
  <c r="C644" i="4"/>
  <c r="B644" i="4"/>
  <c r="D644" i="4" s="1"/>
  <c r="L643" i="4"/>
  <c r="F643" i="4"/>
  <c r="C643" i="4"/>
  <c r="B643" i="4"/>
  <c r="L642" i="4"/>
  <c r="F642" i="4"/>
  <c r="C642" i="4"/>
  <c r="B642" i="4"/>
  <c r="L641" i="4"/>
  <c r="F641" i="4"/>
  <c r="C641" i="4"/>
  <c r="D641" i="4" s="1"/>
  <c r="B641" i="4"/>
  <c r="L640" i="4"/>
  <c r="F640" i="4"/>
  <c r="D640" i="4"/>
  <c r="C640" i="4"/>
  <c r="B640" i="4"/>
  <c r="L639" i="4"/>
  <c r="F639" i="4"/>
  <c r="C639" i="4"/>
  <c r="D639" i="4" s="1"/>
  <c r="B639" i="4"/>
  <c r="L638" i="4"/>
  <c r="F638" i="4"/>
  <c r="C638" i="4"/>
  <c r="B638" i="4"/>
  <c r="D638" i="4" s="1"/>
  <c r="L637" i="4"/>
  <c r="F637" i="4"/>
  <c r="C637" i="4"/>
  <c r="D637" i="4" s="1"/>
  <c r="B637" i="4"/>
  <c r="L636" i="4"/>
  <c r="F636" i="4"/>
  <c r="D636" i="4"/>
  <c r="C636" i="4"/>
  <c r="B636" i="4"/>
  <c r="L635" i="4"/>
  <c r="F635" i="4"/>
  <c r="C635" i="4"/>
  <c r="D635" i="4" s="1"/>
  <c r="B635" i="4"/>
  <c r="L634" i="4"/>
  <c r="F634" i="4"/>
  <c r="D634" i="4"/>
  <c r="C634" i="4"/>
  <c r="B634" i="4"/>
  <c r="L633" i="4"/>
  <c r="F633" i="4"/>
  <c r="D633" i="4"/>
  <c r="C633" i="4"/>
  <c r="B633" i="4"/>
  <c r="L632" i="4"/>
  <c r="F632" i="4"/>
  <c r="C632" i="4"/>
  <c r="B632" i="4"/>
  <c r="D632" i="4" s="1"/>
  <c r="L631" i="4"/>
  <c r="F631" i="4"/>
  <c r="C631" i="4"/>
  <c r="B631" i="4"/>
  <c r="L630" i="4"/>
  <c r="F630" i="4"/>
  <c r="C630" i="4"/>
  <c r="D630" i="4" s="1"/>
  <c r="B630" i="4"/>
  <c r="L629" i="4"/>
  <c r="F629" i="4"/>
  <c r="D629" i="4"/>
  <c r="C629" i="4"/>
  <c r="B629" i="4"/>
  <c r="L628" i="4"/>
  <c r="F628" i="4"/>
  <c r="C628" i="4"/>
  <c r="B628" i="4"/>
  <c r="D628" i="4" s="1"/>
  <c r="L627" i="4"/>
  <c r="F627" i="4"/>
  <c r="C627" i="4"/>
  <c r="B627" i="4"/>
  <c r="L626" i="4"/>
  <c r="F626" i="4"/>
  <c r="C626" i="4"/>
  <c r="D626" i="4" s="1"/>
  <c r="B626" i="4"/>
  <c r="L625" i="4"/>
  <c r="F625" i="4"/>
  <c r="C625" i="4"/>
  <c r="D625" i="4" s="1"/>
  <c r="B625" i="4"/>
  <c r="L624" i="4"/>
  <c r="F624" i="4"/>
  <c r="D624" i="4"/>
  <c r="C624" i="4"/>
  <c r="B624" i="4"/>
  <c r="L623" i="4"/>
  <c r="F623" i="4"/>
  <c r="C623" i="4"/>
  <c r="D623" i="4" s="1"/>
  <c r="B623" i="4"/>
  <c r="L622" i="4"/>
  <c r="F622" i="4"/>
  <c r="C622" i="4"/>
  <c r="B622" i="4"/>
  <c r="D622" i="4" s="1"/>
  <c r="L621" i="4"/>
  <c r="F621" i="4"/>
  <c r="C621" i="4"/>
  <c r="D621" i="4" s="1"/>
  <c r="B621" i="4"/>
  <c r="L620" i="4"/>
  <c r="F620" i="4"/>
  <c r="D620" i="4"/>
  <c r="C620" i="4"/>
  <c r="B620" i="4"/>
  <c r="L619" i="4"/>
  <c r="F619" i="4"/>
  <c r="C619" i="4"/>
  <c r="D619" i="4" s="1"/>
  <c r="B619" i="4"/>
  <c r="L618" i="4"/>
  <c r="F618" i="4"/>
  <c r="D618" i="4"/>
  <c r="C618" i="4"/>
  <c r="B618" i="4"/>
  <c r="L617" i="4"/>
  <c r="F617" i="4"/>
  <c r="D617" i="4"/>
  <c r="C617" i="4"/>
  <c r="B617" i="4"/>
  <c r="L616" i="4"/>
  <c r="F616" i="4"/>
  <c r="C616" i="4"/>
  <c r="B616" i="4"/>
  <c r="D616" i="4" s="1"/>
  <c r="L615" i="4"/>
  <c r="F615" i="4"/>
  <c r="C615" i="4"/>
  <c r="B615" i="4"/>
  <c r="L614" i="4"/>
  <c r="F614" i="4"/>
  <c r="C614" i="4"/>
  <c r="D614" i="4" s="1"/>
  <c r="B614" i="4"/>
  <c r="L613" i="4"/>
  <c r="F613" i="4"/>
  <c r="D613" i="4"/>
  <c r="C613" i="4"/>
  <c r="B613" i="4"/>
  <c r="L612" i="4"/>
  <c r="F612" i="4"/>
  <c r="C612" i="4"/>
  <c r="B612" i="4"/>
  <c r="D612" i="4" s="1"/>
  <c r="L611" i="4"/>
  <c r="F611" i="4"/>
  <c r="C611" i="4"/>
  <c r="B611" i="4"/>
  <c r="L610" i="4"/>
  <c r="F610" i="4"/>
  <c r="C610" i="4"/>
  <c r="D610" i="4" s="1"/>
  <c r="B610" i="4"/>
  <c r="L609" i="4"/>
  <c r="F609" i="4"/>
  <c r="C609" i="4"/>
  <c r="D609" i="4" s="1"/>
  <c r="B609" i="4"/>
  <c r="L608" i="4"/>
  <c r="F608" i="4"/>
  <c r="D608" i="4"/>
  <c r="C608" i="4"/>
  <c r="B608" i="4"/>
  <c r="L607" i="4"/>
  <c r="F607" i="4"/>
  <c r="C607" i="4"/>
  <c r="D607" i="4" s="1"/>
  <c r="B607" i="4"/>
  <c r="L606" i="4"/>
  <c r="F606" i="4"/>
  <c r="C606" i="4"/>
  <c r="B606" i="4"/>
  <c r="D606" i="4" s="1"/>
  <c r="L605" i="4"/>
  <c r="F605" i="4"/>
  <c r="C605" i="4"/>
  <c r="D605" i="4" s="1"/>
  <c r="B605" i="4"/>
  <c r="L604" i="4"/>
  <c r="F604" i="4"/>
  <c r="D604" i="4"/>
  <c r="C604" i="4"/>
  <c r="B604" i="4"/>
  <c r="L603" i="4"/>
  <c r="F603" i="4"/>
  <c r="C603" i="4"/>
  <c r="D603" i="4" s="1"/>
  <c r="B603" i="4"/>
  <c r="L602" i="4"/>
  <c r="F602" i="4"/>
  <c r="D602" i="4"/>
  <c r="C602" i="4"/>
  <c r="B602" i="4"/>
  <c r="L601" i="4"/>
  <c r="F601" i="4"/>
  <c r="D601" i="4"/>
  <c r="C601" i="4"/>
  <c r="B601" i="4"/>
  <c r="L600" i="4"/>
  <c r="F600" i="4"/>
  <c r="C600" i="4"/>
  <c r="B600" i="4"/>
  <c r="D600" i="4" s="1"/>
  <c r="L599" i="4"/>
  <c r="F599" i="4"/>
  <c r="C599" i="4"/>
  <c r="B599" i="4"/>
  <c r="L598" i="4"/>
  <c r="F598" i="4"/>
  <c r="C598" i="4"/>
  <c r="D598" i="4" s="1"/>
  <c r="B598" i="4"/>
  <c r="L597" i="4"/>
  <c r="F597" i="4"/>
  <c r="D597" i="4"/>
  <c r="C597" i="4"/>
  <c r="B597" i="4"/>
  <c r="L596" i="4"/>
  <c r="F596" i="4"/>
  <c r="C596" i="4"/>
  <c r="B596" i="4"/>
  <c r="D596" i="4" s="1"/>
  <c r="L595" i="4"/>
  <c r="F595" i="4"/>
  <c r="C595" i="4"/>
  <c r="B595" i="4"/>
  <c r="L594" i="4"/>
  <c r="F594" i="4"/>
  <c r="C594" i="4"/>
  <c r="B594" i="4"/>
  <c r="L593" i="4"/>
  <c r="F593" i="4"/>
  <c r="C593" i="4"/>
  <c r="D593" i="4" s="1"/>
  <c r="B593" i="4"/>
  <c r="L592" i="4"/>
  <c r="F592" i="4"/>
  <c r="D592" i="4"/>
  <c r="C592" i="4"/>
  <c r="B592" i="4"/>
  <c r="L591" i="4"/>
  <c r="F591" i="4"/>
  <c r="C591" i="4"/>
  <c r="D591" i="4" s="1"/>
  <c r="B591" i="4"/>
  <c r="L590" i="4"/>
  <c r="F590" i="4"/>
  <c r="C590" i="4"/>
  <c r="B590" i="4"/>
  <c r="D590" i="4" s="1"/>
  <c r="L589" i="4"/>
  <c r="F589" i="4"/>
  <c r="C589" i="4"/>
  <c r="D589" i="4" s="1"/>
  <c r="B589" i="4"/>
  <c r="L588" i="4"/>
  <c r="F588" i="4"/>
  <c r="D588" i="4"/>
  <c r="C588" i="4"/>
  <c r="B588" i="4"/>
  <c r="L587" i="4"/>
  <c r="F587" i="4"/>
  <c r="C587" i="4"/>
  <c r="D587" i="4" s="1"/>
  <c r="B587" i="4"/>
  <c r="L586" i="4"/>
  <c r="F586" i="4"/>
  <c r="D586" i="4"/>
  <c r="C586" i="4"/>
  <c r="B586" i="4"/>
  <c r="L585" i="4"/>
  <c r="F585" i="4"/>
  <c r="D585" i="4"/>
  <c r="C585" i="4"/>
  <c r="B585" i="4"/>
  <c r="L584" i="4"/>
  <c r="F584" i="4"/>
  <c r="C584" i="4"/>
  <c r="B584" i="4"/>
  <c r="D584" i="4" s="1"/>
  <c r="L583" i="4"/>
  <c r="F583" i="4"/>
  <c r="C583" i="4"/>
  <c r="B583" i="4"/>
  <c r="L582" i="4"/>
  <c r="F582" i="4"/>
  <c r="C582" i="4"/>
  <c r="D582" i="4" s="1"/>
  <c r="B582" i="4"/>
  <c r="L581" i="4"/>
  <c r="F581" i="4"/>
  <c r="D581" i="4"/>
  <c r="C581" i="4"/>
  <c r="B581" i="4"/>
  <c r="L580" i="4"/>
  <c r="F580" i="4"/>
  <c r="C580" i="4"/>
  <c r="B580" i="4"/>
  <c r="D580" i="4" s="1"/>
  <c r="L579" i="4"/>
  <c r="F579" i="4"/>
  <c r="C579" i="4"/>
  <c r="B579" i="4"/>
  <c r="L578" i="4"/>
  <c r="F578" i="4"/>
  <c r="C578" i="4"/>
  <c r="B578" i="4"/>
  <c r="L577" i="4"/>
  <c r="F577" i="4"/>
  <c r="C577" i="4"/>
  <c r="D577" i="4" s="1"/>
  <c r="B577" i="4"/>
  <c r="L576" i="4"/>
  <c r="F576" i="4"/>
  <c r="D576" i="4"/>
  <c r="C576" i="4"/>
  <c r="B576" i="4"/>
  <c r="L575" i="4"/>
  <c r="F575" i="4"/>
  <c r="C575" i="4"/>
  <c r="D575" i="4" s="1"/>
  <c r="B575" i="4"/>
  <c r="L574" i="4"/>
  <c r="F574" i="4"/>
  <c r="C574" i="4"/>
  <c r="B574" i="4"/>
  <c r="D574" i="4" s="1"/>
  <c r="L573" i="4"/>
  <c r="F573" i="4"/>
  <c r="C573" i="4"/>
  <c r="D573" i="4" s="1"/>
  <c r="B573" i="4"/>
  <c r="L572" i="4"/>
  <c r="F572" i="4"/>
  <c r="D572" i="4"/>
  <c r="C572" i="4"/>
  <c r="B572" i="4"/>
  <c r="L571" i="4"/>
  <c r="F571" i="4"/>
  <c r="C571" i="4"/>
  <c r="D571" i="4" s="1"/>
  <c r="B571" i="4"/>
  <c r="L570" i="4"/>
  <c r="F570" i="4"/>
  <c r="D570" i="4"/>
  <c r="C570" i="4"/>
  <c r="B570" i="4"/>
  <c r="L569" i="4"/>
  <c r="F569" i="4"/>
  <c r="D569" i="4"/>
  <c r="C569" i="4"/>
  <c r="B569" i="4"/>
  <c r="L568" i="4"/>
  <c r="F568" i="4"/>
  <c r="C568" i="4"/>
  <c r="B568" i="4"/>
  <c r="D568" i="4" s="1"/>
  <c r="L567" i="4"/>
  <c r="F567" i="4"/>
  <c r="C567" i="4"/>
  <c r="B567" i="4"/>
  <c r="L566" i="4"/>
  <c r="F566" i="4"/>
  <c r="C566" i="4"/>
  <c r="D566" i="4" s="1"/>
  <c r="B566" i="4"/>
  <c r="L565" i="4"/>
  <c r="F565" i="4"/>
  <c r="D565" i="4"/>
  <c r="C565" i="4"/>
  <c r="B565" i="4"/>
  <c r="L564" i="4"/>
  <c r="F564" i="4"/>
  <c r="C564" i="4"/>
  <c r="B564" i="4"/>
  <c r="D564" i="4" s="1"/>
  <c r="L563" i="4"/>
  <c r="F563" i="4"/>
  <c r="C563" i="4"/>
  <c r="B563" i="4"/>
  <c r="L562" i="4"/>
  <c r="F562" i="4"/>
  <c r="C562" i="4"/>
  <c r="D562" i="4" s="1"/>
  <c r="B562" i="4"/>
  <c r="L561" i="4"/>
  <c r="F561" i="4"/>
  <c r="C561" i="4"/>
  <c r="D561" i="4" s="1"/>
  <c r="B561" i="4"/>
  <c r="L560" i="4"/>
  <c r="F560" i="4"/>
  <c r="D560" i="4"/>
  <c r="C560" i="4"/>
  <c r="B560" i="4"/>
  <c r="L559" i="4"/>
  <c r="F559" i="4"/>
  <c r="C559" i="4"/>
  <c r="D559" i="4" s="1"/>
  <c r="B559" i="4"/>
  <c r="L558" i="4"/>
  <c r="F558" i="4"/>
  <c r="C558" i="4"/>
  <c r="B558" i="4"/>
  <c r="D558" i="4" s="1"/>
  <c r="L557" i="4"/>
  <c r="F557" i="4"/>
  <c r="C557" i="4"/>
  <c r="D557" i="4" s="1"/>
  <c r="B557" i="4"/>
  <c r="L556" i="4"/>
  <c r="F556" i="4"/>
  <c r="D556" i="4"/>
  <c r="C556" i="4"/>
  <c r="B556" i="4"/>
  <c r="L555" i="4"/>
  <c r="F555" i="4"/>
  <c r="C555" i="4"/>
  <c r="D555" i="4" s="1"/>
  <c r="B555" i="4"/>
  <c r="L554" i="4"/>
  <c r="F554" i="4"/>
  <c r="D554" i="4"/>
  <c r="C554" i="4"/>
  <c r="B554" i="4"/>
  <c r="L553" i="4"/>
  <c r="F553" i="4"/>
  <c r="D553" i="4"/>
  <c r="C553" i="4"/>
  <c r="B553" i="4"/>
  <c r="L552" i="4"/>
  <c r="F552" i="4"/>
  <c r="C552" i="4"/>
  <c r="B552" i="4"/>
  <c r="D552" i="4" s="1"/>
  <c r="L551" i="4"/>
  <c r="F551" i="4"/>
  <c r="C551" i="4"/>
  <c r="B551" i="4"/>
  <c r="L550" i="4"/>
  <c r="F550" i="4"/>
  <c r="C550" i="4"/>
  <c r="D550" i="4" s="1"/>
  <c r="B550" i="4"/>
  <c r="L549" i="4"/>
  <c r="F549" i="4"/>
  <c r="D549" i="4"/>
  <c r="C549" i="4"/>
  <c r="B549" i="4"/>
  <c r="L548" i="4"/>
  <c r="F548" i="4"/>
  <c r="D548" i="4"/>
  <c r="C548" i="4"/>
  <c r="B548" i="4"/>
  <c r="L547" i="4"/>
  <c r="F547" i="4"/>
  <c r="C547" i="4"/>
  <c r="B547" i="4"/>
  <c r="L546" i="4"/>
  <c r="F546" i="4"/>
  <c r="C546" i="4"/>
  <c r="B546" i="4"/>
  <c r="L545" i="4"/>
  <c r="F545" i="4"/>
  <c r="C545" i="4"/>
  <c r="D545" i="4" s="1"/>
  <c r="B545" i="4"/>
  <c r="L544" i="4"/>
  <c r="F544" i="4"/>
  <c r="D544" i="4"/>
  <c r="C544" i="4"/>
  <c r="B544" i="4"/>
  <c r="L543" i="4"/>
  <c r="F543" i="4"/>
  <c r="C543" i="4"/>
  <c r="D543" i="4" s="1"/>
  <c r="B543" i="4"/>
  <c r="L542" i="4"/>
  <c r="F542" i="4"/>
  <c r="D542" i="4"/>
  <c r="C542" i="4"/>
  <c r="B542" i="4"/>
  <c r="L541" i="4"/>
  <c r="F541" i="4"/>
  <c r="C541" i="4"/>
  <c r="D541" i="4" s="1"/>
  <c r="B541" i="4"/>
  <c r="L540" i="4"/>
  <c r="F540" i="4"/>
  <c r="C540" i="4"/>
  <c r="B540" i="4"/>
  <c r="D540" i="4" s="1"/>
  <c r="L539" i="4"/>
  <c r="F539" i="4"/>
  <c r="C539" i="4"/>
  <c r="D539" i="4" s="1"/>
  <c r="B539" i="4"/>
  <c r="L538" i="4"/>
  <c r="F538" i="4"/>
  <c r="D538" i="4"/>
  <c r="C538" i="4"/>
  <c r="B538" i="4"/>
  <c r="L537" i="4"/>
  <c r="F537" i="4"/>
  <c r="D537" i="4"/>
  <c r="C537" i="4"/>
  <c r="B537" i="4"/>
  <c r="L536" i="4"/>
  <c r="F536" i="4"/>
  <c r="C536" i="4"/>
  <c r="B536" i="4"/>
  <c r="D536" i="4" s="1"/>
  <c r="L535" i="4"/>
  <c r="F535" i="4"/>
  <c r="C535" i="4"/>
  <c r="B535" i="4"/>
  <c r="L534" i="4"/>
  <c r="F534" i="4"/>
  <c r="C534" i="4"/>
  <c r="D534" i="4" s="1"/>
  <c r="B534" i="4"/>
  <c r="L533" i="4"/>
  <c r="F533" i="4"/>
  <c r="D533" i="4"/>
  <c r="C533" i="4"/>
  <c r="B533" i="4"/>
  <c r="L532" i="4"/>
  <c r="F532" i="4"/>
  <c r="D532" i="4"/>
  <c r="C532" i="4"/>
  <c r="B532" i="4"/>
  <c r="L531" i="4"/>
  <c r="F531" i="4"/>
  <c r="C531" i="4"/>
  <c r="B531" i="4"/>
  <c r="L530" i="4"/>
  <c r="F530" i="4"/>
  <c r="C530" i="4"/>
  <c r="D530" i="4" s="1"/>
  <c r="B530" i="4"/>
  <c r="L529" i="4"/>
  <c r="F529" i="4"/>
  <c r="C529" i="4"/>
  <c r="D529" i="4" s="1"/>
  <c r="B529" i="4"/>
  <c r="L528" i="4"/>
  <c r="F528" i="4"/>
  <c r="D528" i="4"/>
  <c r="C528" i="4"/>
  <c r="B528" i="4"/>
  <c r="L527" i="4"/>
  <c r="F527" i="4"/>
  <c r="C527" i="4"/>
  <c r="D527" i="4" s="1"/>
  <c r="B527" i="4"/>
  <c r="L526" i="4"/>
  <c r="F526" i="4"/>
  <c r="D526" i="4"/>
  <c r="C526" i="4"/>
  <c r="B526" i="4"/>
  <c r="L525" i="4"/>
  <c r="F525" i="4"/>
  <c r="C525" i="4"/>
  <c r="D525" i="4" s="1"/>
  <c r="B525" i="4"/>
  <c r="L524" i="4"/>
  <c r="F524" i="4"/>
  <c r="C524" i="4"/>
  <c r="B524" i="4"/>
  <c r="D524" i="4" s="1"/>
  <c r="L523" i="4"/>
  <c r="F523" i="4"/>
  <c r="C523" i="4"/>
  <c r="D523" i="4" s="1"/>
  <c r="B523" i="4"/>
  <c r="L522" i="4"/>
  <c r="F522" i="4"/>
  <c r="D522" i="4"/>
  <c r="C522" i="4"/>
  <c r="B522" i="4"/>
  <c r="L521" i="4"/>
  <c r="F521" i="4"/>
  <c r="D521" i="4"/>
  <c r="C521" i="4"/>
  <c r="B521" i="4"/>
  <c r="L520" i="4"/>
  <c r="F520" i="4"/>
  <c r="C520" i="4"/>
  <c r="B520" i="4"/>
  <c r="D520" i="4" s="1"/>
  <c r="L519" i="4"/>
  <c r="F519" i="4"/>
  <c r="C519" i="4"/>
  <c r="B519" i="4"/>
  <c r="L518" i="4"/>
  <c r="F518" i="4"/>
  <c r="C518" i="4"/>
  <c r="D518" i="4" s="1"/>
  <c r="B518" i="4"/>
  <c r="L517" i="4"/>
  <c r="F517" i="4"/>
  <c r="D517" i="4"/>
  <c r="C517" i="4"/>
  <c r="B517" i="4"/>
  <c r="L516" i="4"/>
  <c r="F516" i="4"/>
  <c r="D516" i="4"/>
  <c r="C516" i="4"/>
  <c r="B516" i="4"/>
  <c r="L515" i="4"/>
  <c r="F515" i="4"/>
  <c r="C515" i="4"/>
  <c r="B515" i="4"/>
  <c r="L514" i="4"/>
  <c r="F514" i="4"/>
  <c r="C514" i="4"/>
  <c r="B514" i="4"/>
  <c r="L513" i="4"/>
  <c r="F513" i="4"/>
  <c r="C513" i="4"/>
  <c r="D513" i="4" s="1"/>
  <c r="B513" i="4"/>
  <c r="L512" i="4"/>
  <c r="F512" i="4"/>
  <c r="D512" i="4"/>
  <c r="C512" i="4"/>
  <c r="B512" i="4"/>
  <c r="L511" i="4"/>
  <c r="F511" i="4"/>
  <c r="C511" i="4"/>
  <c r="D511" i="4" s="1"/>
  <c r="B511" i="4"/>
  <c r="L510" i="4"/>
  <c r="F510" i="4"/>
  <c r="D510" i="4"/>
  <c r="C510" i="4"/>
  <c r="B510" i="4"/>
  <c r="L509" i="4"/>
  <c r="F509" i="4"/>
  <c r="C509" i="4"/>
  <c r="D509" i="4" s="1"/>
  <c r="B509" i="4"/>
  <c r="L508" i="4"/>
  <c r="F508" i="4"/>
  <c r="C508" i="4"/>
  <c r="B508" i="4"/>
  <c r="D508" i="4" s="1"/>
  <c r="L507" i="4"/>
  <c r="F507" i="4"/>
  <c r="C507" i="4"/>
  <c r="D507" i="4" s="1"/>
  <c r="B507" i="4"/>
  <c r="L506" i="4"/>
  <c r="F506" i="4"/>
  <c r="D506" i="4"/>
  <c r="C506" i="4"/>
  <c r="B506" i="4"/>
  <c r="L505" i="4"/>
  <c r="F505" i="4"/>
  <c r="D505" i="4"/>
  <c r="C505" i="4"/>
  <c r="B505" i="4"/>
  <c r="L504" i="4"/>
  <c r="F504" i="4"/>
  <c r="C504" i="4"/>
  <c r="B504" i="4"/>
  <c r="D504" i="4" s="1"/>
  <c r="L503" i="4"/>
  <c r="F503" i="4"/>
  <c r="C503" i="4"/>
  <c r="B503" i="4"/>
  <c r="L502" i="4"/>
  <c r="F502" i="4"/>
  <c r="C502" i="4"/>
  <c r="B502" i="4"/>
  <c r="L501" i="4"/>
  <c r="F501" i="4"/>
  <c r="C501" i="4"/>
  <c r="D501" i="4" s="1"/>
  <c r="B501" i="4"/>
  <c r="L500" i="4"/>
  <c r="F500" i="4"/>
  <c r="D500" i="4"/>
  <c r="C500" i="4"/>
  <c r="B500" i="4"/>
  <c r="L499" i="4"/>
  <c r="F499" i="4"/>
  <c r="C499" i="4"/>
  <c r="B499" i="4"/>
  <c r="L498" i="4"/>
  <c r="F498" i="4"/>
  <c r="C498" i="4"/>
  <c r="D498" i="4" s="1"/>
  <c r="B498" i="4"/>
  <c r="L497" i="4"/>
  <c r="F497" i="4"/>
  <c r="C497" i="4"/>
  <c r="D497" i="4" s="1"/>
  <c r="B497" i="4"/>
  <c r="L496" i="4"/>
  <c r="F496" i="4"/>
  <c r="D496" i="4"/>
  <c r="C496" i="4"/>
  <c r="B496" i="4"/>
  <c r="L495" i="4"/>
  <c r="F495" i="4"/>
  <c r="C495" i="4"/>
  <c r="D495" i="4" s="1"/>
  <c r="B495" i="4"/>
  <c r="L494" i="4"/>
  <c r="F494" i="4"/>
  <c r="D494" i="4"/>
  <c r="C494" i="4"/>
  <c r="B494" i="4"/>
  <c r="L493" i="4"/>
  <c r="F493" i="4"/>
  <c r="C493" i="4"/>
  <c r="D493" i="4" s="1"/>
  <c r="B493" i="4"/>
  <c r="L492" i="4"/>
  <c r="F492" i="4"/>
  <c r="C492" i="4"/>
  <c r="B492" i="4"/>
  <c r="D492" i="4" s="1"/>
  <c r="L491" i="4"/>
  <c r="F491" i="4"/>
  <c r="C491" i="4"/>
  <c r="B491" i="4"/>
  <c r="L490" i="4"/>
  <c r="F490" i="4"/>
  <c r="C490" i="4"/>
  <c r="D490" i="4" s="1"/>
  <c r="B490" i="4"/>
  <c r="L489" i="4"/>
  <c r="F489" i="4"/>
  <c r="D489" i="4"/>
  <c r="C489" i="4"/>
  <c r="B489" i="4"/>
  <c r="L488" i="4"/>
  <c r="F488" i="4"/>
  <c r="C488" i="4"/>
  <c r="B488" i="4"/>
  <c r="D488" i="4" s="1"/>
  <c r="L487" i="4"/>
  <c r="F487" i="4"/>
  <c r="C487" i="4"/>
  <c r="B487" i="4"/>
  <c r="L486" i="4"/>
  <c r="F486" i="4"/>
  <c r="C486" i="4"/>
  <c r="D486" i="4" s="1"/>
  <c r="B486" i="4"/>
  <c r="L485" i="4"/>
  <c r="F485" i="4"/>
  <c r="D485" i="4"/>
  <c r="C485" i="4"/>
  <c r="B485" i="4"/>
  <c r="L484" i="4"/>
  <c r="F484" i="4"/>
  <c r="D484" i="4"/>
  <c r="C484" i="4"/>
  <c r="B484" i="4"/>
  <c r="L483" i="4"/>
  <c r="F483" i="4"/>
  <c r="C483" i="4"/>
  <c r="B483" i="4"/>
  <c r="L482" i="4"/>
  <c r="F482" i="4"/>
  <c r="C482" i="4"/>
  <c r="B482" i="4"/>
  <c r="L481" i="4"/>
  <c r="F481" i="4"/>
  <c r="C481" i="4"/>
  <c r="D481" i="4" s="1"/>
  <c r="B481" i="4"/>
  <c r="L480" i="4"/>
  <c r="F480" i="4"/>
  <c r="D480" i="4"/>
  <c r="C480" i="4"/>
  <c r="B480" i="4"/>
  <c r="L479" i="4"/>
  <c r="F479" i="4"/>
  <c r="C479" i="4"/>
  <c r="D479" i="4" s="1"/>
  <c r="B479" i="4"/>
  <c r="L478" i="4"/>
  <c r="F478" i="4"/>
  <c r="D478" i="4"/>
  <c r="C478" i="4"/>
  <c r="B478" i="4"/>
  <c r="L477" i="4"/>
  <c r="F477" i="4"/>
  <c r="C477" i="4"/>
  <c r="D477" i="4" s="1"/>
  <c r="B477" i="4"/>
  <c r="L476" i="4"/>
  <c r="F476" i="4"/>
  <c r="C476" i="4"/>
  <c r="B476" i="4"/>
  <c r="D476" i="4" s="1"/>
  <c r="L475" i="4"/>
  <c r="F475" i="4"/>
  <c r="C475" i="4"/>
  <c r="D475" i="4" s="1"/>
  <c r="B475" i="4"/>
  <c r="L474" i="4"/>
  <c r="F474" i="4"/>
  <c r="D474" i="4"/>
  <c r="C474" i="4"/>
  <c r="B474" i="4"/>
  <c r="L473" i="4"/>
  <c r="F473" i="4"/>
  <c r="D473" i="4"/>
  <c r="C473" i="4"/>
  <c r="B473" i="4"/>
  <c r="L472" i="4"/>
  <c r="F472" i="4"/>
  <c r="C472" i="4"/>
  <c r="B472" i="4"/>
  <c r="D472" i="4" s="1"/>
  <c r="L471" i="4"/>
  <c r="F471" i="4"/>
  <c r="C471" i="4"/>
  <c r="B471" i="4"/>
  <c r="L470" i="4"/>
  <c r="F470" i="4"/>
  <c r="C470" i="4"/>
  <c r="B470" i="4"/>
  <c r="L469" i="4"/>
  <c r="F469" i="4"/>
  <c r="C469" i="4"/>
  <c r="D469" i="4" s="1"/>
  <c r="B469" i="4"/>
  <c r="L468" i="4"/>
  <c r="F468" i="4"/>
  <c r="D468" i="4"/>
  <c r="C468" i="4"/>
  <c r="B468" i="4"/>
  <c r="L467" i="4"/>
  <c r="F467" i="4"/>
  <c r="C467" i="4"/>
  <c r="B467" i="4"/>
  <c r="L466" i="4"/>
  <c r="F466" i="4"/>
  <c r="C466" i="4"/>
  <c r="D466" i="4" s="1"/>
  <c r="B466" i="4"/>
  <c r="L465" i="4"/>
  <c r="F465" i="4"/>
  <c r="C465" i="4"/>
  <c r="D465" i="4" s="1"/>
  <c r="B465" i="4"/>
  <c r="L464" i="4"/>
  <c r="F464" i="4"/>
  <c r="D464" i="4"/>
  <c r="C464" i="4"/>
  <c r="B464" i="4"/>
  <c r="L463" i="4"/>
  <c r="F463" i="4"/>
  <c r="C463" i="4"/>
  <c r="D463" i="4" s="1"/>
  <c r="B463" i="4"/>
  <c r="L462" i="4"/>
  <c r="F462" i="4"/>
  <c r="D462" i="4"/>
  <c r="C462" i="4"/>
  <c r="B462" i="4"/>
  <c r="L461" i="4"/>
  <c r="F461" i="4"/>
  <c r="C461" i="4"/>
  <c r="D461" i="4" s="1"/>
  <c r="B461" i="4"/>
  <c r="L460" i="4"/>
  <c r="F460" i="4"/>
  <c r="C460" i="4"/>
  <c r="B460" i="4"/>
  <c r="D460" i="4" s="1"/>
  <c r="L459" i="4"/>
  <c r="F459" i="4"/>
  <c r="C459" i="4"/>
  <c r="B459" i="4"/>
  <c r="L458" i="4"/>
  <c r="F458" i="4"/>
  <c r="C458" i="4"/>
  <c r="D458" i="4" s="1"/>
  <c r="B458" i="4"/>
  <c r="L457" i="4"/>
  <c r="F457" i="4"/>
  <c r="D457" i="4"/>
  <c r="C457" i="4"/>
  <c r="B457" i="4"/>
  <c r="L456" i="4"/>
  <c r="F456" i="4"/>
  <c r="C456" i="4"/>
  <c r="B456" i="4"/>
  <c r="D456" i="4" s="1"/>
  <c r="L455" i="4"/>
  <c r="F455" i="4"/>
  <c r="C455" i="4"/>
  <c r="B455" i="4"/>
  <c r="L454" i="4"/>
  <c r="F454" i="4"/>
  <c r="C454" i="4"/>
  <c r="D454" i="4" s="1"/>
  <c r="B454" i="4"/>
  <c r="L453" i="4"/>
  <c r="F453" i="4"/>
  <c r="D453" i="4"/>
  <c r="C453" i="4"/>
  <c r="B453" i="4"/>
  <c r="L452" i="4"/>
  <c r="F452" i="4"/>
  <c r="D452" i="4"/>
  <c r="C452" i="4"/>
  <c r="B452" i="4"/>
  <c r="L451" i="4"/>
  <c r="F451" i="4"/>
  <c r="C451" i="4"/>
  <c r="B451" i="4"/>
  <c r="L450" i="4"/>
  <c r="F450" i="4"/>
  <c r="C450" i="4"/>
  <c r="B450" i="4"/>
  <c r="L449" i="4"/>
  <c r="F449" i="4"/>
  <c r="C449" i="4"/>
  <c r="D449" i="4" s="1"/>
  <c r="B449" i="4"/>
  <c r="L448" i="4"/>
  <c r="F448" i="4"/>
  <c r="D448" i="4"/>
  <c r="C448" i="4"/>
  <c r="B448" i="4"/>
  <c r="L447" i="4"/>
  <c r="F447" i="4"/>
  <c r="C447" i="4"/>
  <c r="D447" i="4" s="1"/>
  <c r="B447" i="4"/>
  <c r="L446" i="4"/>
  <c r="F446" i="4"/>
  <c r="D446" i="4"/>
  <c r="C446" i="4"/>
  <c r="B446" i="4"/>
  <c r="L445" i="4"/>
  <c r="F445" i="4"/>
  <c r="C445" i="4"/>
  <c r="D445" i="4" s="1"/>
  <c r="B445" i="4"/>
  <c r="L444" i="4"/>
  <c r="F444" i="4"/>
  <c r="C444" i="4"/>
  <c r="B444" i="4"/>
  <c r="D444" i="4" s="1"/>
  <c r="L443" i="4"/>
  <c r="F443" i="4"/>
  <c r="C443" i="4"/>
  <c r="D443" i="4" s="1"/>
  <c r="B443" i="4"/>
  <c r="L442" i="4"/>
  <c r="F442" i="4"/>
  <c r="D442" i="4"/>
  <c r="C442" i="4"/>
  <c r="B442" i="4"/>
  <c r="L441" i="4"/>
  <c r="F441" i="4"/>
  <c r="D441" i="4"/>
  <c r="C441" i="4"/>
  <c r="B441" i="4"/>
  <c r="L440" i="4"/>
  <c r="F440" i="4"/>
  <c r="C440" i="4"/>
  <c r="B440" i="4"/>
  <c r="D440" i="4" s="1"/>
  <c r="L439" i="4"/>
  <c r="F439" i="4"/>
  <c r="C439" i="4"/>
  <c r="B439" i="4"/>
  <c r="L438" i="4"/>
  <c r="F438" i="4"/>
  <c r="C438" i="4"/>
  <c r="B438" i="4"/>
  <c r="L437" i="4"/>
  <c r="F437" i="4"/>
  <c r="C437" i="4"/>
  <c r="D437" i="4" s="1"/>
  <c r="B437" i="4"/>
  <c r="L436" i="4"/>
  <c r="F436" i="4"/>
  <c r="D436" i="4"/>
  <c r="C436" i="4"/>
  <c r="B436" i="4"/>
  <c r="L435" i="4"/>
  <c r="F435" i="4"/>
  <c r="C435" i="4"/>
  <c r="B435" i="4"/>
  <c r="L434" i="4"/>
  <c r="F434" i="4"/>
  <c r="C434" i="4"/>
  <c r="D434" i="4" s="1"/>
  <c r="B434" i="4"/>
  <c r="L433" i="4"/>
  <c r="F433" i="4"/>
  <c r="C433" i="4"/>
  <c r="D433" i="4" s="1"/>
  <c r="B433" i="4"/>
  <c r="L432" i="4"/>
  <c r="F432" i="4"/>
  <c r="D432" i="4"/>
  <c r="C432" i="4"/>
  <c r="B432" i="4"/>
  <c r="L431" i="4"/>
  <c r="F431" i="4"/>
  <c r="C431" i="4"/>
  <c r="D431" i="4" s="1"/>
  <c r="B431" i="4"/>
  <c r="L430" i="4"/>
  <c r="F430" i="4"/>
  <c r="D430" i="4"/>
  <c r="C430" i="4"/>
  <c r="B430" i="4"/>
  <c r="L429" i="4"/>
  <c r="F429" i="4"/>
  <c r="C429" i="4"/>
  <c r="D429" i="4" s="1"/>
  <c r="B429" i="4"/>
  <c r="L428" i="4"/>
  <c r="F428" i="4"/>
  <c r="C428" i="4"/>
  <c r="B428" i="4"/>
  <c r="D428" i="4" s="1"/>
  <c r="L427" i="4"/>
  <c r="F427" i="4"/>
  <c r="C427" i="4"/>
  <c r="B427" i="4"/>
  <c r="L426" i="4"/>
  <c r="F426" i="4"/>
  <c r="C426" i="4"/>
  <c r="D426" i="4" s="1"/>
  <c r="B426" i="4"/>
  <c r="L425" i="4"/>
  <c r="F425" i="4"/>
  <c r="D425" i="4"/>
  <c r="C425" i="4"/>
  <c r="B425" i="4"/>
  <c r="L424" i="4"/>
  <c r="F424" i="4"/>
  <c r="C424" i="4"/>
  <c r="B424" i="4"/>
  <c r="D424" i="4" s="1"/>
  <c r="L423" i="4"/>
  <c r="F423" i="4"/>
  <c r="C423" i="4"/>
  <c r="D423" i="4" s="1"/>
  <c r="B423" i="4"/>
  <c r="L422" i="4"/>
  <c r="F422" i="4"/>
  <c r="C422" i="4"/>
  <c r="B422" i="4"/>
  <c r="D422" i="4" s="1"/>
  <c r="L421" i="4"/>
  <c r="F421" i="4"/>
  <c r="C421" i="4"/>
  <c r="D421" i="4" s="1"/>
  <c r="B421" i="4"/>
  <c r="L420" i="4"/>
  <c r="F420" i="4"/>
  <c r="D420" i="4"/>
  <c r="C420" i="4"/>
  <c r="B420" i="4"/>
  <c r="L419" i="4"/>
  <c r="F419" i="4"/>
  <c r="C419" i="4"/>
  <c r="B419" i="4"/>
  <c r="L418" i="4"/>
  <c r="F418" i="4"/>
  <c r="C418" i="4"/>
  <c r="D418" i="4" s="1"/>
  <c r="B418" i="4"/>
  <c r="L417" i="4"/>
  <c r="F417" i="4"/>
  <c r="D417" i="4"/>
  <c r="C417" i="4"/>
  <c r="B417" i="4"/>
  <c r="L416" i="4"/>
  <c r="F416" i="4"/>
  <c r="D416" i="4"/>
  <c r="C416" i="4"/>
  <c r="B416" i="4"/>
  <c r="L415" i="4"/>
  <c r="F415" i="4"/>
  <c r="C415" i="4"/>
  <c r="D415" i="4" s="1"/>
  <c r="B415" i="4"/>
  <c r="L414" i="4"/>
  <c r="F414" i="4"/>
  <c r="C414" i="4"/>
  <c r="B414" i="4"/>
  <c r="D414" i="4" s="1"/>
  <c r="L413" i="4"/>
  <c r="F413" i="4"/>
  <c r="C413" i="4"/>
  <c r="D413" i="4" s="1"/>
  <c r="B413" i="4"/>
  <c r="L412" i="4"/>
  <c r="F412" i="4"/>
  <c r="D412" i="4"/>
  <c r="C412" i="4"/>
  <c r="B412" i="4"/>
  <c r="L411" i="4"/>
  <c r="F411" i="4"/>
  <c r="C411" i="4"/>
  <c r="D411" i="4" s="1"/>
  <c r="B411" i="4"/>
  <c r="L410" i="4"/>
  <c r="F410" i="4"/>
  <c r="D410" i="4"/>
  <c r="C410" i="4"/>
  <c r="B410" i="4"/>
  <c r="L409" i="4"/>
  <c r="F409" i="4"/>
  <c r="D409" i="4"/>
  <c r="C409" i="4"/>
  <c r="B409" i="4"/>
  <c r="L408" i="4"/>
  <c r="F408" i="4"/>
  <c r="C408" i="4"/>
  <c r="B408" i="4"/>
  <c r="D408" i="4" s="1"/>
  <c r="L407" i="4"/>
  <c r="F407" i="4"/>
  <c r="C407" i="4"/>
  <c r="B407" i="4"/>
  <c r="L406" i="4"/>
  <c r="F406" i="4"/>
  <c r="C406" i="4"/>
  <c r="D406" i="4" s="1"/>
  <c r="B406" i="4"/>
  <c r="L405" i="4"/>
  <c r="F405" i="4"/>
  <c r="C405" i="4"/>
  <c r="D405" i="4" s="1"/>
  <c r="B405" i="4"/>
  <c r="L404" i="4"/>
  <c r="F404" i="4"/>
  <c r="D404" i="4"/>
  <c r="C404" i="4"/>
  <c r="B404" i="4"/>
  <c r="L403" i="4"/>
  <c r="F403" i="4"/>
  <c r="C403" i="4"/>
  <c r="B403" i="4"/>
  <c r="L402" i="4"/>
  <c r="F402" i="4"/>
  <c r="C402" i="4"/>
  <c r="D402" i="4" s="1"/>
  <c r="B402" i="4"/>
  <c r="L401" i="4"/>
  <c r="F401" i="4"/>
  <c r="C401" i="4"/>
  <c r="B401" i="4"/>
  <c r="D401" i="4" s="1"/>
  <c r="L400" i="4"/>
  <c r="F400" i="4"/>
  <c r="C400" i="4"/>
  <c r="D400" i="4" s="1"/>
  <c r="B400" i="4"/>
  <c r="L399" i="4"/>
  <c r="F399" i="4"/>
  <c r="D399" i="4"/>
  <c r="C399" i="4"/>
  <c r="B399" i="4"/>
  <c r="L398" i="4"/>
  <c r="F398" i="4"/>
  <c r="C398" i="4"/>
  <c r="D398" i="4" s="1"/>
  <c r="B398" i="4"/>
  <c r="L397" i="4"/>
  <c r="F397" i="4"/>
  <c r="D397" i="4"/>
  <c r="C397" i="4"/>
  <c r="B397" i="4"/>
  <c r="L396" i="4"/>
  <c r="F396" i="4"/>
  <c r="D396" i="4"/>
  <c r="C396" i="4"/>
  <c r="B396" i="4"/>
  <c r="L395" i="4"/>
  <c r="F395" i="4"/>
  <c r="C395" i="4"/>
  <c r="B395" i="4"/>
  <c r="D395" i="4" s="1"/>
  <c r="L394" i="4"/>
  <c r="F394" i="4"/>
  <c r="C394" i="4"/>
  <c r="B394" i="4"/>
  <c r="L393" i="4"/>
  <c r="F393" i="4"/>
  <c r="C393" i="4"/>
  <c r="D393" i="4" s="1"/>
  <c r="B393" i="4"/>
  <c r="L392" i="4"/>
  <c r="F392" i="4"/>
  <c r="D392" i="4"/>
  <c r="C392" i="4"/>
  <c r="B392" i="4"/>
  <c r="L391" i="4"/>
  <c r="F391" i="4"/>
  <c r="C391" i="4"/>
  <c r="B391" i="4"/>
  <c r="D391" i="4" s="1"/>
  <c r="L390" i="4"/>
  <c r="F390" i="4"/>
  <c r="C390" i="4"/>
  <c r="B390" i="4"/>
  <c r="L389" i="4"/>
  <c r="F389" i="4"/>
  <c r="C389" i="4"/>
  <c r="D389" i="4" s="1"/>
  <c r="B389" i="4"/>
  <c r="L388" i="4"/>
  <c r="F388" i="4"/>
  <c r="C388" i="4"/>
  <c r="D388" i="4" s="1"/>
  <c r="B388" i="4"/>
  <c r="L387" i="4"/>
  <c r="F387" i="4"/>
  <c r="D387" i="4"/>
  <c r="C387" i="4"/>
  <c r="B387" i="4"/>
  <c r="L386" i="4"/>
  <c r="F386" i="4"/>
  <c r="C386" i="4"/>
  <c r="D386" i="4" s="1"/>
  <c r="B386" i="4"/>
  <c r="L385" i="4"/>
  <c r="F385" i="4"/>
  <c r="C385" i="4"/>
  <c r="B385" i="4"/>
  <c r="D385" i="4" s="1"/>
  <c r="L384" i="4"/>
  <c r="F384" i="4"/>
  <c r="C384" i="4"/>
  <c r="D384" i="4" s="1"/>
  <c r="B384" i="4"/>
  <c r="L383" i="4"/>
  <c r="F383" i="4"/>
  <c r="D383" i="4"/>
  <c r="C383" i="4"/>
  <c r="B383" i="4"/>
  <c r="L382" i="4"/>
  <c r="F382" i="4"/>
  <c r="C382" i="4"/>
  <c r="D382" i="4" s="1"/>
  <c r="B382" i="4"/>
  <c r="L381" i="4"/>
  <c r="F381" i="4"/>
  <c r="D381" i="4"/>
  <c r="C381" i="4"/>
  <c r="B381" i="4"/>
  <c r="L380" i="4"/>
  <c r="F380" i="4"/>
  <c r="D380" i="4"/>
  <c r="C380" i="4"/>
  <c r="B380" i="4"/>
  <c r="L379" i="4"/>
  <c r="F379" i="4"/>
  <c r="C379" i="4"/>
  <c r="B379" i="4"/>
  <c r="D379" i="4" s="1"/>
  <c r="L378" i="4"/>
  <c r="F378" i="4"/>
  <c r="C378" i="4"/>
  <c r="B378" i="4"/>
  <c r="L377" i="4"/>
  <c r="F377" i="4"/>
  <c r="C377" i="4"/>
  <c r="D377" i="4" s="1"/>
  <c r="B377" i="4"/>
  <c r="L376" i="4"/>
  <c r="F376" i="4"/>
  <c r="D376" i="4"/>
  <c r="C376" i="4"/>
  <c r="B376" i="4"/>
  <c r="L375" i="4"/>
  <c r="F375" i="4"/>
  <c r="C375" i="4"/>
  <c r="B375" i="4"/>
  <c r="D375" i="4" s="1"/>
  <c r="L374" i="4"/>
  <c r="F374" i="4"/>
  <c r="C374" i="4"/>
  <c r="B374" i="4"/>
  <c r="L373" i="4"/>
  <c r="F373" i="4"/>
  <c r="C373" i="4"/>
  <c r="D373" i="4" s="1"/>
  <c r="B373" i="4"/>
  <c r="L372" i="4"/>
  <c r="F372" i="4"/>
  <c r="C372" i="4"/>
  <c r="D372" i="4" s="1"/>
  <c r="B372" i="4"/>
  <c r="L371" i="4"/>
  <c r="F371" i="4"/>
  <c r="D371" i="4"/>
  <c r="C371" i="4"/>
  <c r="B371" i="4"/>
  <c r="L370" i="4"/>
  <c r="F370" i="4"/>
  <c r="C370" i="4"/>
  <c r="D370" i="4" s="1"/>
  <c r="B370" i="4"/>
  <c r="L369" i="4"/>
  <c r="F369" i="4"/>
  <c r="C369" i="4"/>
  <c r="B369" i="4"/>
  <c r="D369" i="4" s="1"/>
  <c r="L368" i="4"/>
  <c r="F368" i="4"/>
  <c r="C368" i="4"/>
  <c r="D368" i="4" s="1"/>
  <c r="B368" i="4"/>
  <c r="L367" i="4"/>
  <c r="F367" i="4"/>
  <c r="D367" i="4"/>
  <c r="C367" i="4"/>
  <c r="B367" i="4"/>
  <c r="L366" i="4"/>
  <c r="F366" i="4"/>
  <c r="C366" i="4"/>
  <c r="D366" i="4" s="1"/>
  <c r="B366" i="4"/>
  <c r="L365" i="4"/>
  <c r="F365" i="4"/>
  <c r="D365" i="4"/>
  <c r="C365" i="4"/>
  <c r="B365" i="4"/>
  <c r="L364" i="4"/>
  <c r="F364" i="4"/>
  <c r="D364" i="4"/>
  <c r="C364" i="4"/>
  <c r="B364" i="4"/>
  <c r="L363" i="4"/>
  <c r="F363" i="4"/>
  <c r="C363" i="4"/>
  <c r="B363" i="4"/>
  <c r="D363" i="4" s="1"/>
  <c r="L362" i="4"/>
  <c r="F362" i="4"/>
  <c r="C362" i="4"/>
  <c r="B362" i="4"/>
  <c r="L361" i="4"/>
  <c r="F361" i="4"/>
  <c r="C361" i="4"/>
  <c r="D361" i="4" s="1"/>
  <c r="B361" i="4"/>
  <c r="L360" i="4"/>
  <c r="F360" i="4"/>
  <c r="D360" i="4"/>
  <c r="C360" i="4"/>
  <c r="B360" i="4"/>
  <c r="L359" i="4"/>
  <c r="F359" i="4"/>
  <c r="C359" i="4"/>
  <c r="B359" i="4"/>
  <c r="D359" i="4" s="1"/>
  <c r="L358" i="4"/>
  <c r="F358" i="4"/>
  <c r="C358" i="4"/>
  <c r="B358" i="4"/>
  <c r="L357" i="4"/>
  <c r="F357" i="4"/>
  <c r="C357" i="4"/>
  <c r="D357" i="4" s="1"/>
  <c r="B357" i="4"/>
  <c r="L356" i="4"/>
  <c r="F356" i="4"/>
  <c r="C356" i="4"/>
  <c r="D356" i="4" s="1"/>
  <c r="B356" i="4"/>
  <c r="L355" i="4"/>
  <c r="F355" i="4"/>
  <c r="D355" i="4"/>
  <c r="C355" i="4"/>
  <c r="B355" i="4"/>
  <c r="L354" i="4"/>
  <c r="F354" i="4"/>
  <c r="C354" i="4"/>
  <c r="D354" i="4" s="1"/>
  <c r="B354" i="4"/>
  <c r="L353" i="4"/>
  <c r="F353" i="4"/>
  <c r="C353" i="4"/>
  <c r="B353" i="4"/>
  <c r="D353" i="4" s="1"/>
  <c r="L352" i="4"/>
  <c r="F352" i="4"/>
  <c r="C352" i="4"/>
  <c r="D352" i="4" s="1"/>
  <c r="B352" i="4"/>
  <c r="L351" i="4"/>
  <c r="F351" i="4"/>
  <c r="D351" i="4"/>
  <c r="C351" i="4"/>
  <c r="B351" i="4"/>
  <c r="L350" i="4"/>
  <c r="F350" i="4"/>
  <c r="C350" i="4"/>
  <c r="D350" i="4" s="1"/>
  <c r="B350" i="4"/>
  <c r="L349" i="4"/>
  <c r="F349" i="4"/>
  <c r="D349" i="4"/>
  <c r="C349" i="4"/>
  <c r="B349" i="4"/>
  <c r="L348" i="4"/>
  <c r="F348" i="4"/>
  <c r="D348" i="4"/>
  <c r="C348" i="4"/>
  <c r="B348" i="4"/>
  <c r="L347" i="4"/>
  <c r="F347" i="4"/>
  <c r="C347" i="4"/>
  <c r="B347" i="4"/>
  <c r="D347" i="4" s="1"/>
  <c r="L346" i="4"/>
  <c r="F346" i="4"/>
  <c r="C346" i="4"/>
  <c r="B346" i="4"/>
  <c r="L345" i="4"/>
  <c r="F345" i="4"/>
  <c r="C345" i="4"/>
  <c r="D345" i="4" s="1"/>
  <c r="B345" i="4"/>
  <c r="L344" i="4"/>
  <c r="F344" i="4"/>
  <c r="D344" i="4"/>
  <c r="C344" i="4"/>
  <c r="B344" i="4"/>
  <c r="L343" i="4"/>
  <c r="F343" i="4"/>
  <c r="C343" i="4"/>
  <c r="B343" i="4"/>
  <c r="D343" i="4" s="1"/>
  <c r="L342" i="4"/>
  <c r="F342" i="4"/>
  <c r="C342" i="4"/>
  <c r="B342" i="4"/>
  <c r="L341" i="4"/>
  <c r="F341" i="4"/>
  <c r="C341" i="4"/>
  <c r="D341" i="4" s="1"/>
  <c r="B341" i="4"/>
  <c r="L340" i="4"/>
  <c r="F340" i="4"/>
  <c r="C340" i="4"/>
  <c r="D340" i="4" s="1"/>
  <c r="B340" i="4"/>
  <c r="L339" i="4"/>
  <c r="F339" i="4"/>
  <c r="D339" i="4"/>
  <c r="C339" i="4"/>
  <c r="B339" i="4"/>
  <c r="L338" i="4"/>
  <c r="F338" i="4"/>
  <c r="C338" i="4"/>
  <c r="D338" i="4" s="1"/>
  <c r="B338" i="4"/>
  <c r="L337" i="4"/>
  <c r="F337" i="4"/>
  <c r="C337" i="4"/>
  <c r="B337" i="4"/>
  <c r="D337" i="4" s="1"/>
  <c r="L336" i="4"/>
  <c r="F336" i="4"/>
  <c r="C336" i="4"/>
  <c r="D336" i="4" s="1"/>
  <c r="B336" i="4"/>
  <c r="L335" i="4"/>
  <c r="F335" i="4"/>
  <c r="D335" i="4"/>
  <c r="C335" i="4"/>
  <c r="B335" i="4"/>
  <c r="L334" i="4"/>
  <c r="F334" i="4"/>
  <c r="C334" i="4"/>
  <c r="D334" i="4" s="1"/>
  <c r="B334" i="4"/>
  <c r="L333" i="4"/>
  <c r="F333" i="4"/>
  <c r="D333" i="4"/>
  <c r="C333" i="4"/>
  <c r="B333" i="4"/>
  <c r="L332" i="4"/>
  <c r="F332" i="4"/>
  <c r="D332" i="4"/>
  <c r="C332" i="4"/>
  <c r="B332" i="4"/>
  <c r="L331" i="4"/>
  <c r="F331" i="4"/>
  <c r="C331" i="4"/>
  <c r="B331" i="4"/>
  <c r="D331" i="4" s="1"/>
  <c r="L330" i="4"/>
  <c r="F330" i="4"/>
  <c r="C330" i="4"/>
  <c r="B330" i="4"/>
  <c r="L329" i="4"/>
  <c r="F329" i="4"/>
  <c r="C329" i="4"/>
  <c r="D329" i="4" s="1"/>
  <c r="B329" i="4"/>
  <c r="L328" i="4"/>
  <c r="F328" i="4"/>
  <c r="D328" i="4"/>
  <c r="C328" i="4"/>
  <c r="B328" i="4"/>
  <c r="L327" i="4"/>
  <c r="F327" i="4"/>
  <c r="C327" i="4"/>
  <c r="B327" i="4"/>
  <c r="D327" i="4" s="1"/>
  <c r="L326" i="4"/>
  <c r="F326" i="4"/>
  <c r="C326" i="4"/>
  <c r="B326" i="4"/>
  <c r="L325" i="4"/>
  <c r="F325" i="4"/>
  <c r="C325" i="4"/>
  <c r="D325" i="4" s="1"/>
  <c r="B325" i="4"/>
  <c r="L324" i="4"/>
  <c r="F324" i="4"/>
  <c r="C324" i="4"/>
  <c r="D324" i="4" s="1"/>
  <c r="B324" i="4"/>
  <c r="L323" i="4"/>
  <c r="F323" i="4"/>
  <c r="D323" i="4"/>
  <c r="C323" i="4"/>
  <c r="B323" i="4"/>
  <c r="L322" i="4"/>
  <c r="F322" i="4"/>
  <c r="C322" i="4"/>
  <c r="D322" i="4" s="1"/>
  <c r="B322" i="4"/>
  <c r="L321" i="4"/>
  <c r="F321" i="4"/>
  <c r="C321" i="4"/>
  <c r="B321" i="4"/>
  <c r="D321" i="4" s="1"/>
  <c r="L320" i="4"/>
  <c r="F320" i="4"/>
  <c r="C320" i="4"/>
  <c r="D320" i="4" s="1"/>
  <c r="B320" i="4"/>
  <c r="L319" i="4"/>
  <c r="F319" i="4"/>
  <c r="D319" i="4"/>
  <c r="C319" i="4"/>
  <c r="B319" i="4"/>
  <c r="L318" i="4"/>
  <c r="F318" i="4"/>
  <c r="C318" i="4"/>
  <c r="D318" i="4" s="1"/>
  <c r="B318" i="4"/>
  <c r="L317" i="4"/>
  <c r="F317" i="4"/>
  <c r="D317" i="4"/>
  <c r="C317" i="4"/>
  <c r="B317" i="4"/>
  <c r="L316" i="4"/>
  <c r="F316" i="4"/>
  <c r="D316" i="4"/>
  <c r="C316" i="4"/>
  <c r="B316" i="4"/>
  <c r="L315" i="4"/>
  <c r="F315" i="4"/>
  <c r="C315" i="4"/>
  <c r="B315" i="4"/>
  <c r="D315" i="4" s="1"/>
  <c r="L314" i="4"/>
  <c r="F314" i="4"/>
  <c r="C314" i="4"/>
  <c r="B314" i="4"/>
  <c r="L313" i="4"/>
  <c r="F313" i="4"/>
  <c r="C313" i="4"/>
  <c r="D313" i="4" s="1"/>
  <c r="B313" i="4"/>
  <c r="L312" i="4"/>
  <c r="F312" i="4"/>
  <c r="D312" i="4"/>
  <c r="C312" i="4"/>
  <c r="B312" i="4"/>
  <c r="L311" i="4"/>
  <c r="F311" i="4"/>
  <c r="C311" i="4"/>
  <c r="B311" i="4"/>
  <c r="D311" i="4" s="1"/>
  <c r="L310" i="4"/>
  <c r="F310" i="4"/>
  <c r="C310" i="4"/>
  <c r="B310" i="4"/>
  <c r="L309" i="4"/>
  <c r="F309" i="4"/>
  <c r="C309" i="4"/>
  <c r="D309" i="4" s="1"/>
  <c r="B309" i="4"/>
  <c r="L308" i="4"/>
  <c r="F308" i="4"/>
  <c r="C308" i="4"/>
  <c r="D308" i="4" s="1"/>
  <c r="B308" i="4"/>
  <c r="L307" i="4"/>
  <c r="F307" i="4"/>
  <c r="D307" i="4"/>
  <c r="C307" i="4"/>
  <c r="B307" i="4"/>
  <c r="L306" i="4"/>
  <c r="F306" i="4"/>
  <c r="C306" i="4"/>
  <c r="D306" i="4" s="1"/>
  <c r="B306" i="4"/>
  <c r="L305" i="4"/>
  <c r="F305" i="4"/>
  <c r="C305" i="4"/>
  <c r="B305" i="4"/>
  <c r="D305" i="4" s="1"/>
  <c r="L304" i="4"/>
  <c r="F304" i="4"/>
  <c r="C304" i="4"/>
  <c r="D304" i="4" s="1"/>
  <c r="B304" i="4"/>
  <c r="L303" i="4"/>
  <c r="F303" i="4"/>
  <c r="D303" i="4"/>
  <c r="C303" i="4"/>
  <c r="B303" i="4"/>
  <c r="L302" i="4"/>
  <c r="F302" i="4"/>
  <c r="C302" i="4"/>
  <c r="D302" i="4" s="1"/>
  <c r="B302" i="4"/>
  <c r="L301" i="4"/>
  <c r="F301" i="4"/>
  <c r="D301" i="4"/>
  <c r="C301" i="4"/>
  <c r="B301" i="4"/>
  <c r="L300" i="4"/>
  <c r="F300" i="4"/>
  <c r="D300" i="4"/>
  <c r="C300" i="4"/>
  <c r="B300" i="4"/>
  <c r="L299" i="4"/>
  <c r="F299" i="4"/>
  <c r="C299" i="4"/>
  <c r="B299" i="4"/>
  <c r="D299" i="4" s="1"/>
  <c r="L298" i="4"/>
  <c r="F298" i="4"/>
  <c r="C298" i="4"/>
  <c r="B298" i="4"/>
  <c r="L297" i="4"/>
  <c r="F297" i="4"/>
  <c r="C297" i="4"/>
  <c r="D297" i="4" s="1"/>
  <c r="B297" i="4"/>
  <c r="L296" i="4"/>
  <c r="F296" i="4"/>
  <c r="D296" i="4"/>
  <c r="C296" i="4"/>
  <c r="B296" i="4"/>
  <c r="L295" i="4"/>
  <c r="F295" i="4"/>
  <c r="C295" i="4"/>
  <c r="B295" i="4"/>
  <c r="D295" i="4" s="1"/>
  <c r="L294" i="4"/>
  <c r="F294" i="4"/>
  <c r="C294" i="4"/>
  <c r="B294" i="4"/>
  <c r="L293" i="4"/>
  <c r="F293" i="4"/>
  <c r="C293" i="4"/>
  <c r="D293" i="4" s="1"/>
  <c r="B293" i="4"/>
  <c r="L292" i="4"/>
  <c r="F292" i="4"/>
  <c r="C292" i="4"/>
  <c r="D292" i="4" s="1"/>
  <c r="B292" i="4"/>
  <c r="L291" i="4"/>
  <c r="F291" i="4"/>
  <c r="D291" i="4"/>
  <c r="C291" i="4"/>
  <c r="B291" i="4"/>
  <c r="L290" i="4"/>
  <c r="F290" i="4"/>
  <c r="C290" i="4"/>
  <c r="D290" i="4" s="1"/>
  <c r="B290" i="4"/>
  <c r="L289" i="4"/>
  <c r="F289" i="4"/>
  <c r="C289" i="4"/>
  <c r="B289" i="4"/>
  <c r="D289" i="4" s="1"/>
  <c r="L288" i="4"/>
  <c r="F288" i="4"/>
  <c r="C288" i="4"/>
  <c r="D288" i="4" s="1"/>
  <c r="B288" i="4"/>
  <c r="L287" i="4"/>
  <c r="F287" i="4"/>
  <c r="D287" i="4"/>
  <c r="C287" i="4"/>
  <c r="B287" i="4"/>
  <c r="L286" i="4"/>
  <c r="F286" i="4"/>
  <c r="C286" i="4"/>
  <c r="D286" i="4" s="1"/>
  <c r="B286" i="4"/>
  <c r="L285" i="4"/>
  <c r="F285" i="4"/>
  <c r="D285" i="4"/>
  <c r="C285" i="4"/>
  <c r="B285" i="4"/>
  <c r="L284" i="4"/>
  <c r="F284" i="4"/>
  <c r="D284" i="4"/>
  <c r="C284" i="4"/>
  <c r="B284" i="4"/>
  <c r="L283" i="4"/>
  <c r="F283" i="4"/>
  <c r="C283" i="4"/>
  <c r="B283" i="4"/>
  <c r="D283" i="4" s="1"/>
  <c r="L282" i="4"/>
  <c r="F282" i="4"/>
  <c r="C282" i="4"/>
  <c r="B282" i="4"/>
  <c r="L281" i="4"/>
  <c r="F281" i="4"/>
  <c r="C281" i="4"/>
  <c r="D281" i="4" s="1"/>
  <c r="B281" i="4"/>
  <c r="L280" i="4"/>
  <c r="F280" i="4"/>
  <c r="D280" i="4"/>
  <c r="C280" i="4"/>
  <c r="B280" i="4"/>
  <c r="L279" i="4"/>
  <c r="F279" i="4"/>
  <c r="C279" i="4"/>
  <c r="B279" i="4"/>
  <c r="D279" i="4" s="1"/>
  <c r="L278" i="4"/>
  <c r="F278" i="4"/>
  <c r="C278" i="4"/>
  <c r="B278" i="4"/>
  <c r="L277" i="4"/>
  <c r="F277" i="4"/>
  <c r="C277" i="4"/>
  <c r="D277" i="4" s="1"/>
  <c r="B277" i="4"/>
  <c r="L276" i="4"/>
  <c r="F276" i="4"/>
  <c r="C276" i="4"/>
  <c r="D276" i="4" s="1"/>
  <c r="B276" i="4"/>
  <c r="L275" i="4"/>
  <c r="F275" i="4"/>
  <c r="D275" i="4"/>
  <c r="C275" i="4"/>
  <c r="B275" i="4"/>
  <c r="L274" i="4"/>
  <c r="F274" i="4"/>
  <c r="C274" i="4"/>
  <c r="D274" i="4" s="1"/>
  <c r="B274" i="4"/>
  <c r="L273" i="4"/>
  <c r="F273" i="4"/>
  <c r="C273" i="4"/>
  <c r="B273" i="4"/>
  <c r="D273" i="4" s="1"/>
  <c r="L272" i="4"/>
  <c r="F272" i="4"/>
  <c r="C272" i="4"/>
  <c r="D272" i="4" s="1"/>
  <c r="B272" i="4"/>
  <c r="L271" i="4"/>
  <c r="F271" i="4"/>
  <c r="D271" i="4"/>
  <c r="C271" i="4"/>
  <c r="B271" i="4"/>
  <c r="L270" i="4"/>
  <c r="F270" i="4"/>
  <c r="C270" i="4"/>
  <c r="D270" i="4" s="1"/>
  <c r="B270" i="4"/>
  <c r="L269" i="4"/>
  <c r="F269" i="4"/>
  <c r="D269" i="4"/>
  <c r="C269" i="4"/>
  <c r="B269" i="4"/>
  <c r="L268" i="4"/>
  <c r="F268" i="4"/>
  <c r="D268" i="4"/>
  <c r="C268" i="4"/>
  <c r="B268" i="4"/>
  <c r="L267" i="4"/>
  <c r="F267" i="4"/>
  <c r="C267" i="4"/>
  <c r="B267" i="4"/>
  <c r="D267" i="4" s="1"/>
  <c r="L266" i="4"/>
  <c r="F266" i="4"/>
  <c r="C266" i="4"/>
  <c r="B266" i="4"/>
  <c r="L265" i="4"/>
  <c r="F265" i="4"/>
  <c r="C265" i="4"/>
  <c r="D265" i="4" s="1"/>
  <c r="B265" i="4"/>
  <c r="L264" i="4"/>
  <c r="F264" i="4"/>
  <c r="D264" i="4"/>
  <c r="C264" i="4"/>
  <c r="B264" i="4"/>
  <c r="L263" i="4"/>
  <c r="F263" i="4"/>
  <c r="C263" i="4"/>
  <c r="B263" i="4"/>
  <c r="D263" i="4" s="1"/>
  <c r="L262" i="4"/>
  <c r="F262" i="4"/>
  <c r="C262" i="4"/>
  <c r="B262" i="4"/>
  <c r="L261" i="4"/>
  <c r="F261" i="4"/>
  <c r="C261" i="4"/>
  <c r="D261" i="4" s="1"/>
  <c r="B261" i="4"/>
  <c r="L260" i="4"/>
  <c r="F260" i="4"/>
  <c r="C260" i="4"/>
  <c r="D260" i="4" s="1"/>
  <c r="B260" i="4"/>
  <c r="L259" i="4"/>
  <c r="F259" i="4"/>
  <c r="D259" i="4"/>
  <c r="C259" i="4"/>
  <c r="B259" i="4"/>
  <c r="L258" i="4"/>
  <c r="F258" i="4"/>
  <c r="C258" i="4"/>
  <c r="D258" i="4" s="1"/>
  <c r="B258" i="4"/>
  <c r="L257" i="4"/>
  <c r="F257" i="4"/>
  <c r="C257" i="4"/>
  <c r="B257" i="4"/>
  <c r="D257" i="4" s="1"/>
  <c r="L256" i="4"/>
  <c r="F256" i="4"/>
  <c r="C256" i="4"/>
  <c r="D256" i="4" s="1"/>
  <c r="B256" i="4"/>
  <c r="L255" i="4"/>
  <c r="F255" i="4"/>
  <c r="D255" i="4"/>
  <c r="C255" i="4"/>
  <c r="B255" i="4"/>
  <c r="L254" i="4"/>
  <c r="F254" i="4"/>
  <c r="C254" i="4"/>
  <c r="D254" i="4" s="1"/>
  <c r="B254" i="4"/>
  <c r="L253" i="4"/>
  <c r="F253" i="4"/>
  <c r="D253" i="4"/>
  <c r="C253" i="4"/>
  <c r="B253" i="4"/>
  <c r="L252" i="4"/>
  <c r="F252" i="4"/>
  <c r="D252" i="4"/>
  <c r="C252" i="4"/>
  <c r="B252" i="4"/>
  <c r="L251" i="4"/>
  <c r="F251" i="4"/>
  <c r="C251" i="4"/>
  <c r="B251" i="4"/>
  <c r="D251" i="4" s="1"/>
  <c r="L250" i="4"/>
  <c r="F250" i="4"/>
  <c r="C250" i="4"/>
  <c r="B250" i="4"/>
  <c r="L249" i="4"/>
  <c r="F249" i="4"/>
  <c r="C249" i="4"/>
  <c r="D249" i="4" s="1"/>
  <c r="B249" i="4"/>
  <c r="L248" i="4"/>
  <c r="F248" i="4"/>
  <c r="D248" i="4"/>
  <c r="C248" i="4"/>
  <c r="B248" i="4"/>
  <c r="L247" i="4"/>
  <c r="F247" i="4"/>
  <c r="C247" i="4"/>
  <c r="B247" i="4"/>
  <c r="D247" i="4" s="1"/>
  <c r="L246" i="4"/>
  <c r="F246" i="4"/>
  <c r="C246" i="4"/>
  <c r="B246" i="4"/>
  <c r="L245" i="4"/>
  <c r="F245" i="4"/>
  <c r="C245" i="4"/>
  <c r="D245" i="4" s="1"/>
  <c r="B245" i="4"/>
  <c r="L244" i="4"/>
  <c r="F244" i="4"/>
  <c r="C244" i="4"/>
  <c r="D244" i="4" s="1"/>
  <c r="B244" i="4"/>
  <c r="L243" i="4"/>
  <c r="F243" i="4"/>
  <c r="D243" i="4"/>
  <c r="C243" i="4"/>
  <c r="B243" i="4"/>
  <c r="L242" i="4"/>
  <c r="F242" i="4"/>
  <c r="C242" i="4"/>
  <c r="B242" i="4"/>
  <c r="D242" i="4" s="1"/>
  <c r="L241" i="4"/>
  <c r="F241" i="4"/>
  <c r="C241" i="4"/>
  <c r="D241" i="4" s="1"/>
  <c r="B241" i="4"/>
  <c r="L240" i="4"/>
  <c r="F240" i="4"/>
  <c r="C240" i="4"/>
  <c r="D240" i="4" s="1"/>
  <c r="B240" i="4"/>
  <c r="L239" i="4"/>
  <c r="F239" i="4"/>
  <c r="D239" i="4"/>
  <c r="C239" i="4"/>
  <c r="B239" i="4"/>
  <c r="L238" i="4"/>
  <c r="F238" i="4"/>
  <c r="C238" i="4"/>
  <c r="B238" i="4"/>
  <c r="D238" i="4" s="1"/>
  <c r="L237" i="4"/>
  <c r="F237" i="4"/>
  <c r="C237" i="4"/>
  <c r="D237" i="4" s="1"/>
  <c r="B237" i="4"/>
  <c r="L236" i="4"/>
  <c r="F236" i="4"/>
  <c r="C236" i="4"/>
  <c r="D236" i="4" s="1"/>
  <c r="B236" i="4"/>
  <c r="L235" i="4"/>
  <c r="F235" i="4"/>
  <c r="D235" i="4"/>
  <c r="C235" i="4"/>
  <c r="B235" i="4"/>
  <c r="L234" i="4"/>
  <c r="F234" i="4"/>
  <c r="C234" i="4"/>
  <c r="B234" i="4"/>
  <c r="D234" i="4" s="1"/>
  <c r="L233" i="4"/>
  <c r="F233" i="4"/>
  <c r="C233" i="4"/>
  <c r="D233" i="4" s="1"/>
  <c r="B233" i="4"/>
  <c r="L232" i="4"/>
  <c r="F232" i="4"/>
  <c r="C232" i="4"/>
  <c r="D232" i="4" s="1"/>
  <c r="B232" i="4"/>
  <c r="L231" i="4"/>
  <c r="F231" i="4"/>
  <c r="D231" i="4"/>
  <c r="C231" i="4"/>
  <c r="B231" i="4"/>
  <c r="L230" i="4"/>
  <c r="F230" i="4"/>
  <c r="C230" i="4"/>
  <c r="B230" i="4"/>
  <c r="D230" i="4" s="1"/>
  <c r="L229" i="4"/>
  <c r="F229" i="4"/>
  <c r="C229" i="4"/>
  <c r="D229" i="4" s="1"/>
  <c r="B229" i="4"/>
  <c r="L228" i="4"/>
  <c r="F228" i="4"/>
  <c r="C228" i="4"/>
  <c r="D228" i="4" s="1"/>
  <c r="B228" i="4"/>
  <c r="L227" i="4"/>
  <c r="F227" i="4"/>
  <c r="D227" i="4"/>
  <c r="C227" i="4"/>
  <c r="B227" i="4"/>
  <c r="L226" i="4"/>
  <c r="F226" i="4"/>
  <c r="C226" i="4"/>
  <c r="B226" i="4"/>
  <c r="D226" i="4" s="1"/>
  <c r="L225" i="4"/>
  <c r="F225" i="4"/>
  <c r="C225" i="4"/>
  <c r="D225" i="4" s="1"/>
  <c r="B225" i="4"/>
  <c r="L224" i="4"/>
  <c r="F224" i="4"/>
  <c r="C224" i="4"/>
  <c r="D224" i="4" s="1"/>
  <c r="B224" i="4"/>
  <c r="L223" i="4"/>
  <c r="F223" i="4"/>
  <c r="D223" i="4"/>
  <c r="C223" i="4"/>
  <c r="B223" i="4"/>
  <c r="L222" i="4"/>
  <c r="F222" i="4"/>
  <c r="C222" i="4"/>
  <c r="B222" i="4"/>
  <c r="D222" i="4" s="1"/>
  <c r="L221" i="4"/>
  <c r="F221" i="4"/>
  <c r="C221" i="4"/>
  <c r="D221" i="4" s="1"/>
  <c r="B221" i="4"/>
  <c r="L220" i="4"/>
  <c r="F220" i="4"/>
  <c r="C220" i="4"/>
  <c r="D220" i="4" s="1"/>
  <c r="B220" i="4"/>
  <c r="L219" i="4"/>
  <c r="F219" i="4"/>
  <c r="D219" i="4"/>
  <c r="C219" i="4"/>
  <c r="B219" i="4"/>
  <c r="L218" i="4"/>
  <c r="F218" i="4"/>
  <c r="C218" i="4"/>
  <c r="B218" i="4"/>
  <c r="D218" i="4" s="1"/>
  <c r="L217" i="4"/>
  <c r="F217" i="4"/>
  <c r="C217" i="4"/>
  <c r="D217" i="4" s="1"/>
  <c r="B217" i="4"/>
  <c r="L216" i="4"/>
  <c r="F216" i="4"/>
  <c r="C216" i="4"/>
  <c r="D216" i="4" s="1"/>
  <c r="B216" i="4"/>
  <c r="L215" i="4"/>
  <c r="F215" i="4"/>
  <c r="D215" i="4"/>
  <c r="C215" i="4"/>
  <c r="B215" i="4"/>
  <c r="L214" i="4"/>
  <c r="F214" i="4"/>
  <c r="C214" i="4"/>
  <c r="B214" i="4"/>
  <c r="D214" i="4" s="1"/>
  <c r="L213" i="4"/>
  <c r="F213" i="4"/>
  <c r="C213" i="4"/>
  <c r="D213" i="4" s="1"/>
  <c r="B213" i="4"/>
  <c r="L212" i="4"/>
  <c r="F212" i="4"/>
  <c r="C212" i="4"/>
  <c r="D212" i="4" s="1"/>
  <c r="B212" i="4"/>
  <c r="L211" i="4"/>
  <c r="F211" i="4"/>
  <c r="D211" i="4"/>
  <c r="C211" i="4"/>
  <c r="B211" i="4"/>
  <c r="L210" i="4"/>
  <c r="F210" i="4"/>
  <c r="C210" i="4"/>
  <c r="B210" i="4"/>
  <c r="D210" i="4" s="1"/>
  <c r="L209" i="4"/>
  <c r="F209" i="4"/>
  <c r="C209" i="4"/>
  <c r="D209" i="4" s="1"/>
  <c r="B209" i="4"/>
  <c r="L208" i="4"/>
  <c r="F208" i="4"/>
  <c r="C208" i="4"/>
  <c r="D208" i="4" s="1"/>
  <c r="B208" i="4"/>
  <c r="L207" i="4"/>
  <c r="F207" i="4"/>
  <c r="D207" i="4"/>
  <c r="C207" i="4"/>
  <c r="B207" i="4"/>
  <c r="L206" i="4"/>
  <c r="F206" i="4"/>
  <c r="C206" i="4"/>
  <c r="B206" i="4"/>
  <c r="D206" i="4" s="1"/>
  <c r="L205" i="4"/>
  <c r="F205" i="4"/>
  <c r="C205" i="4"/>
  <c r="D205" i="4" s="1"/>
  <c r="B205" i="4"/>
  <c r="L204" i="4"/>
  <c r="F204" i="4"/>
  <c r="C204" i="4"/>
  <c r="D204" i="4" s="1"/>
  <c r="B204" i="4"/>
  <c r="L203" i="4"/>
  <c r="F203" i="4"/>
  <c r="D203" i="4"/>
  <c r="C203" i="4"/>
  <c r="B203" i="4"/>
  <c r="L202" i="4"/>
  <c r="F202" i="4"/>
  <c r="C202" i="4"/>
  <c r="B202" i="4"/>
  <c r="D202" i="4" s="1"/>
  <c r="L201" i="4"/>
  <c r="F201" i="4"/>
  <c r="C201" i="4"/>
  <c r="D201" i="4" s="1"/>
  <c r="B201" i="4"/>
  <c r="L200" i="4"/>
  <c r="F200" i="4"/>
  <c r="C200" i="4"/>
  <c r="D200" i="4" s="1"/>
  <c r="B200" i="4"/>
  <c r="L199" i="4"/>
  <c r="F199" i="4"/>
  <c r="D199" i="4"/>
  <c r="C199" i="4"/>
  <c r="B199" i="4"/>
  <c r="L198" i="4"/>
  <c r="F198" i="4"/>
  <c r="C198" i="4"/>
  <c r="B198" i="4"/>
  <c r="D198" i="4" s="1"/>
  <c r="L197" i="4"/>
  <c r="F197" i="4"/>
  <c r="C197" i="4"/>
  <c r="D197" i="4" s="1"/>
  <c r="B197" i="4"/>
  <c r="L196" i="4"/>
  <c r="F196" i="4"/>
  <c r="C196" i="4"/>
  <c r="D196" i="4" s="1"/>
  <c r="B196" i="4"/>
  <c r="L195" i="4"/>
  <c r="F195" i="4"/>
  <c r="D195" i="4"/>
  <c r="C195" i="4"/>
  <c r="B195" i="4"/>
  <c r="L194" i="4"/>
  <c r="F194" i="4"/>
  <c r="C194" i="4"/>
  <c r="B194" i="4"/>
  <c r="D194" i="4" s="1"/>
  <c r="L193" i="4"/>
  <c r="F193" i="4"/>
  <c r="C193" i="4"/>
  <c r="D193" i="4" s="1"/>
  <c r="B193" i="4"/>
  <c r="L192" i="4"/>
  <c r="F192" i="4"/>
  <c r="C192" i="4"/>
  <c r="D192" i="4" s="1"/>
  <c r="B192" i="4"/>
  <c r="L191" i="4"/>
  <c r="F191" i="4"/>
  <c r="D191" i="4"/>
  <c r="C191" i="4"/>
  <c r="B191" i="4"/>
  <c r="L190" i="4"/>
  <c r="F190" i="4"/>
  <c r="C190" i="4"/>
  <c r="B190" i="4"/>
  <c r="D190" i="4" s="1"/>
  <c r="L189" i="4"/>
  <c r="F189" i="4"/>
  <c r="C189" i="4"/>
  <c r="D189" i="4" s="1"/>
  <c r="B189" i="4"/>
  <c r="L188" i="4"/>
  <c r="F188" i="4"/>
  <c r="C188" i="4"/>
  <c r="D188" i="4" s="1"/>
  <c r="B188" i="4"/>
  <c r="L187" i="4"/>
  <c r="F187" i="4"/>
  <c r="D187" i="4"/>
  <c r="C187" i="4"/>
  <c r="B187" i="4"/>
  <c r="L186" i="4"/>
  <c r="F186" i="4"/>
  <c r="C186" i="4"/>
  <c r="B186" i="4"/>
  <c r="D186" i="4" s="1"/>
  <c r="L185" i="4"/>
  <c r="F185" i="4"/>
  <c r="C185" i="4"/>
  <c r="D185" i="4" s="1"/>
  <c r="B185" i="4"/>
  <c r="L184" i="4"/>
  <c r="F184" i="4"/>
  <c r="C184" i="4"/>
  <c r="D184" i="4" s="1"/>
  <c r="B184" i="4"/>
  <c r="L183" i="4"/>
  <c r="F183" i="4"/>
  <c r="D183" i="4"/>
  <c r="C183" i="4"/>
  <c r="B183" i="4"/>
  <c r="L182" i="4"/>
  <c r="F182" i="4"/>
  <c r="C182" i="4"/>
  <c r="B182" i="4"/>
  <c r="D182" i="4" s="1"/>
  <c r="L181" i="4"/>
  <c r="F181" i="4"/>
  <c r="C181" i="4"/>
  <c r="D181" i="4" s="1"/>
  <c r="B181" i="4"/>
  <c r="L180" i="4"/>
  <c r="F180" i="4"/>
  <c r="C180" i="4"/>
  <c r="D180" i="4" s="1"/>
  <c r="B180" i="4"/>
  <c r="L179" i="4"/>
  <c r="F179" i="4"/>
  <c r="D179" i="4"/>
  <c r="C179" i="4"/>
  <c r="B179" i="4"/>
  <c r="L178" i="4"/>
  <c r="F178" i="4"/>
  <c r="C178" i="4"/>
  <c r="B178" i="4"/>
  <c r="D178" i="4" s="1"/>
  <c r="L177" i="4"/>
  <c r="F177" i="4"/>
  <c r="C177" i="4"/>
  <c r="D177" i="4" s="1"/>
  <c r="B177" i="4"/>
  <c r="L176" i="4"/>
  <c r="F176" i="4"/>
  <c r="C176" i="4"/>
  <c r="D176" i="4" s="1"/>
  <c r="B176" i="4"/>
  <c r="L175" i="4"/>
  <c r="F175" i="4"/>
  <c r="D175" i="4"/>
  <c r="C175" i="4"/>
  <c r="B175" i="4"/>
  <c r="L174" i="4"/>
  <c r="F174" i="4"/>
  <c r="C174" i="4"/>
  <c r="B174" i="4"/>
  <c r="D174" i="4" s="1"/>
  <c r="L173" i="4"/>
  <c r="F173" i="4"/>
  <c r="C173" i="4"/>
  <c r="D173" i="4" s="1"/>
  <c r="B173" i="4"/>
  <c r="L172" i="4"/>
  <c r="F172" i="4"/>
  <c r="C172" i="4"/>
  <c r="D172" i="4" s="1"/>
  <c r="B172" i="4"/>
  <c r="L171" i="4"/>
  <c r="F171" i="4"/>
  <c r="D171" i="4"/>
  <c r="C171" i="4"/>
  <c r="B171" i="4"/>
  <c r="L170" i="4"/>
  <c r="F170" i="4"/>
  <c r="C170" i="4"/>
  <c r="B170" i="4"/>
  <c r="D170" i="4" s="1"/>
  <c r="L169" i="4"/>
  <c r="F169" i="4"/>
  <c r="C169" i="4"/>
  <c r="D169" i="4" s="1"/>
  <c r="B169" i="4"/>
  <c r="L168" i="4"/>
  <c r="F168" i="4"/>
  <c r="C168" i="4"/>
  <c r="D168" i="4" s="1"/>
  <c r="B168" i="4"/>
  <c r="L167" i="4"/>
  <c r="F167" i="4"/>
  <c r="D167" i="4"/>
  <c r="C167" i="4"/>
  <c r="B167" i="4"/>
  <c r="L166" i="4"/>
  <c r="F166" i="4"/>
  <c r="C166" i="4"/>
  <c r="B166" i="4"/>
  <c r="D166" i="4" s="1"/>
  <c r="L165" i="4"/>
  <c r="F165" i="4"/>
  <c r="C165" i="4"/>
  <c r="D165" i="4" s="1"/>
  <c r="B165" i="4"/>
  <c r="L164" i="4"/>
  <c r="F164" i="4"/>
  <c r="C164" i="4"/>
  <c r="D164" i="4" s="1"/>
  <c r="B164" i="4"/>
  <c r="L163" i="4"/>
  <c r="F163" i="4"/>
  <c r="D163" i="4"/>
  <c r="C163" i="4"/>
  <c r="B163" i="4"/>
  <c r="L162" i="4"/>
  <c r="F162" i="4"/>
  <c r="C162" i="4"/>
  <c r="B162" i="4"/>
  <c r="D162" i="4" s="1"/>
  <c r="L161" i="4"/>
  <c r="F161" i="4"/>
  <c r="C161" i="4"/>
  <c r="D161" i="4" s="1"/>
  <c r="B161" i="4"/>
  <c r="L160" i="4"/>
  <c r="F160" i="4"/>
  <c r="C160" i="4"/>
  <c r="D160" i="4" s="1"/>
  <c r="B160" i="4"/>
  <c r="L159" i="4"/>
  <c r="F159" i="4"/>
  <c r="D159" i="4"/>
  <c r="C159" i="4"/>
  <c r="B159" i="4"/>
  <c r="L158" i="4"/>
  <c r="F158" i="4"/>
  <c r="C158" i="4"/>
  <c r="B158" i="4"/>
  <c r="D158" i="4" s="1"/>
  <c r="L157" i="4"/>
  <c r="F157" i="4"/>
  <c r="C157" i="4"/>
  <c r="D157" i="4" s="1"/>
  <c r="B157" i="4"/>
  <c r="L156" i="4"/>
  <c r="F156" i="4"/>
  <c r="C156" i="4"/>
  <c r="D156" i="4" s="1"/>
  <c r="B156" i="4"/>
  <c r="L155" i="4"/>
  <c r="F155" i="4"/>
  <c r="D155" i="4"/>
  <c r="C155" i="4"/>
  <c r="B155" i="4"/>
  <c r="L154" i="4"/>
  <c r="F154" i="4"/>
  <c r="C154" i="4"/>
  <c r="B154" i="4"/>
  <c r="D154" i="4" s="1"/>
  <c r="L153" i="4"/>
  <c r="F153" i="4"/>
  <c r="C153" i="4"/>
  <c r="D153" i="4" s="1"/>
  <c r="B153" i="4"/>
  <c r="L152" i="4"/>
  <c r="F152" i="4"/>
  <c r="C152" i="4"/>
  <c r="D152" i="4" s="1"/>
  <c r="B152" i="4"/>
  <c r="L151" i="4"/>
  <c r="F151" i="4"/>
  <c r="D151" i="4"/>
  <c r="C151" i="4"/>
  <c r="B151" i="4"/>
  <c r="L150" i="4"/>
  <c r="F150" i="4"/>
  <c r="C150" i="4"/>
  <c r="B150" i="4"/>
  <c r="D150" i="4" s="1"/>
  <c r="L149" i="4"/>
  <c r="F149" i="4"/>
  <c r="C149" i="4"/>
  <c r="D149" i="4" s="1"/>
  <c r="B149" i="4"/>
  <c r="L148" i="4"/>
  <c r="F148" i="4"/>
  <c r="C148" i="4"/>
  <c r="D148" i="4" s="1"/>
  <c r="B148" i="4"/>
  <c r="L147" i="4"/>
  <c r="F147" i="4"/>
  <c r="D147" i="4"/>
  <c r="C147" i="4"/>
  <c r="B147" i="4"/>
  <c r="L146" i="4"/>
  <c r="F146" i="4"/>
  <c r="C146" i="4"/>
  <c r="B146" i="4"/>
  <c r="D146" i="4" s="1"/>
  <c r="L145" i="4"/>
  <c r="F145" i="4"/>
  <c r="C145" i="4"/>
  <c r="D145" i="4" s="1"/>
  <c r="B145" i="4"/>
  <c r="L144" i="4"/>
  <c r="F144" i="4"/>
  <c r="C144" i="4"/>
  <c r="D144" i="4" s="1"/>
  <c r="B144" i="4"/>
  <c r="L143" i="4"/>
  <c r="F143" i="4"/>
  <c r="D143" i="4"/>
  <c r="C143" i="4"/>
  <c r="B143" i="4"/>
  <c r="L142" i="4"/>
  <c r="F142" i="4"/>
  <c r="C142" i="4"/>
  <c r="B142" i="4"/>
  <c r="D142" i="4" s="1"/>
  <c r="L141" i="4"/>
  <c r="F141" i="4"/>
  <c r="C141" i="4"/>
  <c r="D141" i="4" s="1"/>
  <c r="B141" i="4"/>
  <c r="L140" i="4"/>
  <c r="F140" i="4"/>
  <c r="C140" i="4"/>
  <c r="D140" i="4" s="1"/>
  <c r="B140" i="4"/>
  <c r="L139" i="4"/>
  <c r="F139" i="4"/>
  <c r="D139" i="4"/>
  <c r="C139" i="4"/>
  <c r="B139" i="4"/>
  <c r="L138" i="4"/>
  <c r="F138" i="4"/>
  <c r="C138" i="4"/>
  <c r="B138" i="4"/>
  <c r="D138" i="4" s="1"/>
  <c r="L137" i="4"/>
  <c r="F137" i="4"/>
  <c r="C137" i="4"/>
  <c r="D137" i="4" s="1"/>
  <c r="B137" i="4"/>
  <c r="L136" i="4"/>
  <c r="F136" i="4"/>
  <c r="C136" i="4"/>
  <c r="D136" i="4" s="1"/>
  <c r="B136" i="4"/>
  <c r="L135" i="4"/>
  <c r="F135" i="4"/>
  <c r="D135" i="4"/>
  <c r="C135" i="4"/>
  <c r="B135" i="4"/>
  <c r="L134" i="4"/>
  <c r="F134" i="4"/>
  <c r="C134" i="4"/>
  <c r="B134" i="4"/>
  <c r="D134" i="4" s="1"/>
  <c r="L133" i="4"/>
  <c r="F133" i="4"/>
  <c r="C133" i="4"/>
  <c r="D133" i="4" s="1"/>
  <c r="B133" i="4"/>
  <c r="L132" i="4"/>
  <c r="F132" i="4"/>
  <c r="C132" i="4"/>
  <c r="D132" i="4" s="1"/>
  <c r="B132" i="4"/>
  <c r="L131" i="4"/>
  <c r="F131" i="4"/>
  <c r="D131" i="4"/>
  <c r="C131" i="4"/>
  <c r="B131" i="4"/>
  <c r="L130" i="4"/>
  <c r="F130" i="4"/>
  <c r="C130" i="4"/>
  <c r="B130" i="4"/>
  <c r="D130" i="4" s="1"/>
  <c r="L129" i="4"/>
  <c r="F129" i="4"/>
  <c r="C129" i="4"/>
  <c r="D129" i="4" s="1"/>
  <c r="B129" i="4"/>
  <c r="L128" i="4"/>
  <c r="F128" i="4"/>
  <c r="C128" i="4"/>
  <c r="D128" i="4" s="1"/>
  <c r="B128" i="4"/>
  <c r="L127" i="4"/>
  <c r="F127" i="4"/>
  <c r="D127" i="4"/>
  <c r="C127" i="4"/>
  <c r="B127" i="4"/>
  <c r="L126" i="4"/>
  <c r="F126" i="4"/>
  <c r="C126" i="4"/>
  <c r="B126" i="4"/>
  <c r="D126" i="4" s="1"/>
  <c r="L125" i="4"/>
  <c r="F125" i="4"/>
  <c r="C125" i="4"/>
  <c r="D125" i="4" s="1"/>
  <c r="B125" i="4"/>
  <c r="L124" i="4"/>
  <c r="F124" i="4"/>
  <c r="C124" i="4"/>
  <c r="D124" i="4" s="1"/>
  <c r="B124" i="4"/>
  <c r="L123" i="4"/>
  <c r="F123" i="4"/>
  <c r="D123" i="4"/>
  <c r="C123" i="4"/>
  <c r="B123" i="4"/>
  <c r="L122" i="4"/>
  <c r="F122" i="4"/>
  <c r="C122" i="4"/>
  <c r="B122" i="4"/>
  <c r="D122" i="4" s="1"/>
  <c r="L121" i="4"/>
  <c r="F121" i="4"/>
  <c r="C121" i="4"/>
  <c r="D121" i="4" s="1"/>
  <c r="B121" i="4"/>
  <c r="L120" i="4"/>
  <c r="F120" i="4"/>
  <c r="C120" i="4"/>
  <c r="D120" i="4" s="1"/>
  <c r="B120" i="4"/>
  <c r="L119" i="4"/>
  <c r="F119" i="4"/>
  <c r="D119" i="4"/>
  <c r="C119" i="4"/>
  <c r="B119" i="4"/>
  <c r="L118" i="4"/>
  <c r="F118" i="4"/>
  <c r="C118" i="4"/>
  <c r="B118" i="4"/>
  <c r="D118" i="4" s="1"/>
  <c r="L117" i="4"/>
  <c r="F117" i="4"/>
  <c r="C117" i="4"/>
  <c r="D117" i="4" s="1"/>
  <c r="B117" i="4"/>
  <c r="L116" i="4"/>
  <c r="F116" i="4"/>
  <c r="C116" i="4"/>
  <c r="D116" i="4" s="1"/>
  <c r="B116" i="4"/>
  <c r="L115" i="4"/>
  <c r="F115" i="4"/>
  <c r="D115" i="4"/>
  <c r="C115" i="4"/>
  <c r="B115" i="4"/>
  <c r="L114" i="4"/>
  <c r="F114" i="4"/>
  <c r="C114" i="4"/>
  <c r="B114" i="4"/>
  <c r="D114" i="4" s="1"/>
  <c r="L113" i="4"/>
  <c r="F113" i="4"/>
  <c r="C113" i="4"/>
  <c r="D113" i="4" s="1"/>
  <c r="B113" i="4"/>
  <c r="L112" i="4"/>
  <c r="F112" i="4"/>
  <c r="C112" i="4"/>
  <c r="D112" i="4" s="1"/>
  <c r="B112" i="4"/>
  <c r="L111" i="4"/>
  <c r="F111" i="4"/>
  <c r="D111" i="4"/>
  <c r="C111" i="4"/>
  <c r="B111" i="4"/>
  <c r="L110" i="4"/>
  <c r="F110" i="4"/>
  <c r="C110" i="4"/>
  <c r="B110" i="4"/>
  <c r="D110" i="4" s="1"/>
  <c r="L109" i="4"/>
  <c r="F109" i="4"/>
  <c r="C109" i="4"/>
  <c r="D109" i="4" s="1"/>
  <c r="B109" i="4"/>
  <c r="L108" i="4"/>
  <c r="F108" i="4"/>
  <c r="C108" i="4"/>
  <c r="D108" i="4" s="1"/>
  <c r="B108" i="4"/>
  <c r="L107" i="4"/>
  <c r="F107" i="4"/>
  <c r="D107" i="4"/>
  <c r="C107" i="4"/>
  <c r="B107" i="4"/>
  <c r="L106" i="4"/>
  <c r="F106" i="4"/>
  <c r="C106" i="4"/>
  <c r="B106" i="4"/>
  <c r="D106" i="4" s="1"/>
  <c r="L105" i="4"/>
  <c r="F105" i="4"/>
  <c r="C105" i="4"/>
  <c r="D105" i="4" s="1"/>
  <c r="B105" i="4"/>
  <c r="L104" i="4"/>
  <c r="F104" i="4"/>
  <c r="C104" i="4"/>
  <c r="D104" i="4" s="1"/>
  <c r="B104" i="4"/>
  <c r="L103" i="4"/>
  <c r="F103" i="4"/>
  <c r="D103" i="4"/>
  <c r="C103" i="4"/>
  <c r="B103" i="4"/>
  <c r="L102" i="4"/>
  <c r="F102" i="4"/>
  <c r="C102" i="4"/>
  <c r="B102" i="4"/>
  <c r="D102" i="4" s="1"/>
  <c r="L101" i="4"/>
  <c r="F101" i="4"/>
  <c r="C101" i="4"/>
  <c r="D101" i="4" s="1"/>
  <c r="B101" i="4"/>
  <c r="L100" i="4"/>
  <c r="F100" i="4"/>
  <c r="C100" i="4"/>
  <c r="D100" i="4" s="1"/>
  <c r="B100" i="4"/>
  <c r="L99" i="4"/>
  <c r="F99" i="4"/>
  <c r="D99" i="4"/>
  <c r="C99" i="4"/>
  <c r="B99" i="4"/>
  <c r="L98" i="4"/>
  <c r="F98" i="4"/>
  <c r="C98" i="4"/>
  <c r="B98" i="4"/>
  <c r="D98" i="4" s="1"/>
  <c r="L97" i="4"/>
  <c r="F97" i="4"/>
  <c r="C97" i="4"/>
  <c r="D97" i="4" s="1"/>
  <c r="B97" i="4"/>
  <c r="L96" i="4"/>
  <c r="F96" i="4"/>
  <c r="C96" i="4"/>
  <c r="D96" i="4" s="1"/>
  <c r="B96" i="4"/>
  <c r="L95" i="4"/>
  <c r="F95" i="4"/>
  <c r="D95" i="4"/>
  <c r="C95" i="4"/>
  <c r="B95" i="4"/>
  <c r="L94" i="4"/>
  <c r="F94" i="4"/>
  <c r="C94" i="4"/>
  <c r="B94" i="4"/>
  <c r="D94" i="4" s="1"/>
  <c r="L93" i="4"/>
  <c r="F93" i="4"/>
  <c r="C93" i="4"/>
  <c r="D93" i="4" s="1"/>
  <c r="B93" i="4"/>
  <c r="L92" i="4"/>
  <c r="F92" i="4"/>
  <c r="C92" i="4"/>
  <c r="D92" i="4" s="1"/>
  <c r="B92" i="4"/>
  <c r="L91" i="4"/>
  <c r="F91" i="4"/>
  <c r="D91" i="4"/>
  <c r="C91" i="4"/>
  <c r="B91" i="4"/>
  <c r="L90" i="4"/>
  <c r="F90" i="4"/>
  <c r="C90" i="4"/>
  <c r="B90" i="4"/>
  <c r="D90" i="4" s="1"/>
  <c r="L89" i="4"/>
  <c r="F89" i="4"/>
  <c r="C89" i="4"/>
  <c r="D89" i="4" s="1"/>
  <c r="B89" i="4"/>
  <c r="L88" i="4"/>
  <c r="F88" i="4"/>
  <c r="C88" i="4"/>
  <c r="D88" i="4" s="1"/>
  <c r="B88" i="4"/>
  <c r="L87" i="4"/>
  <c r="F87" i="4"/>
  <c r="D87" i="4"/>
  <c r="C87" i="4"/>
  <c r="B87" i="4"/>
  <c r="L86" i="4"/>
  <c r="F86" i="4"/>
  <c r="C86" i="4"/>
  <c r="B86" i="4"/>
  <c r="D86" i="4" s="1"/>
  <c r="L85" i="4"/>
  <c r="F85" i="4"/>
  <c r="C85" i="4"/>
  <c r="D85" i="4" s="1"/>
  <c r="B85" i="4"/>
  <c r="L84" i="4"/>
  <c r="F84" i="4"/>
  <c r="C84" i="4"/>
  <c r="D84" i="4" s="1"/>
  <c r="B84" i="4"/>
  <c r="L83" i="4"/>
  <c r="F83" i="4"/>
  <c r="D83" i="4"/>
  <c r="C83" i="4"/>
  <c r="B83" i="4"/>
  <c r="L82" i="4"/>
  <c r="F82" i="4"/>
  <c r="C82" i="4"/>
  <c r="B82" i="4"/>
  <c r="D82" i="4" s="1"/>
  <c r="L81" i="4"/>
  <c r="F81" i="4"/>
  <c r="C81" i="4"/>
  <c r="D81" i="4" s="1"/>
  <c r="B81" i="4"/>
  <c r="L80" i="4"/>
  <c r="F80" i="4"/>
  <c r="C80" i="4"/>
  <c r="D80" i="4" s="1"/>
  <c r="B80" i="4"/>
  <c r="L79" i="4"/>
  <c r="F79" i="4"/>
  <c r="D79" i="4"/>
  <c r="C79" i="4"/>
  <c r="B79" i="4"/>
  <c r="L78" i="4"/>
  <c r="F78" i="4"/>
  <c r="C78" i="4"/>
  <c r="B78" i="4"/>
  <c r="D78" i="4" s="1"/>
  <c r="L77" i="4"/>
  <c r="F77" i="4"/>
  <c r="C77" i="4"/>
  <c r="D77" i="4" s="1"/>
  <c r="B77" i="4"/>
  <c r="L76" i="4"/>
  <c r="F76" i="4"/>
  <c r="C76" i="4"/>
  <c r="D76" i="4" s="1"/>
  <c r="B76" i="4"/>
  <c r="L75" i="4"/>
  <c r="F75" i="4"/>
  <c r="D75" i="4"/>
  <c r="C75" i="4"/>
  <c r="B75" i="4"/>
  <c r="L74" i="4"/>
  <c r="F74" i="4"/>
  <c r="C74" i="4"/>
  <c r="B74" i="4"/>
  <c r="D74" i="4" s="1"/>
  <c r="L73" i="4"/>
  <c r="F73" i="4"/>
  <c r="C73" i="4"/>
  <c r="D73" i="4" s="1"/>
  <c r="B73" i="4"/>
  <c r="L72" i="4"/>
  <c r="F72" i="4"/>
  <c r="C72" i="4"/>
  <c r="D72" i="4" s="1"/>
  <c r="B72" i="4"/>
  <c r="L71" i="4"/>
  <c r="F71" i="4"/>
  <c r="D71" i="4"/>
  <c r="C71" i="4"/>
  <c r="B71" i="4"/>
  <c r="L70" i="4"/>
  <c r="F70" i="4"/>
  <c r="C70" i="4"/>
  <c r="B70" i="4"/>
  <c r="D70" i="4" s="1"/>
  <c r="L69" i="4"/>
  <c r="F69" i="4"/>
  <c r="C69" i="4"/>
  <c r="D69" i="4" s="1"/>
  <c r="B69" i="4"/>
  <c r="L68" i="4"/>
  <c r="F68" i="4"/>
  <c r="C68" i="4"/>
  <c r="D68" i="4" s="1"/>
  <c r="B68" i="4"/>
  <c r="L67" i="4"/>
  <c r="F67" i="4"/>
  <c r="D67" i="4"/>
  <c r="C67" i="4"/>
  <c r="B67" i="4"/>
  <c r="L66" i="4"/>
  <c r="F66" i="4"/>
  <c r="C66" i="4"/>
  <c r="B66" i="4"/>
  <c r="D66" i="4" s="1"/>
  <c r="L65" i="4"/>
  <c r="F65" i="4"/>
  <c r="C65" i="4"/>
  <c r="D65" i="4" s="1"/>
  <c r="B65" i="4"/>
  <c r="L64" i="4"/>
  <c r="F64" i="4"/>
  <c r="C64" i="4"/>
  <c r="D64" i="4" s="1"/>
  <c r="B64" i="4"/>
  <c r="L63" i="4"/>
  <c r="F63" i="4"/>
  <c r="D63" i="4"/>
  <c r="C63" i="4"/>
  <c r="B63" i="4"/>
  <c r="L62" i="4"/>
  <c r="F62" i="4"/>
  <c r="C62" i="4"/>
  <c r="B62" i="4"/>
  <c r="D62" i="4" s="1"/>
  <c r="L61" i="4"/>
  <c r="F61" i="4"/>
  <c r="C61" i="4"/>
  <c r="D61" i="4" s="1"/>
  <c r="B61" i="4"/>
  <c r="L60" i="4"/>
  <c r="F60" i="4"/>
  <c r="C60" i="4"/>
  <c r="L59" i="4"/>
  <c r="F59" i="4"/>
  <c r="C59" i="4"/>
  <c r="L58" i="4"/>
  <c r="F58" i="4"/>
  <c r="C58" i="4"/>
  <c r="L57" i="4"/>
  <c r="F57" i="4"/>
  <c r="C57" i="4"/>
  <c r="L56" i="4"/>
  <c r="F56" i="4"/>
  <c r="C56" i="4"/>
  <c r="L55" i="4"/>
  <c r="F55" i="4"/>
  <c r="C55" i="4"/>
  <c r="L54" i="4"/>
  <c r="C54" i="4"/>
  <c r="L53" i="4"/>
  <c r="C53" i="4"/>
  <c r="L52" i="4"/>
  <c r="C52" i="4"/>
  <c r="L51" i="4"/>
  <c r="C51" i="4"/>
  <c r="L50" i="4"/>
  <c r="C50" i="4"/>
  <c r="L49" i="4"/>
  <c r="F49" i="4"/>
  <c r="C49" i="4"/>
  <c r="L48" i="4"/>
  <c r="F48" i="4"/>
  <c r="C48" i="4"/>
  <c r="L47" i="4"/>
  <c r="F47" i="4"/>
  <c r="C47" i="4"/>
  <c r="L46" i="4"/>
  <c r="F46" i="4"/>
  <c r="C46" i="4"/>
  <c r="L45" i="4"/>
  <c r="F45" i="4"/>
  <c r="C45" i="4"/>
  <c r="L44" i="4"/>
  <c r="C44" i="4"/>
  <c r="L43" i="4"/>
  <c r="C43" i="4"/>
  <c r="L42" i="4"/>
  <c r="C42" i="4"/>
  <c r="L41" i="4"/>
  <c r="F41" i="4"/>
  <c r="C41" i="4"/>
  <c r="L40" i="4"/>
  <c r="F40" i="4"/>
  <c r="C40" i="4"/>
  <c r="L39" i="4"/>
  <c r="F39" i="4"/>
  <c r="C39" i="4"/>
  <c r="L38" i="4"/>
  <c r="F38" i="4"/>
  <c r="C38" i="4"/>
  <c r="L37" i="4"/>
  <c r="F37" i="4"/>
  <c r="C37" i="4"/>
  <c r="L36" i="4"/>
  <c r="F36" i="4"/>
  <c r="C36" i="4"/>
  <c r="L35" i="4"/>
  <c r="F35" i="4"/>
  <c r="C35" i="4"/>
  <c r="L34" i="4"/>
  <c r="F34" i="4"/>
  <c r="C34" i="4"/>
  <c r="L33" i="4"/>
  <c r="F33" i="4"/>
  <c r="C33" i="4"/>
  <c r="L32" i="4"/>
  <c r="F32" i="4"/>
  <c r="C32" i="4"/>
  <c r="L31" i="4"/>
  <c r="F31" i="4"/>
  <c r="C31" i="4"/>
  <c r="L30" i="4"/>
  <c r="F30" i="4"/>
  <c r="C30" i="4"/>
  <c r="L29" i="4"/>
  <c r="C29" i="4"/>
  <c r="L28" i="4"/>
  <c r="F28" i="4"/>
  <c r="C28" i="4"/>
  <c r="L27" i="4"/>
  <c r="F27" i="4"/>
  <c r="C27" i="4"/>
  <c r="L26" i="4"/>
  <c r="F26" i="4"/>
  <c r="C26" i="4"/>
  <c r="L25" i="4"/>
  <c r="F25" i="4"/>
  <c r="C25" i="4"/>
  <c r="L24" i="4"/>
  <c r="F24" i="4"/>
  <c r="C24" i="4"/>
  <c r="L23" i="4"/>
  <c r="F23" i="4"/>
  <c r="C23" i="4"/>
  <c r="L22" i="4"/>
  <c r="F22" i="4"/>
  <c r="C22" i="4"/>
  <c r="L21" i="4"/>
  <c r="F21" i="4"/>
  <c r="C21" i="4"/>
  <c r="L20" i="4"/>
  <c r="F20" i="4"/>
  <c r="C20" i="4"/>
  <c r="L19" i="4"/>
  <c r="F19" i="4"/>
  <c r="C19" i="4"/>
  <c r="L18" i="4"/>
  <c r="F18" i="4"/>
  <c r="C18" i="4"/>
  <c r="L17" i="4"/>
  <c r="F17" i="4"/>
  <c r="C17" i="4"/>
  <c r="L16" i="4"/>
  <c r="F16" i="4"/>
  <c r="C16" i="4"/>
  <c r="L15" i="4"/>
  <c r="F15" i="4"/>
  <c r="C15" i="4"/>
  <c r="L14" i="4"/>
  <c r="C14" i="4"/>
  <c r="L13" i="4"/>
  <c r="F13" i="4"/>
  <c r="C13" i="4"/>
  <c r="B13" i="4"/>
  <c r="B14" i="4" s="1"/>
  <c r="B15" i="4" s="1"/>
  <c r="L12" i="4"/>
  <c r="F12" i="4"/>
  <c r="C12" i="4"/>
  <c r="D12" i="4" s="1"/>
  <c r="L11" i="4"/>
  <c r="F11" i="4"/>
  <c r="D11" i="4"/>
  <c r="C11" i="4"/>
  <c r="B11" i="4"/>
  <c r="B12" i="4" s="1"/>
  <c r="L10" i="4"/>
  <c r="F10" i="4"/>
  <c r="D10" i="4"/>
  <c r="L9" i="4"/>
  <c r="F9" i="4"/>
  <c r="D9" i="4"/>
  <c r="L8" i="4"/>
  <c r="F8" i="4"/>
  <c r="D8" i="4"/>
  <c r="L7" i="4"/>
  <c r="D7" i="4"/>
  <c r="L6" i="4"/>
  <c r="F6" i="4"/>
  <c r="D6" i="4"/>
  <c r="L5" i="4"/>
  <c r="F5" i="4"/>
  <c r="D5" i="4"/>
  <c r="L4" i="4"/>
  <c r="F4" i="4"/>
  <c r="D4" i="4"/>
  <c r="L3" i="4"/>
  <c r="F3" i="4"/>
  <c r="D3" i="4"/>
  <c r="G2016" i="2"/>
  <c r="G2015" i="2"/>
  <c r="G2003" i="2"/>
  <c r="G821" i="2"/>
  <c r="G811" i="2"/>
  <c r="G805" i="2"/>
  <c r="G794" i="2"/>
  <c r="G793" i="2"/>
  <c r="G701" i="2"/>
  <c r="G700" i="2"/>
  <c r="G699" i="2"/>
  <c r="G698" i="2"/>
  <c r="G697" i="2"/>
  <c r="F29" i="4" s="1"/>
  <c r="G696" i="2"/>
  <c r="G694" i="2"/>
  <c r="G692" i="2"/>
  <c r="G688" i="2"/>
  <c r="G687" i="2"/>
  <c r="G686" i="2"/>
  <c r="G685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0" i="2"/>
  <c r="G669" i="2"/>
  <c r="G668" i="2"/>
  <c r="G667" i="2"/>
  <c r="G666" i="2"/>
  <c r="G665" i="2"/>
  <c r="G664" i="2"/>
  <c r="G662" i="2"/>
  <c r="G656" i="2"/>
  <c r="G654" i="2"/>
  <c r="G653" i="2"/>
  <c r="G652" i="2"/>
  <c r="G651" i="2"/>
  <c r="G650" i="2"/>
  <c r="G648" i="2"/>
  <c r="G647" i="2"/>
  <c r="G645" i="2"/>
  <c r="G640" i="2"/>
  <c r="G637" i="2"/>
  <c r="G631" i="2"/>
  <c r="G630" i="2"/>
  <c r="G629" i="2"/>
  <c r="G627" i="2"/>
  <c r="G626" i="2"/>
  <c r="G622" i="2"/>
  <c r="G621" i="2"/>
  <c r="G620" i="2"/>
  <c r="G619" i="2"/>
  <c r="G614" i="2"/>
  <c r="G612" i="2"/>
  <c r="G610" i="2"/>
  <c r="G608" i="2"/>
  <c r="G606" i="2"/>
  <c r="G605" i="2"/>
  <c r="G604" i="2"/>
  <c r="G603" i="2"/>
  <c r="G602" i="2"/>
  <c r="G601" i="2"/>
  <c r="G600" i="2"/>
  <c r="G599" i="2"/>
  <c r="G598" i="2"/>
  <c r="G596" i="2"/>
  <c r="G594" i="2"/>
  <c r="G593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3" i="2"/>
  <c r="G572" i="2"/>
  <c r="G571" i="2"/>
  <c r="G570" i="2"/>
  <c r="G553" i="2"/>
  <c r="G552" i="2"/>
  <c r="G551" i="2"/>
  <c r="G550" i="2"/>
  <c r="G549" i="2"/>
  <c r="G548" i="2"/>
  <c r="G547" i="2"/>
  <c r="G545" i="2"/>
  <c r="G544" i="2"/>
  <c r="G543" i="2"/>
  <c r="G542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6" i="2"/>
  <c r="I505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I489" i="2"/>
  <c r="G489" i="2"/>
  <c r="G488" i="2"/>
  <c r="G487" i="2"/>
  <c r="G486" i="2"/>
  <c r="G485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8" i="2"/>
  <c r="G437" i="2"/>
  <c r="G436" i="2"/>
  <c r="G435" i="2"/>
  <c r="G434" i="2"/>
  <c r="G433" i="2"/>
  <c r="G432" i="2"/>
  <c r="G421" i="2"/>
  <c r="G419" i="2"/>
  <c r="G418" i="2"/>
  <c r="G417" i="2"/>
  <c r="G416" i="2"/>
  <c r="G415" i="2"/>
  <c r="G413" i="2"/>
  <c r="G412" i="2"/>
  <c r="G410" i="2"/>
  <c r="G409" i="2"/>
  <c r="G408" i="2"/>
  <c r="G407" i="2"/>
  <c r="G406" i="2"/>
  <c r="G404" i="2"/>
  <c r="G403" i="2"/>
  <c r="G402" i="2"/>
  <c r="G401" i="2"/>
  <c r="G400" i="2"/>
  <c r="G399" i="2"/>
  <c r="G397" i="2"/>
  <c r="G395" i="2"/>
  <c r="G394" i="2"/>
  <c r="G391" i="2"/>
  <c r="G390" i="2"/>
  <c r="G387" i="2"/>
  <c r="G386" i="2"/>
  <c r="G369" i="2"/>
  <c r="G367" i="2"/>
  <c r="G366" i="2"/>
  <c r="G364" i="2"/>
  <c r="G363" i="2"/>
  <c r="G362" i="2"/>
  <c r="G359" i="2"/>
  <c r="G358" i="2"/>
  <c r="G356" i="2"/>
  <c r="G355" i="2"/>
  <c r="G354" i="2"/>
  <c r="G353" i="2"/>
  <c r="G352" i="2"/>
  <c r="G351" i="2"/>
  <c r="G350" i="2"/>
  <c r="G349" i="2"/>
  <c r="G348" i="2"/>
  <c r="G347" i="2"/>
  <c r="G345" i="2"/>
  <c r="G344" i="2"/>
  <c r="G343" i="2"/>
  <c r="G342" i="2"/>
  <c r="G341" i="2"/>
  <c r="G340" i="2"/>
  <c r="G336" i="2"/>
  <c r="G335" i="2"/>
  <c r="G330" i="2"/>
  <c r="G329" i="2"/>
  <c r="G328" i="2"/>
  <c r="G319" i="2"/>
  <c r="G317" i="2"/>
  <c r="G316" i="2"/>
  <c r="G314" i="2"/>
  <c r="G312" i="2"/>
  <c r="G311" i="2"/>
  <c r="G310" i="2"/>
  <c r="G309" i="2"/>
  <c r="G307" i="2"/>
  <c r="G299" i="2"/>
  <c r="G298" i="2"/>
  <c r="G296" i="2"/>
  <c r="G294" i="2"/>
  <c r="G293" i="2"/>
  <c r="G292" i="2"/>
  <c r="G291" i="2"/>
  <c r="G290" i="2"/>
  <c r="G287" i="2"/>
  <c r="G284" i="2"/>
  <c r="G279" i="2"/>
  <c r="G180" i="2"/>
  <c r="G179" i="2"/>
  <c r="G178" i="2"/>
  <c r="G176" i="2"/>
  <c r="G174" i="2"/>
  <c r="G173" i="2"/>
  <c r="G172" i="2"/>
  <c r="G171" i="2"/>
  <c r="G170" i="2"/>
  <c r="G169" i="2"/>
  <c r="G168" i="2"/>
  <c r="G167" i="2"/>
  <c r="G166" i="2"/>
  <c r="G164" i="2"/>
  <c r="G163" i="2"/>
  <c r="G161" i="2"/>
  <c r="G160" i="2"/>
  <c r="G159" i="2"/>
  <c r="G158" i="2"/>
  <c r="G157" i="2"/>
  <c r="G156" i="2"/>
  <c r="G155" i="2"/>
  <c r="G154" i="2"/>
  <c r="G152" i="2"/>
  <c r="G151" i="2"/>
  <c r="G150" i="2"/>
  <c r="G149" i="2"/>
  <c r="G148" i="2"/>
  <c r="G147" i="2"/>
  <c r="G146" i="2"/>
  <c r="G144" i="2"/>
  <c r="G143" i="2"/>
  <c r="G142" i="2"/>
  <c r="G141" i="2"/>
  <c r="G138" i="2"/>
  <c r="G137" i="2"/>
  <c r="G136" i="2"/>
  <c r="G135" i="2"/>
  <c r="G134" i="2"/>
  <c r="G133" i="2"/>
  <c r="G132" i="2"/>
  <c r="G130" i="2"/>
  <c r="G129" i="2"/>
  <c r="G128" i="2"/>
  <c r="G127" i="2"/>
  <c r="G125" i="2"/>
  <c r="G123" i="2"/>
  <c r="G122" i="2"/>
  <c r="G121" i="2"/>
  <c r="G120" i="2"/>
  <c r="G119" i="2"/>
  <c r="G116" i="2"/>
  <c r="G114" i="2"/>
  <c r="G113" i="2"/>
  <c r="G112" i="2"/>
  <c r="G111" i="2"/>
  <c r="G108" i="2"/>
  <c r="G103" i="2"/>
  <c r="G101" i="2"/>
  <c r="G100" i="2"/>
  <c r="G99" i="2"/>
  <c r="G98" i="2"/>
  <c r="G95" i="2"/>
  <c r="G94" i="2"/>
  <c r="G90" i="2"/>
  <c r="G89" i="2"/>
  <c r="G88" i="2"/>
  <c r="G87" i="2"/>
  <c r="G86" i="2"/>
  <c r="G85" i="2"/>
  <c r="G84" i="2"/>
  <c r="G82" i="2"/>
  <c r="G81" i="2"/>
  <c r="G79" i="2"/>
  <c r="G76" i="2"/>
  <c r="G75" i="2"/>
  <c r="G74" i="2"/>
  <c r="G71" i="2"/>
  <c r="G27" i="2"/>
  <c r="F14" i="4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AB578" i="1"/>
  <c r="B578" i="1"/>
  <c r="A578" i="1"/>
  <c r="AB577" i="1"/>
  <c r="B577" i="1"/>
  <c r="A577" i="1"/>
  <c r="AB576" i="1"/>
  <c r="B576" i="1"/>
  <c r="A576" i="1"/>
  <c r="AB575" i="1"/>
  <c r="B575" i="1"/>
  <c r="A575" i="1"/>
  <c r="AB574" i="1"/>
  <c r="B574" i="1"/>
  <c r="A574" i="1"/>
  <c r="AB573" i="1"/>
  <c r="B573" i="1"/>
  <c r="A573" i="1"/>
  <c r="AB572" i="1"/>
  <c r="B572" i="1"/>
  <c r="A572" i="1"/>
  <c r="AB571" i="1"/>
  <c r="B571" i="1"/>
  <c r="A571" i="1"/>
  <c r="AB570" i="1"/>
  <c r="B570" i="1"/>
  <c r="A570" i="1"/>
  <c r="AB569" i="1"/>
  <c r="B569" i="1"/>
  <c r="A569" i="1"/>
  <c r="AB568" i="1"/>
  <c r="B568" i="1"/>
  <c r="A568" i="1"/>
  <c r="AB567" i="1"/>
  <c r="B567" i="1"/>
  <c r="A567" i="1"/>
  <c r="AB566" i="1"/>
  <c r="B566" i="1"/>
  <c r="A566" i="1"/>
  <c r="AB565" i="1"/>
  <c r="B565" i="1"/>
  <c r="A565" i="1"/>
  <c r="AB564" i="1"/>
  <c r="B564" i="1"/>
  <c r="A564" i="1"/>
  <c r="AB563" i="1"/>
  <c r="B563" i="1"/>
  <c r="A563" i="1"/>
  <c r="AB562" i="1"/>
  <c r="B562" i="1"/>
  <c r="A562" i="1"/>
  <c r="AB561" i="1"/>
  <c r="B561" i="1"/>
  <c r="A561" i="1"/>
  <c r="AB560" i="1"/>
  <c r="B560" i="1"/>
  <c r="A560" i="1"/>
  <c r="AB559" i="1"/>
  <c r="B559" i="1"/>
  <c r="A559" i="1"/>
  <c r="AB558" i="1"/>
  <c r="B558" i="1"/>
  <c r="A558" i="1"/>
  <c r="AB557" i="1"/>
  <c r="B557" i="1"/>
  <c r="A557" i="1"/>
  <c r="AB556" i="1"/>
  <c r="B556" i="1"/>
  <c r="A556" i="1"/>
  <c r="AB555" i="1"/>
  <c r="B555" i="1"/>
  <c r="A555" i="1"/>
  <c r="AB554" i="1"/>
  <c r="B554" i="1"/>
  <c r="A554" i="1"/>
  <c r="AB553" i="1"/>
  <c r="B553" i="1"/>
  <c r="A553" i="1"/>
  <c r="AB552" i="1"/>
  <c r="B552" i="1"/>
  <c r="A552" i="1"/>
  <c r="AB551" i="1"/>
  <c r="B551" i="1"/>
  <c r="A551" i="1"/>
  <c r="AB550" i="1"/>
  <c r="B550" i="1"/>
  <c r="A550" i="1"/>
  <c r="AB549" i="1"/>
  <c r="B549" i="1"/>
  <c r="A549" i="1"/>
  <c r="AB548" i="1"/>
  <c r="B548" i="1"/>
  <c r="A548" i="1"/>
  <c r="AB547" i="1"/>
  <c r="B547" i="1"/>
  <c r="A547" i="1"/>
  <c r="AB546" i="1"/>
  <c r="B546" i="1"/>
  <c r="A546" i="1"/>
  <c r="AB545" i="1"/>
  <c r="B545" i="1"/>
  <c r="A545" i="1"/>
  <c r="AB544" i="1"/>
  <c r="B544" i="1"/>
  <c r="A544" i="1"/>
  <c r="AB543" i="1"/>
  <c r="B543" i="1"/>
  <c r="A543" i="1"/>
  <c r="AB542" i="1"/>
  <c r="B542" i="1"/>
  <c r="A542" i="1"/>
  <c r="AB541" i="1"/>
  <c r="B541" i="1"/>
  <c r="A541" i="1"/>
  <c r="AB540" i="1"/>
  <c r="B540" i="1"/>
  <c r="A540" i="1"/>
  <c r="AB539" i="1"/>
  <c r="B539" i="1"/>
  <c r="A539" i="1"/>
  <c r="AB538" i="1"/>
  <c r="B538" i="1"/>
  <c r="A538" i="1"/>
  <c r="AB537" i="1"/>
  <c r="B537" i="1"/>
  <c r="A537" i="1"/>
  <c r="AB536" i="1"/>
  <c r="B536" i="1"/>
  <c r="A536" i="1"/>
  <c r="AB535" i="1"/>
  <c r="B535" i="1"/>
  <c r="A535" i="1"/>
  <c r="AB534" i="1"/>
  <c r="B534" i="1"/>
  <c r="A534" i="1"/>
  <c r="AB533" i="1"/>
  <c r="B533" i="1"/>
  <c r="A533" i="1"/>
  <c r="AB532" i="1"/>
  <c r="B532" i="1"/>
  <c r="A532" i="1"/>
  <c r="AB531" i="1"/>
  <c r="B531" i="1"/>
  <c r="A531" i="1"/>
  <c r="AB530" i="1"/>
  <c r="B530" i="1"/>
  <c r="A530" i="1"/>
  <c r="AB529" i="1"/>
  <c r="B529" i="1"/>
  <c r="A529" i="1"/>
  <c r="AB528" i="1"/>
  <c r="B528" i="1"/>
  <c r="A528" i="1"/>
  <c r="AB527" i="1"/>
  <c r="B527" i="1"/>
  <c r="A527" i="1"/>
  <c r="AB526" i="1"/>
  <c r="B526" i="1"/>
  <c r="A526" i="1"/>
  <c r="AB525" i="1"/>
  <c r="B525" i="1"/>
  <c r="A525" i="1"/>
  <c r="AB524" i="1"/>
  <c r="B524" i="1"/>
  <c r="A524" i="1"/>
  <c r="AB523" i="1"/>
  <c r="B523" i="1"/>
  <c r="A523" i="1"/>
  <c r="AB522" i="1"/>
  <c r="B522" i="1"/>
  <c r="A522" i="1"/>
  <c r="AB521" i="1"/>
  <c r="B521" i="1"/>
  <c r="A521" i="1"/>
  <c r="AB520" i="1"/>
  <c r="B520" i="1"/>
  <c r="A520" i="1"/>
  <c r="AB519" i="1"/>
  <c r="B519" i="1"/>
  <c r="A519" i="1"/>
  <c r="AB518" i="1"/>
  <c r="B518" i="1"/>
  <c r="A518" i="1"/>
  <c r="AB517" i="1"/>
  <c r="B517" i="1"/>
  <c r="A517" i="1"/>
  <c r="AB516" i="1"/>
  <c r="B516" i="1"/>
  <c r="A516" i="1"/>
  <c r="AB515" i="1"/>
  <c r="B515" i="1"/>
  <c r="A515" i="1"/>
  <c r="AB514" i="1"/>
  <c r="B514" i="1"/>
  <c r="A514" i="1"/>
  <c r="AB513" i="1"/>
  <c r="B513" i="1"/>
  <c r="A513" i="1"/>
  <c r="AB512" i="1"/>
  <c r="B512" i="1"/>
  <c r="A512" i="1"/>
  <c r="AB511" i="1"/>
  <c r="B511" i="1"/>
  <c r="A511" i="1"/>
  <c r="AB510" i="1"/>
  <c r="B510" i="1"/>
  <c r="A510" i="1"/>
  <c r="AB509" i="1"/>
  <c r="B509" i="1"/>
  <c r="A509" i="1"/>
  <c r="AB508" i="1"/>
  <c r="U508" i="1"/>
  <c r="B508" i="1"/>
  <c r="A508" i="1"/>
  <c r="AB507" i="1"/>
  <c r="U507" i="1"/>
  <c r="B507" i="1"/>
  <c r="A507" i="1"/>
  <c r="AB506" i="1"/>
  <c r="U506" i="1"/>
  <c r="B506" i="1"/>
  <c r="A506" i="1"/>
  <c r="AB505" i="1"/>
  <c r="U505" i="1"/>
  <c r="B505" i="1"/>
  <c r="A505" i="1"/>
  <c r="AB504" i="1"/>
  <c r="U504" i="1"/>
  <c r="B504" i="1"/>
  <c r="A504" i="1"/>
  <c r="AB503" i="1"/>
  <c r="U503" i="1"/>
  <c r="B503" i="1"/>
  <c r="A503" i="1"/>
  <c r="AB502" i="1"/>
  <c r="U502" i="1"/>
  <c r="B502" i="1"/>
  <c r="A502" i="1"/>
  <c r="AB501" i="1"/>
  <c r="U501" i="1"/>
  <c r="B501" i="1"/>
  <c r="A501" i="1"/>
  <c r="AB500" i="1"/>
  <c r="U500" i="1"/>
  <c r="B500" i="1"/>
  <c r="A500" i="1"/>
  <c r="AB499" i="1"/>
  <c r="U499" i="1"/>
  <c r="B499" i="1"/>
  <c r="A499" i="1"/>
  <c r="AB498" i="1"/>
  <c r="U498" i="1"/>
  <c r="B498" i="1"/>
  <c r="A498" i="1"/>
  <c r="AB497" i="1"/>
  <c r="U497" i="1"/>
  <c r="B497" i="1"/>
  <c r="A497" i="1"/>
  <c r="AB496" i="1"/>
  <c r="U496" i="1"/>
  <c r="B496" i="1"/>
  <c r="A496" i="1"/>
  <c r="AB495" i="1"/>
  <c r="U495" i="1"/>
  <c r="B495" i="1"/>
  <c r="A495" i="1"/>
  <c r="AB494" i="1"/>
  <c r="U494" i="1"/>
  <c r="B494" i="1"/>
  <c r="A494" i="1"/>
  <c r="AB493" i="1"/>
  <c r="U493" i="1"/>
  <c r="B493" i="1"/>
  <c r="A493" i="1"/>
  <c r="AB492" i="1"/>
  <c r="U492" i="1"/>
  <c r="B492" i="1"/>
  <c r="A492" i="1"/>
  <c r="AB491" i="1"/>
  <c r="U491" i="1"/>
  <c r="B491" i="1"/>
  <c r="A491" i="1"/>
  <c r="AB490" i="1"/>
  <c r="U490" i="1"/>
  <c r="B490" i="1"/>
  <c r="A490" i="1"/>
  <c r="AB489" i="1"/>
  <c r="U489" i="1"/>
  <c r="B489" i="1"/>
  <c r="A489" i="1"/>
  <c r="AB488" i="1"/>
  <c r="U488" i="1"/>
  <c r="B488" i="1"/>
  <c r="A488" i="1"/>
  <c r="AB487" i="1"/>
  <c r="U487" i="1"/>
  <c r="B487" i="1"/>
  <c r="A487" i="1"/>
  <c r="AB486" i="1"/>
  <c r="U486" i="1"/>
  <c r="B486" i="1"/>
  <c r="A486" i="1"/>
  <c r="AB485" i="1"/>
  <c r="U485" i="1"/>
  <c r="B485" i="1"/>
  <c r="A485" i="1"/>
  <c r="AB484" i="1"/>
  <c r="U484" i="1"/>
  <c r="B484" i="1"/>
  <c r="A484" i="1"/>
  <c r="AB483" i="1"/>
  <c r="U483" i="1"/>
  <c r="B483" i="1"/>
  <c r="A483" i="1"/>
  <c r="AB482" i="1"/>
  <c r="U482" i="1"/>
  <c r="B482" i="1"/>
  <c r="A482" i="1"/>
  <c r="AB481" i="1"/>
  <c r="U481" i="1"/>
  <c r="B481" i="1"/>
  <c r="A481" i="1"/>
  <c r="AB480" i="1"/>
  <c r="U480" i="1"/>
  <c r="B480" i="1"/>
  <c r="A480" i="1"/>
  <c r="AB479" i="1"/>
  <c r="U479" i="1"/>
  <c r="B479" i="1"/>
  <c r="A479" i="1"/>
  <c r="AB478" i="1"/>
  <c r="U478" i="1"/>
  <c r="B478" i="1"/>
  <c r="A478" i="1"/>
  <c r="AB477" i="1"/>
  <c r="U477" i="1"/>
  <c r="B477" i="1"/>
  <c r="A477" i="1"/>
  <c r="AB476" i="1"/>
  <c r="U476" i="1"/>
  <c r="B476" i="1"/>
  <c r="A476" i="1"/>
  <c r="AB475" i="1"/>
  <c r="U475" i="1"/>
  <c r="B475" i="1"/>
  <c r="A475" i="1"/>
  <c r="AB474" i="1"/>
  <c r="U474" i="1"/>
  <c r="B474" i="1"/>
  <c r="A474" i="1"/>
  <c r="AB473" i="1"/>
  <c r="U473" i="1"/>
  <c r="B473" i="1"/>
  <c r="A473" i="1"/>
  <c r="AB472" i="1"/>
  <c r="U472" i="1"/>
  <c r="B472" i="1"/>
  <c r="A472" i="1"/>
  <c r="AB471" i="1"/>
  <c r="U471" i="1"/>
  <c r="B471" i="1"/>
  <c r="A471" i="1"/>
  <c r="AB470" i="1"/>
  <c r="U470" i="1"/>
  <c r="B470" i="1"/>
  <c r="A470" i="1"/>
  <c r="AB469" i="1"/>
  <c r="U469" i="1"/>
  <c r="B469" i="1"/>
  <c r="A469" i="1"/>
  <c r="AB468" i="1"/>
  <c r="U468" i="1"/>
  <c r="B468" i="1"/>
  <c r="A468" i="1"/>
  <c r="AB467" i="1"/>
  <c r="U467" i="1"/>
  <c r="B467" i="1"/>
  <c r="A467" i="1"/>
  <c r="AB466" i="1"/>
  <c r="U466" i="1"/>
  <c r="B466" i="1"/>
  <c r="A466" i="1"/>
  <c r="AB465" i="1"/>
  <c r="U465" i="1"/>
  <c r="N465" i="1"/>
  <c r="B465" i="1"/>
  <c r="A465" i="1"/>
  <c r="AB464" i="1"/>
  <c r="U464" i="1"/>
  <c r="N464" i="1"/>
  <c r="B464" i="1"/>
  <c r="A464" i="1"/>
  <c r="AB463" i="1"/>
  <c r="U463" i="1"/>
  <c r="N463" i="1"/>
  <c r="B463" i="1"/>
  <c r="A463" i="1"/>
  <c r="AB462" i="1"/>
  <c r="U462" i="1"/>
  <c r="N462" i="1"/>
  <c r="B462" i="1"/>
  <c r="A462" i="1"/>
  <c r="AB461" i="1"/>
  <c r="U461" i="1"/>
  <c r="N461" i="1"/>
  <c r="B461" i="1"/>
  <c r="A461" i="1"/>
  <c r="AB460" i="1"/>
  <c r="U460" i="1"/>
  <c r="N460" i="1"/>
  <c r="B460" i="1"/>
  <c r="A460" i="1"/>
  <c r="AB459" i="1"/>
  <c r="U459" i="1"/>
  <c r="N459" i="1"/>
  <c r="B459" i="1"/>
  <c r="A459" i="1"/>
  <c r="AB458" i="1"/>
  <c r="U458" i="1"/>
  <c r="N458" i="1"/>
  <c r="I458" i="1"/>
  <c r="B458" i="1"/>
  <c r="A458" i="1"/>
  <c r="AB457" i="1"/>
  <c r="U457" i="1"/>
  <c r="N457" i="1"/>
  <c r="B457" i="1"/>
  <c r="A457" i="1"/>
  <c r="AB456" i="1"/>
  <c r="U456" i="1"/>
  <c r="N456" i="1"/>
  <c r="B456" i="1"/>
  <c r="A456" i="1"/>
  <c r="AB455" i="1"/>
  <c r="U455" i="1"/>
  <c r="N455" i="1"/>
  <c r="B455" i="1"/>
  <c r="A455" i="1"/>
  <c r="AB454" i="1"/>
  <c r="U454" i="1"/>
  <c r="N454" i="1"/>
  <c r="I454" i="1"/>
  <c r="B454" i="1"/>
  <c r="A454" i="1"/>
  <c r="AB453" i="1"/>
  <c r="U453" i="1"/>
  <c r="N453" i="1"/>
  <c r="I453" i="1"/>
  <c r="B453" i="1"/>
  <c r="A453" i="1"/>
  <c r="AB452" i="1"/>
  <c r="U452" i="1"/>
  <c r="N452" i="1"/>
  <c r="I452" i="1"/>
  <c r="B452" i="1"/>
  <c r="A452" i="1"/>
  <c r="AB451" i="1"/>
  <c r="U451" i="1"/>
  <c r="N451" i="1"/>
  <c r="I451" i="1"/>
  <c r="B451" i="1"/>
  <c r="A451" i="1"/>
  <c r="AB450" i="1"/>
  <c r="U450" i="1"/>
  <c r="N450" i="1"/>
  <c r="I450" i="1"/>
  <c r="B450" i="1"/>
  <c r="A450" i="1"/>
  <c r="AB449" i="1"/>
  <c r="U449" i="1"/>
  <c r="N449" i="1"/>
  <c r="I449" i="1"/>
  <c r="B449" i="1"/>
  <c r="A449" i="1"/>
  <c r="AB448" i="1"/>
  <c r="U448" i="1"/>
  <c r="N448" i="1"/>
  <c r="I448" i="1"/>
  <c r="B448" i="1"/>
  <c r="A448" i="1"/>
  <c r="AB447" i="1"/>
  <c r="U447" i="1"/>
  <c r="N447" i="1"/>
  <c r="I447" i="1"/>
  <c r="B447" i="1"/>
  <c r="A447" i="1"/>
  <c r="AB446" i="1"/>
  <c r="U446" i="1"/>
  <c r="N446" i="1"/>
  <c r="I446" i="1"/>
  <c r="B446" i="1"/>
  <c r="A446" i="1"/>
  <c r="AB445" i="1"/>
  <c r="U445" i="1"/>
  <c r="N445" i="1"/>
  <c r="I445" i="1"/>
  <c r="B445" i="1"/>
  <c r="A445" i="1"/>
  <c r="AB444" i="1"/>
  <c r="U444" i="1"/>
  <c r="N444" i="1"/>
  <c r="I444" i="1"/>
  <c r="B444" i="1"/>
  <c r="A444" i="1"/>
  <c r="AB443" i="1"/>
  <c r="U443" i="1"/>
  <c r="N443" i="1"/>
  <c r="I443" i="1"/>
  <c r="B443" i="1"/>
  <c r="A443" i="1"/>
  <c r="AB442" i="1"/>
  <c r="U442" i="1"/>
  <c r="N442" i="1"/>
  <c r="I442" i="1"/>
  <c r="B442" i="1"/>
  <c r="A442" i="1"/>
  <c r="AB441" i="1"/>
  <c r="U441" i="1"/>
  <c r="N441" i="1"/>
  <c r="I441" i="1"/>
  <c r="B441" i="1"/>
  <c r="A441" i="1"/>
  <c r="AB440" i="1"/>
  <c r="U440" i="1"/>
  <c r="N440" i="1"/>
  <c r="I440" i="1"/>
  <c r="B440" i="1"/>
  <c r="A440" i="1"/>
  <c r="AB439" i="1"/>
  <c r="U439" i="1"/>
  <c r="N439" i="1"/>
  <c r="I439" i="1"/>
  <c r="B439" i="1"/>
  <c r="A439" i="1"/>
  <c r="AB438" i="1"/>
  <c r="U438" i="1"/>
  <c r="N438" i="1"/>
  <c r="B438" i="1"/>
  <c r="A438" i="1"/>
  <c r="AB437" i="1"/>
  <c r="U437" i="1"/>
  <c r="N437" i="1"/>
  <c r="I437" i="1"/>
  <c r="B437" i="1"/>
  <c r="A437" i="1"/>
  <c r="AB436" i="1"/>
  <c r="U436" i="1"/>
  <c r="N436" i="1"/>
  <c r="I436" i="1"/>
  <c r="B436" i="1"/>
  <c r="A436" i="1"/>
  <c r="AB435" i="1"/>
  <c r="U435" i="1"/>
  <c r="N435" i="1"/>
  <c r="I435" i="1"/>
  <c r="B435" i="1"/>
  <c r="A435" i="1"/>
  <c r="AB434" i="1"/>
  <c r="U434" i="1"/>
  <c r="N434" i="1"/>
  <c r="B434" i="1"/>
  <c r="A434" i="1"/>
  <c r="AB433" i="1"/>
  <c r="U433" i="1"/>
  <c r="N433" i="1"/>
  <c r="I433" i="1"/>
  <c r="B433" i="1"/>
  <c r="A433" i="1"/>
  <c r="AB432" i="1"/>
  <c r="U432" i="1"/>
  <c r="N432" i="1"/>
  <c r="I432" i="1"/>
  <c r="B432" i="1"/>
  <c r="A432" i="1"/>
  <c r="AB431" i="1"/>
  <c r="U431" i="1"/>
  <c r="N431" i="1"/>
  <c r="B431" i="1"/>
  <c r="A431" i="1"/>
  <c r="AB430" i="1"/>
  <c r="U430" i="1"/>
  <c r="N430" i="1"/>
  <c r="I430" i="1"/>
  <c r="B430" i="1"/>
  <c r="A430" i="1"/>
  <c r="AB429" i="1"/>
  <c r="U429" i="1"/>
  <c r="N429" i="1"/>
  <c r="I429" i="1"/>
  <c r="B429" i="1"/>
  <c r="A429" i="1"/>
  <c r="AB428" i="1"/>
  <c r="U428" i="1"/>
  <c r="N428" i="1"/>
  <c r="I428" i="1"/>
  <c r="B428" i="1"/>
  <c r="A428" i="1"/>
  <c r="AB427" i="1"/>
  <c r="U427" i="1"/>
  <c r="N427" i="1"/>
  <c r="I427" i="1"/>
  <c r="B427" i="1"/>
  <c r="A427" i="1"/>
  <c r="AB426" i="1"/>
  <c r="U426" i="1"/>
  <c r="N426" i="1"/>
  <c r="B426" i="1"/>
  <c r="A426" i="1"/>
  <c r="AB425" i="1"/>
  <c r="U425" i="1"/>
  <c r="N425" i="1"/>
  <c r="I425" i="1"/>
  <c r="B425" i="1"/>
  <c r="A425" i="1"/>
  <c r="AB424" i="1"/>
  <c r="U424" i="1"/>
  <c r="N424" i="1"/>
  <c r="I424" i="1"/>
  <c r="B424" i="1"/>
  <c r="A424" i="1"/>
  <c r="AB423" i="1"/>
  <c r="U423" i="1"/>
  <c r="N423" i="1"/>
  <c r="I423" i="1"/>
  <c r="B423" i="1"/>
  <c r="A423" i="1"/>
  <c r="AB422" i="1"/>
  <c r="U422" i="1"/>
  <c r="N422" i="1"/>
  <c r="I422" i="1"/>
  <c r="B422" i="1"/>
  <c r="A422" i="1"/>
  <c r="AB421" i="1"/>
  <c r="U421" i="1"/>
  <c r="N421" i="1"/>
  <c r="B421" i="1"/>
  <c r="A421" i="1"/>
  <c r="AB420" i="1"/>
  <c r="U420" i="1"/>
  <c r="N420" i="1"/>
  <c r="I420" i="1"/>
  <c r="B420" i="1"/>
  <c r="A420" i="1"/>
  <c r="AB419" i="1"/>
  <c r="U419" i="1"/>
  <c r="N419" i="1"/>
  <c r="I419" i="1"/>
  <c r="B419" i="1"/>
  <c r="A419" i="1"/>
  <c r="AB418" i="1"/>
  <c r="U418" i="1"/>
  <c r="N418" i="1"/>
  <c r="I418" i="1"/>
  <c r="B418" i="1"/>
  <c r="A418" i="1"/>
  <c r="AB417" i="1"/>
  <c r="U417" i="1"/>
  <c r="N417" i="1"/>
  <c r="I417" i="1"/>
  <c r="B417" i="1"/>
  <c r="A417" i="1"/>
  <c r="AB416" i="1"/>
  <c r="U416" i="1"/>
  <c r="N416" i="1"/>
  <c r="I416" i="1"/>
  <c r="B416" i="1"/>
  <c r="A416" i="1"/>
  <c r="AB415" i="1"/>
  <c r="U415" i="1"/>
  <c r="N415" i="1"/>
  <c r="I415" i="1"/>
  <c r="B415" i="1"/>
  <c r="A415" i="1"/>
  <c r="AB414" i="1"/>
  <c r="U414" i="1"/>
  <c r="N414" i="1"/>
  <c r="I414" i="1"/>
  <c r="B414" i="1"/>
  <c r="A414" i="1"/>
  <c r="AB413" i="1"/>
  <c r="U413" i="1"/>
  <c r="N413" i="1"/>
  <c r="I413" i="1"/>
  <c r="B413" i="1"/>
  <c r="A413" i="1"/>
  <c r="AB412" i="1"/>
  <c r="U412" i="1"/>
  <c r="N412" i="1"/>
  <c r="B412" i="1"/>
  <c r="A412" i="1"/>
  <c r="AB411" i="1"/>
  <c r="U411" i="1"/>
  <c r="N411" i="1"/>
  <c r="I411" i="1"/>
  <c r="B411" i="1"/>
  <c r="A411" i="1"/>
  <c r="AB410" i="1"/>
  <c r="U410" i="1"/>
  <c r="N410" i="1"/>
  <c r="I410" i="1"/>
  <c r="B410" i="1"/>
  <c r="A410" i="1"/>
  <c r="AB409" i="1"/>
  <c r="U409" i="1"/>
  <c r="N409" i="1"/>
  <c r="I409" i="1"/>
  <c r="B409" i="1"/>
  <c r="A409" i="1"/>
  <c r="AB408" i="1"/>
  <c r="U408" i="1"/>
  <c r="N408" i="1"/>
  <c r="I408" i="1"/>
  <c r="B408" i="1"/>
  <c r="A408" i="1"/>
  <c r="AB407" i="1"/>
  <c r="U407" i="1"/>
  <c r="N407" i="1"/>
  <c r="I407" i="1"/>
  <c r="B407" i="1"/>
  <c r="A407" i="1"/>
  <c r="AB406" i="1"/>
  <c r="U406" i="1"/>
  <c r="N406" i="1"/>
  <c r="I406" i="1"/>
  <c r="B406" i="1"/>
  <c r="A406" i="1"/>
  <c r="AB405" i="1"/>
  <c r="U405" i="1"/>
  <c r="N405" i="1"/>
  <c r="I405" i="1"/>
  <c r="B405" i="1"/>
  <c r="A405" i="1"/>
  <c r="AB404" i="1"/>
  <c r="U404" i="1"/>
  <c r="N404" i="1"/>
  <c r="I404" i="1"/>
  <c r="B404" i="1"/>
  <c r="A404" i="1"/>
  <c r="AB403" i="1"/>
  <c r="U403" i="1"/>
  <c r="N403" i="1"/>
  <c r="B403" i="1"/>
  <c r="A403" i="1"/>
  <c r="AB402" i="1"/>
  <c r="U402" i="1"/>
  <c r="N402" i="1"/>
  <c r="I402" i="1"/>
  <c r="B402" i="1"/>
  <c r="A402" i="1"/>
  <c r="AB401" i="1"/>
  <c r="U401" i="1"/>
  <c r="N401" i="1"/>
  <c r="I401" i="1"/>
  <c r="B401" i="1"/>
  <c r="A401" i="1"/>
  <c r="AB400" i="1"/>
  <c r="U400" i="1"/>
  <c r="N400" i="1"/>
  <c r="B400" i="1"/>
  <c r="A400" i="1"/>
  <c r="AB399" i="1"/>
  <c r="U399" i="1"/>
  <c r="N399" i="1"/>
  <c r="I399" i="1"/>
  <c r="B399" i="1"/>
  <c r="A399" i="1"/>
  <c r="AB398" i="1"/>
  <c r="U398" i="1"/>
  <c r="N398" i="1"/>
  <c r="I398" i="1"/>
  <c r="B398" i="1"/>
  <c r="A398" i="1"/>
  <c r="AB397" i="1"/>
  <c r="U397" i="1"/>
  <c r="N397" i="1"/>
  <c r="I397" i="1"/>
  <c r="B397" i="1"/>
  <c r="A397" i="1"/>
  <c r="AB396" i="1"/>
  <c r="U396" i="1"/>
  <c r="N396" i="1"/>
  <c r="I396" i="1"/>
  <c r="B396" i="1"/>
  <c r="A396" i="1"/>
  <c r="AB395" i="1"/>
  <c r="U395" i="1"/>
  <c r="N395" i="1"/>
  <c r="I395" i="1"/>
  <c r="B395" i="1"/>
  <c r="A395" i="1"/>
  <c r="AB394" i="1"/>
  <c r="U394" i="1"/>
  <c r="N394" i="1"/>
  <c r="I394" i="1"/>
  <c r="B394" i="1"/>
  <c r="A394" i="1"/>
  <c r="AB393" i="1"/>
  <c r="U393" i="1"/>
  <c r="N393" i="1"/>
  <c r="I393" i="1"/>
  <c r="B393" i="1"/>
  <c r="A393" i="1"/>
  <c r="AB392" i="1"/>
  <c r="U392" i="1"/>
  <c r="N392" i="1"/>
  <c r="I392" i="1"/>
  <c r="B392" i="1"/>
  <c r="A392" i="1"/>
  <c r="AB391" i="1"/>
  <c r="U391" i="1"/>
  <c r="N391" i="1"/>
  <c r="I391" i="1"/>
  <c r="B391" i="1"/>
  <c r="A391" i="1"/>
  <c r="AB390" i="1"/>
  <c r="U390" i="1"/>
  <c r="N390" i="1"/>
  <c r="I390" i="1"/>
  <c r="B390" i="1"/>
  <c r="A390" i="1"/>
  <c r="AB389" i="1"/>
  <c r="U389" i="1"/>
  <c r="N389" i="1"/>
  <c r="I389" i="1"/>
  <c r="B389" i="1"/>
  <c r="A389" i="1"/>
  <c r="AB388" i="1"/>
  <c r="U388" i="1"/>
  <c r="N388" i="1"/>
  <c r="I388" i="1"/>
  <c r="B388" i="1"/>
  <c r="A388" i="1"/>
  <c r="AB387" i="1"/>
  <c r="U387" i="1"/>
  <c r="N387" i="1"/>
  <c r="I387" i="1"/>
  <c r="B387" i="1"/>
  <c r="A387" i="1"/>
  <c r="AB386" i="1"/>
  <c r="U386" i="1"/>
  <c r="N386" i="1"/>
  <c r="I386" i="1"/>
  <c r="B386" i="1"/>
  <c r="A386" i="1"/>
  <c r="AB385" i="1"/>
  <c r="U385" i="1"/>
  <c r="N385" i="1"/>
  <c r="I385" i="1"/>
  <c r="B385" i="1"/>
  <c r="A385" i="1"/>
  <c r="AB384" i="1"/>
  <c r="U384" i="1"/>
  <c r="N384" i="1"/>
  <c r="B384" i="1"/>
  <c r="A384" i="1"/>
  <c r="AB383" i="1"/>
  <c r="U383" i="1"/>
  <c r="N383" i="1"/>
  <c r="I383" i="1"/>
  <c r="B383" i="1"/>
  <c r="A383" i="1"/>
  <c r="AB382" i="1"/>
  <c r="U382" i="1"/>
  <c r="N382" i="1"/>
  <c r="I382" i="1"/>
  <c r="B382" i="1"/>
  <c r="A382" i="1"/>
  <c r="AB381" i="1"/>
  <c r="U381" i="1"/>
  <c r="N381" i="1"/>
  <c r="I381" i="1"/>
  <c r="B381" i="1"/>
  <c r="A381" i="1"/>
  <c r="AB380" i="1"/>
  <c r="U380" i="1"/>
  <c r="N380" i="1"/>
  <c r="I380" i="1"/>
  <c r="B380" i="1"/>
  <c r="A380" i="1"/>
  <c r="AB379" i="1"/>
  <c r="U379" i="1"/>
  <c r="N379" i="1"/>
  <c r="I379" i="1"/>
  <c r="B379" i="1"/>
  <c r="A379" i="1"/>
  <c r="AB378" i="1"/>
  <c r="U378" i="1"/>
  <c r="N378" i="1"/>
  <c r="I378" i="1"/>
  <c r="B378" i="1"/>
  <c r="A378" i="1"/>
  <c r="AB377" i="1"/>
  <c r="U377" i="1"/>
  <c r="N377" i="1"/>
  <c r="I377" i="1"/>
  <c r="B377" i="1"/>
  <c r="A377" i="1"/>
  <c r="AB376" i="1"/>
  <c r="U376" i="1"/>
  <c r="N376" i="1"/>
  <c r="I376" i="1"/>
  <c r="B376" i="1"/>
  <c r="A376" i="1"/>
  <c r="AB375" i="1"/>
  <c r="U375" i="1"/>
  <c r="N375" i="1"/>
  <c r="B375" i="1"/>
  <c r="A375" i="1"/>
  <c r="AB374" i="1"/>
  <c r="U374" i="1"/>
  <c r="N374" i="1"/>
  <c r="I374" i="1"/>
  <c r="B374" i="1"/>
  <c r="A374" i="1"/>
  <c r="AB373" i="1"/>
  <c r="U373" i="1"/>
  <c r="N373" i="1"/>
  <c r="I373" i="1"/>
  <c r="B373" i="1"/>
  <c r="A373" i="1"/>
  <c r="AB372" i="1"/>
  <c r="U372" i="1"/>
  <c r="N372" i="1"/>
  <c r="I372" i="1"/>
  <c r="B372" i="1"/>
  <c r="A372" i="1"/>
  <c r="AB371" i="1"/>
  <c r="U371" i="1"/>
  <c r="N371" i="1"/>
  <c r="I371" i="1"/>
  <c r="B371" i="1"/>
  <c r="A371" i="1"/>
  <c r="AB370" i="1"/>
  <c r="U370" i="1"/>
  <c r="N370" i="1"/>
  <c r="I370" i="1"/>
  <c r="B370" i="1"/>
  <c r="A370" i="1"/>
  <c r="AB369" i="1"/>
  <c r="U369" i="1"/>
  <c r="N369" i="1"/>
  <c r="I369" i="1"/>
  <c r="B369" i="1"/>
  <c r="A369" i="1"/>
  <c r="AB368" i="1"/>
  <c r="U368" i="1"/>
  <c r="N368" i="1"/>
  <c r="I368" i="1"/>
  <c r="B368" i="1"/>
  <c r="A368" i="1"/>
  <c r="AB367" i="1"/>
  <c r="U367" i="1"/>
  <c r="N367" i="1"/>
  <c r="I367" i="1"/>
  <c r="B367" i="1"/>
  <c r="A367" i="1"/>
  <c r="AB366" i="1"/>
  <c r="U366" i="1"/>
  <c r="N366" i="1"/>
  <c r="I366" i="1"/>
  <c r="B366" i="1"/>
  <c r="A366" i="1"/>
  <c r="AB365" i="1"/>
  <c r="U365" i="1"/>
  <c r="N365" i="1"/>
  <c r="B365" i="1"/>
  <c r="A365" i="1"/>
  <c r="AB364" i="1"/>
  <c r="U364" i="1"/>
  <c r="N364" i="1"/>
  <c r="I364" i="1"/>
  <c r="B364" i="1"/>
  <c r="A364" i="1"/>
  <c r="AB363" i="1"/>
  <c r="U363" i="1"/>
  <c r="N363" i="1"/>
  <c r="B363" i="1"/>
  <c r="A363" i="1"/>
  <c r="AB362" i="1"/>
  <c r="U362" i="1"/>
  <c r="N362" i="1"/>
  <c r="B362" i="1"/>
  <c r="A362" i="1"/>
  <c r="AB361" i="1"/>
  <c r="U361" i="1"/>
  <c r="N361" i="1"/>
  <c r="B361" i="1"/>
  <c r="A361" i="1"/>
  <c r="AB360" i="1"/>
  <c r="U360" i="1"/>
  <c r="N360" i="1"/>
  <c r="B360" i="1"/>
  <c r="A360" i="1"/>
  <c r="AB359" i="1"/>
  <c r="U359" i="1"/>
  <c r="N359" i="1"/>
  <c r="B359" i="1"/>
  <c r="A359" i="1"/>
  <c r="AB358" i="1"/>
  <c r="U358" i="1"/>
  <c r="N358" i="1"/>
  <c r="B358" i="1"/>
  <c r="A358" i="1"/>
  <c r="AB357" i="1"/>
  <c r="U357" i="1"/>
  <c r="N357" i="1"/>
  <c r="B357" i="1"/>
  <c r="A357" i="1"/>
  <c r="AB356" i="1"/>
  <c r="U356" i="1"/>
  <c r="N356" i="1"/>
  <c r="B356" i="1"/>
  <c r="A356" i="1"/>
  <c r="AB355" i="1"/>
  <c r="U355" i="1"/>
  <c r="N355" i="1"/>
  <c r="B355" i="1"/>
  <c r="A355" i="1"/>
  <c r="AB354" i="1"/>
  <c r="U354" i="1"/>
  <c r="N354" i="1"/>
  <c r="B354" i="1"/>
  <c r="A354" i="1"/>
  <c r="AB353" i="1"/>
  <c r="U353" i="1"/>
  <c r="N353" i="1"/>
  <c r="B353" i="1"/>
  <c r="A353" i="1"/>
  <c r="AB352" i="1"/>
  <c r="U352" i="1"/>
  <c r="N352" i="1"/>
  <c r="B352" i="1"/>
  <c r="A352" i="1"/>
  <c r="AB351" i="1"/>
  <c r="U351" i="1"/>
  <c r="N351" i="1"/>
  <c r="B351" i="1"/>
  <c r="A351" i="1"/>
  <c r="AB350" i="1"/>
  <c r="U350" i="1"/>
  <c r="N350" i="1"/>
  <c r="B350" i="1"/>
  <c r="A350" i="1"/>
  <c r="AB349" i="1"/>
  <c r="U349" i="1"/>
  <c r="N349" i="1"/>
  <c r="B349" i="1"/>
  <c r="A349" i="1"/>
  <c r="AB348" i="1"/>
  <c r="U348" i="1"/>
  <c r="N348" i="1"/>
  <c r="B348" i="1"/>
  <c r="A348" i="1"/>
  <c r="AB347" i="1"/>
  <c r="U347" i="1"/>
  <c r="N347" i="1"/>
  <c r="B347" i="1"/>
  <c r="A347" i="1"/>
  <c r="AB346" i="1"/>
  <c r="U346" i="1"/>
  <c r="N346" i="1"/>
  <c r="B346" i="1"/>
  <c r="A346" i="1"/>
  <c r="AB345" i="1"/>
  <c r="U345" i="1"/>
  <c r="N345" i="1"/>
  <c r="B345" i="1"/>
  <c r="A345" i="1"/>
  <c r="AB344" i="1"/>
  <c r="U344" i="1"/>
  <c r="N344" i="1"/>
  <c r="B344" i="1"/>
  <c r="A344" i="1"/>
  <c r="AB343" i="1"/>
  <c r="U343" i="1"/>
  <c r="N343" i="1"/>
  <c r="B343" i="1"/>
  <c r="A343" i="1"/>
  <c r="AB342" i="1"/>
  <c r="U342" i="1"/>
  <c r="N342" i="1"/>
  <c r="B342" i="1"/>
  <c r="A342" i="1"/>
  <c r="AB341" i="1"/>
  <c r="U341" i="1"/>
  <c r="N341" i="1"/>
  <c r="B341" i="1"/>
  <c r="A341" i="1"/>
  <c r="AB340" i="1"/>
  <c r="U340" i="1"/>
  <c r="N340" i="1"/>
  <c r="B340" i="1"/>
  <c r="A340" i="1"/>
  <c r="AB339" i="1"/>
  <c r="U339" i="1"/>
  <c r="N339" i="1"/>
  <c r="B339" i="1"/>
  <c r="A339" i="1"/>
  <c r="AB338" i="1"/>
  <c r="U338" i="1"/>
  <c r="N338" i="1"/>
  <c r="B338" i="1"/>
  <c r="A338" i="1"/>
  <c r="AB337" i="1"/>
  <c r="U337" i="1"/>
  <c r="N337" i="1"/>
  <c r="B337" i="1"/>
  <c r="A337" i="1"/>
  <c r="U336" i="1"/>
  <c r="AB335" i="1"/>
  <c r="U335" i="1"/>
  <c r="N335" i="1"/>
  <c r="B335" i="1"/>
  <c r="A335" i="1"/>
  <c r="AB334" i="1"/>
  <c r="U334" i="1"/>
  <c r="N334" i="1"/>
  <c r="B334" i="1"/>
  <c r="A334" i="1"/>
  <c r="AB333" i="1"/>
  <c r="U333" i="1"/>
  <c r="N333" i="1"/>
  <c r="B333" i="1"/>
  <c r="A333" i="1"/>
  <c r="AB332" i="1"/>
  <c r="U332" i="1"/>
  <c r="N332" i="1"/>
  <c r="B332" i="1"/>
  <c r="A332" i="1"/>
  <c r="AB331" i="1"/>
  <c r="U331" i="1"/>
  <c r="N331" i="1"/>
  <c r="B331" i="1"/>
  <c r="A331" i="1"/>
  <c r="AB330" i="1"/>
  <c r="U330" i="1"/>
  <c r="N330" i="1"/>
  <c r="B330" i="1"/>
  <c r="A330" i="1"/>
  <c r="AB329" i="1"/>
  <c r="U329" i="1"/>
  <c r="N329" i="1"/>
  <c r="B329" i="1"/>
  <c r="A329" i="1"/>
  <c r="AB328" i="1"/>
  <c r="U328" i="1"/>
  <c r="N328" i="1"/>
  <c r="B328" i="1"/>
  <c r="A328" i="1"/>
  <c r="AB327" i="1"/>
  <c r="U327" i="1"/>
  <c r="N327" i="1"/>
  <c r="B327" i="1"/>
  <c r="A327" i="1"/>
  <c r="AB326" i="1"/>
  <c r="U326" i="1"/>
  <c r="N326" i="1"/>
  <c r="B326" i="1"/>
  <c r="A326" i="1"/>
  <c r="AB325" i="1"/>
  <c r="U325" i="1"/>
  <c r="N325" i="1"/>
  <c r="B325" i="1"/>
  <c r="A325" i="1"/>
  <c r="AB324" i="1"/>
  <c r="U324" i="1"/>
  <c r="N324" i="1"/>
  <c r="B324" i="1"/>
  <c r="A324" i="1"/>
  <c r="U323" i="1"/>
  <c r="AB322" i="1"/>
  <c r="U322" i="1"/>
  <c r="N322" i="1"/>
  <c r="B322" i="1"/>
  <c r="A322" i="1"/>
  <c r="AB321" i="1"/>
  <c r="U321" i="1"/>
  <c r="N321" i="1"/>
  <c r="B321" i="1"/>
  <c r="A321" i="1"/>
  <c r="AB320" i="1"/>
  <c r="U320" i="1"/>
  <c r="N320" i="1"/>
  <c r="B320" i="1"/>
  <c r="A320" i="1"/>
  <c r="AB319" i="1"/>
  <c r="U319" i="1"/>
  <c r="N319" i="1"/>
  <c r="B319" i="1"/>
  <c r="A319" i="1"/>
  <c r="AB318" i="1"/>
  <c r="U318" i="1"/>
  <c r="N318" i="1"/>
  <c r="B318" i="1"/>
  <c r="A318" i="1"/>
  <c r="AB317" i="1"/>
  <c r="U317" i="1"/>
  <c r="N317" i="1"/>
  <c r="B317" i="1"/>
  <c r="A317" i="1"/>
  <c r="AB316" i="1"/>
  <c r="U316" i="1"/>
  <c r="N316" i="1"/>
  <c r="B316" i="1"/>
  <c r="A316" i="1"/>
  <c r="AB315" i="1"/>
  <c r="U315" i="1"/>
  <c r="N315" i="1"/>
  <c r="B315" i="1"/>
  <c r="A315" i="1"/>
  <c r="AB314" i="1"/>
  <c r="U314" i="1"/>
  <c r="N314" i="1"/>
  <c r="B314" i="1"/>
  <c r="A314" i="1"/>
  <c r="AB313" i="1"/>
  <c r="U313" i="1"/>
  <c r="N313" i="1"/>
  <c r="B313" i="1"/>
  <c r="A313" i="1"/>
  <c r="AB312" i="1"/>
  <c r="U312" i="1"/>
  <c r="N312" i="1"/>
  <c r="B312" i="1"/>
  <c r="A312" i="1"/>
  <c r="AB311" i="1"/>
  <c r="U311" i="1"/>
  <c r="N311" i="1"/>
  <c r="B311" i="1"/>
  <c r="A311" i="1"/>
  <c r="AB310" i="1"/>
  <c r="U310" i="1"/>
  <c r="N310" i="1"/>
  <c r="B310" i="1"/>
  <c r="A310" i="1"/>
  <c r="AB309" i="1"/>
  <c r="U309" i="1"/>
  <c r="N309" i="1"/>
  <c r="B309" i="1"/>
  <c r="A309" i="1"/>
  <c r="AB308" i="1"/>
  <c r="U308" i="1"/>
  <c r="N308" i="1"/>
  <c r="B308" i="1"/>
  <c r="A308" i="1"/>
  <c r="AB307" i="1"/>
  <c r="U307" i="1"/>
  <c r="N307" i="1"/>
  <c r="B307" i="1"/>
  <c r="A307" i="1"/>
  <c r="AB306" i="1"/>
  <c r="U306" i="1"/>
  <c r="N306" i="1"/>
  <c r="B306" i="1"/>
  <c r="A306" i="1"/>
  <c r="AB305" i="1"/>
  <c r="U305" i="1"/>
  <c r="N305" i="1"/>
  <c r="B305" i="1"/>
  <c r="A305" i="1"/>
  <c r="AB304" i="1"/>
  <c r="U304" i="1"/>
  <c r="N304" i="1"/>
  <c r="B304" i="1"/>
  <c r="A304" i="1"/>
  <c r="AB303" i="1"/>
  <c r="U303" i="1"/>
  <c r="N303" i="1"/>
  <c r="B303" i="1"/>
  <c r="A303" i="1"/>
  <c r="AB302" i="1"/>
  <c r="U302" i="1"/>
  <c r="N302" i="1"/>
  <c r="B302" i="1"/>
  <c r="A302" i="1"/>
  <c r="AB301" i="1"/>
  <c r="U301" i="1"/>
  <c r="N301" i="1"/>
  <c r="B301" i="1"/>
  <c r="A301" i="1"/>
  <c r="AB300" i="1"/>
  <c r="U300" i="1"/>
  <c r="N300" i="1"/>
  <c r="B300" i="1"/>
  <c r="A300" i="1"/>
  <c r="AB299" i="1"/>
  <c r="U299" i="1"/>
  <c r="N299" i="1"/>
  <c r="B299" i="1"/>
  <c r="A299" i="1"/>
  <c r="AB298" i="1"/>
  <c r="U298" i="1"/>
  <c r="N298" i="1"/>
  <c r="B298" i="1"/>
  <c r="A298" i="1"/>
  <c r="AB297" i="1"/>
  <c r="U297" i="1"/>
  <c r="N297" i="1"/>
  <c r="B297" i="1"/>
  <c r="A297" i="1"/>
  <c r="AB296" i="1"/>
  <c r="U296" i="1"/>
  <c r="N296" i="1"/>
  <c r="B296" i="1"/>
  <c r="A296" i="1"/>
  <c r="AB295" i="1"/>
  <c r="U295" i="1"/>
  <c r="N295" i="1"/>
  <c r="B295" i="1"/>
  <c r="A295" i="1"/>
  <c r="AB294" i="1"/>
  <c r="U294" i="1"/>
  <c r="N294" i="1"/>
  <c r="B294" i="1"/>
  <c r="A294" i="1"/>
  <c r="AB293" i="1"/>
  <c r="U293" i="1"/>
  <c r="N293" i="1"/>
  <c r="B293" i="1"/>
  <c r="A293" i="1"/>
  <c r="AB292" i="1"/>
  <c r="U292" i="1"/>
  <c r="N292" i="1"/>
  <c r="B292" i="1"/>
  <c r="A292" i="1"/>
  <c r="AB291" i="1"/>
  <c r="U291" i="1"/>
  <c r="N291" i="1"/>
  <c r="B291" i="1"/>
  <c r="A291" i="1"/>
  <c r="AB290" i="1"/>
  <c r="U290" i="1"/>
  <c r="N290" i="1"/>
  <c r="B290" i="1"/>
  <c r="A290" i="1"/>
  <c r="AB289" i="1"/>
  <c r="U289" i="1"/>
  <c r="N289" i="1"/>
  <c r="B289" i="1"/>
  <c r="A289" i="1"/>
  <c r="AB288" i="1"/>
  <c r="U288" i="1"/>
  <c r="N288" i="1"/>
  <c r="B288" i="1"/>
  <c r="A288" i="1"/>
  <c r="AB287" i="1"/>
  <c r="U287" i="1"/>
  <c r="N287" i="1"/>
  <c r="B287" i="1"/>
  <c r="A287" i="1"/>
  <c r="AB286" i="1"/>
  <c r="U286" i="1"/>
  <c r="N286" i="1"/>
  <c r="B286" i="1"/>
  <c r="A286" i="1"/>
  <c r="AB285" i="1"/>
  <c r="U285" i="1"/>
  <c r="N285" i="1"/>
  <c r="B285" i="1"/>
  <c r="A285" i="1"/>
  <c r="AB284" i="1"/>
  <c r="U284" i="1"/>
  <c r="N284" i="1"/>
  <c r="B284" i="1"/>
  <c r="A284" i="1"/>
  <c r="AB283" i="1"/>
  <c r="U283" i="1"/>
  <c r="N283" i="1"/>
  <c r="B283" i="1"/>
  <c r="A283" i="1"/>
  <c r="AB282" i="1"/>
  <c r="U282" i="1"/>
  <c r="N282" i="1"/>
  <c r="B282" i="1"/>
  <c r="A282" i="1"/>
  <c r="AB281" i="1"/>
  <c r="U281" i="1"/>
  <c r="N281" i="1"/>
  <c r="B281" i="1"/>
  <c r="A281" i="1"/>
  <c r="AB280" i="1"/>
  <c r="U280" i="1"/>
  <c r="N280" i="1"/>
  <c r="I280" i="1"/>
  <c r="B280" i="1"/>
  <c r="A280" i="1"/>
  <c r="AB279" i="1"/>
  <c r="U279" i="1"/>
  <c r="N279" i="1"/>
  <c r="B279" i="1"/>
  <c r="A279" i="1"/>
  <c r="AB278" i="1"/>
  <c r="U278" i="1"/>
  <c r="N278" i="1"/>
  <c r="B278" i="1"/>
  <c r="A278" i="1"/>
  <c r="AB277" i="1"/>
  <c r="U277" i="1"/>
  <c r="N277" i="1"/>
  <c r="B277" i="1"/>
  <c r="A277" i="1"/>
  <c r="AB276" i="1"/>
  <c r="U276" i="1"/>
  <c r="N276" i="1"/>
  <c r="B276" i="1"/>
  <c r="A276" i="1"/>
  <c r="AB275" i="1"/>
  <c r="U275" i="1"/>
  <c r="N275" i="1"/>
  <c r="B275" i="1"/>
  <c r="A275" i="1"/>
  <c r="AB274" i="1"/>
  <c r="U274" i="1"/>
  <c r="N274" i="1"/>
  <c r="B274" i="1"/>
  <c r="A274" i="1"/>
  <c r="AB273" i="1"/>
  <c r="U273" i="1"/>
  <c r="N273" i="1"/>
  <c r="B273" i="1"/>
  <c r="A273" i="1"/>
  <c r="AB272" i="1"/>
  <c r="U272" i="1"/>
  <c r="N272" i="1"/>
  <c r="B272" i="1"/>
  <c r="A272" i="1"/>
  <c r="AB271" i="1"/>
  <c r="U271" i="1"/>
  <c r="N271" i="1"/>
  <c r="B271" i="1"/>
  <c r="A271" i="1"/>
  <c r="AB270" i="1"/>
  <c r="U270" i="1"/>
  <c r="N270" i="1"/>
  <c r="B270" i="1"/>
  <c r="A270" i="1"/>
  <c r="AB269" i="1"/>
  <c r="U269" i="1"/>
  <c r="N269" i="1"/>
  <c r="B269" i="1"/>
  <c r="A269" i="1"/>
  <c r="AB268" i="1"/>
  <c r="U268" i="1"/>
  <c r="N268" i="1"/>
  <c r="B268" i="1"/>
  <c r="A268" i="1"/>
  <c r="AB267" i="1"/>
  <c r="U267" i="1"/>
  <c r="N267" i="1"/>
  <c r="B267" i="1"/>
  <c r="A267" i="1"/>
  <c r="AB266" i="1"/>
  <c r="U266" i="1"/>
  <c r="N266" i="1"/>
  <c r="B266" i="1"/>
  <c r="A266" i="1"/>
  <c r="AB265" i="1"/>
  <c r="U265" i="1"/>
  <c r="N265" i="1"/>
  <c r="B265" i="1"/>
  <c r="A265" i="1"/>
  <c r="AB264" i="1"/>
  <c r="U264" i="1"/>
  <c r="N264" i="1"/>
  <c r="B264" i="1"/>
  <c r="A264" i="1"/>
  <c r="AB263" i="1"/>
  <c r="U263" i="1"/>
  <c r="N263" i="1"/>
  <c r="B263" i="1"/>
  <c r="A263" i="1"/>
  <c r="AB262" i="1"/>
  <c r="U262" i="1"/>
  <c r="N262" i="1"/>
  <c r="B262" i="1"/>
  <c r="A262" i="1"/>
  <c r="AB261" i="1"/>
  <c r="U261" i="1"/>
  <c r="N261" i="1"/>
  <c r="B261" i="1"/>
  <c r="A261" i="1"/>
  <c r="AB260" i="1"/>
  <c r="U260" i="1"/>
  <c r="N260" i="1"/>
  <c r="B260" i="1"/>
  <c r="A260" i="1"/>
  <c r="AB259" i="1"/>
  <c r="U259" i="1"/>
  <c r="N259" i="1"/>
  <c r="B259" i="1"/>
  <c r="A259" i="1"/>
  <c r="AB258" i="1"/>
  <c r="U258" i="1"/>
  <c r="N258" i="1"/>
  <c r="B258" i="1"/>
  <c r="A258" i="1"/>
  <c r="AB257" i="1"/>
  <c r="U257" i="1"/>
  <c r="N257" i="1"/>
  <c r="B257" i="1"/>
  <c r="A257" i="1"/>
  <c r="AB256" i="1"/>
  <c r="U256" i="1"/>
  <c r="N256" i="1"/>
  <c r="B256" i="1"/>
  <c r="A256" i="1"/>
  <c r="AB255" i="1"/>
  <c r="U255" i="1"/>
  <c r="N255" i="1"/>
  <c r="B255" i="1"/>
  <c r="A255" i="1"/>
  <c r="AB254" i="1"/>
  <c r="U254" i="1"/>
  <c r="N254" i="1"/>
  <c r="B254" i="1"/>
  <c r="A254" i="1"/>
  <c r="AB253" i="1"/>
  <c r="U253" i="1"/>
  <c r="N253" i="1"/>
  <c r="B253" i="1"/>
  <c r="A253" i="1"/>
  <c r="AB252" i="1"/>
  <c r="U252" i="1"/>
  <c r="N252" i="1"/>
  <c r="B252" i="1"/>
  <c r="A252" i="1"/>
  <c r="AB251" i="1"/>
  <c r="U251" i="1"/>
  <c r="N251" i="1"/>
  <c r="B251" i="1"/>
  <c r="A251" i="1"/>
  <c r="AB250" i="1"/>
  <c r="U250" i="1"/>
  <c r="N250" i="1"/>
  <c r="B250" i="1"/>
  <c r="A250" i="1"/>
  <c r="AB249" i="1"/>
  <c r="U249" i="1"/>
  <c r="N249" i="1"/>
  <c r="B249" i="1"/>
  <c r="A249" i="1"/>
  <c r="AB248" i="1"/>
  <c r="U248" i="1"/>
  <c r="N248" i="1"/>
  <c r="B248" i="1"/>
  <c r="A248" i="1"/>
  <c r="AB247" i="1"/>
  <c r="U247" i="1"/>
  <c r="N247" i="1"/>
  <c r="B247" i="1"/>
  <c r="A247" i="1"/>
  <c r="AB246" i="1"/>
  <c r="U246" i="1"/>
  <c r="N246" i="1"/>
  <c r="B246" i="1"/>
  <c r="A246" i="1"/>
  <c r="AB245" i="1"/>
  <c r="U245" i="1"/>
  <c r="N245" i="1"/>
  <c r="B245" i="1"/>
  <c r="A245" i="1"/>
  <c r="AB244" i="1"/>
  <c r="U244" i="1"/>
  <c r="N244" i="1"/>
  <c r="B244" i="1"/>
  <c r="A244" i="1"/>
  <c r="AB243" i="1"/>
  <c r="U243" i="1"/>
  <c r="N243" i="1"/>
  <c r="B243" i="1"/>
  <c r="A243" i="1"/>
  <c r="AB242" i="1"/>
  <c r="U242" i="1"/>
  <c r="N242" i="1"/>
  <c r="B242" i="1"/>
  <c r="A242" i="1"/>
  <c r="AB241" i="1"/>
  <c r="U241" i="1"/>
  <c r="N241" i="1"/>
  <c r="B241" i="1"/>
  <c r="A241" i="1"/>
  <c r="AB240" i="1"/>
  <c r="U240" i="1"/>
  <c r="N240" i="1"/>
  <c r="B240" i="1"/>
  <c r="A240" i="1"/>
  <c r="AB239" i="1"/>
  <c r="U239" i="1"/>
  <c r="N239" i="1"/>
  <c r="B239" i="1"/>
  <c r="A239" i="1"/>
  <c r="AB238" i="1"/>
  <c r="U238" i="1"/>
  <c r="N238" i="1"/>
  <c r="B238" i="1"/>
  <c r="A238" i="1"/>
  <c r="AB237" i="1"/>
  <c r="U237" i="1"/>
  <c r="N237" i="1"/>
  <c r="B237" i="1"/>
  <c r="A237" i="1"/>
  <c r="AB236" i="1"/>
  <c r="U236" i="1"/>
  <c r="N236" i="1"/>
  <c r="B236" i="1"/>
  <c r="A236" i="1"/>
  <c r="AB235" i="1"/>
  <c r="U235" i="1"/>
  <c r="N235" i="1"/>
  <c r="I235" i="1"/>
  <c r="B235" i="1"/>
  <c r="A235" i="1"/>
  <c r="AB234" i="1"/>
  <c r="U234" i="1"/>
  <c r="N234" i="1"/>
  <c r="I234" i="1"/>
  <c r="B234" i="1"/>
  <c r="A234" i="1"/>
  <c r="AB233" i="1"/>
  <c r="U233" i="1"/>
  <c r="N233" i="1"/>
  <c r="I233" i="1"/>
  <c r="B233" i="1"/>
  <c r="A233" i="1"/>
  <c r="AB232" i="1"/>
  <c r="U232" i="1"/>
  <c r="N232" i="1"/>
  <c r="I232" i="1"/>
  <c r="B232" i="1"/>
  <c r="A232" i="1"/>
  <c r="AB231" i="1"/>
  <c r="U231" i="1"/>
  <c r="N231" i="1"/>
  <c r="I231" i="1"/>
  <c r="B231" i="1"/>
  <c r="A231" i="1"/>
  <c r="AB230" i="1"/>
  <c r="U230" i="1"/>
  <c r="N230" i="1"/>
  <c r="I230" i="1"/>
  <c r="B230" i="1"/>
  <c r="A230" i="1"/>
  <c r="AB229" i="1"/>
  <c r="U229" i="1"/>
  <c r="N229" i="1"/>
  <c r="I229" i="1"/>
  <c r="B229" i="1"/>
  <c r="A229" i="1"/>
  <c r="AB228" i="1"/>
  <c r="U228" i="1"/>
  <c r="N228" i="1"/>
  <c r="I228" i="1"/>
  <c r="B228" i="1"/>
  <c r="A228" i="1"/>
  <c r="AB227" i="1"/>
  <c r="U227" i="1"/>
  <c r="N227" i="1"/>
  <c r="I227" i="1"/>
  <c r="B227" i="1"/>
  <c r="A227" i="1"/>
  <c r="AB226" i="1"/>
  <c r="U226" i="1"/>
  <c r="N226" i="1"/>
  <c r="I226" i="1"/>
  <c r="B226" i="1"/>
  <c r="A226" i="1"/>
  <c r="AB225" i="1"/>
  <c r="U225" i="1"/>
  <c r="N225" i="1"/>
  <c r="I225" i="1"/>
  <c r="B225" i="1"/>
  <c r="A225" i="1"/>
  <c r="AB224" i="1"/>
  <c r="U224" i="1"/>
  <c r="N224" i="1"/>
  <c r="I224" i="1"/>
  <c r="B224" i="1"/>
  <c r="A224" i="1"/>
  <c r="AB223" i="1"/>
  <c r="U223" i="1"/>
  <c r="N223" i="1"/>
  <c r="B223" i="1"/>
  <c r="A223" i="1"/>
  <c r="AB222" i="1"/>
  <c r="U222" i="1"/>
  <c r="N222" i="1"/>
  <c r="B222" i="1"/>
  <c r="A222" i="1"/>
  <c r="AB221" i="1"/>
  <c r="U221" i="1"/>
  <c r="N221" i="1"/>
  <c r="B221" i="1"/>
  <c r="A221" i="1"/>
  <c r="AB220" i="1"/>
  <c r="U220" i="1"/>
  <c r="N220" i="1"/>
  <c r="B220" i="1"/>
  <c r="A220" i="1"/>
  <c r="AB219" i="1"/>
  <c r="U219" i="1"/>
  <c r="N219" i="1"/>
  <c r="B219" i="1"/>
  <c r="A219" i="1"/>
  <c r="AB218" i="1"/>
  <c r="U218" i="1"/>
  <c r="N218" i="1"/>
  <c r="B218" i="1"/>
  <c r="A218" i="1"/>
  <c r="AB217" i="1"/>
  <c r="U217" i="1"/>
  <c r="N217" i="1"/>
  <c r="B217" i="1"/>
  <c r="A217" i="1"/>
  <c r="AB216" i="1"/>
  <c r="U216" i="1"/>
  <c r="N216" i="1"/>
  <c r="B216" i="1"/>
  <c r="A216" i="1"/>
  <c r="AB215" i="1"/>
  <c r="U215" i="1"/>
  <c r="N215" i="1"/>
  <c r="B215" i="1"/>
  <c r="A215" i="1"/>
  <c r="AB214" i="1"/>
  <c r="U214" i="1"/>
  <c r="N214" i="1"/>
  <c r="B214" i="1"/>
  <c r="A214" i="1"/>
  <c r="AB213" i="1"/>
  <c r="U213" i="1"/>
  <c r="N213" i="1"/>
  <c r="B213" i="1"/>
  <c r="A213" i="1"/>
  <c r="AB212" i="1"/>
  <c r="U212" i="1"/>
  <c r="N212" i="1"/>
  <c r="B212" i="1"/>
  <c r="A212" i="1"/>
  <c r="AB211" i="1"/>
  <c r="U211" i="1"/>
  <c r="N211" i="1"/>
  <c r="B211" i="1"/>
  <c r="A211" i="1"/>
  <c r="AB210" i="1"/>
  <c r="U210" i="1"/>
  <c r="N210" i="1"/>
  <c r="B210" i="1"/>
  <c r="A210" i="1"/>
  <c r="AB209" i="1"/>
  <c r="U209" i="1"/>
  <c r="N209" i="1"/>
  <c r="B209" i="1"/>
  <c r="A209" i="1"/>
  <c r="AB208" i="1"/>
  <c r="U208" i="1"/>
  <c r="N208" i="1"/>
  <c r="B208" i="1"/>
  <c r="A208" i="1"/>
  <c r="AB207" i="1"/>
  <c r="U207" i="1"/>
  <c r="N207" i="1"/>
  <c r="B207" i="1"/>
  <c r="A207" i="1"/>
  <c r="AB206" i="1"/>
  <c r="U206" i="1"/>
  <c r="N206" i="1"/>
  <c r="B206" i="1"/>
  <c r="A206" i="1"/>
  <c r="AB205" i="1"/>
  <c r="U205" i="1"/>
  <c r="N205" i="1"/>
  <c r="B205" i="1"/>
  <c r="A205" i="1"/>
  <c r="AB204" i="1"/>
  <c r="U204" i="1"/>
  <c r="N204" i="1"/>
  <c r="B204" i="1"/>
  <c r="A204" i="1"/>
  <c r="AB203" i="1"/>
  <c r="U203" i="1"/>
  <c r="N203" i="1"/>
  <c r="B203" i="1"/>
  <c r="A203" i="1"/>
  <c r="AB202" i="1"/>
  <c r="U202" i="1"/>
  <c r="N202" i="1"/>
  <c r="B202" i="1"/>
  <c r="A202" i="1"/>
  <c r="AB201" i="1"/>
  <c r="U201" i="1"/>
  <c r="N201" i="1"/>
  <c r="B201" i="1"/>
  <c r="A201" i="1"/>
  <c r="AB200" i="1"/>
  <c r="U200" i="1"/>
  <c r="N200" i="1"/>
  <c r="B200" i="1"/>
  <c r="A200" i="1"/>
  <c r="AB199" i="1"/>
  <c r="U199" i="1"/>
  <c r="N199" i="1"/>
  <c r="B199" i="1"/>
  <c r="A199" i="1"/>
  <c r="AB198" i="1"/>
  <c r="U198" i="1"/>
  <c r="N198" i="1"/>
  <c r="B198" i="1"/>
  <c r="A198" i="1"/>
  <c r="AB197" i="1"/>
  <c r="U197" i="1"/>
  <c r="N197" i="1"/>
  <c r="B197" i="1"/>
  <c r="A197" i="1"/>
  <c r="AB196" i="1"/>
  <c r="U196" i="1"/>
  <c r="N196" i="1"/>
  <c r="B196" i="1"/>
  <c r="A196" i="1"/>
  <c r="AB195" i="1"/>
  <c r="U195" i="1"/>
  <c r="N195" i="1"/>
  <c r="B195" i="1"/>
  <c r="A195" i="1"/>
  <c r="AB194" i="1"/>
  <c r="U194" i="1"/>
  <c r="N194" i="1"/>
  <c r="B194" i="1"/>
  <c r="A194" i="1"/>
  <c r="AB193" i="1"/>
  <c r="U193" i="1"/>
  <c r="N193" i="1"/>
  <c r="B193" i="1"/>
  <c r="A193" i="1"/>
  <c r="AB192" i="1"/>
  <c r="U192" i="1"/>
  <c r="N192" i="1"/>
  <c r="B192" i="1"/>
  <c r="A192" i="1"/>
  <c r="AB191" i="1"/>
  <c r="U191" i="1"/>
  <c r="N191" i="1"/>
  <c r="B191" i="1"/>
  <c r="A191" i="1"/>
  <c r="AB190" i="1"/>
  <c r="U190" i="1"/>
  <c r="N190" i="1"/>
  <c r="B190" i="1"/>
  <c r="A190" i="1"/>
  <c r="AB189" i="1"/>
  <c r="U189" i="1"/>
  <c r="N189" i="1"/>
  <c r="B189" i="1"/>
  <c r="A189" i="1"/>
  <c r="AB188" i="1"/>
  <c r="U188" i="1"/>
  <c r="N188" i="1"/>
  <c r="B188" i="1"/>
  <c r="A188" i="1"/>
  <c r="AB187" i="1"/>
  <c r="U187" i="1"/>
  <c r="N187" i="1"/>
  <c r="B187" i="1"/>
  <c r="A187" i="1"/>
  <c r="AB186" i="1"/>
  <c r="U186" i="1"/>
  <c r="N186" i="1"/>
  <c r="B186" i="1"/>
  <c r="A186" i="1"/>
  <c r="AB185" i="1"/>
  <c r="U185" i="1"/>
  <c r="N185" i="1"/>
  <c r="I185" i="1"/>
  <c r="B185" i="1"/>
  <c r="A185" i="1"/>
  <c r="AB184" i="1"/>
  <c r="U184" i="1"/>
  <c r="N184" i="1"/>
  <c r="B184" i="1"/>
  <c r="A184" i="1"/>
  <c r="AB183" i="1"/>
  <c r="U183" i="1"/>
  <c r="N183" i="1"/>
  <c r="B183" i="1"/>
  <c r="A183" i="1"/>
  <c r="AB182" i="1"/>
  <c r="U182" i="1"/>
  <c r="N182" i="1"/>
  <c r="B182" i="1"/>
  <c r="A182" i="1"/>
  <c r="AB181" i="1"/>
  <c r="U181" i="1"/>
  <c r="N181" i="1"/>
  <c r="B181" i="1"/>
  <c r="A181" i="1"/>
  <c r="AB180" i="1"/>
  <c r="U180" i="1"/>
  <c r="N180" i="1"/>
  <c r="B180" i="1"/>
  <c r="A180" i="1"/>
  <c r="AB179" i="1"/>
  <c r="U179" i="1"/>
  <c r="N179" i="1"/>
  <c r="B179" i="1"/>
  <c r="A179" i="1"/>
  <c r="AB178" i="1"/>
  <c r="U178" i="1"/>
  <c r="N178" i="1"/>
  <c r="B178" i="1"/>
  <c r="A178" i="1"/>
  <c r="AB177" i="1"/>
  <c r="U177" i="1"/>
  <c r="N177" i="1"/>
  <c r="B177" i="1"/>
  <c r="A177" i="1"/>
  <c r="AB176" i="1"/>
  <c r="U176" i="1"/>
  <c r="N176" i="1"/>
  <c r="I176" i="1"/>
  <c r="B176" i="1"/>
  <c r="A176" i="1"/>
  <c r="AB175" i="1"/>
  <c r="U175" i="1"/>
  <c r="N175" i="1"/>
  <c r="B175" i="1"/>
  <c r="A175" i="1"/>
  <c r="AB174" i="1"/>
  <c r="U174" i="1"/>
  <c r="N174" i="1"/>
  <c r="B174" i="1"/>
  <c r="A174" i="1"/>
  <c r="AB173" i="1"/>
  <c r="U173" i="1"/>
  <c r="N173" i="1"/>
  <c r="B173" i="1"/>
  <c r="A173" i="1"/>
  <c r="AB172" i="1"/>
  <c r="U172" i="1"/>
  <c r="N172" i="1"/>
  <c r="B172" i="1"/>
  <c r="A172" i="1"/>
  <c r="AB171" i="1"/>
  <c r="U171" i="1"/>
  <c r="N171" i="1"/>
  <c r="B171" i="1"/>
  <c r="A171" i="1"/>
  <c r="AB170" i="1"/>
  <c r="U170" i="1"/>
  <c r="N170" i="1"/>
  <c r="B170" i="1"/>
  <c r="A170" i="1"/>
  <c r="AB169" i="1"/>
  <c r="U169" i="1"/>
  <c r="N169" i="1"/>
  <c r="B169" i="1"/>
  <c r="A169" i="1"/>
  <c r="AB168" i="1"/>
  <c r="U168" i="1"/>
  <c r="N168" i="1"/>
  <c r="B168" i="1"/>
  <c r="A168" i="1"/>
  <c r="AB167" i="1"/>
  <c r="U167" i="1"/>
  <c r="N167" i="1"/>
  <c r="B167" i="1"/>
  <c r="A167" i="1"/>
  <c r="AB166" i="1"/>
  <c r="U166" i="1"/>
  <c r="N166" i="1"/>
  <c r="B166" i="1"/>
  <c r="A166" i="1"/>
  <c r="AB165" i="1"/>
  <c r="U165" i="1"/>
  <c r="N165" i="1"/>
  <c r="B165" i="1"/>
  <c r="A165" i="1"/>
  <c r="AB164" i="1"/>
  <c r="U164" i="1"/>
  <c r="N164" i="1"/>
  <c r="B164" i="1"/>
  <c r="A164" i="1"/>
  <c r="AB163" i="1"/>
  <c r="U163" i="1"/>
  <c r="N163" i="1"/>
  <c r="B163" i="1"/>
  <c r="A163" i="1"/>
  <c r="AB162" i="1"/>
  <c r="U162" i="1"/>
  <c r="N162" i="1"/>
  <c r="B162" i="1"/>
  <c r="A162" i="1"/>
  <c r="AB161" i="1"/>
  <c r="U161" i="1"/>
  <c r="N161" i="1"/>
  <c r="B161" i="1"/>
  <c r="A161" i="1"/>
  <c r="AB160" i="1"/>
  <c r="U160" i="1"/>
  <c r="N160" i="1"/>
  <c r="B160" i="1"/>
  <c r="A160" i="1"/>
  <c r="AB159" i="1"/>
  <c r="U159" i="1"/>
  <c r="N159" i="1"/>
  <c r="B159" i="1"/>
  <c r="A159" i="1"/>
  <c r="AB158" i="1"/>
  <c r="U158" i="1"/>
  <c r="N158" i="1"/>
  <c r="B158" i="1"/>
  <c r="A158" i="1"/>
  <c r="AB157" i="1"/>
  <c r="U157" i="1"/>
  <c r="N157" i="1"/>
  <c r="B157" i="1"/>
  <c r="A157" i="1"/>
  <c r="AB156" i="1"/>
  <c r="U156" i="1"/>
  <c r="N156" i="1"/>
  <c r="B156" i="1"/>
  <c r="A156" i="1"/>
  <c r="AB155" i="1"/>
  <c r="U155" i="1"/>
  <c r="N155" i="1"/>
  <c r="B155" i="1"/>
  <c r="A155" i="1"/>
  <c r="AB154" i="1"/>
  <c r="U154" i="1"/>
  <c r="N154" i="1"/>
  <c r="B154" i="1"/>
  <c r="A154" i="1"/>
  <c r="AB153" i="1"/>
  <c r="U153" i="1"/>
  <c r="N153" i="1"/>
  <c r="B153" i="1"/>
  <c r="A153" i="1"/>
  <c r="AB152" i="1"/>
  <c r="U152" i="1"/>
  <c r="N152" i="1"/>
  <c r="B152" i="1"/>
  <c r="A152" i="1"/>
  <c r="AB151" i="1"/>
  <c r="U151" i="1"/>
  <c r="N151" i="1"/>
  <c r="B151" i="1"/>
  <c r="A151" i="1"/>
  <c r="AB150" i="1"/>
  <c r="U150" i="1"/>
  <c r="N150" i="1"/>
  <c r="B150" i="1"/>
  <c r="A150" i="1"/>
  <c r="AB149" i="1"/>
  <c r="U149" i="1"/>
  <c r="N149" i="1"/>
  <c r="B149" i="1"/>
  <c r="A149" i="1"/>
  <c r="AB148" i="1"/>
  <c r="U148" i="1"/>
  <c r="N148" i="1"/>
  <c r="B148" i="1"/>
  <c r="A148" i="1"/>
  <c r="AB147" i="1"/>
  <c r="U147" i="1"/>
  <c r="N147" i="1"/>
  <c r="B147" i="1"/>
  <c r="A147" i="1"/>
  <c r="AB146" i="1"/>
  <c r="U146" i="1"/>
  <c r="N146" i="1"/>
  <c r="B146" i="1"/>
  <c r="A146" i="1"/>
  <c r="AB145" i="1"/>
  <c r="U145" i="1"/>
  <c r="N145" i="1"/>
  <c r="I145" i="1"/>
  <c r="B145" i="1"/>
  <c r="A145" i="1"/>
  <c r="AB144" i="1"/>
  <c r="U144" i="1"/>
  <c r="N144" i="1"/>
  <c r="B144" i="1"/>
  <c r="A144" i="1"/>
  <c r="AB143" i="1"/>
  <c r="U143" i="1"/>
  <c r="N143" i="1"/>
  <c r="B143" i="1"/>
  <c r="A143" i="1"/>
  <c r="AB142" i="1"/>
  <c r="U142" i="1"/>
  <c r="N142" i="1"/>
  <c r="I142" i="1"/>
  <c r="B142" i="1"/>
  <c r="A142" i="1"/>
  <c r="AB141" i="1"/>
  <c r="U141" i="1"/>
  <c r="N141" i="1"/>
  <c r="B141" i="1"/>
  <c r="A141" i="1"/>
  <c r="AB140" i="1"/>
  <c r="U140" i="1"/>
  <c r="N140" i="1"/>
  <c r="B140" i="1"/>
  <c r="A140" i="1"/>
  <c r="AB139" i="1"/>
  <c r="U139" i="1"/>
  <c r="N139" i="1"/>
  <c r="B139" i="1"/>
  <c r="A139" i="1"/>
  <c r="AB138" i="1"/>
  <c r="U138" i="1"/>
  <c r="N138" i="1"/>
  <c r="B138" i="1"/>
  <c r="A138" i="1"/>
  <c r="AB137" i="1"/>
  <c r="U137" i="1"/>
  <c r="N137" i="1"/>
  <c r="B137" i="1"/>
  <c r="A137" i="1"/>
  <c r="AB136" i="1"/>
  <c r="U136" i="1"/>
  <c r="N136" i="1"/>
  <c r="I136" i="1"/>
  <c r="B136" i="1"/>
  <c r="A136" i="1"/>
  <c r="AB135" i="1"/>
  <c r="U135" i="1"/>
  <c r="N135" i="1"/>
  <c r="I135" i="1"/>
  <c r="B135" i="1"/>
  <c r="A135" i="1"/>
  <c r="AB134" i="1"/>
  <c r="U134" i="1"/>
  <c r="N134" i="1"/>
  <c r="B134" i="1"/>
  <c r="A134" i="1"/>
  <c r="AB133" i="1"/>
  <c r="U133" i="1"/>
  <c r="N133" i="1"/>
  <c r="B133" i="1"/>
  <c r="A133" i="1"/>
  <c r="AB132" i="1"/>
  <c r="U132" i="1"/>
  <c r="N132" i="1"/>
  <c r="B132" i="1"/>
  <c r="A132" i="1"/>
  <c r="AB131" i="1"/>
  <c r="U131" i="1"/>
  <c r="N131" i="1"/>
  <c r="B131" i="1"/>
  <c r="A131" i="1"/>
  <c r="AB130" i="1"/>
  <c r="U130" i="1"/>
  <c r="N130" i="1"/>
  <c r="I130" i="1"/>
  <c r="B130" i="1"/>
  <c r="A130" i="1"/>
  <c r="AB129" i="1"/>
  <c r="U129" i="1"/>
  <c r="N129" i="1"/>
  <c r="B129" i="1"/>
  <c r="A129" i="1"/>
  <c r="AB128" i="1"/>
  <c r="U128" i="1"/>
  <c r="N128" i="1"/>
  <c r="I128" i="1"/>
  <c r="B128" i="1"/>
  <c r="A128" i="1"/>
  <c r="AB127" i="1"/>
  <c r="U127" i="1"/>
  <c r="N127" i="1"/>
  <c r="B127" i="1"/>
  <c r="A127" i="1"/>
  <c r="AB126" i="1"/>
  <c r="U126" i="1"/>
  <c r="N126" i="1"/>
  <c r="B126" i="1"/>
  <c r="A126" i="1"/>
  <c r="AB125" i="1"/>
  <c r="U125" i="1"/>
  <c r="N125" i="1"/>
  <c r="B125" i="1"/>
  <c r="A125" i="1"/>
  <c r="AB124" i="1"/>
  <c r="U124" i="1"/>
  <c r="N124" i="1"/>
  <c r="B124" i="1"/>
  <c r="A124" i="1"/>
  <c r="AB123" i="1"/>
  <c r="U123" i="1"/>
  <c r="N123" i="1"/>
  <c r="B123" i="1"/>
  <c r="A123" i="1"/>
  <c r="AB122" i="1"/>
  <c r="U122" i="1"/>
  <c r="N122" i="1"/>
  <c r="B122" i="1"/>
  <c r="A122" i="1"/>
  <c r="AB121" i="1"/>
  <c r="U121" i="1"/>
  <c r="N121" i="1"/>
  <c r="B121" i="1"/>
  <c r="A121" i="1"/>
  <c r="AB120" i="1"/>
  <c r="U120" i="1"/>
  <c r="N120" i="1"/>
  <c r="B120" i="1"/>
  <c r="A120" i="1"/>
  <c r="AB119" i="1"/>
  <c r="U119" i="1"/>
  <c r="N119" i="1"/>
  <c r="B119" i="1"/>
  <c r="A119" i="1"/>
  <c r="AB118" i="1"/>
  <c r="U118" i="1"/>
  <c r="N118" i="1"/>
  <c r="B118" i="1"/>
  <c r="A118" i="1"/>
  <c r="AB117" i="1"/>
  <c r="U117" i="1"/>
  <c r="N117" i="1"/>
  <c r="B117" i="1"/>
  <c r="A117" i="1"/>
  <c r="AB116" i="1"/>
  <c r="U116" i="1"/>
  <c r="N116" i="1"/>
  <c r="B116" i="1"/>
  <c r="A116" i="1"/>
  <c r="AB115" i="1"/>
  <c r="U115" i="1"/>
  <c r="N115" i="1"/>
  <c r="B115" i="1"/>
  <c r="A115" i="1"/>
  <c r="AB114" i="1"/>
  <c r="U114" i="1"/>
  <c r="N114" i="1"/>
  <c r="B114" i="1"/>
  <c r="A114" i="1"/>
  <c r="AB113" i="1"/>
  <c r="U113" i="1"/>
  <c r="N113" i="1"/>
  <c r="B113" i="1"/>
  <c r="A113" i="1"/>
  <c r="AB112" i="1"/>
  <c r="U112" i="1"/>
  <c r="N112" i="1"/>
  <c r="I112" i="1"/>
  <c r="B112" i="1"/>
  <c r="A112" i="1"/>
  <c r="AB111" i="1"/>
  <c r="U111" i="1"/>
  <c r="N111" i="1"/>
  <c r="I111" i="1"/>
  <c r="B111" i="1"/>
  <c r="A111" i="1"/>
  <c r="AB110" i="1"/>
  <c r="U110" i="1"/>
  <c r="N110" i="1"/>
  <c r="I110" i="1"/>
  <c r="B110" i="1"/>
  <c r="A110" i="1"/>
  <c r="AB109" i="1"/>
  <c r="U109" i="1"/>
  <c r="N109" i="1"/>
  <c r="B109" i="1"/>
  <c r="A109" i="1"/>
  <c r="AB108" i="1"/>
  <c r="U108" i="1"/>
  <c r="N108" i="1"/>
  <c r="B108" i="1"/>
  <c r="A108" i="1"/>
  <c r="AB107" i="1"/>
  <c r="U107" i="1"/>
  <c r="N107" i="1"/>
  <c r="B107" i="1"/>
  <c r="A107" i="1"/>
  <c r="AB106" i="1"/>
  <c r="U106" i="1"/>
  <c r="N106" i="1"/>
  <c r="B106" i="1"/>
  <c r="A106" i="1"/>
  <c r="AB105" i="1"/>
  <c r="U105" i="1"/>
  <c r="N105" i="1"/>
  <c r="B105" i="1"/>
  <c r="A105" i="1"/>
  <c r="AB104" i="1"/>
  <c r="U104" i="1"/>
  <c r="N104" i="1"/>
  <c r="B104" i="1"/>
  <c r="A104" i="1"/>
  <c r="AB103" i="1"/>
  <c r="U103" i="1"/>
  <c r="N103" i="1"/>
  <c r="B103" i="1"/>
  <c r="A103" i="1"/>
  <c r="AB102" i="1"/>
  <c r="U102" i="1"/>
  <c r="N102" i="1"/>
  <c r="B102" i="1"/>
  <c r="A102" i="1"/>
  <c r="AB101" i="1"/>
  <c r="U101" i="1"/>
  <c r="N101" i="1"/>
  <c r="B101" i="1"/>
  <c r="A101" i="1"/>
  <c r="AB100" i="1"/>
  <c r="U100" i="1"/>
  <c r="N100" i="1"/>
  <c r="B100" i="1"/>
  <c r="A100" i="1"/>
  <c r="AB99" i="1"/>
  <c r="U99" i="1"/>
  <c r="N99" i="1"/>
  <c r="A99" i="1"/>
  <c r="AB98" i="1"/>
  <c r="U98" i="1"/>
  <c r="N98" i="1"/>
  <c r="B98" i="1"/>
  <c r="A98" i="1"/>
  <c r="AB97" i="1"/>
  <c r="U97" i="1"/>
  <c r="N97" i="1"/>
  <c r="B97" i="1"/>
  <c r="A97" i="1"/>
  <c r="AB96" i="1"/>
  <c r="U96" i="1"/>
  <c r="N96" i="1"/>
  <c r="B96" i="1"/>
  <c r="A96" i="1"/>
  <c r="AB95" i="1"/>
  <c r="U95" i="1"/>
  <c r="N95" i="1"/>
  <c r="B95" i="1"/>
  <c r="A95" i="1"/>
  <c r="AB94" i="1"/>
  <c r="U94" i="1"/>
  <c r="N94" i="1"/>
  <c r="B94" i="1"/>
  <c r="A94" i="1"/>
  <c r="AB93" i="1"/>
  <c r="U93" i="1"/>
  <c r="N93" i="1"/>
  <c r="B93" i="1"/>
  <c r="A93" i="1"/>
  <c r="AB92" i="1"/>
  <c r="U92" i="1"/>
  <c r="N92" i="1"/>
  <c r="B92" i="1"/>
  <c r="A92" i="1"/>
  <c r="AB91" i="1"/>
  <c r="U91" i="1"/>
  <c r="N91" i="1"/>
  <c r="B91" i="1"/>
  <c r="A91" i="1"/>
  <c r="AB90" i="1"/>
  <c r="U90" i="1"/>
  <c r="N90" i="1"/>
  <c r="B90" i="1"/>
  <c r="A90" i="1"/>
  <c r="AB89" i="1"/>
  <c r="U89" i="1"/>
  <c r="N89" i="1"/>
  <c r="B89" i="1"/>
  <c r="A89" i="1"/>
  <c r="AB88" i="1"/>
  <c r="U88" i="1"/>
  <c r="N88" i="1"/>
  <c r="B88" i="1"/>
  <c r="A88" i="1"/>
  <c r="AB87" i="1"/>
  <c r="U87" i="1"/>
  <c r="N87" i="1"/>
  <c r="B87" i="1"/>
  <c r="A87" i="1"/>
  <c r="AB86" i="1"/>
  <c r="U86" i="1"/>
  <c r="N86" i="1"/>
  <c r="B86" i="1"/>
  <c r="A86" i="1"/>
  <c r="AB85" i="1"/>
  <c r="U85" i="1"/>
  <c r="N85" i="1"/>
  <c r="B85" i="1"/>
  <c r="A85" i="1"/>
  <c r="AB84" i="1"/>
  <c r="U84" i="1"/>
  <c r="N84" i="1"/>
  <c r="B84" i="1"/>
  <c r="A84" i="1"/>
  <c r="AB83" i="1"/>
  <c r="U83" i="1"/>
  <c r="N83" i="1"/>
  <c r="B83" i="1"/>
  <c r="A83" i="1"/>
  <c r="AB82" i="1"/>
  <c r="U82" i="1"/>
  <c r="N82" i="1"/>
  <c r="B82" i="1"/>
  <c r="A82" i="1"/>
  <c r="AB81" i="1"/>
  <c r="U81" i="1"/>
  <c r="N81" i="1"/>
  <c r="B81" i="1"/>
  <c r="A81" i="1"/>
  <c r="AB80" i="1"/>
  <c r="U80" i="1"/>
  <c r="N80" i="1"/>
  <c r="I80" i="1"/>
  <c r="B80" i="1"/>
  <c r="A80" i="1"/>
  <c r="AB79" i="1"/>
  <c r="U79" i="1"/>
  <c r="N79" i="1"/>
  <c r="B79" i="1"/>
  <c r="A79" i="1"/>
  <c r="AB78" i="1"/>
  <c r="U78" i="1"/>
  <c r="N78" i="1"/>
  <c r="B78" i="1"/>
  <c r="A78" i="1"/>
  <c r="AB77" i="1"/>
  <c r="U77" i="1"/>
  <c r="N77" i="1"/>
  <c r="B77" i="1"/>
  <c r="A77" i="1"/>
  <c r="AB76" i="1"/>
  <c r="U76" i="1"/>
  <c r="N76" i="1"/>
  <c r="B76" i="1"/>
  <c r="A76" i="1"/>
  <c r="AB75" i="1"/>
  <c r="U75" i="1"/>
  <c r="N75" i="1"/>
  <c r="B75" i="1"/>
  <c r="A75" i="1"/>
  <c r="AB74" i="1"/>
  <c r="U74" i="1"/>
  <c r="N74" i="1"/>
  <c r="B74" i="1"/>
  <c r="A74" i="1"/>
  <c r="AB73" i="1"/>
  <c r="U73" i="1"/>
  <c r="N73" i="1"/>
  <c r="B73" i="1"/>
  <c r="A73" i="1"/>
  <c r="AB72" i="1"/>
  <c r="U72" i="1"/>
  <c r="N72" i="1"/>
  <c r="B72" i="1"/>
  <c r="A72" i="1"/>
  <c r="AB71" i="1"/>
  <c r="U71" i="1"/>
  <c r="N71" i="1"/>
  <c r="B71" i="1"/>
  <c r="A71" i="1"/>
  <c r="AB70" i="1"/>
  <c r="U70" i="1"/>
  <c r="N70" i="1"/>
  <c r="B70" i="1"/>
  <c r="A70" i="1"/>
  <c r="AB69" i="1"/>
  <c r="U69" i="1"/>
  <c r="N69" i="1"/>
  <c r="B69" i="1"/>
  <c r="A69" i="1"/>
  <c r="AB68" i="1"/>
  <c r="U68" i="1"/>
  <c r="N68" i="1"/>
  <c r="B68" i="1"/>
  <c r="A68" i="1"/>
  <c r="AB67" i="1"/>
  <c r="U67" i="1"/>
  <c r="N67" i="1"/>
  <c r="B67" i="1"/>
  <c r="A67" i="1"/>
  <c r="AB66" i="1"/>
  <c r="U66" i="1"/>
  <c r="N66" i="1"/>
  <c r="B66" i="1"/>
  <c r="A66" i="1"/>
  <c r="AB65" i="1"/>
  <c r="U65" i="1"/>
  <c r="N65" i="1"/>
  <c r="B65" i="1"/>
  <c r="A65" i="1"/>
  <c r="AB64" i="1"/>
  <c r="U64" i="1"/>
  <c r="N64" i="1"/>
  <c r="B64" i="1"/>
  <c r="A64" i="1"/>
  <c r="AB63" i="1"/>
  <c r="U63" i="1"/>
  <c r="N63" i="1"/>
  <c r="B63" i="1"/>
  <c r="A63" i="1"/>
  <c r="AB62" i="1"/>
  <c r="U62" i="1"/>
  <c r="N62" i="1"/>
  <c r="B62" i="1"/>
  <c r="A62" i="1"/>
  <c r="AB61" i="1"/>
  <c r="U61" i="1"/>
  <c r="N61" i="1"/>
  <c r="B61" i="1"/>
  <c r="A61" i="1"/>
  <c r="AB60" i="1"/>
  <c r="U60" i="1"/>
  <c r="N60" i="1"/>
  <c r="B60" i="1"/>
  <c r="A60" i="1"/>
  <c r="AB59" i="1"/>
  <c r="U59" i="1"/>
  <c r="N59" i="1"/>
  <c r="B59" i="1"/>
  <c r="A59" i="1"/>
  <c r="AB58" i="1"/>
  <c r="U58" i="1"/>
  <c r="N58" i="1"/>
  <c r="B58" i="1"/>
  <c r="A58" i="1"/>
  <c r="AB57" i="1"/>
  <c r="U57" i="1"/>
  <c r="N57" i="1"/>
  <c r="B57" i="1"/>
  <c r="A57" i="1"/>
  <c r="AB56" i="1"/>
  <c r="U56" i="1"/>
  <c r="N56" i="1"/>
  <c r="B56" i="1"/>
  <c r="A56" i="1"/>
  <c r="AB55" i="1"/>
  <c r="U55" i="1"/>
  <c r="N55" i="1"/>
  <c r="B55" i="1"/>
  <c r="A55" i="1"/>
  <c r="AB54" i="1"/>
  <c r="U54" i="1"/>
  <c r="N54" i="1"/>
  <c r="B54" i="1"/>
  <c r="A54" i="1"/>
  <c r="AB53" i="1"/>
  <c r="U53" i="1"/>
  <c r="N53" i="1"/>
  <c r="B53" i="1"/>
  <c r="A53" i="1"/>
  <c r="AB52" i="1"/>
  <c r="U52" i="1"/>
  <c r="N52" i="1"/>
  <c r="B52" i="1"/>
  <c r="A52" i="1"/>
  <c r="AB51" i="1"/>
  <c r="U51" i="1"/>
  <c r="N51" i="1"/>
  <c r="B51" i="1"/>
  <c r="A51" i="1"/>
  <c r="AB50" i="1"/>
  <c r="U50" i="1"/>
  <c r="N50" i="1"/>
  <c r="B50" i="1"/>
  <c r="A50" i="1"/>
  <c r="AB49" i="1"/>
  <c r="U49" i="1"/>
  <c r="N49" i="1"/>
  <c r="B49" i="1"/>
  <c r="A49" i="1"/>
  <c r="AB48" i="1"/>
  <c r="U48" i="1"/>
  <c r="N48" i="1"/>
  <c r="B48" i="1"/>
  <c r="A48" i="1"/>
  <c r="AB47" i="1"/>
  <c r="U47" i="1"/>
  <c r="N47" i="1"/>
  <c r="B47" i="1"/>
  <c r="A47" i="1"/>
  <c r="AB46" i="1"/>
  <c r="U46" i="1"/>
  <c r="N46" i="1"/>
  <c r="B46" i="1"/>
  <c r="A46" i="1"/>
  <c r="AB45" i="1"/>
  <c r="U45" i="1"/>
  <c r="N45" i="1"/>
  <c r="B45" i="1"/>
  <c r="A45" i="1"/>
  <c r="AB44" i="1"/>
  <c r="U44" i="1"/>
  <c r="N44" i="1"/>
  <c r="B44" i="1"/>
  <c r="A44" i="1"/>
  <c r="AB43" i="1"/>
  <c r="U43" i="1"/>
  <c r="N43" i="1"/>
  <c r="B43" i="1"/>
  <c r="A43" i="1"/>
  <c r="AB42" i="1"/>
  <c r="U42" i="1"/>
  <c r="N42" i="1"/>
  <c r="B42" i="1"/>
  <c r="A42" i="1"/>
  <c r="AB41" i="1"/>
  <c r="U41" i="1"/>
  <c r="N41" i="1"/>
  <c r="B41" i="1"/>
  <c r="A41" i="1"/>
  <c r="AB40" i="1"/>
  <c r="U40" i="1"/>
  <c r="N40" i="1"/>
  <c r="B40" i="1"/>
  <c r="A40" i="1"/>
  <c r="AB39" i="1"/>
  <c r="U39" i="1"/>
  <c r="N39" i="1"/>
  <c r="B39" i="1"/>
  <c r="A39" i="1"/>
  <c r="AB38" i="1"/>
  <c r="U38" i="1"/>
  <c r="N38" i="1"/>
  <c r="B38" i="1"/>
  <c r="A38" i="1"/>
  <c r="AB37" i="1"/>
  <c r="U37" i="1"/>
  <c r="N37" i="1"/>
  <c r="B37" i="1"/>
  <c r="A37" i="1"/>
  <c r="AB36" i="1"/>
  <c r="U36" i="1"/>
  <c r="N36" i="1"/>
  <c r="B36" i="1"/>
  <c r="A36" i="1"/>
  <c r="AB35" i="1"/>
  <c r="U35" i="1"/>
  <c r="N35" i="1"/>
  <c r="B35" i="1"/>
  <c r="A35" i="1"/>
  <c r="AB34" i="1"/>
  <c r="U34" i="1"/>
  <c r="N34" i="1"/>
  <c r="B34" i="1"/>
  <c r="A34" i="1"/>
  <c r="AB33" i="1"/>
  <c r="U33" i="1"/>
  <c r="N33" i="1"/>
  <c r="B33" i="1"/>
  <c r="A33" i="1"/>
  <c r="AB32" i="1"/>
  <c r="U32" i="1"/>
  <c r="N32" i="1"/>
  <c r="B32" i="1"/>
  <c r="A32" i="1"/>
  <c r="AB31" i="1"/>
  <c r="U31" i="1"/>
  <c r="N31" i="1"/>
  <c r="B31" i="1"/>
  <c r="A31" i="1"/>
  <c r="AB30" i="1"/>
  <c r="U30" i="1"/>
  <c r="N30" i="1"/>
  <c r="B30" i="1"/>
  <c r="A30" i="1"/>
  <c r="AB29" i="1"/>
  <c r="U29" i="1"/>
  <c r="N29" i="1"/>
  <c r="B29" i="1"/>
  <c r="A29" i="1"/>
  <c r="AB28" i="1"/>
  <c r="U28" i="1"/>
  <c r="N28" i="1"/>
  <c r="B28" i="1"/>
  <c r="A28" i="1"/>
  <c r="AB27" i="1"/>
  <c r="U27" i="1"/>
  <c r="N27" i="1"/>
  <c r="B27" i="1"/>
  <c r="A27" i="1"/>
  <c r="AB26" i="1"/>
  <c r="U26" i="1"/>
  <c r="N26" i="1"/>
  <c r="B26" i="1"/>
  <c r="A26" i="1"/>
  <c r="AB25" i="1"/>
  <c r="U25" i="1"/>
  <c r="N25" i="1"/>
  <c r="B25" i="1"/>
  <c r="A25" i="1"/>
  <c r="AB24" i="1"/>
  <c r="U24" i="1"/>
  <c r="N24" i="1"/>
  <c r="B24" i="1"/>
  <c r="A24" i="1"/>
  <c r="AB23" i="1"/>
  <c r="U23" i="1"/>
  <c r="N23" i="1"/>
  <c r="B23" i="1"/>
  <c r="A23" i="1"/>
  <c r="AB22" i="1"/>
  <c r="U22" i="1"/>
  <c r="N22" i="1"/>
  <c r="B22" i="1"/>
  <c r="A22" i="1"/>
  <c r="AB21" i="1"/>
  <c r="U21" i="1"/>
  <c r="N21" i="1"/>
  <c r="B21" i="1"/>
  <c r="A21" i="1"/>
  <c r="AB20" i="1"/>
  <c r="U20" i="1"/>
  <c r="N20" i="1"/>
  <c r="B20" i="1"/>
  <c r="A20" i="1"/>
  <c r="AB19" i="1"/>
  <c r="U19" i="1"/>
  <c r="N19" i="1"/>
  <c r="B19" i="1"/>
  <c r="A19" i="1"/>
  <c r="AB18" i="1"/>
  <c r="U18" i="1"/>
  <c r="N18" i="1"/>
  <c r="B18" i="1"/>
  <c r="A18" i="1"/>
  <c r="AB17" i="1"/>
  <c r="U17" i="1"/>
  <c r="N17" i="1"/>
  <c r="B17" i="1"/>
  <c r="A17" i="1"/>
  <c r="AB16" i="1"/>
  <c r="U16" i="1"/>
  <c r="N16" i="1"/>
  <c r="B16" i="1"/>
  <c r="A16" i="1"/>
  <c r="AB15" i="1"/>
  <c r="U15" i="1"/>
  <c r="N15" i="1"/>
  <c r="B15" i="1"/>
  <c r="A15" i="1"/>
  <c r="AB14" i="1"/>
  <c r="U14" i="1"/>
  <c r="N14" i="1"/>
  <c r="B14" i="1"/>
  <c r="A14" i="1"/>
  <c r="AB13" i="1"/>
  <c r="U13" i="1"/>
  <c r="N13" i="1"/>
  <c r="B13" i="1"/>
  <c r="A13" i="1"/>
  <c r="AB12" i="1"/>
  <c r="U12" i="1"/>
  <c r="N12" i="1"/>
  <c r="B12" i="1"/>
  <c r="A12" i="1"/>
  <c r="AB11" i="1"/>
  <c r="U11" i="1"/>
  <c r="N11" i="1"/>
  <c r="B11" i="1"/>
  <c r="A11" i="1"/>
  <c r="AB10" i="1"/>
  <c r="U10" i="1"/>
  <c r="N10" i="1"/>
  <c r="B10" i="1"/>
  <c r="A10" i="1"/>
  <c r="AB9" i="1"/>
  <c r="U9" i="1"/>
  <c r="S9" i="1"/>
  <c r="N9" i="1"/>
  <c r="B9" i="1"/>
  <c r="A9" i="1"/>
  <c r="AB8" i="1"/>
  <c r="U8" i="1"/>
  <c r="N8" i="1"/>
  <c r="B8" i="1"/>
  <c r="A8" i="1"/>
  <c r="AB7" i="1"/>
  <c r="U7" i="1"/>
  <c r="N7" i="1"/>
  <c r="B7" i="1"/>
  <c r="A7" i="1"/>
  <c r="AB6" i="1"/>
  <c r="U6" i="1"/>
  <c r="N6" i="1"/>
  <c r="B6" i="1"/>
  <c r="A6" i="1"/>
  <c r="AB5" i="1"/>
  <c r="U5" i="1"/>
  <c r="N5" i="1"/>
  <c r="B5" i="1"/>
  <c r="A5" i="1"/>
  <c r="AB4" i="1"/>
  <c r="U4" i="1"/>
  <c r="N4" i="1"/>
  <c r="B4" i="1"/>
  <c r="A4" i="1"/>
  <c r="AW3" i="1"/>
  <c r="AI3" i="1"/>
  <c r="AB3" i="1"/>
  <c r="U3" i="1"/>
  <c r="N3" i="1"/>
  <c r="B3" i="1"/>
  <c r="A3" i="1"/>
  <c r="B16" i="4" l="1"/>
  <c r="B17" i="4" s="1"/>
  <c r="B18" i="4" s="1"/>
  <c r="D15" i="4"/>
  <c r="F7" i="5"/>
  <c r="F7" i="4"/>
  <c r="D13" i="4"/>
  <c r="D14" i="4"/>
  <c r="D17" i="4"/>
  <c r="D250" i="4"/>
  <c r="D266" i="4"/>
  <c r="D282" i="4"/>
  <c r="D298" i="4"/>
  <c r="D314" i="4"/>
  <c r="D330" i="4"/>
  <c r="D346" i="4"/>
  <c r="D362" i="4"/>
  <c r="D378" i="4"/>
  <c r="D394" i="4"/>
  <c r="D427" i="4"/>
  <c r="D578" i="4"/>
  <c r="D642" i="4"/>
  <c r="D706" i="4"/>
  <c r="D770" i="4"/>
  <c r="D834" i="4"/>
  <c r="D246" i="4"/>
  <c r="D262" i="4"/>
  <c r="D278" i="4"/>
  <c r="D294" i="4"/>
  <c r="D310" i="4"/>
  <c r="D326" i="4"/>
  <c r="D342" i="4"/>
  <c r="D358" i="4"/>
  <c r="D374" i="4"/>
  <c r="D390" i="4"/>
  <c r="D407" i="4"/>
  <c r="D438" i="4"/>
  <c r="D450" i="4"/>
  <c r="D459" i="4"/>
  <c r="D470" i="4"/>
  <c r="D482" i="4"/>
  <c r="D491" i="4"/>
  <c r="D502" i="4"/>
  <c r="D514" i="4"/>
  <c r="D546" i="4"/>
  <c r="D594" i="4"/>
  <c r="D658" i="4"/>
  <c r="D722" i="4"/>
  <c r="D786" i="4"/>
  <c r="D439" i="4"/>
  <c r="D455" i="4"/>
  <c r="D471" i="4"/>
  <c r="D487" i="4"/>
  <c r="D503" i="4"/>
  <c r="D519" i="4"/>
  <c r="D535" i="4"/>
  <c r="D551" i="4"/>
  <c r="D567" i="4"/>
  <c r="D583" i="4"/>
  <c r="D599" i="4"/>
  <c r="D615" i="4"/>
  <c r="D631" i="4"/>
  <c r="D647" i="4"/>
  <c r="D663" i="4"/>
  <c r="D679" i="4"/>
  <c r="D695" i="4"/>
  <c r="D711" i="4"/>
  <c r="D727" i="4"/>
  <c r="D743" i="4"/>
  <c r="D759" i="4"/>
  <c r="D775" i="4"/>
  <c r="D791" i="4"/>
  <c r="D807" i="4"/>
  <c r="D823" i="4"/>
  <c r="D403" i="4"/>
  <c r="D419" i="4"/>
  <c r="D435" i="4"/>
  <c r="D451" i="4"/>
  <c r="D467" i="4"/>
  <c r="D483" i="4"/>
  <c r="D499" i="4"/>
  <c r="D515" i="4"/>
  <c r="D531" i="4"/>
  <c r="D547" i="4"/>
  <c r="D563" i="4"/>
  <c r="D579" i="4"/>
  <c r="D595" i="4"/>
  <c r="D611" i="4"/>
  <c r="D627" i="4"/>
  <c r="D643" i="4"/>
  <c r="D659" i="4"/>
  <c r="D675" i="4"/>
  <c r="D691" i="4"/>
  <c r="D707" i="4"/>
  <c r="D723" i="4"/>
  <c r="D739" i="4"/>
  <c r="D755" i="4"/>
  <c r="D771" i="4"/>
  <c r="D787" i="4"/>
  <c r="D803" i="4"/>
  <c r="D819" i="4"/>
  <c r="D835" i="4"/>
  <c r="D405" i="5"/>
  <c r="D662" i="5"/>
  <c r="D714" i="5"/>
  <c r="D730" i="5"/>
  <c r="D746" i="5"/>
  <c r="D762" i="5"/>
  <c r="D778" i="5"/>
  <c r="D794" i="5"/>
  <c r="D810" i="5"/>
  <c r="D826" i="5"/>
  <c r="D842" i="5"/>
  <c r="D858" i="5"/>
  <c r="D874" i="5"/>
  <c r="D890" i="5"/>
  <c r="D906" i="5"/>
  <c r="D922" i="5"/>
  <c r="D938" i="5"/>
  <c r="D954" i="5"/>
  <c r="D970" i="5"/>
  <c r="D986" i="5"/>
  <c r="D990" i="5"/>
  <c r="D18" i="4" l="1"/>
  <c r="B19" i="4"/>
  <c r="D16" i="4"/>
  <c r="B20" i="4" l="1"/>
  <c r="D19" i="4"/>
  <c r="B21" i="4" l="1"/>
  <c r="D20" i="4"/>
  <c r="B22" i="4" l="1"/>
  <c r="D21" i="4"/>
  <c r="D22" i="4" l="1"/>
  <c r="B23" i="4"/>
  <c r="B24" i="4" l="1"/>
  <c r="D23" i="4"/>
  <c r="B25" i="4" l="1"/>
  <c r="D24" i="4"/>
  <c r="B26" i="4" l="1"/>
  <c r="D25" i="4"/>
  <c r="D26" i="4" l="1"/>
  <c r="B27" i="4"/>
  <c r="B28" i="4" l="1"/>
  <c r="D27" i="4"/>
  <c r="B29" i="4" l="1"/>
  <c r="D28" i="4"/>
  <c r="B30" i="4" l="1"/>
  <c r="D29" i="4"/>
  <c r="D30" i="4" l="1"/>
  <c r="B31" i="4"/>
  <c r="B32" i="4" l="1"/>
  <c r="D31" i="4"/>
  <c r="B33" i="4" l="1"/>
  <c r="D32" i="4"/>
  <c r="B34" i="4" l="1"/>
  <c r="D33" i="4"/>
  <c r="B35" i="4" l="1"/>
  <c r="D34" i="4"/>
  <c r="B36" i="4" l="1"/>
  <c r="D35" i="4"/>
  <c r="D36" i="4" l="1"/>
  <c r="B37" i="4"/>
  <c r="B38" i="4" l="1"/>
  <c r="D37" i="4"/>
  <c r="B39" i="4" l="1"/>
  <c r="D38" i="4"/>
  <c r="B40" i="4" l="1"/>
  <c r="D39" i="4"/>
  <c r="B41" i="4" l="1"/>
  <c r="D40" i="4"/>
  <c r="B42" i="4" l="1"/>
  <c r="D41" i="4"/>
  <c r="B43" i="4" l="1"/>
  <c r="D42" i="4"/>
  <c r="B44" i="4" l="1"/>
  <c r="D43" i="4"/>
  <c r="B45" i="4" l="1"/>
  <c r="D44" i="4"/>
  <c r="B46" i="4" l="1"/>
  <c r="D45" i="4"/>
  <c r="B47" i="4" l="1"/>
  <c r="D46" i="4"/>
  <c r="B48" i="4" l="1"/>
  <c r="D47" i="4"/>
  <c r="B49" i="4" l="1"/>
  <c r="D48" i="4"/>
  <c r="B50" i="4" l="1"/>
  <c r="D49" i="4"/>
  <c r="B51" i="4" l="1"/>
  <c r="D50" i="4"/>
  <c r="B52" i="4" l="1"/>
  <c r="D51" i="4"/>
  <c r="B53" i="4" l="1"/>
  <c r="D52" i="4"/>
  <c r="B54" i="4" l="1"/>
  <c r="D53" i="4"/>
  <c r="B55" i="4" l="1"/>
  <c r="D54" i="4"/>
  <c r="B56" i="4" l="1"/>
  <c r="D55" i="4"/>
  <c r="B57" i="4" l="1"/>
  <c r="D56" i="4"/>
  <c r="B58" i="4" l="1"/>
  <c r="D57" i="4"/>
  <c r="B59" i="4" l="1"/>
  <c r="D58" i="4"/>
  <c r="B60" i="4" l="1"/>
  <c r="D60" i="4" s="1"/>
  <c r="D59" i="4"/>
</calcChain>
</file>

<file path=xl/sharedStrings.xml><?xml version="1.0" encoding="utf-8"?>
<sst xmlns="http://schemas.openxmlformats.org/spreadsheetml/2006/main" count="22870" uniqueCount="5639">
  <si>
    <t>NO</t>
  </si>
  <si>
    <t>EKLEYEN</t>
  </si>
  <si>
    <t>FİRMA ADI</t>
  </si>
  <si>
    <t>ÜLKE</t>
  </si>
  <si>
    <t>İLGİLENMİYOR</t>
  </si>
  <si>
    <t>ÖNEMLİ</t>
  </si>
  <si>
    <t>FAALİYET</t>
  </si>
  <si>
    <t>E-POSTA</t>
  </si>
  <si>
    <t>TELEFON NUMARASI</t>
  </si>
  <si>
    <t>FİRMA YETKLİSİ</t>
  </si>
  <si>
    <t>WEB SİTESİ</t>
  </si>
  <si>
    <t>SOSYAL MEDYA 1</t>
  </si>
  <si>
    <t>SOSYAL MEDYA 2</t>
  </si>
  <si>
    <t>FİRMA</t>
  </si>
  <si>
    <t>İRTİBAT ŞEKLİ 1</t>
  </si>
  <si>
    <t>KAÇINCI İRTİBAT1</t>
  </si>
  <si>
    <t>İRTİBAT TARİHİ 1</t>
  </si>
  <si>
    <t>İRTİBAT PUANI1</t>
  </si>
  <si>
    <t>DK1</t>
  </si>
  <si>
    <t>İRTİBAT SONUCU1</t>
  </si>
  <si>
    <t>İRTİBAT ŞEKLİ2</t>
  </si>
  <si>
    <t>KAÇINCI İRTİBAT2</t>
  </si>
  <si>
    <t>İRTİBAT TARİHİ 2</t>
  </si>
  <si>
    <t>İRTİBAT PUANI2</t>
  </si>
  <si>
    <t>DK2</t>
  </si>
  <si>
    <t>İRTİBAT SONUCU2</t>
  </si>
  <si>
    <t>İRTİBAT ŞEKLİ3</t>
  </si>
  <si>
    <t>KAÇINCI İRTİBAT3</t>
  </si>
  <si>
    <t>İRTİBAT TARİHİ 3</t>
  </si>
  <si>
    <t>İRTİBAT PUANI3</t>
  </si>
  <si>
    <t>DK3</t>
  </si>
  <si>
    <t>İRTİBAT SONUCU3</t>
  </si>
  <si>
    <t>İRTİBAT ŞEKLİ4</t>
  </si>
  <si>
    <t>KAÇINCI İRTİBAT4</t>
  </si>
  <si>
    <t>İRTİBAT TARİHİ 4</t>
  </si>
  <si>
    <t>İRTİBAT PUANI4</t>
  </si>
  <si>
    <t>DK4</t>
  </si>
  <si>
    <t>İRTİBAT SONUCU4</t>
  </si>
  <si>
    <t>İRTİBAT ŞEKLİ5</t>
  </si>
  <si>
    <t>KAÇINCI İRTİBAT5</t>
  </si>
  <si>
    <t>İRTİBAT TARİHİ 5</t>
  </si>
  <si>
    <t>İRTİBAT PUANI5</t>
  </si>
  <si>
    <t>DK5</t>
  </si>
  <si>
    <t>İRTİBAT SONUCU5</t>
  </si>
  <si>
    <t>İRTİBAT ŞEKLİ6</t>
  </si>
  <si>
    <t>KAÇINCI İRTİBAT6</t>
  </si>
  <si>
    <t>İRTİBAT TARİHİ6</t>
  </si>
  <si>
    <t>İRTİBAT PUANI6</t>
  </si>
  <si>
    <t>DK6</t>
  </si>
  <si>
    <t>İRTİBAT SONUCU6</t>
  </si>
  <si>
    <t>İRTİBAT ŞEKLİ7</t>
  </si>
  <si>
    <t>KAÇINCI İRTİBAT7</t>
  </si>
  <si>
    <t>İRTİBAT TARİHİ 7</t>
  </si>
  <si>
    <t>İRTİBAT PUANI7</t>
  </si>
  <si>
    <t>DK7</t>
  </si>
  <si>
    <t>İRTİBAT SONUCU7</t>
  </si>
  <si>
    <t>İRTİBAT ŞEKLİ8</t>
  </si>
  <si>
    <t>KAÇINCI İRTİBAT8</t>
  </si>
  <si>
    <t>İRTİBAT TARİHİ 8</t>
  </si>
  <si>
    <t>İRTİBAT PUANI8</t>
  </si>
  <si>
    <t>DK8</t>
  </si>
  <si>
    <t>İRTİBAT SONUCU8</t>
  </si>
  <si>
    <t>2. İRTİBAT ŞEKLİ</t>
  </si>
  <si>
    <t xml:space="preserve">2. İRTİBAT TARİHİ </t>
  </si>
  <si>
    <t>2. İRTİBAT SONUCU</t>
  </si>
  <si>
    <t>3. İRTİBAT ŞEKLİ</t>
  </si>
  <si>
    <t xml:space="preserve">3. İRTİBAT TARİHİ </t>
  </si>
  <si>
    <t>3. İRTİBAT SONUCU</t>
  </si>
  <si>
    <t>4. İRTİBAT ŞEKLİ</t>
  </si>
  <si>
    <t xml:space="preserve">4. İRTİBAT TARİHİ </t>
  </si>
  <si>
    <t>4. İRTİBAT SONUCU</t>
  </si>
  <si>
    <t>NOTLAR</t>
  </si>
  <si>
    <t xml:space="preserve">Kav Hungária Kft.
</t>
  </si>
  <si>
    <t>Macaristan</t>
  </si>
  <si>
    <t>BILMIYORUM</t>
  </si>
  <si>
    <t/>
  </si>
  <si>
    <t>+36 20 458 4906</t>
  </si>
  <si>
    <t>http://www.kavaluminium.com/</t>
  </si>
  <si>
    <t>ARAMA</t>
  </si>
  <si>
    <t xml:space="preserve"> </t>
  </si>
  <si>
    <t>2023-04-03</t>
  </si>
  <si>
    <t>KATALOG EMİAL</t>
  </si>
  <si>
    <t>3</t>
  </si>
  <si>
    <t>2023-04-12</t>
  </si>
  <si>
    <t>00:00</t>
  </si>
  <si>
    <t>2023-04-18</t>
  </si>
  <si>
    <t>HATIRLATMA VE SORUYA CEVAP VERME</t>
  </si>
  <si>
    <t>Ali bey</t>
  </si>
  <si>
    <t>Feva-Aluszervíz Kft., aluminum doors and windows, winter garden, terrace installation, glass railing production</t>
  </si>
  <si>
    <t>UYGULAMACI</t>
  </si>
  <si>
    <t xml:space="preserve"> 
info@feva-alu.hu</t>
  </si>
  <si>
    <t>+36 1 216 1234</t>
  </si>
  <si>
    <t>https://www.feva-alu.hu/</t>
  </si>
  <si>
    <t>4</t>
  </si>
  <si>
    <t xml:space="preserve">New Aluminium
</t>
  </si>
  <si>
    <t>Lübnan</t>
  </si>
  <si>
    <t>961 3 042 744</t>
  </si>
  <si>
    <t>https://www.facebook.com/aluminuim.design</t>
  </si>
  <si>
    <t>WHATSAPP</t>
  </si>
  <si>
    <t>ŞİMDİLİK OLMUYOR</t>
  </si>
  <si>
    <t>2023-02-21</t>
  </si>
  <si>
    <t>CEVAP YOK  WP</t>
  </si>
  <si>
    <t>2023-03-27</t>
  </si>
  <si>
    <t>sama</t>
  </si>
  <si>
    <t>Libya</t>
  </si>
  <si>
    <t>İNŞAATÇI</t>
  </si>
  <si>
    <t>+218 91-2119825</t>
  </si>
  <si>
    <t>abull sallam</t>
  </si>
  <si>
    <t xml:space="preserve">KATALOG WP </t>
  </si>
  <si>
    <t>شركة بابل</t>
  </si>
  <si>
    <t>218 91-2116543</t>
  </si>
  <si>
    <t xml:space="preserve">al jser </t>
  </si>
  <si>
    <t>218 91-6651604</t>
  </si>
  <si>
    <t>Newbond</t>
  </si>
  <si>
    <t>218 91-2125337</t>
  </si>
  <si>
    <t>Alferrganı</t>
  </si>
  <si>
    <t>218 91-3343742</t>
  </si>
  <si>
    <t>sadik</t>
  </si>
  <si>
    <t>Orhan bey</t>
  </si>
  <si>
    <t>Umman</t>
  </si>
  <si>
    <t>968 9429 2593</t>
  </si>
  <si>
    <t xml:space="preserve"> 7</t>
  </si>
  <si>
    <t>2023-02-20</t>
  </si>
  <si>
    <t>HAMAD BIN SALEM ALAZZANI TRADING EST.</t>
  </si>
  <si>
    <t>+968 25 651120</t>
  </si>
  <si>
    <t>http://www.hbsazzani.com/</t>
  </si>
  <si>
    <t>CEVAP YOK</t>
  </si>
  <si>
    <t xml:space="preserve">Sohel gazi alduwalia
</t>
  </si>
  <si>
    <t>968 9988 6230</t>
  </si>
  <si>
    <t>mr. sohil</t>
  </si>
  <si>
    <t>https://www.sohelgazi.com/</t>
  </si>
  <si>
    <t xml:space="preserve"> 9</t>
  </si>
  <si>
    <t>2023-03-09</t>
  </si>
  <si>
    <t>Mitro-Plast Sh. P. K.</t>
  </si>
  <si>
    <t>Kosova</t>
  </si>
  <si>
    <t>383 49 565 330</t>
  </si>
  <si>
    <t>https://mitro-plast.eu/</t>
  </si>
  <si>
    <t>CEVAP YOK KATALOG  WP</t>
  </si>
  <si>
    <t>2023-02-10</t>
  </si>
  <si>
    <t>2023-02-17</t>
  </si>
  <si>
    <t>2023-02-24</t>
  </si>
  <si>
    <t xml:space="preserve">Modern Aluminium Services LLc.
</t>
  </si>
  <si>
    <t>968 22 826356</t>
  </si>
  <si>
    <t>http://www.modalserve.com/</t>
  </si>
  <si>
    <t xml:space="preserve"> 6</t>
  </si>
  <si>
    <t>CEVAP YOK  EMAIL</t>
  </si>
  <si>
    <t xml:space="preserve">GLASS TECH OMAN
</t>
  </si>
  <si>
    <t>968 9412 1781</t>
  </si>
  <si>
    <t xml:space="preserve">Smart Windows
</t>
  </si>
  <si>
    <t>968 24 137327</t>
  </si>
  <si>
    <t xml:space="preserve">Modern Fort Enterprise
</t>
  </si>
  <si>
    <t>968 9098 5786</t>
  </si>
  <si>
    <t>00:5</t>
  </si>
  <si>
    <t>SONRA ARA</t>
  </si>
  <si>
    <t>1:00</t>
  </si>
  <si>
    <t>2023-02-28</t>
  </si>
  <si>
    <t xml:space="preserve">Upvc windos door&amp;aluminium work 99157790
</t>
  </si>
  <si>
    <t>968 9915 7790</t>
  </si>
  <si>
    <t xml:space="preserve">New Saraya store
</t>
  </si>
  <si>
    <t>968 9200 4666</t>
  </si>
  <si>
    <t>Royal Glass</t>
  </si>
  <si>
    <t>+968 9794 8474</t>
  </si>
  <si>
    <t>Reliable International LLC الموثوق العالمية</t>
  </si>
  <si>
    <t>+968 9322 2157</t>
  </si>
  <si>
    <t>https://www.reliableintllc.com/</t>
  </si>
  <si>
    <t>4:30</t>
  </si>
  <si>
    <t>KATALOG WP</t>
  </si>
  <si>
    <t xml:space="preserve">A STAR ALUMINYUM
</t>
  </si>
  <si>
    <t>968 9525 5688</t>
  </si>
  <si>
    <t>https://astaroman.com/</t>
  </si>
  <si>
    <t xml:space="preserve">Millennium Bright
</t>
  </si>
  <si>
    <t>968 9517 5921</t>
  </si>
  <si>
    <t>Panorama Windows Co LLC</t>
  </si>
  <si>
    <t>+968 9061 9797</t>
  </si>
  <si>
    <t>http://panoramawindows.net/</t>
  </si>
  <si>
    <t>2:00</t>
  </si>
  <si>
    <t xml:space="preserve">UPVC &amp; ALUMINIUM - AAT COMPANY أضواء الأحتراف
</t>
  </si>
  <si>
    <t>968 7999 7500</t>
  </si>
  <si>
    <t>https://aat2016.com/</t>
  </si>
  <si>
    <t>"Al-Kemyani Aluminum &amp; UPVC
"</t>
  </si>
  <si>
    <t>968 9897 1000</t>
  </si>
  <si>
    <t>1:30</t>
  </si>
  <si>
    <t xml:space="preserve">Winner International LLC Main Office
</t>
  </si>
  <si>
    <t>968 24 597288</t>
  </si>
  <si>
    <t xml:space="preserve">Aluminium workshop ورش الألمنيوم
</t>
  </si>
  <si>
    <t>968 7158 4490</t>
  </si>
  <si>
    <t>Ali</t>
  </si>
  <si>
    <t xml:space="preserve">Muscat Windows
</t>
  </si>
  <si>
    <t>968 9403 5929</t>
  </si>
  <si>
    <t>http://www.hilalgroup.com/</t>
  </si>
  <si>
    <t>PROJE BEKLENİYOR</t>
  </si>
  <si>
    <t xml:space="preserve">MGE UPVC Door &amp; Window
</t>
  </si>
  <si>
    <t>968 9799 1730</t>
  </si>
  <si>
    <t>irfan</t>
  </si>
  <si>
    <t xml:space="preserve">Almersal al mutakamilah
</t>
  </si>
  <si>
    <t>968 9369 7431</t>
  </si>
  <si>
    <t xml:space="preserve">Abu Nadil Trade.Service
</t>
  </si>
  <si>
    <t>968 9574 1661</t>
  </si>
  <si>
    <t xml:space="preserve"> 8</t>
  </si>
  <si>
    <t>1:20</t>
  </si>
  <si>
    <t xml:space="preserve">Shomk al abda
</t>
  </si>
  <si>
    <t>968 9641 6668</t>
  </si>
  <si>
    <t xml:space="preserve">Atlantic Aluminium Workshop Misfah
</t>
  </si>
  <si>
    <t>968 9276 4191</t>
  </si>
  <si>
    <t>https://atlanticoman.com/</t>
  </si>
  <si>
    <t xml:space="preserve">Al Mimari Industries
</t>
  </si>
  <si>
    <t>968 9935 0900</t>
  </si>
  <si>
    <t>http://www.instagram.com/almimari.industries</t>
  </si>
  <si>
    <t xml:space="preserve">WINDOOR OMAN
</t>
  </si>
  <si>
    <t>968 9552 7566</t>
  </si>
  <si>
    <t xml:space="preserve">MAHAWAR MAZOON UPVC PRODUCTS
</t>
  </si>
  <si>
    <t>968 9233 6860</t>
  </si>
  <si>
    <t>2:5</t>
  </si>
  <si>
    <t>3:00</t>
  </si>
  <si>
    <t xml:space="preserve">GERITA Nyílászáró Kft.
</t>
  </si>
  <si>
    <t>+36 30 885 1979</t>
  </si>
  <si>
    <t>https://geritanyilaszaro.business.site/?utm_source=gmb&amp;utm_medium=referral</t>
  </si>
  <si>
    <t xml:space="preserve"> Future Doors Kft
</t>
  </si>
  <si>
    <t xml:space="preserve"> +36 70 319 9372</t>
  </si>
  <si>
    <t xml:space="preserve"> https://futuredoors.hu/</t>
  </si>
  <si>
    <t>6</t>
  </si>
  <si>
    <t>2023-03-13</t>
  </si>
  <si>
    <t xml:space="preserve"> Roltech-Ablak Kft.
</t>
  </si>
  <si>
    <t xml:space="preserve">  +36 30 429 5245</t>
  </si>
  <si>
    <t xml:space="preserve"> https://www.roltechablak.hu/</t>
  </si>
  <si>
    <t xml:space="preserve">ALULUX STÚDIÓ - Aludra Kft.
</t>
  </si>
  <si>
    <t xml:space="preserve"> +36 1 221 7370</t>
  </si>
  <si>
    <t xml:space="preserve"> http://alulux.hu/</t>
  </si>
  <si>
    <t>5</t>
  </si>
  <si>
    <t xml:space="preserve">AblakMAX
</t>
  </si>
  <si>
    <t xml:space="preserve"> +36 70 415 7075</t>
  </si>
  <si>
    <t xml:space="preserve"> http://www.ablakmax.hu/index.php?option=com_contact&amp;view=contact&amp;id=1&amp;Itemid=59</t>
  </si>
  <si>
    <t>2</t>
  </si>
  <si>
    <t>08:20</t>
  </si>
  <si>
    <t>1:50</t>
  </si>
  <si>
    <t xml:space="preserve"> Nyílászáró Centrum
</t>
  </si>
  <si>
    <t xml:space="preserve"> +36 70 253 8749</t>
  </si>
  <si>
    <t xml:space="preserve"> http://www.nyilaszaro-centrum.com/</t>
  </si>
  <si>
    <t xml:space="preserve"> Alba Lux Kft.
</t>
  </si>
  <si>
    <t xml:space="preserve">  +36 20 370 4157</t>
  </si>
  <si>
    <t xml:space="preserve"> https://www.albalux.hu/</t>
  </si>
  <si>
    <t>00:46</t>
  </si>
  <si>
    <t>1</t>
  </si>
  <si>
    <t>01:16</t>
  </si>
  <si>
    <t xml:space="preserve"> Műanyag ablak
</t>
  </si>
  <si>
    <t xml:space="preserve"> +36 1 800 8259</t>
  </si>
  <si>
    <t xml:space="preserve"> https://www.windok.hu/</t>
  </si>
  <si>
    <t xml:space="preserve"> Xhénia Aluminum radiator manufacturing and construction Kft.
</t>
  </si>
  <si>
    <t xml:space="preserve"> +36 1 264 1210</t>
  </si>
  <si>
    <t xml:space="preserve"> http://www.xhenia.com/</t>
  </si>
  <si>
    <t xml:space="preserve"> Kivszer Kft.
</t>
  </si>
  <si>
    <t xml:space="preserve">  +36 20 274 6088</t>
  </si>
  <si>
    <t xml:space="preserve"> https://www.ceginformacio.hu/cr9310880622</t>
  </si>
  <si>
    <t xml:space="preserve"> +36 30 934 4654</t>
  </si>
  <si>
    <t xml:space="preserve"> http://nyilaszarocenter.hu/</t>
  </si>
  <si>
    <t xml:space="preserve"> Fenster Türen Kft.
</t>
  </si>
  <si>
    <t xml:space="preserve"> +36 1 308 1417</t>
  </si>
  <si>
    <t xml:space="preserve"> http://fensterturen.hu/</t>
  </si>
  <si>
    <t xml:space="preserve"> Ablaknet kft
</t>
  </si>
  <si>
    <t xml:space="preserve">  +36 1 354 1800</t>
  </si>
  <si>
    <t xml:space="preserve"> https://www.ablaknet.hu/</t>
  </si>
  <si>
    <t xml:space="preserve"> Solarlux
</t>
  </si>
  <si>
    <t xml:space="preserve"> +36 1 920 2020</t>
  </si>
  <si>
    <t xml:space="preserve"> https://www.solarlux-telikert.hu/mitol-kulonlegesek-a-solarlux-telikertek</t>
  </si>
  <si>
    <t>01:40</t>
  </si>
  <si>
    <t>ZIYARETE GELEBİLİR</t>
  </si>
  <si>
    <t xml:space="preserve">Alugold KFT
</t>
  </si>
  <si>
    <t>+36 20 418 8688</t>
  </si>
  <si>
    <t>https://www.alugold.hu/</t>
  </si>
  <si>
    <t xml:space="preserve">Glass com
</t>
  </si>
  <si>
    <t>961 3 221 436</t>
  </si>
  <si>
    <t>https://m.facebook.com/Glasscom.online/?ref=bookmarks</t>
  </si>
  <si>
    <t xml:space="preserve"> 1:18</t>
  </si>
  <si>
    <t xml:space="preserve">Profico- Aluminum and Glass Experts- Aluminium in Lebanon, Glass in Lebanon, Aluminum in Lebanon
</t>
  </si>
  <si>
    <t>961 71 287 040</t>
  </si>
  <si>
    <t>http://www.proficogroup.com/</t>
  </si>
  <si>
    <t>"ISSA GROUPE CO.
"</t>
  </si>
  <si>
    <t>961 70 293 664</t>
  </si>
  <si>
    <t xml:space="preserve">Mikati Manufacturing SARL
</t>
  </si>
  <si>
    <t>961 6 401 710</t>
  </si>
  <si>
    <t xml:space="preserve">D8 Metals
</t>
  </si>
  <si>
    <t>961 76 039 725</t>
  </si>
  <si>
    <t>lina musa</t>
  </si>
  <si>
    <t>https://www.d8metals.com/</t>
  </si>
  <si>
    <t>5:39</t>
  </si>
  <si>
    <t xml:space="preserve">Dalbana Company Aluminum &amp; Glass
</t>
  </si>
  <si>
    <t>961 3 722 598</t>
  </si>
  <si>
    <t>https://manufacturer-23041.business.site/?utm_source=gmb&amp;utm_medium=referral</t>
  </si>
  <si>
    <t>2:37</t>
  </si>
  <si>
    <t xml:space="preserve">STAL - Steel &amp; Aluminium Construction
</t>
  </si>
  <si>
    <t>961 4 400 400</t>
  </si>
  <si>
    <t>http://www.stal-me.com/</t>
  </si>
  <si>
    <t xml:space="preserve">Robert Kashouh co.
</t>
  </si>
  <si>
    <t>961 3 273 849</t>
  </si>
  <si>
    <t>http://robertkashouh.com/</t>
  </si>
  <si>
    <t xml:space="preserve">EGC Ezzeddine glass contracting
</t>
  </si>
  <si>
    <t>961 3 244 183</t>
  </si>
  <si>
    <t>osama ibrahim</t>
  </si>
  <si>
    <t>https://www.facebook.com/egcleb/</t>
  </si>
  <si>
    <t xml:space="preserve">Alumtech
</t>
  </si>
  <si>
    <t xml:space="preserve">961 70 495 431   </t>
  </si>
  <si>
    <t>http://alumtech-lb.com/</t>
  </si>
  <si>
    <t xml:space="preserve">ASNAF Husseini Group
</t>
  </si>
  <si>
    <t>961 70 076633</t>
  </si>
  <si>
    <t>http://www.husseinigroup.com/</t>
  </si>
  <si>
    <t xml:space="preserve">A.B.Z aluminium &amp; glass works
</t>
  </si>
  <si>
    <t>961 70 697 931</t>
  </si>
  <si>
    <t xml:space="preserve">Cedar Group
</t>
  </si>
  <si>
    <t>961 3 955 888</t>
  </si>
  <si>
    <t xml:space="preserve">Profal Husseini
</t>
  </si>
  <si>
    <t>961 9 791 999</t>
  </si>
  <si>
    <t>http://www.profalhusseini.com/</t>
  </si>
  <si>
    <t xml:space="preserve">ALUMEC
</t>
  </si>
  <si>
    <t>info@alu-mec.com</t>
  </si>
  <si>
    <t>961 9 925 672</t>
  </si>
  <si>
    <t>https://alu-mec.com/</t>
  </si>
  <si>
    <t xml:space="preserve">Abou Zeinab EST. for Aluminium &amp; Glass
</t>
  </si>
  <si>
    <t>961 71 139 339</t>
  </si>
  <si>
    <t xml:space="preserve">Abboud Group Aluminium
</t>
  </si>
  <si>
    <t>961 3 510 807</t>
  </si>
  <si>
    <t xml:space="preserve">GMP - General Metal Products
</t>
  </si>
  <si>
    <t>961 3 680 512</t>
  </si>
  <si>
    <t xml:space="preserve">FOLDA
</t>
  </si>
  <si>
    <t>961 9 219 383</t>
  </si>
  <si>
    <t>https://folda.com.lb/</t>
  </si>
  <si>
    <t xml:space="preserve">Ste chebabi for trading
</t>
  </si>
  <si>
    <t>961 3 963 164</t>
  </si>
  <si>
    <t>https://www.facebook.com/chebabico11</t>
  </si>
  <si>
    <t xml:space="preserve">Windoors sarl uPVC Windows &amp; Doors Systems
</t>
  </si>
  <si>
    <t>961 3 654 139</t>
  </si>
  <si>
    <t>http://www.alhayekgroup.com/</t>
  </si>
  <si>
    <t xml:space="preserve">EIT - European Industrial Traders sarl - Factory
</t>
  </si>
  <si>
    <t>https://www.e-i-t.eu/</t>
  </si>
  <si>
    <t xml:space="preserve">Alusystem Jounieh
</t>
  </si>
  <si>
    <t>961 3 809 107</t>
  </si>
  <si>
    <t>Fadı</t>
  </si>
  <si>
    <t xml:space="preserve">Royal aluminum
</t>
  </si>
  <si>
    <t>961 81 726 172</t>
  </si>
  <si>
    <t>https://www.facebook.com/royalaluminum1/</t>
  </si>
  <si>
    <t xml:space="preserve">Khadra Safety Glass co
</t>
  </si>
  <si>
    <t>961 7349627</t>
  </si>
  <si>
    <t>https://www.khadraglass.com/en</t>
  </si>
  <si>
    <t xml:space="preserve">technical Aluminium and Glass
</t>
  </si>
  <si>
    <t>961 7 224 885</t>
  </si>
  <si>
    <t>1:38</t>
  </si>
  <si>
    <t>SHS Aluminium Windows &amp; Doors, Kitchen Cabinets, Temper Glass &amp; UPVC Works</t>
  </si>
  <si>
    <t>BAWADI</t>
  </si>
  <si>
    <t>968 9927 2209</t>
  </si>
  <si>
    <t>8</t>
  </si>
  <si>
    <t>2023-01-30</t>
  </si>
  <si>
    <t>Abu nooh Talib hadi</t>
  </si>
  <si>
    <t>968 9505 0166</t>
  </si>
  <si>
    <t>Majan WINDOWS</t>
  </si>
  <si>
    <t>968 9956 7994</t>
  </si>
  <si>
    <t>FIYAT YÜKSEK</t>
  </si>
  <si>
    <t>Aluminum Watad</t>
  </si>
  <si>
    <t>968 9711 2022</t>
  </si>
  <si>
    <t xml:space="preserve">Modern Aluminium Services LLc.
</t>
  </si>
  <si>
    <t>info@modalserve.com</t>
  </si>
  <si>
    <t xml:space="preserve"> 4</t>
  </si>
  <si>
    <t xml:space="preserve">SUNRISE WINDOWS
</t>
  </si>
  <si>
    <t>968 9288 5363</t>
  </si>
  <si>
    <t xml:space="preserve">Elegant Windows
</t>
  </si>
  <si>
    <t>968 9140 9266</t>
  </si>
  <si>
    <t>mr. Sahil</t>
  </si>
  <si>
    <t>2:10</t>
  </si>
  <si>
    <t xml:space="preserve">Aluminum Windows &amp; Glass works
</t>
  </si>
  <si>
    <t>968 9979 9189</t>
  </si>
  <si>
    <t>https://glassaluminiumworks.business.site/?utm_source=gmb&amp;utm_medium=referral</t>
  </si>
  <si>
    <t xml:space="preserve">Ismail bin Ali Aluminium
</t>
  </si>
  <si>
    <t>Katar</t>
  </si>
  <si>
    <t>m.shoaib@iba.com.qa</t>
  </si>
  <si>
    <t xml:space="preserve"> +974 5088 7315</t>
  </si>
  <si>
    <t>mr.mohammed</t>
  </si>
  <si>
    <t>Imad Jaafar Darwiche</t>
  </si>
  <si>
    <t xml:space="preserve">TOPTANCI </t>
  </si>
  <si>
    <t>961 3 846 365</t>
  </si>
  <si>
    <t>El Sarma</t>
  </si>
  <si>
    <t>961 70 379 129</t>
  </si>
  <si>
    <t>https://www.facebook.com/profile.php?id=100067203443380</t>
  </si>
  <si>
    <t>Aluminium Desing</t>
  </si>
  <si>
    <t>961 70 336 566</t>
  </si>
  <si>
    <t>https://www.facebook.com/Aluminium-Desing-314963089225772/?ref=page_internal</t>
  </si>
  <si>
    <t>1:40</t>
  </si>
  <si>
    <t>2023-03-29</t>
  </si>
  <si>
    <t xml:space="preserve">M.J.M Aluminium &amp; Glass
</t>
  </si>
  <si>
    <t>961 3 063 610</t>
  </si>
  <si>
    <t>https://www.facebook.com/profile.php?id=100063880489283</t>
  </si>
  <si>
    <t>Aluminium design (By Ibrahim Kassem)</t>
  </si>
  <si>
    <t>961 71 782 295</t>
  </si>
  <si>
    <t>https://www.facebook.com/profile.php?id=100063726963046</t>
  </si>
  <si>
    <t xml:space="preserve">Daher aluminium
</t>
  </si>
  <si>
    <t>961 3 240 581</t>
  </si>
  <si>
    <t>https://www.facebook.com/DaherAluminium</t>
  </si>
  <si>
    <t>massriforaluminium</t>
  </si>
  <si>
    <t>961 3 060 792</t>
  </si>
  <si>
    <t xml:space="preserve">Alumex
</t>
  </si>
  <si>
    <t>Ürdün</t>
  </si>
  <si>
    <t>962 7 9700 0914</t>
  </si>
  <si>
    <t>M- 3arın</t>
  </si>
  <si>
    <t>https://alumex-aluminum-window.business.site/?utm_source=gmb&amp;utm_medium=referrall</t>
  </si>
  <si>
    <t xml:space="preserve">ALGSCO
</t>
  </si>
  <si>
    <t>studies@algsco.com</t>
  </si>
  <si>
    <t>961 76 629 525</t>
  </si>
  <si>
    <t>thaer</t>
  </si>
  <si>
    <t xml:space="preserve">ALFENA INDUSTRIES
</t>
  </si>
  <si>
    <t>961 71 646 125</t>
  </si>
  <si>
    <t>Anwar</t>
  </si>
  <si>
    <t>İTHALAT YAPAMAZ</t>
  </si>
  <si>
    <t xml:space="preserve">Glassinum Office
</t>
  </si>
  <si>
    <t>961 3 55 44 88</t>
  </si>
  <si>
    <t>https://glassinum.com/</t>
  </si>
  <si>
    <t xml:space="preserve">Daaboul Engineering sal
</t>
  </si>
  <si>
    <t>961 3 472 059</t>
  </si>
  <si>
    <t>fadi</t>
  </si>
  <si>
    <t>http://daaboulengineering.com/</t>
  </si>
  <si>
    <t xml:space="preserve">Hijazi Aluminum &amp; Glass
</t>
  </si>
  <si>
    <t>961 71 646 660</t>
  </si>
  <si>
    <t>Malk</t>
  </si>
  <si>
    <t xml:space="preserve">Glassline -Design &amp; Build Facade Contractor - Aluminum &amp; Glass Company
</t>
  </si>
  <si>
    <t>961 5 432 045</t>
  </si>
  <si>
    <t>Antony</t>
  </si>
  <si>
    <t>http://www.glasslineindustries.com/</t>
  </si>
  <si>
    <t xml:space="preserve">AMA.sarl
</t>
  </si>
  <si>
    <t>961 3 586 790</t>
  </si>
  <si>
    <t>Talal</t>
  </si>
  <si>
    <t>https://www.ama-lb.com/</t>
  </si>
  <si>
    <t xml:space="preserve">E_ glass
</t>
  </si>
  <si>
    <t>961 70 220 618</t>
  </si>
  <si>
    <t>eilie</t>
  </si>
  <si>
    <t xml:space="preserve">4 Star Windows
</t>
  </si>
  <si>
    <t>Hollanda</t>
  </si>
  <si>
    <t>31 6 42055753</t>
  </si>
  <si>
    <t>http://www.4starwindows.nl/</t>
  </si>
  <si>
    <t xml:space="preserve">MHB | Dutch masters of steel since 1667
</t>
  </si>
  <si>
    <t xml:space="preserve">Q Windows
</t>
  </si>
  <si>
    <t xml:space="preserve">Perfect View B.V.
</t>
  </si>
  <si>
    <t>https://perfectviewwindows.nl/?utm_source=google&amp;utm_medium=mijn_bedrijf&amp;utm_campaign=websitelink</t>
  </si>
  <si>
    <t xml:space="preserve">INTAL BV
</t>
  </si>
  <si>
    <t>connect@intal.nl</t>
  </si>
  <si>
    <t>https://www.intal.nl/nl-nl</t>
  </si>
  <si>
    <t xml:space="preserve">EG Veranda
</t>
  </si>
  <si>
    <t>http://www.egveranda.nl/</t>
  </si>
  <si>
    <t xml:space="preserve">الإبداع للبي في سي و الألمنيوم و المطابخ والرخام
</t>
  </si>
  <si>
    <t>218 91-2150867</t>
  </si>
  <si>
    <t xml:space="preserve">شركة نجمة الميدان للمقاولات العامة
</t>
  </si>
  <si>
    <t>218 91-7366655</t>
  </si>
  <si>
    <t xml:space="preserve">ورشة معاذ الالمنيوم
</t>
  </si>
  <si>
    <t>218 92-3349991</t>
  </si>
  <si>
    <t xml:space="preserve">ورشة الشلماني لأعمال الألمنيوم و الpvc
</t>
  </si>
  <si>
    <t xml:space="preserve">218 92-6122376
</t>
  </si>
  <si>
    <t xml:space="preserve">المبدعون لأعمال الألمنيوم والبي في سي
</t>
  </si>
  <si>
    <t>218 92-5209050</t>
  </si>
  <si>
    <t xml:space="preserve">الدرقاش للألومنيوم و الأسقف المعلقة و الحصائر المعدنية و البلاستيكيه
</t>
  </si>
  <si>
    <t>218 91-1515111</t>
  </si>
  <si>
    <t>Ahmed Elddergash</t>
  </si>
  <si>
    <t xml:space="preserve">Bab El Salam Company
</t>
  </si>
  <si>
    <t>218 92-7484220</t>
  </si>
  <si>
    <t>Marwane Mkhinini</t>
  </si>
  <si>
    <t>Tunus</t>
  </si>
  <si>
    <t>216 24 130 074</t>
  </si>
  <si>
    <t xml:space="preserve">لاغا لمستلزمات الألومنيوم والبي في سي
</t>
  </si>
  <si>
    <t>218 91-5182316</t>
  </si>
  <si>
    <t xml:space="preserve">مصنع الفتح للزجاج والألمنيوم2
</t>
  </si>
  <si>
    <t>218 92-4983943</t>
  </si>
  <si>
    <t xml:space="preserve">مصنع الفارسي للالمنيوم
</t>
  </si>
  <si>
    <t>218 92-4136121</t>
  </si>
  <si>
    <t xml:space="preserve">ورشه اسامه المنفي لأعمال الألمنيوم وbvc
</t>
  </si>
  <si>
    <t>218 92-2395678</t>
  </si>
  <si>
    <t xml:space="preserve">شركة اسطنبول لاعمال pvc والالمنيوم والمطابخ
</t>
  </si>
  <si>
    <t>218 91-5496645</t>
  </si>
  <si>
    <t xml:space="preserve">Ismail bin Ali Aluminium
</t>
  </si>
  <si>
    <t>aluminium@iba.com.qa</t>
  </si>
  <si>
    <t>Mohammed</t>
  </si>
  <si>
    <t xml:space="preserve">Desert Line Aluminium - Aluminium Fabrication and Manufacturing
</t>
  </si>
  <si>
    <t>sunil@desertlineprojects.com.qa</t>
  </si>
  <si>
    <t>974 5524 0861</t>
  </si>
  <si>
    <t>Anil</t>
  </si>
  <si>
    <t>https://desertlinealuminium.com/sales-enquiry/</t>
  </si>
  <si>
    <t>2023-02-06</t>
  </si>
  <si>
    <t xml:space="preserve">UPVC and Aluminium works
</t>
  </si>
  <si>
    <t xml:space="preserve">Sweis Aluminium
</t>
  </si>
  <si>
    <t xml:space="preserve">Mamun Aluminium
</t>
  </si>
  <si>
    <t xml:space="preserve">AL MAJED ALUMINIUM, UPVC AND STEEL WLL
</t>
  </si>
  <si>
    <t xml:space="preserve">FBK For Trading Glass And Aluminium
</t>
  </si>
  <si>
    <t>974 3397 1065</t>
  </si>
  <si>
    <t xml:space="preserve"> 5</t>
  </si>
  <si>
    <t>Qatar National Aluminium Panel Co.</t>
  </si>
  <si>
    <t xml:space="preserve"> supplychain-log@q-nap.com</t>
  </si>
  <si>
    <t>97450962544</t>
  </si>
  <si>
    <t>shayim</t>
  </si>
  <si>
    <t>https://q-nap.com/contactuss</t>
  </si>
  <si>
    <t xml:space="preserve">Qatar Belgium Aluminium Company (QBEL)
</t>
  </si>
  <si>
    <t xml:space="preserve">MIDDLE EAST GLASS &amp; ALUMINIUM
</t>
  </si>
  <si>
    <t>MIDDLE EAST GLASS &amp; ALUMINIUM
2</t>
  </si>
  <si>
    <t xml:space="preserve">Al Fateh Aluminium Company
</t>
  </si>
  <si>
    <t xml:space="preserve">974 7721 2155
</t>
  </si>
  <si>
    <t>Saidly</t>
  </si>
  <si>
    <t>2023-01-16</t>
  </si>
  <si>
    <t>TRUST GROUP</t>
  </si>
  <si>
    <t xml:space="preserve">974 7721 2166
</t>
  </si>
  <si>
    <t xml:space="preserve">Choice Aluminium - Aluminium Fabrication,Aluminium Doors, Aluminium Kitchen in Doha
</t>
  </si>
  <si>
    <t xml:space="preserve">Sk aluminium fabrication works
</t>
  </si>
  <si>
    <t>00:6</t>
  </si>
  <si>
    <t>Al Shaheen Aluminium and UPVC Factory</t>
  </si>
  <si>
    <t xml:space="preserve">Jabal yafa Aluminium جبل يافع للألمنيوم
</t>
  </si>
  <si>
    <t xml:space="preserve">ALTECH ALUMINIUM &amp; STEEL
</t>
  </si>
  <si>
    <t>info@altechgulf.com</t>
  </si>
  <si>
    <t>974 5599 0490</t>
  </si>
  <si>
    <t>https://altechgulf.com/contactus/</t>
  </si>
  <si>
    <t>2023-02-07</t>
  </si>
  <si>
    <t xml:space="preserve">Saad Al Kaabi Steel &amp; Aluminium
</t>
  </si>
  <si>
    <t xml:space="preserve">British Aluminium LLC (Qatar)
</t>
  </si>
  <si>
    <t>Info@british-aluminium.com</t>
  </si>
  <si>
    <t>british-aluminium.com</t>
  </si>
  <si>
    <t xml:space="preserve">VIOLET ALUMINIUM AND UPVC
</t>
  </si>
  <si>
    <t>info@violetaluminium.com</t>
  </si>
  <si>
    <t xml:space="preserve"> +974 44887821</t>
  </si>
  <si>
    <t xml:space="preserve">Al Hussaini Aluminium and UPVC
</t>
  </si>
  <si>
    <t xml:space="preserve">KHALOORI ALUMINIUM FACTORY مصنع المنيوم خلوري
</t>
  </si>
  <si>
    <t xml:space="preserve">Al Rukaie Aluminium &amp; Glass Factory
</t>
  </si>
  <si>
    <t>974 5585 9587</t>
  </si>
  <si>
    <t xml:space="preserve">Profession Aluminum Company
</t>
  </si>
  <si>
    <t xml:space="preserve"> info@profession-alu.com</t>
  </si>
  <si>
    <t xml:space="preserve">elzarwa aluminium steel
</t>
  </si>
  <si>
    <t>Royal Aluminium trading &amp; contracting</t>
  </si>
  <si>
    <t xml:space="preserve">Al Muraikh aluminium and steel
</t>
  </si>
  <si>
    <t xml:space="preserve"> 3</t>
  </si>
  <si>
    <t xml:space="preserve">E.M.A ALUMINIUM TRED.
</t>
  </si>
  <si>
    <t xml:space="preserve">BESTCO ALUMINIUM &amp; STEEL
</t>
  </si>
  <si>
    <t>974 5503 8583</t>
  </si>
  <si>
    <t xml:space="preserve">SPECIALIZED ALUMINIUM &amp; STEEL CO. W.L.L.
</t>
  </si>
  <si>
    <t>974 3129 5845</t>
  </si>
  <si>
    <t xml:space="preserve">Skywall Aluminium &amp; Glass
</t>
  </si>
  <si>
    <t>Aluminium Gulf Ray (AGR)</t>
  </si>
  <si>
    <t>gautam@agrqatar.com</t>
  </si>
  <si>
    <t>974 4468 6003</t>
  </si>
  <si>
    <t>https://www.facebook.com/people/Aluminum-Gulf-Ray/100080134308246/</t>
  </si>
  <si>
    <t>1:26</t>
  </si>
  <si>
    <t xml:space="preserve">Union for Steel &amp; Aluminum
</t>
  </si>
  <si>
    <t>info@union-qatar.com</t>
  </si>
  <si>
    <t>Ashyok</t>
  </si>
  <si>
    <t xml:space="preserve">Abdulla Trading aluminium &amp; Decor. W.L.L
</t>
  </si>
  <si>
    <t>balan@abcdecore.com</t>
  </si>
  <si>
    <t>974 7707 0866</t>
  </si>
  <si>
    <t xml:space="preserve">Alumco Qatar W.L.L.
</t>
  </si>
  <si>
    <t>974 5596 6670</t>
  </si>
  <si>
    <t xml:space="preserve">Folda Qatar
</t>
  </si>
  <si>
    <t>g.karam@foldaqatar.com</t>
  </si>
  <si>
    <t>974 5557 8696</t>
  </si>
  <si>
    <t>https://foldaqatar.com/</t>
  </si>
  <si>
    <t>9</t>
  </si>
  <si>
    <t>2023-01-06</t>
  </si>
  <si>
    <t xml:space="preserve">IBA (Ismail Bin Ali) Group
</t>
  </si>
  <si>
    <t>Islam</t>
  </si>
  <si>
    <t>https://iba.com.qa/</t>
  </si>
  <si>
    <t xml:space="preserve">procurement@iba.com.qa
</t>
  </si>
  <si>
    <t xml:space="preserve">Specialized Qatar Windows and Doors systems‎
</t>
  </si>
  <si>
    <t>paul@sasconet.com</t>
  </si>
  <si>
    <t>974 3334 0337</t>
  </si>
  <si>
    <t>pole</t>
  </si>
  <si>
    <t>https://sq-upvc.com/</t>
  </si>
  <si>
    <t xml:space="preserve"> info@sq-upvc.com</t>
  </si>
  <si>
    <t xml:space="preserve">Qatar uPVC Windows + Doors
</t>
  </si>
  <si>
    <t>admin@qatarupvc.com.qa</t>
  </si>
  <si>
    <t>(+974) 55759701</t>
  </si>
  <si>
    <t>https://qatarupvc.com.qa/</t>
  </si>
  <si>
    <t xml:space="preserve">BRQ TRADING CONTRACTING &amp; SERVICES W.L.L
</t>
  </si>
  <si>
    <t>974 5077 8260</t>
  </si>
  <si>
    <t>Babu</t>
  </si>
  <si>
    <t xml:space="preserve">
https://brq2020.com/
Turn</t>
  </si>
  <si>
    <t xml:space="preserve">Al Khinji Group
</t>
  </si>
  <si>
    <t>974 6688 7351</t>
  </si>
  <si>
    <t>http://alkhinjigroup.com/</t>
  </si>
  <si>
    <t xml:space="preserve"> info@alkhinjigroup.com</t>
  </si>
  <si>
    <t xml:space="preserve">kemcosas aluminium Office
</t>
  </si>
  <si>
    <t>Info@kemcosasaluminium.com</t>
  </si>
  <si>
    <t>https://kemcosasaluminium.com/contact.html</t>
  </si>
  <si>
    <t xml:space="preserve">Al Daffa Aluminium, Upvc &amp; Steel Works
</t>
  </si>
  <si>
    <t>974 6681 7799</t>
  </si>
  <si>
    <r>
      <rPr>
        <u/>
        <sz val="11"/>
        <color rgb="FF1155CC"/>
        <rFont val="Arial"/>
      </rPr>
      <t>https://kemcosasaluminium.com/contact.html</t>
    </r>
    <r>
      <rPr>
        <sz val="11"/>
        <color theme="1"/>
        <rFont val="Arial"/>
      </rPr>
      <t>l</t>
    </r>
  </si>
  <si>
    <t>Egybel Qatar</t>
  </si>
  <si>
    <t xml:space="preserve"> log.tech@egybelqatar.com 
procurement@egybelqatar.com</t>
  </si>
  <si>
    <t>974 6663 0931</t>
  </si>
  <si>
    <t xml:space="preserve">Al Hussaini Aluminium and UPVC
</t>
  </si>
  <si>
    <t>974 44350589</t>
  </si>
  <si>
    <t>https://www.alhussainialuminium.qa/contact</t>
  </si>
  <si>
    <t>"manager@alhussainialuminium.qa
"</t>
  </si>
  <si>
    <t>KYDA INTERNATIONAL W</t>
  </si>
  <si>
    <t>kydainternational@engineer.com</t>
  </si>
  <si>
    <t>974-509-77-555</t>
  </si>
  <si>
    <t>https://www.kyda.qa/</t>
  </si>
  <si>
    <t xml:space="preserve">ALMA Aluminum &amp; Steel Co.
</t>
  </si>
  <si>
    <t>974 5552 5654</t>
  </si>
  <si>
    <t>Elie</t>
  </si>
  <si>
    <t>doc@almacomp.com/Procurement@almacomp.com</t>
  </si>
  <si>
    <t>1:11</t>
  </si>
  <si>
    <t xml:space="preserve">jarray </t>
  </si>
  <si>
    <t>jr.mossaab@gmail.com</t>
  </si>
  <si>
    <t>974 5053 7581</t>
  </si>
  <si>
    <t>الجزيرة العربية لتجارة الالمنيوم ومستلزماته</t>
  </si>
  <si>
    <t>Yemen</t>
  </si>
  <si>
    <t>967 777 782 779</t>
  </si>
  <si>
    <t>Eiffel Group</t>
  </si>
  <si>
    <t xml:space="preserve">Al Jazeers Aluminium &amp; Steel Co.
</t>
  </si>
  <si>
    <t>salesjazira@gmail.com</t>
  </si>
  <si>
    <t>4;18</t>
  </si>
  <si>
    <t xml:space="preserve">AL-DERISHA DECOR &amp; ALUMINIUM
</t>
  </si>
  <si>
    <t xml:space="preserve">Station aluminium and steel
</t>
  </si>
  <si>
    <t xml:space="preserve">974 4029 4755    
</t>
  </si>
  <si>
    <t xml:space="preserve">ALUMINIUM TECHNOLOGY AUXILIARY INDUSTRIES ( ALU TEC ) WLL IN QATAR
</t>
  </si>
  <si>
    <t xml:space="preserve">Al Khair Trading &amp; Aluminium Co. W.L.L.
</t>
  </si>
  <si>
    <t>974 5555 6892</t>
  </si>
  <si>
    <t>PEARL GLASS &amp; ALUMINIUM COMPANY</t>
  </si>
  <si>
    <t xml:space="preserve">Saad Al Kaabi Steel and Aluminium
</t>
  </si>
  <si>
    <t xml:space="preserve">Castello Cast Aluminum W.L.L
</t>
  </si>
  <si>
    <t>97433365008/(+974) 70491441</t>
  </si>
  <si>
    <t xml:space="preserve">Techstar Aluminium and steel
</t>
  </si>
  <si>
    <t xml:space="preserve">Qatar Technical Aluminium
</t>
  </si>
  <si>
    <t>971 4 880 3990</t>
  </si>
  <si>
    <t xml:space="preserve"> alum@qta.info</t>
  </si>
  <si>
    <t xml:space="preserve"> alum.uae@tgac.net</t>
  </si>
  <si>
    <t xml:space="preserve">Royal Aluminium N Steel Showroom
</t>
  </si>
  <si>
    <t xml:space="preserve">Skywall Aluminium &amp; Glass
</t>
  </si>
  <si>
    <t>info@skywall-qatar.com</t>
  </si>
  <si>
    <t>974 4450 2949</t>
  </si>
  <si>
    <t xml:space="preserve">AL JASSIM ALUMINIUM CO LLC
</t>
  </si>
  <si>
    <t>Birleşik Arap Emirlikleri</t>
  </si>
  <si>
    <t>971 56 962 3001</t>
  </si>
  <si>
    <t>2023-03-22</t>
  </si>
  <si>
    <t>Technical Supplies &amp; Services Co. LLC</t>
  </si>
  <si>
    <t xml:space="preserve">  sales@tsscgroup.com</t>
  </si>
  <si>
    <t>971 4 885 0474</t>
  </si>
  <si>
    <t>https://tsscgroup.com/products-and-services/</t>
  </si>
  <si>
    <t>Al Rehman glass And Aluminum</t>
  </si>
  <si>
    <t>971 52 639 0425</t>
  </si>
  <si>
    <t>National Aluminium &amp; Steel Factory (GINCO)</t>
  </si>
  <si>
    <t>+971 56 434 9455</t>
  </si>
  <si>
    <t xml:space="preserve"> info@gincoaluminium.com</t>
  </si>
  <si>
    <t>2:50</t>
  </si>
  <si>
    <t xml:space="preserve">MultiScale Aluminium &amp; Metal Industries
</t>
  </si>
  <si>
    <t>info@multiscale.ae</t>
  </si>
  <si>
    <t xml:space="preserve"> 971 04-3498090</t>
  </si>
  <si>
    <t>Manash</t>
  </si>
  <si>
    <t>https://www.multiscale.ae/contact.php</t>
  </si>
  <si>
    <t>WHITE ALUMINIUM CO (L.L.C), Suppliers of Aluminium, Glass and Accessories.</t>
  </si>
  <si>
    <t xml:space="preserve"> fab@whitealuminium.ae</t>
  </si>
  <si>
    <t>+971 2 554 1889</t>
  </si>
  <si>
    <t>https://www.whitealuminium.ae/</t>
  </si>
  <si>
    <t xml:space="preserve">Al Remal Aluminium &amp; Glass Industries LLC
</t>
  </si>
  <si>
    <t>971 6 534 2855</t>
  </si>
  <si>
    <t>info@alremaluae.com</t>
  </si>
  <si>
    <t>mj</t>
  </si>
  <si>
    <t>971 (4) 393 33 97</t>
  </si>
  <si>
    <t>info@mjbmt.ae</t>
  </si>
  <si>
    <t xml:space="preserve">Khalid Al Arabid Trd. Co. L.L.C (KATCO) شركة خالد العرابيد التجارية ذ.م.م
</t>
  </si>
  <si>
    <t>971 50 871 3080</t>
  </si>
  <si>
    <t>Mosamih</t>
  </si>
  <si>
    <t>Al Milad Hardware Trading</t>
  </si>
  <si>
    <t>+97150 737 1857</t>
  </si>
  <si>
    <t xml:space="preserve">Alphaglass LLC
</t>
  </si>
  <si>
    <t>971 55 984 6442</t>
  </si>
  <si>
    <t>Denis</t>
  </si>
  <si>
    <t>3:30</t>
  </si>
  <si>
    <t>Royal Aluminium CO. W.L.L Bahrain</t>
  </si>
  <si>
    <t>Bahreyn</t>
  </si>
  <si>
    <t>+973 3549 0427</t>
  </si>
  <si>
    <t>https://royal-aluminium-co-spc.business.site/?utm_source=gmb&amp;utm_medium=referral</t>
  </si>
  <si>
    <t>2023-03-20</t>
  </si>
  <si>
    <t>Al Neel Aluminium W.L.L.</t>
  </si>
  <si>
    <t>+973 3645 5463</t>
  </si>
  <si>
    <t>http://www.alneelaluminium.com/</t>
  </si>
  <si>
    <t>Gulfhaven Aluminium Factory</t>
  </si>
  <si>
    <t>+973 3712 3600</t>
  </si>
  <si>
    <t xml:space="preserve">faris aluminium
</t>
  </si>
  <si>
    <t>973 1755 2827</t>
  </si>
  <si>
    <t>https://faris-aluminium.business.site/?utm_source=gmb&amp;utm_medium=referral</t>
  </si>
  <si>
    <t xml:space="preserve">Al dheya aluminium
</t>
  </si>
  <si>
    <t>973 3932 4279</t>
  </si>
  <si>
    <t xml:space="preserve">Jelmmod Aluminium
</t>
  </si>
  <si>
    <t>973 3949 0787</t>
  </si>
  <si>
    <t>https://jelmmod-aluminium.business.site/</t>
  </si>
  <si>
    <t xml:space="preserve">Vorx Bahrain Aluminium
</t>
  </si>
  <si>
    <t>info@vorxbahrain.com</t>
  </si>
  <si>
    <t>973 1723 0508</t>
  </si>
  <si>
    <t xml:space="preserve">Reynaers Middle East (Reynaers Aluminium)
</t>
  </si>
  <si>
    <t>973 1787 7266</t>
  </si>
  <si>
    <t>https://www.reynaers.bh/</t>
  </si>
  <si>
    <t xml:space="preserve">Robin Aluminium W.L.L
</t>
  </si>
  <si>
    <t>973 3811 4617</t>
  </si>
  <si>
    <t>https://robin-aluminium.business.site/</t>
  </si>
  <si>
    <t xml:space="preserve">Golden gate aluminium
</t>
  </si>
  <si>
    <t>973 3940 1340</t>
  </si>
  <si>
    <t xml:space="preserve">Elias Aluminium Centre
</t>
  </si>
  <si>
    <t>973 39656111</t>
  </si>
  <si>
    <t>mohammed</t>
  </si>
  <si>
    <t xml:space="preserve">Dream Workshop Company W. L. L
</t>
  </si>
  <si>
    <t>973 3305 2856</t>
  </si>
  <si>
    <t>mohammed adıl</t>
  </si>
  <si>
    <t xml:space="preserve">taylos aluminium
</t>
  </si>
  <si>
    <t>973 3971 0088</t>
  </si>
  <si>
    <t>hasan</t>
  </si>
  <si>
    <t xml:space="preserve">Al sadiq Aluminium &amp; Glass And Steel
</t>
  </si>
  <si>
    <t>973 3366 6200</t>
  </si>
  <si>
    <t xml:space="preserve">AL HELLI ALUMINIUM&amp; WELDING WORKSHOP
</t>
  </si>
  <si>
    <t>973 1761 2282</t>
  </si>
  <si>
    <t xml:space="preserve">Al Sultan Gate Aluminium
</t>
  </si>
  <si>
    <t xml:space="preserve">973 3938 3843
</t>
  </si>
  <si>
    <t xml:space="preserve">Royal Glass &amp; Door Control
</t>
  </si>
  <si>
    <t>973 1787 4606</t>
  </si>
  <si>
    <t xml:space="preserve">Leo Metal Cladding Co.W.L.L
</t>
  </si>
  <si>
    <t>Info@leometalcladding.com</t>
  </si>
  <si>
    <t>973 3983 3922</t>
  </si>
  <si>
    <t>1:10</t>
  </si>
  <si>
    <t>Atlas Aluminum Showroom</t>
  </si>
  <si>
    <t>973 1776 0579</t>
  </si>
  <si>
    <t xml:space="preserve">TSMA ALUMINIUM
</t>
  </si>
  <si>
    <t>973 3666 5682</t>
  </si>
  <si>
    <t xml:space="preserve">Gulf Aluminium Factory W.L.L
</t>
  </si>
  <si>
    <t>973 3946 9769</t>
  </si>
  <si>
    <t>973 3391 4759</t>
  </si>
  <si>
    <t xml:space="preserve">AHLIA ALUMINIUM
</t>
  </si>
  <si>
    <t>971 55 826 5924</t>
  </si>
  <si>
    <t>https://www.alahlialuminium.com/contact.html</t>
  </si>
  <si>
    <t xml:space="preserve">Fenster Hannover
</t>
  </si>
  <si>
    <t>Almanya</t>
  </si>
  <si>
    <t>Siegel</t>
  </si>
  <si>
    <t xml:space="preserve">الاندلس للالمنيوم
</t>
  </si>
  <si>
    <t xml:space="preserve">المنيوم العاقل
</t>
  </si>
  <si>
    <t xml:space="preserve">المنيوم الانوار
</t>
  </si>
  <si>
    <t xml:space="preserve">مركز القمه للألمنيوم والاكسسوارات
</t>
  </si>
  <si>
    <t xml:space="preserve">الحارث لأنظمة الألمنيوم والزجاج
</t>
  </si>
  <si>
    <t xml:space="preserve">المنيوم العاقل، بلبحيث
</t>
  </si>
  <si>
    <t xml:space="preserve">معرض مهدي باحاج للألمنيوم و الرخام شبوة
</t>
  </si>
  <si>
    <t xml:space="preserve">الخليدي المنيوم
</t>
  </si>
  <si>
    <t xml:space="preserve">المنيوم الاتقان
</t>
  </si>
  <si>
    <t xml:space="preserve">ورشة التفوق لجميع أعمال الألمنيوم
</t>
  </si>
  <si>
    <t xml:space="preserve">المنيوم النهضة
</t>
  </si>
  <si>
    <t xml:space="preserve">المنيوم البيتين للتجاره
</t>
  </si>
  <si>
    <t xml:space="preserve">المنارة لاعمال الألمنيوم والديكور
</t>
  </si>
  <si>
    <t>218 92-5888100</t>
  </si>
  <si>
    <t xml:space="preserve">مصنع الفرجاني الألمنيوم
</t>
  </si>
  <si>
    <t>218 92-5126654</t>
  </si>
  <si>
    <t xml:space="preserve">صالح الصريمي لي بيع و تصنيع قطاعات ال pvc و الالمنيوم و المطابخ⁶
</t>
  </si>
  <si>
    <t>218 94-5668511</t>
  </si>
  <si>
    <t>Green Ladder</t>
  </si>
  <si>
    <t>Suudi Arabistan</t>
  </si>
  <si>
    <t>966 55 521 4123</t>
  </si>
  <si>
    <t xml:space="preserve">شركة الشويهدي
</t>
  </si>
  <si>
    <t>218 91-1250493</t>
  </si>
  <si>
    <t xml:space="preserve">ورشة أبناء الحاج فرج بوعزة
</t>
  </si>
  <si>
    <t>218 91-5233042</t>
  </si>
  <si>
    <t xml:space="preserve">ورشة الأبداع لأعمال الألمنيوم/pvc
</t>
  </si>
  <si>
    <t>218 92-6246583</t>
  </si>
  <si>
    <t xml:space="preserve">شركة ارسنيم الالمنيوم و PVC
</t>
  </si>
  <si>
    <t>218 91-2116130</t>
  </si>
  <si>
    <t xml:space="preserve">يامن لاعمال الالمنيوم
</t>
  </si>
  <si>
    <t>218 92-0609236</t>
  </si>
  <si>
    <t>تشاركية افريقيا لاعمال الالمنيوم</t>
  </si>
  <si>
    <t>218 92-5890306</t>
  </si>
  <si>
    <t xml:space="preserve">ورشةالأندلس للألومنيوم
</t>
  </si>
  <si>
    <t>218 94-4816343</t>
  </si>
  <si>
    <t xml:space="preserve">شركة نافذة لأعمال الألمنيوم و الزجاج
</t>
  </si>
  <si>
    <t>218 91-3088930</t>
  </si>
  <si>
    <t xml:space="preserve">بلال لأعمال الالمنيوم
</t>
  </si>
  <si>
    <t>218 91-3424662</t>
  </si>
  <si>
    <t xml:space="preserve">ورشة التقدم الألمنيوم وPVC
</t>
  </si>
  <si>
    <t>218 92-4435813</t>
  </si>
  <si>
    <t xml:space="preserve">شادي لأعمال البي في سي والمطابخ
</t>
  </si>
  <si>
    <t>218 94-5963242</t>
  </si>
  <si>
    <t xml:space="preserve">مصنع النور المبين...للآلمنيوم
</t>
  </si>
  <si>
    <t>218 92-5560146</t>
  </si>
  <si>
    <t xml:space="preserve">شركة أساس الجديدة
</t>
  </si>
  <si>
    <t>218 92-4916016</t>
  </si>
  <si>
    <t>ورشة عالم الإبداع للالمنيوم</t>
  </si>
  <si>
    <t>218 94-4291053</t>
  </si>
  <si>
    <t xml:space="preserve">المدى الصناعي
</t>
  </si>
  <si>
    <t>218 91-2127403</t>
  </si>
  <si>
    <t xml:space="preserve">شركة البروج البيضاء
</t>
  </si>
  <si>
    <t>218 92-5070435</t>
  </si>
  <si>
    <t xml:space="preserve">Sky-Frame AG
</t>
  </si>
  <si>
    <t>İsviçre</t>
  </si>
  <si>
    <t>medien@sky-frame.ch</t>
  </si>
  <si>
    <t>41 52 724 94 94</t>
  </si>
  <si>
    <t>https://www.sky-frame.com/en/about-us/#contact</t>
  </si>
  <si>
    <t xml:space="preserve"> 1</t>
  </si>
  <si>
    <t>2:45</t>
  </si>
  <si>
    <t>AluSwiss</t>
  </si>
  <si>
    <t>quality@aluswiss.ch</t>
  </si>
  <si>
    <t>+41 78 971 48 68</t>
  </si>
  <si>
    <t xml:space="preserve"> Hussain</t>
  </si>
  <si>
    <t>https://www.aluswiss.ch/</t>
  </si>
  <si>
    <t xml:space="preserve"> 2</t>
  </si>
  <si>
    <t>20:00</t>
  </si>
  <si>
    <t xml:space="preserve">Door Swiss Sagl
</t>
  </si>
  <si>
    <t>info@doormetal.ch</t>
  </si>
  <si>
    <t>41 91 646 80 00</t>
  </si>
  <si>
    <t>https://doormetal.ch/</t>
  </si>
  <si>
    <t xml:space="preserve">Swiss Line Windows
</t>
  </si>
  <si>
    <t>INFO@SWISSLINEWINDOWS.CH</t>
  </si>
  <si>
    <t>41 91 224 81 81</t>
  </si>
  <si>
    <t>https://swisslinewindows.ch/</t>
  </si>
  <si>
    <t>3:24</t>
  </si>
  <si>
    <t xml:space="preserve">AC Aluminium Créations SA
</t>
  </si>
  <si>
    <t>info@alucreations.ch</t>
  </si>
  <si>
    <t>41 58 206 02 06</t>
  </si>
  <si>
    <t>https://www.alucreations.ch/</t>
  </si>
  <si>
    <t xml:space="preserve">Zurbuchen Frères SA
</t>
  </si>
  <si>
    <t>41 22 320 03 30</t>
  </si>
  <si>
    <t>https://zurbuchensa.ch/</t>
  </si>
  <si>
    <t>5:26</t>
  </si>
  <si>
    <t xml:space="preserve">THEODOOR AG
</t>
  </si>
  <si>
    <t>info@theodoor.ch</t>
  </si>
  <si>
    <t>41 41 521 04 24</t>
  </si>
  <si>
    <t>https://www.theodoor.ch/</t>
  </si>
  <si>
    <t xml:space="preserve">Dafe Plast SA
</t>
  </si>
  <si>
    <t>info@dafeplast.ch</t>
  </si>
  <si>
    <t>41 26 925 99 55</t>
  </si>
  <si>
    <t>https://dafeplast.ch/?</t>
  </si>
  <si>
    <t xml:space="preserve">SeCasa AG
</t>
  </si>
  <si>
    <t>altstaetten@secasa.ch</t>
  </si>
  <si>
    <t>41 44 289 10 00</t>
  </si>
  <si>
    <t>https://secasa.ch/</t>
  </si>
  <si>
    <t xml:space="preserve">ISP Fenêtres Sàrl en liquidation, Adgay Kable, de Belgique
</t>
  </si>
  <si>
    <t>41 26 662 18 88</t>
  </si>
  <si>
    <t>https://pplsa.ch/</t>
  </si>
  <si>
    <t xml:space="preserve">Panorama Profil line - Fenêtres et Vérandas
</t>
  </si>
  <si>
    <t>contact@panorama-pl.ch</t>
  </si>
  <si>
    <t>41 21 866 15 90</t>
  </si>
  <si>
    <t xml:space="preserve">Zurbuchen Frères SA
</t>
  </si>
  <si>
    <t>41 21 866 06 40</t>
  </si>
  <si>
    <t xml:space="preserve">SW Montagen GmbH
</t>
  </si>
  <si>
    <t>info@sw-montagen.ch</t>
  </si>
  <si>
    <t>41 77 916 70 97</t>
  </si>
  <si>
    <t>https://sw-montagen.ch/</t>
  </si>
  <si>
    <t xml:space="preserve">Tech-Fenêtres Sàrl
</t>
  </si>
  <si>
    <t>leticia.lamas@tech-fenetres.ch</t>
  </si>
  <si>
    <t>41 24 472 27 71</t>
  </si>
  <si>
    <t>https://tech-fenetres.ch/contact/</t>
  </si>
  <si>
    <t xml:space="preserve">Swiss Fermetures - Fenêtres et Portes
</t>
  </si>
  <si>
    <t>contact@swiss-fermetures.ch</t>
  </si>
  <si>
    <t>41 21 617 10 10</t>
  </si>
  <si>
    <t>https://swiss-fermetures.ch/</t>
  </si>
  <si>
    <t>ASV fenêtres et portes SA</t>
  </si>
  <si>
    <t>internorm@asvsa.ch</t>
  </si>
  <si>
    <t>41 27 723 23 32</t>
  </si>
  <si>
    <t>https://www.asvfenetressa.ch/</t>
  </si>
  <si>
    <t>Herr Sladkowski</t>
  </si>
  <si>
    <t>meine@7fenster.de</t>
  </si>
  <si>
    <t>49 172 2672428</t>
  </si>
  <si>
    <t>ATCOALU Europe</t>
  </si>
  <si>
    <t>Kıbrıs Cumhuriyeti</t>
  </si>
  <si>
    <t>357 96 720844</t>
  </si>
  <si>
    <t xml:space="preserve"> Mr Ziad</t>
  </si>
  <si>
    <t xml:space="preserve">حسن العاقل </t>
  </si>
  <si>
    <t>967 777 456 666</t>
  </si>
  <si>
    <t>Al Arabi for Aluminum</t>
  </si>
  <si>
    <t>Sudan</t>
  </si>
  <si>
    <t>249 91 260 0113</t>
  </si>
  <si>
    <t>Amjad</t>
  </si>
  <si>
    <t xml:space="preserve">Alico Kuwait
</t>
  </si>
  <si>
    <t>Kuveyt</t>
  </si>
  <si>
    <t>http://www.alicokuwait.com/index.php/contact</t>
  </si>
  <si>
    <t xml:space="preserve">admin@alicokuwait.com  </t>
  </si>
  <si>
    <t>الشركة الأهلية الكويتية لصناعة الألمنيوم</t>
  </si>
  <si>
    <t>mailam@mailamind.com</t>
  </si>
  <si>
    <t>965 94047327</t>
  </si>
  <si>
    <t>Previen</t>
  </si>
  <si>
    <t>https://mailamind.com/?page_id=67</t>
  </si>
  <si>
    <t>DASSCo</t>
  </si>
  <si>
    <t>a.soliman@marshow.com</t>
  </si>
  <si>
    <t>965 6706 0705</t>
  </si>
  <si>
    <t>Ahmed</t>
  </si>
  <si>
    <t xml:space="preserve">شركة أليكو الكويت </t>
  </si>
  <si>
    <t>ibrahim.hamdan@alicoalum.net</t>
  </si>
  <si>
    <t>971 50 481 4827</t>
  </si>
  <si>
    <t>https://alicoalum.net/projects/</t>
  </si>
  <si>
    <t>Aluminum professional Company</t>
  </si>
  <si>
    <t>http://www.alumkw.com/</t>
  </si>
  <si>
    <t xml:space="preserve">Gulf Aluminium Showroom
</t>
  </si>
  <si>
    <t>sales/info@gulf-aluminium.com</t>
  </si>
  <si>
    <t>2023-03-16</t>
  </si>
  <si>
    <t xml:space="preserve">مصنع شيهانه لأعمال الألمنيوم
</t>
  </si>
  <si>
    <t>Aluminum Al Qattan Factory
مصنع القطان الالمنيوم</t>
  </si>
  <si>
    <t>معرض امكان العالميه لاعمال الالمنيوم</t>
  </si>
  <si>
    <t>96598084455 wp</t>
  </si>
  <si>
    <t xml:space="preserve">info@amkanint.com
</t>
  </si>
  <si>
    <t xml:space="preserve">ألمنيوم المسباح ش.م.ك.م
</t>
  </si>
  <si>
    <t>965 514 45433</t>
  </si>
  <si>
    <t xml:space="preserve">ابواب المنيوم ٩٧٧١٠٠٦٤ شبابيك الالمنيوم
</t>
  </si>
  <si>
    <t>٩٧٧١٠٠٦٤</t>
  </si>
  <si>
    <t xml:space="preserve">Alufix for aluminum
</t>
  </si>
  <si>
    <t>965 6699 2692</t>
  </si>
  <si>
    <t xml:space="preserve">Al fadli aluminium الفضلي المنيوم
</t>
  </si>
  <si>
    <t xml:space="preserve">المنيوم العيسى
</t>
  </si>
  <si>
    <t xml:space="preserve">شركة مصنع ثريكو للالمنيوم والمطابخ والزجاج
</t>
  </si>
  <si>
    <t xml:space="preserve">شتر و المونيم
</t>
  </si>
  <si>
    <t xml:space="preserve">BROXEL ALUMINIUM
</t>
  </si>
  <si>
    <t xml:space="preserve">مصنع المنيوم سافكو 276
</t>
  </si>
  <si>
    <t>Hassan Abul</t>
  </si>
  <si>
    <t>965 6995 5226</t>
  </si>
  <si>
    <t>Al Fouz International For Aluminum</t>
  </si>
  <si>
    <t>965 9988 4313</t>
  </si>
  <si>
    <t xml:space="preserve">UAMCCO Factory
</t>
  </si>
  <si>
    <t>965 6990 1631</t>
  </si>
  <si>
    <t xml:space="preserve">باب الريان لأعمال الألمنيوم والحدادة bab alrayan for aluminium and steel co
</t>
  </si>
  <si>
    <t>mohammed ali</t>
  </si>
  <si>
    <t>Behar Al-Kubra Aluminium Trading and Co.</t>
  </si>
  <si>
    <t xml:space="preserve">AlSahoo Aluminium co. السهو للالومنيوم
</t>
  </si>
  <si>
    <t>96524750323/ +965 9679 9416</t>
  </si>
  <si>
    <t xml:space="preserve">Masco Aluminium works Co.
</t>
  </si>
  <si>
    <t xml:space="preserve">New Aluminium AlSarraf
</t>
  </si>
  <si>
    <t>965 9723 8915</t>
  </si>
  <si>
    <t xml:space="preserve">Classic House Aluminium Factory
</t>
  </si>
  <si>
    <t xml:space="preserve">Kuwait Armenian Aluminium Co.
</t>
  </si>
  <si>
    <t xml:space="preserve">Goal Aluminum Projects Co.
</t>
  </si>
  <si>
    <t xml:space="preserve">Smart Metals Group
</t>
  </si>
  <si>
    <t>965 6609 9972</t>
  </si>
  <si>
    <t xml:space="preserve">Marafi Aluminium &amp; Stainless Steel
</t>
  </si>
  <si>
    <t>965 6647 8590</t>
  </si>
  <si>
    <t xml:space="preserve">ALUTECH ALUMINIUM
</t>
  </si>
  <si>
    <t xml:space="preserve">Hadia Aluminium
</t>
  </si>
  <si>
    <t xml:space="preserve">Arab European Aluminium Co
</t>
  </si>
  <si>
    <t xml:space="preserve">Fatah Al-Khair Aluminium Factory مصنع المنيوم فتح الخير
</t>
  </si>
  <si>
    <t xml:space="preserve">Arabi Co. Head Office &amp; Arabi Factory for Aluminium Works
</t>
  </si>
  <si>
    <t xml:space="preserve">Omran Kuwait for Aluminium
</t>
  </si>
  <si>
    <t xml:space="preserve">SABA STEEL IRON AND ALUMINIUM TRADING COMPANY
</t>
  </si>
  <si>
    <t xml:space="preserve">Syndicate Trading Co.
</t>
  </si>
  <si>
    <t xml:space="preserve">G4 Aluminum Trading Company
</t>
  </si>
  <si>
    <t>965 6577 5576</t>
  </si>
  <si>
    <t xml:space="preserve">Arabi Company W.L.L. Aluminum &amp; Building System Sections
</t>
  </si>
  <si>
    <t>965 507 34335</t>
  </si>
  <si>
    <t>سيف العداله</t>
  </si>
  <si>
    <t xml:space="preserve">Alu glass
</t>
  </si>
  <si>
    <t xml:space="preserve">Panorama International for doors and windows Co.
</t>
  </si>
  <si>
    <t>965 9091 1866</t>
  </si>
  <si>
    <t>شركة الروابط الكويتية البريطانية - الالمنيوم</t>
  </si>
  <si>
    <t xml:space="preserve">Top Rock company,Al rai
</t>
  </si>
  <si>
    <t>mahmoud/ sirket sahibi mr.Atif</t>
  </si>
  <si>
    <t xml:space="preserve">RZQ Glass
</t>
  </si>
  <si>
    <t>New Saray</t>
  </si>
  <si>
    <t xml:space="preserve">Window Company (WINCO) شركة ويندو كومباني
</t>
  </si>
  <si>
    <t>info@wincokw.com</t>
  </si>
  <si>
    <t>https://www.wincokw.com/</t>
  </si>
  <si>
    <t xml:space="preserve">Al Khalid Group
</t>
  </si>
  <si>
    <t>hshamiya@alkhalidgroup.com</t>
  </si>
  <si>
    <t xml:space="preserve">965 99867592
</t>
  </si>
  <si>
    <t>Qatar Belgium Aluminium Company (QBEL)</t>
  </si>
  <si>
    <t>qbelco@qatar.net.qa</t>
  </si>
  <si>
    <t>+97431118736</t>
  </si>
  <si>
    <t xml:space="preserve"> mına</t>
  </si>
  <si>
    <t>Al hajri Aluminum &amp; Biban Showroom</t>
  </si>
  <si>
    <t>965 9898 8500</t>
  </si>
  <si>
    <t xml:space="preserve">Escomax company
</t>
  </si>
  <si>
    <t xml:space="preserve">Manazel for aluminum
</t>
  </si>
  <si>
    <t>manazelaluminum@gmail.com</t>
  </si>
  <si>
    <t>965 9600 5040</t>
  </si>
  <si>
    <t xml:space="preserve">Dubal Building Materials Co. (W.L.L.)
</t>
  </si>
  <si>
    <t>965 97911666</t>
  </si>
  <si>
    <t xml:space="preserve">Hyeroll Trading Co.
</t>
  </si>
  <si>
    <t>nme</t>
  </si>
  <si>
    <t>KATALOG DİĞER</t>
  </si>
  <si>
    <t xml:space="preserve">Amkan International
</t>
  </si>
  <si>
    <t xml:space="preserve">Al MAShAAN STEEL COMPANY
</t>
  </si>
  <si>
    <t xml:space="preserve">Prisma Kuwait Aluminium Co.
</t>
  </si>
  <si>
    <t>965 6999 5362</t>
  </si>
  <si>
    <t xml:space="preserve">Britsh LInk </t>
  </si>
  <si>
    <t>965 9937 4208</t>
  </si>
  <si>
    <t xml:space="preserve">ULTRA ALUMINIUM </t>
  </si>
  <si>
    <t>Güney Afrika</t>
  </si>
  <si>
    <t>FOPPE + FOPPE GBR</t>
  </si>
  <si>
    <t xml:space="preserve">49 5904 950-0 </t>
  </si>
  <si>
    <t>WERTBAU GMBH</t>
  </si>
  <si>
    <t>info@wertbau.de</t>
  </si>
  <si>
    <t>49 36625 6110</t>
  </si>
  <si>
    <t>ROBERT SCHWEIKER GMBH -</t>
  </si>
  <si>
    <t>info@schweiker.de</t>
  </si>
  <si>
    <t>weru</t>
  </si>
  <si>
    <t>info@weru.de</t>
  </si>
  <si>
    <t>ELEMENTEBAU HÖFLER GMBH</t>
  </si>
  <si>
    <t xml:space="preserve"> info@hoefler-fenster.de</t>
  </si>
  <si>
    <t>Alu-Max</t>
  </si>
  <si>
    <t>ronnie.alumax@outlook.com</t>
  </si>
  <si>
    <t xml:space="preserve">ABS LTD. </t>
  </si>
  <si>
    <t>Birleşik Krallık</t>
  </si>
  <si>
    <t>sales@absltd.co.uk</t>
  </si>
  <si>
    <t xml:space="preserve">https://www.absltd.co.uk//
</t>
  </si>
  <si>
    <t>STAR ALUMINIUM</t>
  </si>
  <si>
    <t>waseela@staraluminium.co.za</t>
  </si>
  <si>
    <t>JAYCEE GLASS</t>
  </si>
  <si>
    <t>charmain@jayceeglass.co.za</t>
  </si>
  <si>
    <t xml:space="preserve">
Allers Aluminium</t>
  </si>
  <si>
    <t>Namibya</t>
  </si>
  <si>
    <t>264 (0) 61 261 455</t>
  </si>
  <si>
    <t>ASEDL</t>
  </si>
  <si>
    <t>Ermenistan</t>
  </si>
  <si>
    <t>374 10 67 10 21</t>
  </si>
  <si>
    <t>HB GLASS</t>
  </si>
  <si>
    <t>Tanzanya</t>
  </si>
  <si>
    <t>FOCUS ALUMINIUM</t>
  </si>
  <si>
    <t>Kenya</t>
  </si>
  <si>
    <t>254 759 914 963</t>
  </si>
  <si>
    <t>HABETULLAH BROTHERS LTD</t>
  </si>
  <si>
    <t xml:space="preserve">254 0722/0733-786 606
</t>
  </si>
  <si>
    <t>INOVA LTD.</t>
  </si>
  <si>
    <t xml:space="preserve">256 706 822642
</t>
  </si>
  <si>
    <t>METALUM</t>
  </si>
  <si>
    <t xml:space="preserve">234 814 745 0331
</t>
  </si>
  <si>
    <t xml:space="preserve">et metal </t>
  </si>
  <si>
    <t>Bulgaristan</t>
  </si>
  <si>
    <t>359 88 559 0011</t>
  </si>
  <si>
    <t>Libra</t>
  </si>
  <si>
    <t>Sırbistan</t>
  </si>
  <si>
    <t>kontinen metal</t>
  </si>
  <si>
    <t>Makedonya</t>
  </si>
  <si>
    <t>389 71 337 445</t>
  </si>
  <si>
    <t>Al Mullah Hussein</t>
  </si>
  <si>
    <t>Çin</t>
  </si>
  <si>
    <t>86 186 5794 5122</t>
  </si>
  <si>
    <t>Kourani</t>
  </si>
  <si>
    <t>357 99 959094</t>
  </si>
  <si>
    <t>Clarity Aluminium and Glass</t>
  </si>
  <si>
    <t>AP Glass &amp; Aluminium</t>
  </si>
  <si>
    <t>27 64 800 8687</t>
  </si>
  <si>
    <t>BHG Aluminium and Glass</t>
  </si>
  <si>
    <t>27 83 794 2056</t>
  </si>
  <si>
    <t>Bowen &amp; Sons Aluminium and Hardware sales</t>
  </si>
  <si>
    <t>27 82 314 0023</t>
  </si>
  <si>
    <t xml:space="preserve">K.G.A. Sergiou Aluminium Ltd
</t>
  </si>
  <si>
    <t xml:space="preserve">Darem Trading Ltd.
</t>
  </si>
  <si>
    <t>90 392 233 53 89</t>
  </si>
  <si>
    <t xml:space="preserve"> info@daremtrading.com</t>
  </si>
  <si>
    <t>ΑΛΟΥΜΙΝΟΡΑΜΑ / ALOUMINORAMA LTD</t>
  </si>
  <si>
    <t>http://www.alouminorama.com/</t>
  </si>
  <si>
    <t xml:space="preserve">Aluminium Tsiakkas
</t>
  </si>
  <si>
    <t>https://www.facebook.com/aluminiumtsiakkas</t>
  </si>
  <si>
    <t xml:space="preserve">Alumil aluminium systems
</t>
  </si>
  <si>
    <t>B. SAFARIDIS &amp; A. POPOV GENERAL ALUMINIUM</t>
  </si>
  <si>
    <t xml:space="preserve">p.k.c. aluminium ltd
</t>
  </si>
  <si>
    <t>Stem Aluminium Services ltd</t>
  </si>
  <si>
    <t>https://www.stemaluminium.com/</t>
  </si>
  <si>
    <t xml:space="preserve">Alutech Aluminium Limited
</t>
  </si>
  <si>
    <t>http://www.alutech.com.cy/</t>
  </si>
  <si>
    <t>Muskita Aluminium Industries Ltd Showroom</t>
  </si>
  <si>
    <t>https://muskita.com.cy/</t>
  </si>
  <si>
    <t>Leonidou Aluminium</t>
  </si>
  <si>
    <t>https://www.leonidoualuminium.com/</t>
  </si>
  <si>
    <t xml:space="preserve">atcoalu Europe
</t>
  </si>
  <si>
    <t>https://www.facebook.com/people/Atcoalu-europe/100078904332594/?paipv=0&amp;eav=AfZB3QVfnoC8hlWI7fbJofdQsJ5V48rYUFGgBazFzosL_0YSYwC6ly1cQJHJw64tK9M&amp;_rdr</t>
  </si>
  <si>
    <t xml:space="preserve">Marselli Aluminium Factory
</t>
  </si>
  <si>
    <t>http://www.marselli.com.cy/</t>
  </si>
  <si>
    <t xml:space="preserve">Rabel Systems
</t>
  </si>
  <si>
    <t>https://rabel.com.cy/</t>
  </si>
  <si>
    <t xml:space="preserve">MUSKITA Aluminium Industries Ltd Showroom
</t>
  </si>
  <si>
    <r>
      <rPr>
        <u/>
        <sz val="11"/>
        <color rgb="FF1155CC"/>
        <rFont val="Arial"/>
      </rPr>
      <t>https://muskita.com.cy/</t>
    </r>
    <r>
      <rPr>
        <sz val="11"/>
        <color theme="1"/>
        <rFont val="Arial"/>
      </rPr>
      <t>/</t>
    </r>
  </si>
  <si>
    <t xml:space="preserve">D&amp;S ALUMINIUM LTD
</t>
  </si>
  <si>
    <t>G &amp; M Ioannides Ltd - Aluminium Systems</t>
  </si>
  <si>
    <t>X.K ALUMINIUM CONSTRUCTIONS LTD</t>
  </si>
  <si>
    <t>Marıa</t>
  </si>
  <si>
    <t>http://www.xkaluminium.com/</t>
  </si>
  <si>
    <t>Yiannis Karaspyros Aluminium Designs</t>
  </si>
  <si>
    <t>https://ykaraspyros-aluminium.business.site/?utm_source=gmb&amp;utm_medium=referral</t>
  </si>
  <si>
    <t xml:space="preserve">CK Comfort Window Plus Ltd
</t>
  </si>
  <si>
    <t xml:space="preserve">Belveren Alüminyum
</t>
  </si>
  <si>
    <t xml:space="preserve">Antis Prokopiou &amp; Sons Ltd.
</t>
  </si>
  <si>
    <t>http://www.antisprokopiou.com/</t>
  </si>
  <si>
    <t>MUSKITA Aluminium Industries Headquarters</t>
  </si>
  <si>
    <t xml:space="preserve">N.K ALUMINIUM PRO LTD
</t>
  </si>
  <si>
    <t xml:space="preserve">mounting systems ltd
</t>
  </si>
  <si>
    <t xml:space="preserve">N.P. RAILINGS TRADING LTD
</t>
  </si>
  <si>
    <t>http://www.nprailings.com/</t>
  </si>
  <si>
    <t>P.S Aluminium</t>
  </si>
  <si>
    <t>http://psavvaaluminium.com/</t>
  </si>
  <si>
    <t xml:space="preserve">P&amp;A Master Aluminium
</t>
  </si>
  <si>
    <t xml:space="preserve">K. Patsias Alouminia Ltd
</t>
  </si>
  <si>
    <t>http://patsiasaluminium.com/</t>
  </si>
  <si>
    <t xml:space="preserve">Stefix UPVC Systems
</t>
  </si>
  <si>
    <t>m.machera@rabel.com.cy</t>
  </si>
  <si>
    <t xml:space="preserve">P.Z. Agiatriaditis Ltd
</t>
  </si>
  <si>
    <t xml:space="preserve">Cyprus Joy Building &amp; Landscaping.
</t>
  </si>
  <si>
    <t>http://cyprusjoy.com/</t>
  </si>
  <si>
    <t xml:space="preserve">Voudaskas Irinarhos Ltd
</t>
  </si>
  <si>
    <t>http://www.voudaskas.com/</t>
  </si>
  <si>
    <t>Shadeports Plus Ltd</t>
  </si>
  <si>
    <t>https://shadeportsplus.com/?utm_source=Google&amp;utm_medium=Google%20My%20Business&amp;utm_campaign=Local%20listing</t>
  </si>
  <si>
    <t xml:space="preserve">Darem Trading Ltd.
</t>
  </si>
  <si>
    <t>http://www.daremtrading.com/</t>
  </si>
  <si>
    <t xml:space="preserve">Alumil aluminium systems
</t>
  </si>
  <si>
    <t xml:space="preserve">Aluminium Tsiakkas
</t>
  </si>
  <si>
    <t>Pochanis &amp; Charalambous Aluminium Co LTD</t>
  </si>
  <si>
    <t>357 25 568489</t>
  </si>
  <si>
    <t>https://m.facebook.com/pochanischaralambousco/</t>
  </si>
  <si>
    <t xml:space="preserve">K Papasavva
</t>
  </si>
  <si>
    <t xml:space="preserve">Kasmiris Aluminium Ltd
</t>
  </si>
  <si>
    <t xml:space="preserve">Smeka Ltd
</t>
  </si>
  <si>
    <t>http://www.smeka.com.cy/</t>
  </si>
  <si>
    <t xml:space="preserve">p.k.c. aluminium ltd
</t>
  </si>
  <si>
    <t xml:space="preserve">Alucon Limited
</t>
  </si>
  <si>
    <t>http://www.alucon.com.cy/en/contact-us</t>
  </si>
  <si>
    <t xml:space="preserve">Finestre - Veneta Cucine
</t>
  </si>
  <si>
    <t>http://www.finestrecy.com/</t>
  </si>
  <si>
    <t>Architectural Aluminium Applications Center A3C</t>
  </si>
  <si>
    <t>http://www.geopetaluminium.com/</t>
  </si>
  <si>
    <t xml:space="preserve">Fixmor
</t>
  </si>
  <si>
    <t>http://www.fixmor.com/</t>
  </si>
  <si>
    <t xml:space="preserve">Ölmez Alüminyum
</t>
  </si>
  <si>
    <t>TAF Theodorou Aluminium Fabrication LTD</t>
  </si>
  <si>
    <t xml:space="preserve">
A.N ALUMIN CONSTRUCTIONS LTD
</t>
  </si>
  <si>
    <t>https://www.facebook.com/AN-Alumin-Construction-LTD-964540300268977/</t>
  </si>
  <si>
    <t xml:space="preserve">Cyprus Shade and Sails
</t>
  </si>
  <si>
    <t>http://www.cyprusshadeandsails.com/</t>
  </si>
  <si>
    <t xml:space="preserve">Tsivikos Aluminium
</t>
  </si>
  <si>
    <t>demetrı</t>
  </si>
  <si>
    <t xml:space="preserve">Pambos M. Charalambous
</t>
  </si>
  <si>
    <t xml:space="preserve">Hadjithomas Aluminium
</t>
  </si>
  <si>
    <t xml:space="preserve">ΛΑΜΠΡΟΣ ΠΑΜΠΟΣΚΗΣ Glass Workshop
</t>
  </si>
  <si>
    <t>http://www.lamglass.cy/</t>
  </si>
  <si>
    <t xml:space="preserve">Demetris Stavrou Carpentry
</t>
  </si>
  <si>
    <t>Kostantınos</t>
  </si>
  <si>
    <t>http://dscarpentry.com.cy/</t>
  </si>
  <si>
    <t xml:space="preserve">DIAMOND ALUMINIUM
</t>
  </si>
  <si>
    <t>https://www.dmdaluminium.com/</t>
  </si>
  <si>
    <t xml:space="preserve">Anoirkatiko Haloumi
</t>
  </si>
  <si>
    <t xml:space="preserve">Paphos Gardening
</t>
  </si>
  <si>
    <t xml:space="preserve">SYDEA TRADING LTD
</t>
  </si>
  <si>
    <t>http://www.sydeatrading.com/</t>
  </si>
  <si>
    <t xml:space="preserve">Stelios Stylianou Garage
</t>
  </si>
  <si>
    <t xml:space="preserve">Ado Aluminium
</t>
  </si>
  <si>
    <t>http://adoaluminium.com/</t>
  </si>
  <si>
    <t xml:space="preserve">P&amp;P ILIKODOMIKI LTD
</t>
  </si>
  <si>
    <t>http://www.ilikodomiki.com/</t>
  </si>
  <si>
    <t xml:space="preserve">P.P.C Metal Way LTD
</t>
  </si>
  <si>
    <t xml:space="preserve">KTICIC WOOD &amp; STEEL SOLUTIONS LTD
</t>
  </si>
  <si>
    <t>http://www.kticic.eu/</t>
  </si>
  <si>
    <t xml:space="preserve">Χριστοφής Σιαλής
</t>
  </si>
  <si>
    <t>http://www.shialismarbles.com/</t>
  </si>
  <si>
    <t xml:space="preserve">Meral Alüminyum
</t>
  </si>
  <si>
    <t xml:space="preserve">GK STRICTLY GOURMET LTD
</t>
  </si>
  <si>
    <t xml:space="preserve">ANDREAS KALAVAZIDES LTD
</t>
  </si>
  <si>
    <t>http://www.kalavazides.com/</t>
  </si>
  <si>
    <t xml:space="preserve">formal Aluminum
</t>
  </si>
  <si>
    <t>http://www.formal.com.tr/</t>
  </si>
  <si>
    <t xml:space="preserve">CHR KONTOS ENTERPRISES
</t>
  </si>
  <si>
    <t>http://www.kontosenterprises.com/</t>
  </si>
  <si>
    <t xml:space="preserve">SEMO MOT Station
</t>
  </si>
  <si>
    <t xml:space="preserve">Lesxi Proodos
</t>
  </si>
  <si>
    <t>SGAPCO</t>
  </si>
  <si>
    <t>wahıp</t>
  </si>
  <si>
    <t xml:space="preserve">Window Tech shpk
</t>
  </si>
  <si>
    <t>Arnavutluk</t>
  </si>
  <si>
    <t>http://www.windowtech.al/</t>
  </si>
  <si>
    <t xml:space="preserve">AL13-Aluminium Construction
</t>
  </si>
  <si>
    <t xml:space="preserve">Atra Group
</t>
  </si>
  <si>
    <t>http://www.atragroup.eu/</t>
  </si>
  <si>
    <t xml:space="preserve">2FAF Albania
</t>
  </si>
  <si>
    <t>http://2faf.com/</t>
  </si>
  <si>
    <t>1:17</t>
  </si>
  <si>
    <t xml:space="preserve">KELI ALBANIA ALUMIN PVC
</t>
  </si>
  <si>
    <t xml:space="preserve">Arti Alumin
</t>
  </si>
  <si>
    <t>https://www.facebook.com/Arti-Alumin-263731517841954/</t>
  </si>
  <si>
    <t>2:08</t>
  </si>
  <si>
    <t xml:space="preserve">MARTINI shpk
</t>
  </si>
  <si>
    <t>http://www.martinishpk.com/</t>
  </si>
  <si>
    <t xml:space="preserve">ThermAG
</t>
  </si>
  <si>
    <t>https://thermag.business.site/?utm_source=gmb&amp;utm_medium=referral</t>
  </si>
  <si>
    <t xml:space="preserve">Weiss Profil Shkoder - Albania
</t>
  </si>
  <si>
    <t>https://www.weissprofil.bg/en</t>
  </si>
  <si>
    <t xml:space="preserve">Pvc &amp; Alumin System
</t>
  </si>
  <si>
    <t xml:space="preserve">Punime Alumin Pvc
</t>
  </si>
  <si>
    <t>https://punimealuminpvc.company.site/</t>
  </si>
  <si>
    <t xml:space="preserve">Everest SHPK
</t>
  </si>
  <si>
    <t>http://www.everest.al/</t>
  </si>
  <si>
    <t xml:space="preserve">Vlora Alumin
</t>
  </si>
  <si>
    <t>http://www.vloralumin.al/</t>
  </si>
  <si>
    <t xml:space="preserve">Alu glass shpk
</t>
  </si>
  <si>
    <t>https://aluglassalbania.com/</t>
  </si>
  <si>
    <t xml:space="preserve">Martini shpk
</t>
  </si>
  <si>
    <t>http://acp.al/company-listing/company/101/Martini/</t>
  </si>
  <si>
    <t xml:space="preserve">ALL GLLAS
</t>
  </si>
  <si>
    <t>http://allgllas.al/</t>
  </si>
  <si>
    <t>Everest Kosovo (Everest Group Albania )</t>
  </si>
  <si>
    <t>+38344509494</t>
  </si>
  <si>
    <t>http://www.everest.al//</t>
  </si>
  <si>
    <t>Arama</t>
  </si>
  <si>
    <t>alu masar</t>
  </si>
  <si>
    <t xml:space="preserve"> arama</t>
  </si>
  <si>
    <t xml:space="preserve">ALUFLOR Construction Group
</t>
  </si>
  <si>
    <t>http://www.aluflor.com/</t>
  </si>
  <si>
    <t>218 91-2119825</t>
  </si>
  <si>
    <t>Alwadi</t>
  </si>
  <si>
    <t>218 91-2122144</t>
  </si>
  <si>
    <t>Alwadi misir</t>
  </si>
  <si>
    <t>Alwadi in Libya</t>
  </si>
  <si>
    <t>Sohel gazi alduwalia</t>
  </si>
  <si>
    <t>arama</t>
  </si>
  <si>
    <t>b</t>
  </si>
  <si>
    <t>c</t>
  </si>
  <si>
    <t xml:space="preserve">ALTOM Window Factory | Windows, doors, facades from PVC and aluminum
</t>
  </si>
  <si>
    <t>Polonya</t>
  </si>
  <si>
    <t>+48566528306</t>
  </si>
  <si>
    <t>https://altom-fabryka-okien-okna-drzwi-fasady.business.site/?utm_source=gmb&amp;utm_medium=referral</t>
  </si>
  <si>
    <t xml:space="preserve">debesto - European windows, doors &amp; more B2B broker
</t>
  </si>
  <si>
    <t>https://debesto.com/</t>
  </si>
  <si>
    <t xml:space="preserve">Wes. The manufacturer of windows and doors
</t>
  </si>
  <si>
    <t>+48512231886</t>
  </si>
  <si>
    <t>http://www.wesa.pl/</t>
  </si>
  <si>
    <t xml:space="preserve">Pro-Fil Producent stolarki aluminiowej, okna, drzwi, ogrody zimowe
</t>
  </si>
  <si>
    <t>+48146634880</t>
  </si>
  <si>
    <t>http://www.pro-fil.pl/</t>
  </si>
  <si>
    <t>3:20</t>
  </si>
  <si>
    <t xml:space="preserve">Scandinavian Windows
</t>
  </si>
  <si>
    <t>+48536001757</t>
  </si>
  <si>
    <t xml:space="preserve">GVG Aluminium Stolarka Aluminiowa Okna Aluminiowe Drzwi Fasady Ogrody Zimowe Drzwi Tarasowe
</t>
  </si>
  <si>
    <t>+48511207217</t>
  </si>
  <si>
    <t>http://www.gvg.com.pl/</t>
  </si>
  <si>
    <t>AG Fenetres Sp.zo.o</t>
  </si>
  <si>
    <t>+48501159023</t>
  </si>
  <si>
    <t>http://www.agfenetres.eu/</t>
  </si>
  <si>
    <t xml:space="preserve">Bildau &amp; Bussmann Poland Sp. o.o.
</t>
  </si>
  <si>
    <t>+48243671044</t>
  </si>
  <si>
    <t>http://www.bildau.de/</t>
  </si>
  <si>
    <t xml:space="preserve">ADM Sp. z o.o.
</t>
  </si>
  <si>
    <t>+48600785397</t>
  </si>
  <si>
    <t>http://www.adm-pl.com/</t>
  </si>
  <si>
    <t xml:space="preserve">ALUMGLASS LLC - producent aluminiowych okien, drzwi
</t>
  </si>
  <si>
    <t>+48226022067</t>
  </si>
  <si>
    <t>https://alumglass.eu/</t>
  </si>
  <si>
    <t xml:space="preserve">All Windows Group
</t>
  </si>
  <si>
    <t>+48774338180</t>
  </si>
  <si>
    <t>http://allwindows.eu/</t>
  </si>
  <si>
    <t xml:space="preserve">Dan-Styl - PVC Windows, Doors
</t>
  </si>
  <si>
    <t>+48914824160</t>
  </si>
  <si>
    <t>https://dan-styl.szczecin.pl/</t>
  </si>
  <si>
    <t>1:19</t>
  </si>
  <si>
    <t xml:space="preserve">Alu-Prestige Poland Sp. z o.o. Producent stolarki otworowej
</t>
  </si>
  <si>
    <t>+48556151015</t>
  </si>
  <si>
    <t>http://www.alu-prestige.pl/</t>
  </si>
  <si>
    <t xml:space="preserve">Eurookno Dział Aluminium
</t>
  </si>
  <si>
    <t>+48875662247</t>
  </si>
  <si>
    <t>http://www.eurookno.pl/</t>
  </si>
  <si>
    <t xml:space="preserve">Reynaers Poland Sp. o.o.
</t>
  </si>
  <si>
    <t>+48227157777</t>
  </si>
  <si>
    <t>https://www.reynaers.pl/</t>
  </si>
  <si>
    <t xml:space="preserve">PROFAL Aluminium - Producent Stolarki Aluminiowej
</t>
  </si>
  <si>
    <t>+48627427410</t>
  </si>
  <si>
    <t>https://profalaluminium.com/</t>
  </si>
  <si>
    <t xml:space="preserve">„SCORPIO aluminium” LLC Windows Manufacturer in Lubin
</t>
  </si>
  <si>
    <t>+48768442472</t>
  </si>
  <si>
    <t>http://www.scorpio.pl/</t>
  </si>
  <si>
    <t xml:space="preserve">SUPERDREW - Wooden Windows Manufacturer
</t>
  </si>
  <si>
    <t>+48326413934</t>
  </si>
  <si>
    <t>https://superdrew.pl/</t>
  </si>
  <si>
    <t xml:space="preserve">DOOR Filipek Producent Stolarki Aluminiowej i PCV - drzwi okna fasady ogrody zimowe
</t>
  </si>
  <si>
    <t>+48881496045</t>
  </si>
  <si>
    <t>https://door-filipek.pl/</t>
  </si>
  <si>
    <t xml:space="preserve">PPHU PULZBUD, Aluminum &amp; Steel Windows And Doors
</t>
  </si>
  <si>
    <t>+48602229107</t>
  </si>
  <si>
    <t>http://www.pulzbud.pl/</t>
  </si>
  <si>
    <t>5:00</t>
  </si>
  <si>
    <t xml:space="preserve">Aikon Distribution
</t>
  </si>
  <si>
    <t>+48327267204</t>
  </si>
  <si>
    <t>http://www.aikondistribution.com/</t>
  </si>
  <si>
    <t xml:space="preserve">Alu in
</t>
  </si>
  <si>
    <t>+48857130988</t>
  </si>
  <si>
    <t>https://aluin.eu/</t>
  </si>
  <si>
    <t>Maloku Invest</t>
  </si>
  <si>
    <t xml:space="preserve"> MalokuInvest@gmail.com</t>
  </si>
  <si>
    <t>383 44 402 494</t>
  </si>
  <si>
    <t xml:space="preserve">EM3 Plast shpk
</t>
  </si>
  <si>
    <t>383 44 444 704</t>
  </si>
  <si>
    <t>http://www.em3plast.com/</t>
  </si>
  <si>
    <t>4:12</t>
  </si>
  <si>
    <t xml:space="preserve">Alumin-AL SH.P.K
</t>
  </si>
  <si>
    <t>383 49 222 272</t>
  </si>
  <si>
    <t>http://www.aluminal.net/</t>
  </si>
  <si>
    <t xml:space="preserve">Everest Kosovo (Everest Group Albania )
</t>
  </si>
  <si>
    <t>383 44 509 494</t>
  </si>
  <si>
    <t xml:space="preserve">GAP Kosovo
</t>
  </si>
  <si>
    <t>383 280 310 231</t>
  </si>
  <si>
    <t>https://gapks.com/</t>
  </si>
  <si>
    <t xml:space="preserve">Mitro-Plast Sh. P. K.
</t>
  </si>
  <si>
    <t xml:space="preserve">ATRIUM L.L.C
</t>
  </si>
  <si>
    <t>383 44 505 113</t>
  </si>
  <si>
    <t xml:space="preserve">M-Technologie
</t>
  </si>
  <si>
    <t>383 38 400 888</t>
  </si>
  <si>
    <t>http://www.m-technologie.com/</t>
  </si>
  <si>
    <t>Ginza</t>
  </si>
  <si>
    <t>383 49 141 713</t>
  </si>
  <si>
    <t>https://ginza-ks.com/</t>
  </si>
  <si>
    <t>2:15</t>
  </si>
  <si>
    <t>Roleta Megaplast</t>
  </si>
  <si>
    <t>+383 45 161 161</t>
  </si>
  <si>
    <t>https://roleta-megaplast.com/</t>
  </si>
  <si>
    <t>1:15</t>
  </si>
  <si>
    <t xml:space="preserve">Lesna
</t>
  </si>
  <si>
    <t>381 38 601701</t>
  </si>
  <si>
    <t>https://lesna.net/en/home/</t>
  </si>
  <si>
    <t>القارات للالمنيوم</t>
  </si>
  <si>
    <t>Irak</t>
  </si>
  <si>
    <t>+964 781 078 4099</t>
  </si>
  <si>
    <t xml:space="preserve"> ابو جعفر</t>
  </si>
  <si>
    <t>2023-02-13</t>
  </si>
  <si>
    <t>زووم للديكور والالمنيوم</t>
  </si>
  <si>
    <t>+964 772 738 0453</t>
  </si>
  <si>
    <t>محمود</t>
  </si>
  <si>
    <t xml:space="preserve"> Max Group</t>
  </si>
  <si>
    <t xml:space="preserve"> +964 770 293 2600</t>
  </si>
  <si>
    <t>استاذ احمد</t>
  </si>
  <si>
    <t xml:space="preserve">  شركة لمسات لتجارة الالمنيوم التركي /Lamasat Aluminum</t>
  </si>
  <si>
    <t xml:space="preserve"> +964 790 152 9125</t>
  </si>
  <si>
    <t>حيدر</t>
  </si>
  <si>
    <t xml:space="preserve"> شركة اللامي للالمنيوم</t>
  </si>
  <si>
    <t xml:space="preserve"> +964 770 291 9642</t>
  </si>
  <si>
    <t>فهمي</t>
  </si>
  <si>
    <t>  البصمة لتجارة الألمنيوم</t>
  </si>
  <si>
    <t xml:space="preserve"> +964 773 402 0777</t>
  </si>
  <si>
    <t>سمير</t>
  </si>
  <si>
    <t>معمل التقوى للألمنيوم و pvc</t>
  </si>
  <si>
    <t>+964 783 710 0506</t>
  </si>
  <si>
    <t>شعيب</t>
  </si>
  <si>
    <t>CTkComboBox</t>
  </si>
  <si>
    <t xml:space="preserve"> الدلة للالمنيوم</t>
  </si>
  <si>
    <t>+964 773 006 0024</t>
  </si>
  <si>
    <t>علي</t>
  </si>
  <si>
    <t xml:space="preserve">  معمل زانا للالمنيوم</t>
  </si>
  <si>
    <t xml:space="preserve"> +964 750 475 6910</t>
  </si>
  <si>
    <t>أحمد</t>
  </si>
  <si>
    <t>Dr Karam</t>
  </si>
  <si>
    <t>+964 771 204 8333</t>
  </si>
  <si>
    <t>Karam</t>
  </si>
  <si>
    <t>معمل  تقي للالمنيوم والمطابخ</t>
  </si>
  <si>
    <t xml:space="preserve"> +964 781 300 7670</t>
  </si>
  <si>
    <t>محمد</t>
  </si>
  <si>
    <t xml:space="preserve">Al-Tasahul Aluminum Workshop </t>
  </si>
  <si>
    <t>+964 783 232 7878</t>
  </si>
  <si>
    <t>كرار</t>
  </si>
  <si>
    <t xml:space="preserve">  الولاية للألمنيوم</t>
  </si>
  <si>
    <t xml:space="preserve"> +964 781 411 8714</t>
  </si>
  <si>
    <t>ناجي للألمنيوم</t>
  </si>
  <si>
    <t>+964 770 727 6403</t>
  </si>
  <si>
    <t xml:space="preserve"> ناجي </t>
  </si>
  <si>
    <t xml:space="preserve"> سجاد  العراق للمحجرات</t>
  </si>
  <si>
    <t xml:space="preserve"> +964 770 807 0605</t>
  </si>
  <si>
    <t xml:space="preserve"> الريام لمحجرات الالمنيوم</t>
  </si>
  <si>
    <t xml:space="preserve"> +964 771 185 3385</t>
  </si>
  <si>
    <t>هاشم</t>
  </si>
  <si>
    <t>مصنع آرت غلاس للأعمال المعدنية السعودية</t>
  </si>
  <si>
    <t xml:space="preserve"> +966 56 064 7446</t>
  </si>
  <si>
    <t xml:space="preserve"> عبد المحسن </t>
  </si>
  <si>
    <t xml:space="preserve"> ابراهيم للواجهات والسيراميك</t>
  </si>
  <si>
    <t xml:space="preserve"> +964 783 200 4234</t>
  </si>
  <si>
    <t xml:space="preserve"> مكتب النهج الهندسي للأستشارات الهندسية والتصاميم</t>
  </si>
  <si>
    <t>+964 770 274 7301</t>
  </si>
  <si>
    <t>ابو زينب</t>
  </si>
  <si>
    <t xml:space="preserve">  معمل الاساتذة</t>
  </si>
  <si>
    <t xml:space="preserve"> +964 783 007 4902</t>
  </si>
  <si>
    <t>صبا الرافدين للمقاولات العامة</t>
  </si>
  <si>
    <t xml:space="preserve"> +964 790 160 3584</t>
  </si>
  <si>
    <t xml:space="preserve">م. صالح </t>
  </si>
  <si>
    <t xml:space="preserve">  انظمة واجهات</t>
  </si>
  <si>
    <t xml:space="preserve"> +964 790 154 5314</t>
  </si>
  <si>
    <t>بهاء</t>
  </si>
  <si>
    <t xml:space="preserve"> Sarl Cynabet   جزائر</t>
  </si>
  <si>
    <t>Cezayir</t>
  </si>
  <si>
    <t xml:space="preserve"> +213 555 03 71 96</t>
  </si>
  <si>
    <t>نوري</t>
  </si>
  <si>
    <t xml:space="preserve"> DECO NOOR ALUجمال الدين جزائر</t>
  </si>
  <si>
    <t xml:space="preserve"> +213 555 62 30 00</t>
  </si>
  <si>
    <t>جمال</t>
  </si>
  <si>
    <t xml:space="preserve"> HML aluminium et PVCمحمد جزائر</t>
  </si>
  <si>
    <t xml:space="preserve"> +213 778 67 16 21</t>
  </si>
  <si>
    <t xml:space="preserve">  دارك  منطقة9 المنيوم الجزائر</t>
  </si>
  <si>
    <t xml:space="preserve"> +213 657 66 71 77</t>
  </si>
  <si>
    <t xml:space="preserve"> Cristal Aluminium  جزائر</t>
  </si>
  <si>
    <t xml:space="preserve"> +213 555 00 00 69</t>
  </si>
  <si>
    <t>اسامة</t>
  </si>
  <si>
    <t xml:space="preserve"> Sarl Khiar Aluminium جزائر</t>
  </si>
  <si>
    <t xml:space="preserve"> +213 557 17 38 32</t>
  </si>
  <si>
    <t xml:space="preserve">Skill Town Company </t>
  </si>
  <si>
    <t xml:space="preserve"> +964 770 920 4174</t>
  </si>
  <si>
    <t>سعد</t>
  </si>
  <si>
    <t>كيربي العراق للمباني الحديدية - Kirby Steel Iraq</t>
  </si>
  <si>
    <t xml:space="preserve"> +964 770 581 1096</t>
  </si>
  <si>
    <t xml:space="preserve"> محمد بشار </t>
  </si>
  <si>
    <t xml:space="preserve"> الصرح المعماري للبناء و التصاميم الهندسية العراق</t>
  </si>
  <si>
    <t xml:space="preserve"> +964 773 009 8600</t>
  </si>
  <si>
    <t xml:space="preserve"> شركة افنيو العقارية العراق</t>
  </si>
  <si>
    <t xml:space="preserve"> +964 780 000 5772</t>
  </si>
  <si>
    <t xml:space="preserve"> شركة السفير للاستثمارات العقارية</t>
  </si>
  <si>
    <t xml:space="preserve"> +964 781 830 3583</t>
  </si>
  <si>
    <t>01:30</t>
  </si>
  <si>
    <t xml:space="preserve"> Al-Faraj Real Estate Investments </t>
  </si>
  <si>
    <t xml:space="preserve"> +964 773 348 6999</t>
  </si>
  <si>
    <t>عثمان</t>
  </si>
  <si>
    <t xml:space="preserve"> شركة صفا النهرين النموذجية</t>
  </si>
  <si>
    <t xml:space="preserve"> +964 771 788 0066</t>
  </si>
  <si>
    <t xml:space="preserve">حسن </t>
  </si>
  <si>
    <t xml:space="preserve"> IWAN الايوان استشاريون العراق</t>
  </si>
  <si>
    <t xml:space="preserve"> +964 780 880 1999</t>
  </si>
  <si>
    <t xml:space="preserve"> شركه النون للاستثمارات العقاريه والتجاره العامة العراقية</t>
  </si>
  <si>
    <t xml:space="preserve"> +964 772 777 7830</t>
  </si>
  <si>
    <t xml:space="preserve">  السلطاني شركى برج دبي للاستثمارات والتسويق العقاري</t>
  </si>
  <si>
    <t xml:space="preserve"> +964 770 006 7843</t>
  </si>
  <si>
    <t>حسين</t>
  </si>
  <si>
    <t xml:space="preserve"> احمد مكتب الفرج للاستثمارات العقارية العراق</t>
  </si>
  <si>
    <t xml:space="preserve"> +964 790 226 6428</t>
  </si>
  <si>
    <t>وسام</t>
  </si>
  <si>
    <t>شركة جنة العراق للاستثمارات العقارية العراق</t>
  </si>
  <si>
    <t>+964 771 859 1569</t>
  </si>
  <si>
    <t xml:space="preserve"> شركة القلعة البيضاء للاستثمار والتطوير العقاري</t>
  </si>
  <si>
    <t xml:space="preserve"> +964 772 111 1151</t>
  </si>
  <si>
    <t>4:23</t>
  </si>
  <si>
    <t>مكتب الأبنية الحديثة العراق</t>
  </si>
  <si>
    <t>+964 780 349 1621</t>
  </si>
  <si>
    <t xml:space="preserve"> Arches Eng Co</t>
  </si>
  <si>
    <t xml:space="preserve"> +964 780 271 1127</t>
  </si>
  <si>
    <t xml:space="preserve"> مكتب فكرة الهندسي</t>
  </si>
  <si>
    <t xml:space="preserve"> +964 783 253 3206</t>
  </si>
  <si>
    <t>معمل البيت الحديث العراق</t>
  </si>
  <si>
    <t>+964 780 136 3721</t>
  </si>
  <si>
    <t>عبد الله الشويكي المنيوم الاردن</t>
  </si>
  <si>
    <t xml:space="preserve"> +962 7 9510 3338</t>
  </si>
  <si>
    <t xml:space="preserve">عبد الله </t>
  </si>
  <si>
    <t>المميز للألمنيوم الاردن</t>
  </si>
  <si>
    <t>+962 7 9670 4597</t>
  </si>
  <si>
    <t xml:space="preserve"> شركة العمالقة للألمنيوم والزجاج 102 الاردن</t>
  </si>
  <si>
    <t xml:space="preserve"> +962 7 9720 0093</t>
  </si>
  <si>
    <t xml:space="preserve"> Lamsa</t>
  </si>
  <si>
    <t>Fas</t>
  </si>
  <si>
    <t xml:space="preserve"> +212 669-978043</t>
  </si>
  <si>
    <t>Lamia</t>
  </si>
  <si>
    <t xml:space="preserve"> سيد ايوب</t>
  </si>
  <si>
    <t xml:space="preserve"> +212 689-026292</t>
  </si>
  <si>
    <t>ايوب</t>
  </si>
  <si>
    <t>شركة المحور للألمنيوم</t>
  </si>
  <si>
    <t xml:space="preserve"> +964 772 200 6221</t>
  </si>
  <si>
    <t xml:space="preserve"> ابو ياسر </t>
  </si>
  <si>
    <t>شركة نبأ السلام للأستثمارات العقاريه والمقاولات العامه العراق</t>
  </si>
  <si>
    <t>+964 790 278 4196</t>
  </si>
  <si>
    <t>حج محمد</t>
  </si>
  <si>
    <t xml:space="preserve"> الشروق الدولية لتجارة الالمنيوم والاكسسوارات الاردن</t>
  </si>
  <si>
    <t xml:space="preserve"> +962 7 8689 2818</t>
  </si>
  <si>
    <t>الناطور للالمنيوم والاباجورات</t>
  </si>
  <si>
    <t>+962 7 9992 9989</t>
  </si>
  <si>
    <t>المنيوم السلام الاردن</t>
  </si>
  <si>
    <t>+962 7 9538 1305</t>
  </si>
  <si>
    <t xml:space="preserve"> الميراث للالمنيوم الاردن</t>
  </si>
  <si>
    <t xml:space="preserve"> +962 7 9515 0950</t>
  </si>
  <si>
    <t xml:space="preserve"> معمل افاق للألمنيوم</t>
  </si>
  <si>
    <t xml:space="preserve"> +964 780 146 8009</t>
  </si>
  <si>
    <t xml:space="preserve"> القطاعات للألمنيوم الاردن</t>
  </si>
  <si>
    <t xml:space="preserve"> +962 7 9583 8001</t>
  </si>
  <si>
    <t xml:space="preserve"> مؤسسة حسين جبر للالمنيوم الاردن</t>
  </si>
  <si>
    <t xml:space="preserve"> +962 7 9663 3221</t>
  </si>
  <si>
    <t xml:space="preserve"> مؤسسة حسام حجازي لتجارة لوازم الالمنيوم الاردن</t>
  </si>
  <si>
    <t xml:space="preserve"> +962 7 9568 1200</t>
  </si>
  <si>
    <t xml:space="preserve"> البراق للالمنيوم</t>
  </si>
  <si>
    <t xml:space="preserve"> +964 770 671 4783</t>
  </si>
  <si>
    <t>  سايت للالمنيوم</t>
  </si>
  <si>
    <t>+964 773 102 7111</t>
  </si>
  <si>
    <t xml:space="preserve"> خالد ميلاد للالمنيوم الاردن</t>
  </si>
  <si>
    <t>+962 7 9559 2196</t>
  </si>
  <si>
    <t xml:space="preserve"> مؤسسة احمد الجرمي للالمنيوم الاردن</t>
  </si>
  <si>
    <t xml:space="preserve"> +962 7 9645 6609</t>
  </si>
  <si>
    <t xml:space="preserve"> خالد صلاح ألمنيوم الاردن</t>
  </si>
  <si>
    <t xml:space="preserve"> +962 7 9898 2252</t>
  </si>
  <si>
    <t xml:space="preserve"> alsaray Aluminum&amp; STEEL STRUCTURE</t>
  </si>
  <si>
    <t xml:space="preserve"> +962 7 9524 1229</t>
  </si>
  <si>
    <t xml:space="preserve"> مكتب ذنون لتجارة الالمنيوم والPVC</t>
  </si>
  <si>
    <t xml:space="preserve"> +964 773 777 8053</t>
  </si>
  <si>
    <t xml:space="preserve"> ليوان لتجارة الألمنيوم ومواد البناء الاردن</t>
  </si>
  <si>
    <t xml:space="preserve"> +962 7 9987 9317</t>
  </si>
  <si>
    <t xml:space="preserve"> مؤسسة أبو النيل التجارية الاردن</t>
  </si>
  <si>
    <t xml:space="preserve"> +962 7 9591 0433</t>
  </si>
  <si>
    <t xml:space="preserve"> شركة نور الدين السيوري وشريكه تجارةوصناعة ألمنيوم الاردن</t>
  </si>
  <si>
    <t xml:space="preserve"> +962 7 9566 0082</t>
  </si>
  <si>
    <t xml:space="preserve"> شركة المرادف التجارية لتجارة الالمنيوم و اكسسواراتها الاردن</t>
  </si>
  <si>
    <t xml:space="preserve"> +962 7 9792 1839</t>
  </si>
  <si>
    <t>Al-Eman For Aluminum Trading/مؤسسة الايمان لتجارة الالمنيوم الاردن</t>
  </si>
  <si>
    <t>+962 7 8852 1842</t>
  </si>
  <si>
    <t xml:space="preserve"> محلات المختار لتجارة الألمنيوم والبلاستك</t>
  </si>
  <si>
    <t xml:space="preserve"> +964 774 088 4258</t>
  </si>
  <si>
    <t xml:space="preserve"> Al-Baghdadi Company</t>
  </si>
  <si>
    <t xml:space="preserve"> +964 770 582 0529</t>
  </si>
  <si>
    <t xml:space="preserve"> نجارة ألألمنيوم محمد المغرب</t>
  </si>
  <si>
    <t xml:space="preserve"> +212 633-252568</t>
  </si>
  <si>
    <t xml:space="preserve"> عماد من طرف نهاد رقم تركي</t>
  </si>
  <si>
    <t xml:space="preserve"> +90 531 084 49 00</t>
  </si>
  <si>
    <t xml:space="preserve"> ابراهيم الشهباء للألمنيوم</t>
  </si>
  <si>
    <t xml:space="preserve"> +964 780 888 2442</t>
  </si>
  <si>
    <t xml:space="preserve"> شركة الأسوار للأستثمارات العقارية - ALAswar Company العراق</t>
  </si>
  <si>
    <t xml:space="preserve"> +964 773 300 5009</t>
  </si>
  <si>
    <t xml:space="preserve"> Kufa Engineering Consultancy Office</t>
  </si>
  <si>
    <t xml:space="preserve"> +964 780 222 4579</t>
  </si>
  <si>
    <t xml:space="preserve"> امير العوسي</t>
  </si>
  <si>
    <t xml:space="preserve"> +962 7 9587 1527</t>
  </si>
  <si>
    <t xml:space="preserve"> Aluminum Beni Khalled تونس</t>
  </si>
  <si>
    <t xml:space="preserve"> +216 98 823 614</t>
  </si>
  <si>
    <t xml:space="preserve"> الأصبح للالمنيوم  مهندس نصر</t>
  </si>
  <si>
    <t xml:space="preserve"> +964 772 540 0141</t>
  </si>
  <si>
    <t xml:space="preserve"> علي  الحيدري للألمنيوم السماوة</t>
  </si>
  <si>
    <t xml:space="preserve"> +964 781 494 3383</t>
  </si>
  <si>
    <t xml:space="preserve"> مجمع سلالم لتجارة الالمنيوم</t>
  </si>
  <si>
    <t xml:space="preserve"> +964 770 274 7100</t>
  </si>
  <si>
    <t xml:space="preserve"> حيدر شركة اور لتجارة الالمنيوم و PVC</t>
  </si>
  <si>
    <t xml:space="preserve"> +964 770 704 7771</t>
  </si>
  <si>
    <t xml:space="preserve"> ابو محمود المنيوم التراث البصرة</t>
  </si>
  <si>
    <t xml:space="preserve"> +964 770 560 2982</t>
  </si>
  <si>
    <t xml:space="preserve"> خالص ابو ديار اشراقة ديالى للاستثمارات والتطوير العقاري</t>
  </si>
  <si>
    <t xml:space="preserve"> +964 773 700 8030</t>
  </si>
  <si>
    <t>مهندس مصطفى الروان للاستتثمارات العقارية العراق</t>
  </si>
  <si>
    <t>+964 771 515 4799</t>
  </si>
  <si>
    <t>محمد شركة المعمورة للاستثمارات العقارية</t>
  </si>
  <si>
    <t>+964 781 068 1558</t>
  </si>
  <si>
    <t>ابو حيدر مجمع نون الرقم الشخصي</t>
  </si>
  <si>
    <t>+964 780 102 8383</t>
  </si>
  <si>
    <t>القصيلة للتجارة العامة بكري مصري</t>
  </si>
  <si>
    <t>+964 750 216 4545</t>
  </si>
  <si>
    <t>عبد الله معمل الريف الالمنيوم</t>
  </si>
  <si>
    <t>+964 770 499 0134</t>
  </si>
  <si>
    <t>2023-02-14</t>
  </si>
  <si>
    <t>01:36</t>
  </si>
  <si>
    <t>كومباس للمقاولات العامة</t>
  </si>
  <si>
    <t>+964 770 152 7744</t>
  </si>
  <si>
    <t xml:space="preserve">Lokve d.o.o. Quality windows
</t>
  </si>
  <si>
    <t>+385 51 508 300</t>
  </si>
  <si>
    <t>http://www.lokve.com/</t>
  </si>
  <si>
    <t xml:space="preserve">WINDOR Ltd.
</t>
  </si>
  <si>
    <t>+385 1 4668 771</t>
  </si>
  <si>
    <t>https://www.windor.hr/</t>
  </si>
  <si>
    <t xml:space="preserve">Ponistra d.o.o.
</t>
  </si>
  <si>
    <t>Hırvatistan</t>
  </si>
  <si>
    <t>+385 21 726 255</t>
  </si>
  <si>
    <t>https://ponistra.hr/</t>
  </si>
  <si>
    <t xml:space="preserve"> Euro Tim Ltd.
</t>
  </si>
  <si>
    <t xml:space="preserve"> +385 52 691 350</t>
  </si>
  <si>
    <t xml:space="preserve"> https://www.eurotim.com.hr/</t>
  </si>
  <si>
    <t xml:space="preserve"> GSA metalgroup d.o.o.
</t>
  </si>
  <si>
    <t xml:space="preserve"> +385 40 500 670</t>
  </si>
  <si>
    <t xml:space="preserve"> https://www.gsa-metalgroup.com/</t>
  </si>
  <si>
    <t xml:space="preserve"> PVC i ALU stolarija
</t>
  </si>
  <si>
    <t xml:space="preserve">  +385 47 606 302</t>
  </si>
  <si>
    <t xml:space="preserve"> ILSAD d.o.o. - PVC i ALU Stolarija
</t>
  </si>
  <si>
    <t xml:space="preserve">  +385 47 606 333</t>
  </si>
  <si>
    <t xml:space="preserve"> http://www.ilsad.hr/</t>
  </si>
  <si>
    <t xml:space="preserve"> ALREADY-MA Ltd.
</t>
  </si>
  <si>
    <t xml:space="preserve"> +385 1 6270 159</t>
  </si>
  <si>
    <t xml:space="preserve"> https://www.ze-ma.hr/hr/</t>
  </si>
  <si>
    <t>KAJFA - PROIZVODNJA PVC STOLARIJE D.O.O.</t>
  </si>
  <si>
    <t>+385 1 6588 768</t>
  </si>
  <si>
    <t>http://kajfa.hr/</t>
  </si>
  <si>
    <t xml:space="preserve"> Kalbau d.o.o.
</t>
  </si>
  <si>
    <t xml:space="preserve"> +385 98 468 877</t>
  </si>
  <si>
    <t xml:space="preserve"> Filli Stahl Ltd.</t>
  </si>
  <si>
    <t xml:space="preserve"> +385 1 6439 340</t>
  </si>
  <si>
    <t xml:space="preserve"> http://www.fillistahl.hr/</t>
  </si>
  <si>
    <t xml:space="preserve"> KFK ltd
</t>
  </si>
  <si>
    <t xml:space="preserve"> +385 1 2030 700</t>
  </si>
  <si>
    <t xml:space="preserve"> https://kfk.hr/</t>
  </si>
  <si>
    <t xml:space="preserve"> Alu-K Kovinoplastika production joinery d.o.o.
</t>
  </si>
  <si>
    <t xml:space="preserve">  +386 7 363 51 00</t>
  </si>
  <si>
    <t xml:space="preserve"> http://www.alu-k.si/</t>
  </si>
  <si>
    <t xml:space="preserve"> Soltec d.o.o.
</t>
  </si>
  <si>
    <t xml:space="preserve">  +386 7 620 04 22</t>
  </si>
  <si>
    <t xml:space="preserve"> http://soltec.si/</t>
  </si>
  <si>
    <t xml:space="preserve"> PROTHERM DOORS d.o.o.
</t>
  </si>
  <si>
    <t xml:space="preserve">  +386 40 379 211</t>
  </si>
  <si>
    <t xml:space="preserve"> http://www.protherm.si/</t>
  </si>
  <si>
    <t>Herceg</t>
  </si>
  <si>
    <t>Bosna-Hersek</t>
  </si>
  <si>
    <t>+387 35 646-444</t>
  </si>
  <si>
    <t>https://dooherceg.ba/</t>
  </si>
  <si>
    <t xml:space="preserve">
Value Star Building Metal Products Manufacturing LLC</t>
  </si>
  <si>
    <t>04-8851008</t>
  </si>
  <si>
    <t xml:space="preserve"> 
Value Star Building Metal Products Manufacturing LLC </t>
  </si>
  <si>
    <t xml:space="preserve"> 055-9508099</t>
  </si>
  <si>
    <t xml:space="preserve">
Al Kersh Steel Industries LLC </t>
  </si>
  <si>
    <t>056-6281315</t>
  </si>
  <si>
    <t xml:space="preserve"> 
Sahara Aluminium Doors and Metals LLC</t>
  </si>
  <si>
    <t xml:space="preserve"> 050-5441868</t>
  </si>
  <si>
    <t xml:space="preserve"> 
Abu Jasem Aluminium &amp; Glass Works </t>
  </si>
  <si>
    <t xml:space="preserve"> 050-4993503</t>
  </si>
  <si>
    <t xml:space="preserve"> Alfaw Aluminium and Glass Works LLC </t>
  </si>
  <si>
    <t xml:space="preserve"> 050-6782509</t>
  </si>
  <si>
    <t xml:space="preserve"> 
Sion Aluminium and Glass LLC</t>
  </si>
  <si>
    <t xml:space="preserve"> 050-1153654</t>
  </si>
  <si>
    <t xml:space="preserve"> 
Dayal Building Materials Trading LLC </t>
  </si>
  <si>
    <t xml:space="preserve"> 055-8990272</t>
  </si>
  <si>
    <t>Discovery Metals FZC</t>
  </si>
  <si>
    <t>058-8846917</t>
  </si>
  <si>
    <t xml:space="preserve">
Desert Star Steel Trading LLC </t>
  </si>
  <si>
    <t>055-8990280</t>
  </si>
  <si>
    <t xml:space="preserve"> 
Desert Star Steel Trading LLC </t>
  </si>
  <si>
    <t xml:space="preserve"> 055-8990280</t>
  </si>
  <si>
    <t xml:space="preserve">
Abdul Azeem Aluminium and Glass Works</t>
  </si>
  <si>
    <t xml:space="preserve"> 06-8827869
</t>
  </si>
  <si>
    <t xml:space="preserve"> 
Abdul Qayyum Aluminium Co</t>
  </si>
  <si>
    <t xml:space="preserve"> 07-2227953
</t>
  </si>
  <si>
    <t xml:space="preserve"> 
Abdul Rahman Nezam Aluminium And Glass</t>
  </si>
  <si>
    <t xml:space="preserve"> 04-2387055
</t>
  </si>
  <si>
    <t xml:space="preserve"> 
Al Aqsa Aluminium Factory LLC</t>
  </si>
  <si>
    <t xml:space="preserve"> 06-5436640</t>
  </si>
  <si>
    <t xml:space="preserve"> 
Al Azeema Aluminium And Glass</t>
  </si>
  <si>
    <t xml:space="preserve"> 06-7484853</t>
  </si>
  <si>
    <t xml:space="preserve"> 
Al Barary Aluminium &amp; Glass LLC</t>
  </si>
  <si>
    <t xml:space="preserve"> 04-8850111</t>
  </si>
  <si>
    <t xml:space="preserve"> 
Al Baz Aluminium and Glass</t>
  </si>
  <si>
    <t xml:space="preserve"> 07-2289812</t>
  </si>
  <si>
    <t xml:space="preserve"> 
Al Diplomacy Metalic Const Ind LLC</t>
  </si>
  <si>
    <t xml:space="preserve"> 050-8684938</t>
  </si>
  <si>
    <t xml:space="preserve"> 
Al Ghussun Trading and Installation Glass LLC</t>
  </si>
  <si>
    <t xml:space="preserve"> 050-7290902</t>
  </si>
  <si>
    <t xml:space="preserve">
Al Hadhri Aluminium Factory</t>
  </si>
  <si>
    <t xml:space="preserve"> 06-5338518</t>
  </si>
  <si>
    <t xml:space="preserve"> 
Al Hureyya Glass and Aluminium Establishment</t>
  </si>
  <si>
    <t xml:space="preserve"> 02-5541537</t>
  </si>
  <si>
    <t xml:space="preserve">
Al Huriah Glass and Aluminium Trading</t>
  </si>
  <si>
    <t>050-3334034</t>
  </si>
  <si>
    <t xml:space="preserve"> 
Al Maha Aluminium and Glass</t>
  </si>
  <si>
    <t xml:space="preserve"> 04-2583555</t>
  </si>
  <si>
    <t xml:space="preserve"> 
Al Miqdad Glass &amp; Aluminium</t>
  </si>
  <si>
    <t xml:space="preserve"> 050-6375253
</t>
  </si>
  <si>
    <t xml:space="preserve"> 
Al Mumtaz Aluminium Works</t>
  </si>
  <si>
    <t xml:space="preserve"> 050-7372365
</t>
  </si>
  <si>
    <t xml:space="preserve"> Al Musbah Aluminium &amp; Glass Trd. Co LLC
More Info
Location : Musaffah</t>
  </si>
  <si>
    <t xml:space="preserve"> 056-7868799
</t>
  </si>
  <si>
    <t xml:space="preserve"> 
Al Musbah Aluminium Trading Company LLC</t>
  </si>
  <si>
    <t xml:space="preserve"> 06-7434555</t>
  </si>
  <si>
    <t xml:space="preserve"> 
Al Najah Aluminium and Glass Cont</t>
  </si>
  <si>
    <t xml:space="preserve"> 06-5344453</t>
  </si>
  <si>
    <t xml:space="preserve"> 
Al Nawras Aluminium</t>
  </si>
  <si>
    <t xml:space="preserve"> 07-2277793</t>
  </si>
  <si>
    <t xml:space="preserve"> 
Al Othaiman General Trading</t>
  </si>
  <si>
    <t xml:space="preserve"> 06-5348909</t>
  </si>
  <si>
    <t xml:space="preserve"> 
Al Radeem Aluminium and Carpentry Establishment</t>
  </si>
  <si>
    <t xml:space="preserve"> 02-5513110</t>
  </si>
  <si>
    <t xml:space="preserve"> 
Al Raid Aluminium</t>
  </si>
  <si>
    <t xml:space="preserve"> 02-5554606</t>
  </si>
  <si>
    <t xml:space="preserve"> 
Al Riyadh General Maint and Aluminium Works Co</t>
  </si>
  <si>
    <t xml:space="preserve"> 02-6777089</t>
  </si>
  <si>
    <t xml:space="preserve"> 
Al Ruwad Aluminium &amp; Wood Industries LLC</t>
  </si>
  <si>
    <t xml:space="preserve"> 04-3472768</t>
  </si>
  <si>
    <t xml:space="preserve"> 
Al Saeedi Metal Doors and Windows Fixing</t>
  </si>
  <si>
    <t xml:space="preserve"> 04-2724481</t>
  </si>
  <si>
    <t xml:space="preserve"> 
Al Sahlawi Aluminium LLC</t>
  </si>
  <si>
    <t xml:space="preserve"> 06-5386817</t>
  </si>
  <si>
    <t xml:space="preserve"> 
Al Shemais Aluminium and Glass Cont Establishment</t>
  </si>
  <si>
    <t xml:space="preserve"> 06-5338936</t>
  </si>
  <si>
    <t xml:space="preserve"> 
Al Shima Aluminum Est.</t>
  </si>
  <si>
    <t xml:space="preserve"> 04-2579945</t>
  </si>
  <si>
    <t xml:space="preserve"> 
Al Suwaidi Aluminium</t>
  </si>
  <si>
    <t xml:space="preserve"> 04-2579842</t>
  </si>
  <si>
    <t xml:space="preserve"> 
Al Taj Al Aswad Aluminium and Glass Contracting</t>
  </si>
  <si>
    <t xml:space="preserve"> 055-1289000</t>
  </si>
  <si>
    <t xml:space="preserve"> 
Al Taj Mumbai Glass and Aluminium Fixing LLC</t>
  </si>
  <si>
    <t>050-4647708</t>
  </si>
  <si>
    <t xml:space="preserve"> 
Al Taleb Aluminium</t>
  </si>
  <si>
    <t xml:space="preserve"> 07-2288903</t>
  </si>
  <si>
    <t xml:space="preserve"> 
Al Tawheed Engineering LLC (Aluminium Die Casting)</t>
  </si>
  <si>
    <t xml:space="preserve"> 050-9585041</t>
  </si>
  <si>
    <t xml:space="preserve"> 
Al Thabith Aluminium Works</t>
  </si>
  <si>
    <t xml:space="preserve"> 02-5553167</t>
  </si>
  <si>
    <t xml:space="preserve"> 
Al Wafa Aluminum &amp; Glass W/Shop</t>
  </si>
  <si>
    <t xml:space="preserve"> 06-7431718</t>
  </si>
  <si>
    <t xml:space="preserve"> 
Al Zaabi Aluminium</t>
  </si>
  <si>
    <t xml:space="preserve"> 07-2281330</t>
  </si>
  <si>
    <t xml:space="preserve"> 
Alba Tower Aluminium Factory Limited</t>
  </si>
  <si>
    <t xml:space="preserve"> 04-2679799</t>
  </si>
  <si>
    <t xml:space="preserve"> Alcobond Manufacturing LLC</t>
  </si>
  <si>
    <t xml:space="preserve"> 04-3475131</t>
  </si>
  <si>
    <t>Alfa Aluminium Samirco Trading Co</t>
  </si>
  <si>
    <t>+971 55 350 9214</t>
  </si>
  <si>
    <t xml:space="preserve"> Allied Star Building Material Trading LLC</t>
  </si>
  <si>
    <t xml:space="preserve"> 055-6234596</t>
  </si>
  <si>
    <t xml:space="preserve"> 
Aluminium Products Company Limited</t>
  </si>
  <si>
    <t xml:space="preserve"> 04-3355036</t>
  </si>
  <si>
    <t>Aluplan Architect Aluminium Company LLC</t>
  </si>
  <si>
    <t>+971 56 256 9470</t>
  </si>
  <si>
    <t xml:space="preserve"> 
Alutal For Aluminium And Glass LLC</t>
  </si>
  <si>
    <t xml:space="preserve"> 04-3233222</t>
  </si>
  <si>
    <t>Arabian Extrusions Factory</t>
  </si>
  <si>
    <t>050-4826160</t>
  </si>
  <si>
    <t xml:space="preserve"> Babco Aluminium</t>
  </si>
  <si>
    <t xml:space="preserve"> 07-2281552</t>
  </si>
  <si>
    <t xml:space="preserve"> 
Bait Alfann Al Raqi Aluminium Glass &amp; Kitchen Contracting</t>
  </si>
  <si>
    <t xml:space="preserve"> 06-5354325</t>
  </si>
  <si>
    <t xml:space="preserve">
Belgium Aluminium &amp; Glass</t>
  </si>
  <si>
    <t xml:space="preserve"> 03-7213800</t>
  </si>
  <si>
    <t xml:space="preserve"> 
Belmont Glass and Aluminium Cont</t>
  </si>
  <si>
    <t xml:space="preserve"> 055-5026382</t>
  </si>
  <si>
    <t xml:space="preserve"> 
Betlehem Aluminium and Glass LLC</t>
  </si>
  <si>
    <t xml:space="preserve"> 050-8690819</t>
  </si>
  <si>
    <t xml:space="preserve"> Bin Lahej Aluminium</t>
  </si>
  <si>
    <t xml:space="preserve"> 04-2673337</t>
  </si>
  <si>
    <t xml:space="preserve"> Modern Development LLC</t>
  </si>
  <si>
    <t xml:space="preserve"> +968-2688 2654</t>
  </si>
  <si>
    <t xml:space="preserve">ALUMINIUM GLOBAL MARKET SRL
</t>
  </si>
  <si>
    <t>Romanya</t>
  </si>
  <si>
    <t>+40 722 428 165</t>
  </si>
  <si>
    <t>https://lecaer-global-market-srl.business.site/?utm_source=gmb&amp;utm_medium=referra</t>
  </si>
  <si>
    <t>2023-03-03</t>
  </si>
  <si>
    <t>2023-03-24</t>
  </si>
  <si>
    <t>2023-04-05</t>
  </si>
  <si>
    <t xml:space="preserve"> Arcom Glass
</t>
  </si>
  <si>
    <t xml:space="preserve"> +40 722 348 238</t>
  </si>
  <si>
    <t>http://www.arcomglass.ro/</t>
  </si>
  <si>
    <t xml:space="preserve">MaralGlass
</t>
  </si>
  <si>
    <t>+40 736 831 831</t>
  </si>
  <si>
    <t>https://www.maralglass.ro/</t>
  </si>
  <si>
    <t xml:space="preserve"> Lamar</t>
  </si>
  <si>
    <t xml:space="preserve"> +40 21 425 0925</t>
  </si>
  <si>
    <t xml:space="preserve"> http://lamar.ro/</t>
  </si>
  <si>
    <t>2023-04-24</t>
  </si>
  <si>
    <t>AL-PROMT S.R.L.</t>
  </si>
  <si>
    <t xml:space="preserve"> office@al-promt.com</t>
  </si>
  <si>
    <t>+40 241 230 823</t>
  </si>
  <si>
    <t>https://ro.al-promt.com/?utm_source=GMB&amp;utm_medium=Site&amp;utm_campaign=Knowledge_Graph</t>
  </si>
  <si>
    <t xml:space="preserve"> Aluminium Glass
</t>
  </si>
  <si>
    <t xml:space="preserve"> +40 736 831 831</t>
  </si>
  <si>
    <t xml:space="preserve"> http://www.aluminiumglass.ro/</t>
  </si>
  <si>
    <t xml:space="preserve"> Techline Project Design
</t>
  </si>
  <si>
    <t xml:space="preserve"> +40 736 572 241</t>
  </si>
  <si>
    <t xml:space="preserve"> http://www.techline.ro/</t>
  </si>
  <si>
    <t xml:space="preserve"> TC PRO ALUMINIUM
</t>
  </si>
  <si>
    <t xml:space="preserve"> +40 746 255 326</t>
  </si>
  <si>
    <t xml:space="preserve"> https://www.tc-aluminium.ro/</t>
  </si>
  <si>
    <t xml:space="preserve"> Mimo
</t>
  </si>
  <si>
    <t xml:space="preserve"> +40 262 312 133</t>
  </si>
  <si>
    <t xml:space="preserve"> http://www.mimo.ro/</t>
  </si>
  <si>
    <t xml:space="preserve"> Europlay Alco
</t>
  </si>
  <si>
    <t xml:space="preserve"> +40 731 289 684</t>
  </si>
  <si>
    <t xml:space="preserve"> https://ferestretermopan.ro/</t>
  </si>
  <si>
    <t>Prestarea Showroom</t>
  </si>
  <si>
    <t>https://www.fabricadeferestre.com/</t>
  </si>
  <si>
    <t>+40 232 264 422</t>
  </si>
  <si>
    <t>office@FabricaDeFerestre.com</t>
  </si>
  <si>
    <t>Profile aluminiu</t>
  </si>
  <si>
    <t xml:space="preserve"> office@allymet.ro</t>
  </si>
  <si>
    <t>+40 728 914 525</t>
  </si>
  <si>
    <t>http://www.profil-aluminiu.ro/ro/contact/</t>
  </si>
  <si>
    <t xml:space="preserve"> Omniguard</t>
  </si>
  <si>
    <t xml:space="preserve"> +40 745 101 947</t>
  </si>
  <si>
    <t xml:space="preserve"> Smart Aluminiu
</t>
  </si>
  <si>
    <t xml:space="preserve"> +40 752 532 562</t>
  </si>
  <si>
    <t xml:space="preserve"> https://smart-aluminiu.ro/</t>
  </si>
  <si>
    <t xml:space="preserve"> Vision Life Glass
</t>
  </si>
  <si>
    <t xml:space="preserve"> +40 730 801 088</t>
  </si>
  <si>
    <t xml:space="preserve"> Tehno Serv
</t>
  </si>
  <si>
    <t xml:space="preserve"> +40 755 070 848</t>
  </si>
  <si>
    <t xml:space="preserve"> https://tehno-serv.business.site/?utm_source=gmb&amp;utm_medium=referral</t>
  </si>
  <si>
    <t xml:space="preserve"> Metalplast Prodinvest
</t>
  </si>
  <si>
    <t xml:space="preserve"> +40 757 055 303</t>
  </si>
  <si>
    <t xml:space="preserve"> https://metalplast.ro/</t>
  </si>
  <si>
    <t xml:space="preserve"> Wohl SRL
</t>
  </si>
  <si>
    <t xml:space="preserve"> +40 752 020 108
</t>
  </si>
  <si>
    <t xml:space="preserve"> Power Top srl
</t>
  </si>
  <si>
    <t xml:space="preserve"> +40 737 525 930</t>
  </si>
  <si>
    <t xml:space="preserve"> Mtcdana
</t>
  </si>
  <si>
    <t>https://www.mtcdana.ro/</t>
  </si>
  <si>
    <t xml:space="preserve"> +40 744 613 224</t>
  </si>
  <si>
    <t xml:space="preserve"> Edelwand
</t>
  </si>
  <si>
    <t xml:space="preserve">  +40 751 511 144</t>
  </si>
  <si>
    <t xml:space="preserve"> https://edelwand.ro/</t>
  </si>
  <si>
    <t xml:space="preserve"> ES PUNCT ES SRL, tamplarie Salamander, Rehau, Gealan, zona Mosilor
</t>
  </si>
  <si>
    <t xml:space="preserve"> +40 722 731 946</t>
  </si>
  <si>
    <t xml:space="preserve"> https://espunct.business.site/</t>
  </si>
  <si>
    <t xml:space="preserve"> Dako
</t>
  </si>
  <si>
    <t xml:space="preserve"> 0740 777 444</t>
  </si>
  <si>
    <t xml:space="preserve"> https://dako.ro/</t>
  </si>
  <si>
    <t xml:space="preserve"> IDEAL CASA
</t>
  </si>
  <si>
    <t xml:space="preserve"> +40 737 456 789</t>
  </si>
  <si>
    <t xml:space="preserve"> http://idealcasasb.ro/</t>
  </si>
  <si>
    <t xml:space="preserve"> Metaller Windows - Tamplarie VEKA
</t>
  </si>
  <si>
    <t xml:space="preserve"> +40 786 365 311</t>
  </si>
  <si>
    <t xml:space="preserve"> https://metaller.ro/</t>
  </si>
  <si>
    <t xml:space="preserve"> Vovi Prod Prest S.R.L.
</t>
  </si>
  <si>
    <t>+40 788 300 829</t>
  </si>
  <si>
    <t xml:space="preserve"> https://vovi.aaz.ro/</t>
  </si>
  <si>
    <t xml:space="preserve"> CATALEYA GLASS
</t>
  </si>
  <si>
    <t xml:space="preserve">  +40 766 992 777</t>
  </si>
  <si>
    <t xml:space="preserve"> AKERO
</t>
  </si>
  <si>
    <t xml:space="preserve"> +40 722 254 235</t>
  </si>
  <si>
    <t xml:space="preserve"> http://www.akero.ro/wp-content/uploads/2020/under_construction.html</t>
  </si>
  <si>
    <t xml:space="preserve"> Vibor</t>
  </si>
  <si>
    <t>+40 753 318 000</t>
  </si>
  <si>
    <t xml:space="preserve"> https://vibor.ro/contact/</t>
  </si>
  <si>
    <t xml:space="preserve"> Klador Trust
</t>
  </si>
  <si>
    <t xml:space="preserve"> +40 723 941 859</t>
  </si>
  <si>
    <t xml:space="preserve"> http://www.klador.ro/</t>
  </si>
  <si>
    <t xml:space="preserve"> Tamplarie Aluminiu Constanta
</t>
  </si>
  <si>
    <t xml:space="preserve"> +40 760 679 056</t>
  </si>
  <si>
    <t xml:space="preserve"> https://magazindeferestre.ro/tamplarie-aluminiu-constanta/</t>
  </si>
  <si>
    <t>2023-04-25</t>
  </si>
  <si>
    <t xml:space="preserve"> Top Roll Design Srl
</t>
  </si>
  <si>
    <t xml:space="preserve"> +40 763 711 780</t>
  </si>
  <si>
    <t xml:space="preserve"> https://top-roll-design-srl.business.site/?utm_source=gmb&amp;utm_medium=referral</t>
  </si>
  <si>
    <t xml:space="preserve"> Helios
</t>
  </si>
  <si>
    <t xml:space="preserve"> +40 745 348 524</t>
  </si>
  <si>
    <t xml:space="preserve"> https://www.ferestrehelios.ro/</t>
  </si>
  <si>
    <t xml:space="preserve"> Finextral
</t>
  </si>
  <si>
    <t xml:space="preserve"> +40 722 342 775</t>
  </si>
  <si>
    <t xml:space="preserve"> A&amp;V Global Com S.R.L.
</t>
  </si>
  <si>
    <t xml:space="preserve">  +40 726 354 000</t>
  </si>
  <si>
    <t xml:space="preserve"> http://www.avglobal.ro/insecte.html</t>
  </si>
  <si>
    <t xml:space="preserve"> MCV ProTrust
</t>
  </si>
  <si>
    <t xml:space="preserve"> +40 745 488 611</t>
  </si>
  <si>
    <t xml:space="preserve"> http://www.mcvprotrust.ro/</t>
  </si>
  <si>
    <t xml:space="preserve"> SC. Ecosfera plast SRL
</t>
  </si>
  <si>
    <t xml:space="preserve"> +40 722 261 972</t>
  </si>
  <si>
    <t xml:space="preserve"> Dragosim Com S.R.L.
</t>
  </si>
  <si>
    <t xml:space="preserve"> +40 745 018 588</t>
  </si>
  <si>
    <t xml:space="preserve"> https://dragosim.ro/</t>
  </si>
  <si>
    <t xml:space="preserve"> HABIKON CONSTRUCT
</t>
  </si>
  <si>
    <t xml:space="preserve">  +40 752 467 412</t>
  </si>
  <si>
    <t xml:space="preserve"> http://www.habikon.ro/</t>
  </si>
  <si>
    <t xml:space="preserve"> s.c. geko term prod s.r.l.
</t>
  </si>
  <si>
    <t xml:space="preserve">  +40 766 553 665</t>
  </si>
  <si>
    <t>ETEM SYSTEMS Centru Logistic</t>
  </si>
  <si>
    <t>+40 762 232 987</t>
  </si>
  <si>
    <t>https://www.etem.ro/</t>
  </si>
  <si>
    <t xml:space="preserve"> Total Trust Internaţional S.R.L.
</t>
  </si>
  <si>
    <t xml:space="preserve"> +40 263 234 882</t>
  </si>
  <si>
    <t xml:space="preserve"> SC EUTEHNIK SRL
</t>
  </si>
  <si>
    <t xml:space="preserve">  +40 741 432 954</t>
  </si>
  <si>
    <t>2023-03-17</t>
  </si>
  <si>
    <t xml:space="preserve"> Bucovrad Com S.R.L.
</t>
  </si>
  <si>
    <t xml:space="preserve">  +40 230 564 195</t>
  </si>
  <si>
    <t xml:space="preserve"> http://bucovrad.ro/contact/</t>
  </si>
  <si>
    <t xml:space="preserve"> Casa Noastra
</t>
  </si>
  <si>
    <t xml:space="preserve"> +40 251 429 532</t>
  </si>
  <si>
    <t xml:space="preserve"> https://casanoastra.ro/contact/</t>
  </si>
  <si>
    <t>Arian Nicoll Glass</t>
  </si>
  <si>
    <t xml:space="preserve"> arian.nicoll@yahoo.com</t>
  </si>
  <si>
    <t>+40 728 860 011</t>
  </si>
  <si>
    <t>https://www.arian-glass.com/</t>
  </si>
  <si>
    <t>2023-03-30</t>
  </si>
  <si>
    <t xml:space="preserve"> Windows and More
</t>
  </si>
  <si>
    <t xml:space="preserve"> https://windowsandmore.ro/</t>
  </si>
  <si>
    <t xml:space="preserve">Roberta Design
</t>
  </si>
  <si>
    <t xml:space="preserve"> +40 744 762 596</t>
  </si>
  <si>
    <t xml:space="preserve"> Termopanerehau</t>
  </si>
  <si>
    <t xml:space="preserve"> +40 752 430 118</t>
  </si>
  <si>
    <t xml:space="preserve"> http://www.termopanerehau.com/</t>
  </si>
  <si>
    <t xml:space="preserve"> Spectrum Grup
</t>
  </si>
  <si>
    <t>+40 744 423 258</t>
  </si>
  <si>
    <t xml:space="preserve"> https://www.facebook.com/spectrumgrupsrl</t>
  </si>
  <si>
    <t>2023-03-06</t>
  </si>
  <si>
    <t xml:space="preserve"> Fereastra ADF Baia Mare
</t>
  </si>
  <si>
    <t xml:space="preserve">  +40 754 298 569</t>
  </si>
  <si>
    <t xml:space="preserve"> https://fereastra-adf.ro/</t>
  </si>
  <si>
    <t xml:space="preserve"> Vicov Fenster
</t>
  </si>
  <si>
    <t xml:space="preserve"> +40 746 133 151</t>
  </si>
  <si>
    <t xml:space="preserve"> https://vicovfenster.ro/</t>
  </si>
  <si>
    <t xml:space="preserve"> Lissim
</t>
  </si>
  <si>
    <t xml:space="preserve">  +40 371 008 888</t>
  </si>
  <si>
    <t xml:space="preserve"> Lorenzo Grup Aluminiu Si Pvc
</t>
  </si>
  <si>
    <t xml:space="preserve"> +40 21 311 0186</t>
  </si>
  <si>
    <t xml:space="preserve"> http://www.lorenzo.ro/ro/</t>
  </si>
  <si>
    <t xml:space="preserve"> Authentique Construct srl
</t>
  </si>
  <si>
    <t xml:space="preserve">  +40 722 209 073</t>
  </si>
  <si>
    <t xml:space="preserve"> http://www.authentique.ro/</t>
  </si>
  <si>
    <t>Anso Aluminium</t>
  </si>
  <si>
    <t xml:space="preserve"> anso@anso.co.za</t>
  </si>
  <si>
    <t xml:space="preserve"> 0514325437</t>
  </si>
  <si>
    <t xml:space="preserve"> N C Glass &amp; Aluminium</t>
  </si>
  <si>
    <t>ncglass@telkomsa.net</t>
  </si>
  <si>
    <t xml:space="preserve"> 0215319919</t>
  </si>
  <si>
    <t xml:space="preserve"> Star Aluminium</t>
  </si>
  <si>
    <t>sales@staraluminium.co.za</t>
  </si>
  <si>
    <t xml:space="preserve">  0314684522 | 0626121584</t>
  </si>
  <si>
    <t>SBD Aluminium</t>
  </si>
  <si>
    <t>sbdaluminiumsa@gmail.com</t>
  </si>
  <si>
    <t>0714200500</t>
  </si>
  <si>
    <t xml:space="preserve"> Rodney's Glazing</t>
  </si>
  <si>
    <t>info@rodneysglazing.co.za</t>
  </si>
  <si>
    <t xml:space="preserve"> 0827881932</t>
  </si>
  <si>
    <t xml:space="preserve"> Bluff Associated Glass &amp; Al</t>
  </si>
  <si>
    <t xml:space="preserve"> pauls@telkomsa.net</t>
  </si>
  <si>
    <t xml:space="preserve"> 0721149494</t>
  </si>
  <si>
    <t xml:space="preserve">Fereastra ADF Buzau
</t>
  </si>
  <si>
    <t xml:space="preserve"> +40 726 908 679</t>
  </si>
  <si>
    <t>https://fereastra-adf.ro/</t>
  </si>
  <si>
    <t xml:space="preserve"> Tamplarie PVC - Top Window
</t>
  </si>
  <si>
    <t xml:space="preserve"> +40 749 314 095</t>
  </si>
  <si>
    <t xml:space="preserve"> https://www.topwindow.ro/</t>
  </si>
  <si>
    <t xml:space="preserve"> X-tru Windows
</t>
  </si>
  <si>
    <t xml:space="preserve"> +40 751 219 610</t>
  </si>
  <si>
    <t xml:space="preserve"> http://x-tru.com/</t>
  </si>
  <si>
    <t xml:space="preserve"> SC EURODESIGN SRL
</t>
  </si>
  <si>
    <t xml:space="preserve">  +40 747 081 000</t>
  </si>
  <si>
    <t xml:space="preserve"> https://eurodesign.info.ro/</t>
  </si>
  <si>
    <t xml:space="preserve">Getarteh Ideea
</t>
  </si>
  <si>
    <t>+40 733 058 066</t>
  </si>
  <si>
    <t>https://getarteh.ro/</t>
  </si>
  <si>
    <t xml:space="preserve"> ETEM SYSTEMS Comercial &amp; Showroom
</t>
  </si>
  <si>
    <t xml:space="preserve"> +40 762 232 974</t>
  </si>
  <si>
    <t xml:space="preserve"> https://etem.ro/</t>
  </si>
  <si>
    <t xml:space="preserve"> SC CARM AMBIENT SRL
</t>
  </si>
  <si>
    <t xml:space="preserve"> +40 721 369 901</t>
  </si>
  <si>
    <t xml:space="preserve"> Reynaers Aluminium (showroom)
</t>
  </si>
  <si>
    <t xml:space="preserve">  +40 21 321 0838
</t>
  </si>
  <si>
    <t xml:space="preserve"> https://www.reynaers.ro/</t>
  </si>
  <si>
    <t xml:space="preserve"> ROYALPLAST SRL
</t>
  </si>
  <si>
    <t xml:space="preserve"> +40 742 506 240</t>
  </si>
  <si>
    <t xml:space="preserve"> Florida Construct
</t>
  </si>
  <si>
    <t xml:space="preserve">  +40 726 224 727</t>
  </si>
  <si>
    <t xml:space="preserve"> https://www.floridaconstruct.ro/</t>
  </si>
  <si>
    <t>Celena - Producător uși ferestre</t>
  </si>
  <si>
    <t xml:space="preserve"> celenacom@ymail.com</t>
  </si>
  <si>
    <t>+40 736 644 462</t>
  </si>
  <si>
    <t>http://www.celena.ro/</t>
  </si>
  <si>
    <t xml:space="preserve"> g2 allsys construct srl
</t>
  </si>
  <si>
    <t xml:space="preserve"> +40 745 204 379</t>
  </si>
  <si>
    <t xml:space="preserve"> https://g2-allsys-construct-srl.business.site/</t>
  </si>
  <si>
    <t xml:space="preserve"> Rometale
</t>
  </si>
  <si>
    <t xml:space="preserve"> +40 771 009 530</t>
  </si>
  <si>
    <t xml:space="preserve"> https://rometale.ro/</t>
  </si>
  <si>
    <t xml:space="preserve"> Confal - Tâmplărie PVC &amp; Aluminiu
</t>
  </si>
  <si>
    <t xml:space="preserve"> +40 721 589 807</t>
  </si>
  <si>
    <t xml:space="preserve"> https://confal.ro/</t>
  </si>
  <si>
    <t xml:space="preserve"> Adeprim Grup
</t>
  </si>
  <si>
    <t xml:space="preserve"> +40 726 335 351</t>
  </si>
  <si>
    <t xml:space="preserve"> https://adeprim.ro/</t>
  </si>
  <si>
    <t xml:space="preserve"> Plast Market - Wide Home
</t>
  </si>
  <si>
    <t xml:space="preserve"> +40 767 989 708</t>
  </si>
  <si>
    <t xml:space="preserve"> Imperial Security
</t>
  </si>
  <si>
    <t xml:space="preserve"> +40 723 255 846</t>
  </si>
  <si>
    <t xml:space="preserve"> https://imperial-security.business.site/</t>
  </si>
  <si>
    <t xml:space="preserve"> Loralex - Termopane Severin
</t>
  </si>
  <si>
    <t xml:space="preserve">  +40 727 359 673</t>
  </si>
  <si>
    <t xml:space="preserve"> https://termopaneseverin.business.site/?utm_source=gmb&amp;utm_medium=referral</t>
  </si>
  <si>
    <t xml:space="preserve"> IDAL Romania
</t>
  </si>
  <si>
    <t xml:space="preserve">  +40 741 644 691</t>
  </si>
  <si>
    <t xml:space="preserve"> http://www.idalferestre.ro/</t>
  </si>
  <si>
    <t xml:space="preserve"> Teraglass
</t>
  </si>
  <si>
    <t xml:space="preserve"> +40 757 101 659</t>
  </si>
  <si>
    <t xml:space="preserve"> https://www.teraglass.ro/</t>
  </si>
  <si>
    <t xml:space="preserve"> ADAM Design - Tâmplărie PVC/aluminiu
</t>
  </si>
  <si>
    <t xml:space="preserve">  +40 722 967 504</t>
  </si>
  <si>
    <t xml:space="preserve"> https://adamdesign.ro/</t>
  </si>
  <si>
    <t xml:space="preserve"> Rom Decor - Bucuresti - Usi Interior, Usi Exterior, Inchideri Balcon, Inchideri Terase
</t>
  </si>
  <si>
    <t xml:space="preserve"> +40 770 134 841</t>
  </si>
  <si>
    <t xml:space="preserve"> https://www.rom-decor.ro/</t>
  </si>
  <si>
    <t xml:space="preserve"> Fereastra ADF Botosani
</t>
  </si>
  <si>
    <t xml:space="preserve"> +40 748 758 775</t>
  </si>
  <si>
    <t xml:space="preserve"> Fereastra Schuco Izosmart
</t>
  </si>
  <si>
    <t xml:space="preserve"> +40 748 111 188</t>
  </si>
  <si>
    <t xml:space="preserve"> https://www.facebook.com/fereastraschuco.ro/</t>
  </si>
  <si>
    <t xml:space="preserve"> Alprof Systems
</t>
  </si>
  <si>
    <t>+40 729 940 770</t>
  </si>
  <si>
    <t xml:space="preserve"> http://alprofsystems.ro/index.php/contact</t>
  </si>
  <si>
    <t xml:space="preserve"> Alumil Rom Industry S.A.
</t>
  </si>
  <si>
    <t xml:space="preserve"> +40 21 424 3456</t>
  </si>
  <si>
    <t xml:space="preserve"> https://www.alumil.com/</t>
  </si>
  <si>
    <t xml:space="preserve"> Terase aluminiu si Pergole Bioclimatice, Sisteme culisante
</t>
  </si>
  <si>
    <t xml:space="preserve"> +40 742 321 172</t>
  </si>
  <si>
    <t xml:space="preserve"> http://www.zaw-terase.ro/</t>
  </si>
  <si>
    <t xml:space="preserve"> Qfenster
</t>
  </si>
  <si>
    <t xml:space="preserve">  +40 743 461 194</t>
  </si>
  <si>
    <t xml:space="preserve"> https://qfenster.business.site/?utm_source=gmb&amp;utm_medium=referral</t>
  </si>
  <si>
    <t xml:space="preserve">Termopane Accesorii Paneluri
</t>
  </si>
  <si>
    <t xml:space="preserve"> +40 744 613 223</t>
  </si>
  <si>
    <t xml:space="preserve"> https://www.mtcdana.ro/</t>
  </si>
  <si>
    <t xml:space="preserve"> Visuall Glass | Închideri terase și balcoane | Balustrade sticlă
</t>
  </si>
  <si>
    <t xml:space="preserve"> +40 752 995 566</t>
  </si>
  <si>
    <t xml:space="preserve"> https://visuallglass.ro/</t>
  </si>
  <si>
    <t xml:space="preserve"> Obloane din aluminiu
</t>
  </si>
  <si>
    <t xml:space="preserve"> +40 749 226 073</t>
  </si>
  <si>
    <t xml:space="preserve"> http://obloanedinaluminiu.ro/</t>
  </si>
  <si>
    <t xml:space="preserve"> Fer-Al Prod - Magazin feronarie (VORNE) si tamplarie ieftina
</t>
  </si>
  <si>
    <t xml:space="preserve"> +40 722 328 416</t>
  </si>
  <si>
    <t xml:space="preserve"> https://fer-al.ro/</t>
  </si>
  <si>
    <t xml:space="preserve"> Sinerco Prod-Impex S.R.L.
</t>
  </si>
  <si>
    <t xml:space="preserve">  +40 722 340 302</t>
  </si>
  <si>
    <t>https://www.sinerco.ro/</t>
  </si>
  <si>
    <t xml:space="preserve"> Lorenzo Grup S.R.L.
</t>
  </si>
  <si>
    <t xml:space="preserve">  +40 21 311 0186</t>
  </si>
  <si>
    <t>2023-03-10</t>
  </si>
  <si>
    <t xml:space="preserve"> Sc Nokiplast Srl
</t>
  </si>
  <si>
    <t xml:space="preserve">  +40 722 399 454</t>
  </si>
  <si>
    <t xml:space="preserve"> http://www.nokiplast.ro/</t>
  </si>
  <si>
    <t xml:space="preserve"> Adam Design
</t>
  </si>
  <si>
    <t xml:space="preserve"> +40 722 361 214</t>
  </si>
  <si>
    <t xml:space="preserve"> https://adamdesign.ro/contact/</t>
  </si>
  <si>
    <t xml:space="preserve"> FIDOTERM
</t>
  </si>
  <si>
    <t xml:space="preserve">  +40 757 781 296</t>
  </si>
  <si>
    <t xml:space="preserve"> https://dumarandi-srl.business.site/</t>
  </si>
  <si>
    <t xml:space="preserve"> SIF Trading Company
</t>
  </si>
  <si>
    <t xml:space="preserve"> +40 722 224 985</t>
  </si>
  <si>
    <t xml:space="preserve"> https://siftrading.ro/</t>
  </si>
  <si>
    <t xml:space="preserve"> Benati
</t>
  </si>
  <si>
    <t xml:space="preserve">  +40 266 217 502</t>
  </si>
  <si>
    <t xml:space="preserve"> https://benati.ro/en/</t>
  </si>
  <si>
    <t>2023-04-28</t>
  </si>
  <si>
    <t xml:space="preserve"> BTS Aluminium Romania
</t>
  </si>
  <si>
    <t xml:space="preserve">  0535 703 24 40</t>
  </si>
  <si>
    <t xml:space="preserve"> http://www.btsaluminium.com/en/</t>
  </si>
  <si>
    <t xml:space="preserve"> M.T.P. Line S.R.L.
</t>
  </si>
  <si>
    <t xml:space="preserve"> +40 742 182 810</t>
  </si>
  <si>
    <t xml:space="preserve"> https://www.mtplines.com/</t>
  </si>
  <si>
    <t xml:space="preserve"> AlcoGroup
</t>
  </si>
  <si>
    <t xml:space="preserve"> +40 767 110 022</t>
  </si>
  <si>
    <t xml:space="preserve"> https://alcogroup.ro/</t>
  </si>
  <si>
    <t xml:space="preserve"> Sincom Construct
</t>
  </si>
  <si>
    <t xml:space="preserve"> +40 241 657 620</t>
  </si>
  <si>
    <t xml:space="preserve"> https://sincom.ro/</t>
  </si>
  <si>
    <t xml:space="preserve"> Terase Aluminiu
</t>
  </si>
  <si>
    <t xml:space="preserve">  +40 770 228 321</t>
  </si>
  <si>
    <t xml:space="preserve"> https://www.terasealuminiu.ro/</t>
  </si>
  <si>
    <t>Fereastra Pin</t>
  </si>
  <si>
    <t xml:space="preserve"> call after 3 month</t>
  </si>
  <si>
    <t>+40 740 231 643</t>
  </si>
  <si>
    <t>https://fereastrapin.ro/</t>
  </si>
  <si>
    <t xml:space="preserve"> CAMAS IMPEX S.R.L.
</t>
  </si>
  <si>
    <t xml:space="preserve"> +40 722 354 499</t>
  </si>
  <si>
    <t xml:space="preserve"> Pro Door
</t>
  </si>
  <si>
    <t xml:space="preserve"> +40 733 928 850</t>
  </si>
  <si>
    <t xml:space="preserve"> http://www.prodoor.ro/</t>
  </si>
  <si>
    <t xml:space="preserve"> SM Wood Prodcom
</t>
  </si>
  <si>
    <t xml:space="preserve"> +40 740 647 877</t>
  </si>
  <si>
    <t xml:space="preserve"> https://www.smwoodprodcom.ro/</t>
  </si>
  <si>
    <t xml:space="preserve"> Reparatii Termopane Militari
</t>
  </si>
  <si>
    <t xml:space="preserve"> +40 761 801 545</t>
  </si>
  <si>
    <t xml:space="preserve"> http://www.service-termopane.com/</t>
  </si>
  <si>
    <t xml:space="preserve">Fereastra ADF Focsani
</t>
  </si>
  <si>
    <t xml:space="preserve"> +40 765 120 176</t>
  </si>
  <si>
    <t xml:space="preserve"> Ferestre ADD
</t>
  </si>
  <si>
    <t xml:space="preserve">  +40 740 219 561</t>
  </si>
  <si>
    <t xml:space="preserve"> http://ferestreadd.ro/</t>
  </si>
  <si>
    <t xml:space="preserve"> Rom Decor - Ploiesti - Usi Interior, Usi Exterior, Inchideri Balcon, Inchideri Terase
</t>
  </si>
  <si>
    <t xml:space="preserve">  +40 729 006 868</t>
  </si>
  <si>
    <t xml:space="preserve"> Fabrica de tamplarie
</t>
  </si>
  <si>
    <t xml:space="preserve"> +40 745 849 207</t>
  </si>
  <si>
    <t xml:space="preserve"> https://fabrica-de-tamplarie.ro/</t>
  </si>
  <si>
    <t>BLD Confort Plast - Ferestre si usi - Termopan - Usi de garaj - Balustrazi de sticla</t>
  </si>
  <si>
    <t>+40 775 377 428</t>
  </si>
  <si>
    <t xml:space="preserve"> Optimedia
</t>
  </si>
  <si>
    <t xml:space="preserve">  +40 259 442 820</t>
  </si>
  <si>
    <t xml:space="preserve"> http://www.optimedia.eu/</t>
  </si>
  <si>
    <t xml:space="preserve"> ACITIM PITESTI - Tamplarie PVC, Aluminiu cu geam termopan
</t>
  </si>
  <si>
    <t xml:space="preserve">  +40 731 489 414</t>
  </si>
  <si>
    <t xml:space="preserve"> https://termopanevalcea.ro/showroom-ferestre-si-usi-pitesti/</t>
  </si>
  <si>
    <t xml:space="preserve"> Eufiabil - Geiger Fenster
</t>
  </si>
  <si>
    <t xml:space="preserve"> +40 736 656 288</t>
  </si>
  <si>
    <t xml:space="preserve"> SC Daco Grup SA
</t>
  </si>
  <si>
    <t xml:space="preserve">  +40 722 648 212</t>
  </si>
  <si>
    <t xml:space="preserve"> http://www.dacogrup.ro/</t>
  </si>
  <si>
    <t xml:space="preserve"> FLOZO
</t>
  </si>
  <si>
    <t xml:space="preserve">  +40 265 511 700</t>
  </si>
  <si>
    <t xml:space="preserve"> https://www.flozo.ro/</t>
  </si>
  <si>
    <t xml:space="preserve"> Reparatii Termopane Pipera
</t>
  </si>
  <si>
    <t xml:space="preserve">  +40 761 801 545</t>
  </si>
  <si>
    <t xml:space="preserve"> https://www.service-termopane.com/</t>
  </si>
  <si>
    <t xml:space="preserve"> ACITIM - Tamplarie PVC, Aluminiu, termopane
</t>
  </si>
  <si>
    <t xml:space="preserve"> +40 755 016 171</t>
  </si>
  <si>
    <t xml:space="preserve"> http://www.ferestresibiu.ro/</t>
  </si>
  <si>
    <t xml:space="preserve"> ATLANTA TEHNO GRUP S.R.L.
</t>
  </si>
  <si>
    <t xml:space="preserve"> +40 768 000 333</t>
  </si>
  <si>
    <t xml:space="preserve"> SC PERFECTVIEW SRL
</t>
  </si>
  <si>
    <t xml:space="preserve"> +40 752 307 509</t>
  </si>
  <si>
    <t xml:space="preserve"> https://www.perfectview.ro/</t>
  </si>
  <si>
    <t xml:space="preserve"> Profi Glass S.R.L
</t>
  </si>
  <si>
    <t xml:space="preserve"> +40 744 678 777</t>
  </si>
  <si>
    <t xml:space="preserve"> Fenexpert
</t>
  </si>
  <si>
    <t xml:space="preserve"> +40 747 332 332</t>
  </si>
  <si>
    <t xml:space="preserve"> https://fenexpert.ro/</t>
  </si>
  <si>
    <t xml:space="preserve">BARRIER Buzau ORIZONT
</t>
  </si>
  <si>
    <t xml:space="preserve"> +40 744 422 256</t>
  </si>
  <si>
    <t xml:space="preserve"> https://barrier-buzau-orizont.business.site/?utm_source=gmb&amp;utm_medium=referral</t>
  </si>
  <si>
    <t xml:space="preserve"> Reparatii Termopane Drumul Taberei
</t>
  </si>
  <si>
    <t xml:space="preserve"> Metglass
</t>
  </si>
  <si>
    <t xml:space="preserve"> +40 757 888 898</t>
  </si>
  <si>
    <t xml:space="preserve"> http://www.metglass.ro/</t>
  </si>
  <si>
    <t xml:space="preserve"> Pravalia De Ferestre - Usi si Geamuri Termopan &amp; Tamplarie din Aluminiu
</t>
  </si>
  <si>
    <t xml:space="preserve">  +40 752 011 704</t>
  </si>
  <si>
    <t xml:space="preserve"> https://pravaliadeferestre.ro/</t>
  </si>
  <si>
    <t xml:space="preserve"> Termopane si Reparatii Termopane Cotroceni
</t>
  </si>
  <si>
    <t xml:space="preserve"> +40 21 555 7540</t>
  </si>
  <si>
    <t xml:space="preserve"> https://www.facebook.com/SolidonTehnicMagazin/shop</t>
  </si>
  <si>
    <t xml:space="preserve"> NOV ART - Termopane Focsani
</t>
  </si>
  <si>
    <t xml:space="preserve"> +40 761 100 542</t>
  </si>
  <si>
    <t xml:space="preserve"> https://www.nov-art.ro/</t>
  </si>
  <si>
    <t xml:space="preserve"> Cosmin Construct
</t>
  </si>
  <si>
    <t xml:space="preserve"> +40 724 336 593</t>
  </si>
  <si>
    <t xml:space="preserve"> https://magazindetermopane.ro/</t>
  </si>
  <si>
    <t xml:space="preserve"> Romserv Invest
</t>
  </si>
  <si>
    <t xml:space="preserve"> +40 245 217 170</t>
  </si>
  <si>
    <t xml:space="preserve"> https://www.romservinvest.ro/</t>
  </si>
  <si>
    <t xml:space="preserve"> TERMOPANE ALUMET CONSTRUCT
</t>
  </si>
  <si>
    <t xml:space="preserve"> +40 724 515 894</t>
  </si>
  <si>
    <t xml:space="preserve"> https://casapvc.ro/en/home-2/</t>
  </si>
  <si>
    <t xml:space="preserve"> MIRASTAR
</t>
  </si>
  <si>
    <t xml:space="preserve">  +40 723 561 861</t>
  </si>
  <si>
    <t xml:space="preserve"> https://www.usi-ferestre-mirastar.ro/</t>
  </si>
  <si>
    <t xml:space="preserve">  +40 744 603 849</t>
  </si>
  <si>
    <t>https://termopanevalcea.ro/showroom-tamplarie-pvc-targu-jiu/</t>
  </si>
  <si>
    <t xml:space="preserve"> ServiceTermopane
</t>
  </si>
  <si>
    <t xml:space="preserve"> Rom Decor - Galati - Usi Interior, Usi Exterior, Inchideri Balcon, Inchideri Terase
</t>
  </si>
  <si>
    <t xml:space="preserve"> +40 749 232 328</t>
  </si>
  <si>
    <t>2023-05-02</t>
  </si>
  <si>
    <t xml:space="preserve"> Ferestre ADD Blaj
</t>
  </si>
  <si>
    <t xml:space="preserve"> +40 771 157 792</t>
  </si>
  <si>
    <t xml:space="preserve"> Luthera | Ferestre | Usi de Garaj | Rulouri
</t>
  </si>
  <si>
    <t xml:space="preserve">  +40 745 313 700</t>
  </si>
  <si>
    <t xml:space="preserve"> Wintec S.R.L.</t>
  </si>
  <si>
    <t xml:space="preserve"> +40 21 778 1246</t>
  </si>
  <si>
    <t xml:space="preserve"> https://www.wintec.com.ro/</t>
  </si>
  <si>
    <t xml:space="preserve"> +40 752 011 704</t>
  </si>
  <si>
    <t>Termopane Beclean</t>
  </si>
  <si>
    <t>+40 744 690 849</t>
  </si>
  <si>
    <t>https://termopanebeclean.ro/</t>
  </si>
  <si>
    <t xml:space="preserve"> Tehnic Profil Construct SRL
</t>
  </si>
  <si>
    <t xml:space="preserve"> +40 770 269 780</t>
  </si>
  <si>
    <t xml:space="preserve"> https://pvc-aluminiu.ro/</t>
  </si>
  <si>
    <t xml:space="preserve"> NORDPLAST
</t>
  </si>
  <si>
    <t xml:space="preserve"> +40 770 228 907</t>
  </si>
  <si>
    <t xml:space="preserve"> WDG : termopane mures
</t>
  </si>
  <si>
    <t xml:space="preserve"> +40 757 393 257</t>
  </si>
  <si>
    <t xml:space="preserve"> https://wdg-trading.com/</t>
  </si>
  <si>
    <t xml:space="preserve"> SC Leon &amp; Darius SRL
</t>
  </si>
  <si>
    <t xml:space="preserve"> +40 757 625 082</t>
  </si>
  <si>
    <t xml:space="preserve"> https://ferestresiusiarad.ro/</t>
  </si>
  <si>
    <t xml:space="preserve"> Tamplarie PVC / Termopane / Geamuri / Cherestea Bolintin
</t>
  </si>
  <si>
    <t>https://tamplarie-pvc-termopane-geamuri.business.site/?m=true</t>
  </si>
  <si>
    <t xml:space="preserve"> +40 762 060 395</t>
  </si>
  <si>
    <t xml:space="preserve">INFISSER BLUE PVC
</t>
  </si>
  <si>
    <t xml:space="preserve"> +40 720 444 251</t>
  </si>
  <si>
    <t xml:space="preserve"> https://www.perfectview.ro/it</t>
  </si>
  <si>
    <t xml:space="preserve"> Reparatii Termopane Bucuresti
</t>
  </si>
  <si>
    <t xml:space="preserve"> +40 725 472 093</t>
  </si>
  <si>
    <t xml:space="preserve"> https://reparatii-termopan-bucuresti.ro/</t>
  </si>
  <si>
    <t xml:space="preserve"> Viatrix Star 2004 | Tamplarie.com
</t>
  </si>
  <si>
    <t xml:space="preserve">  +40 725 110 011
</t>
  </si>
  <si>
    <t xml:space="preserve"> https://www.tamplarie.com/</t>
  </si>
  <si>
    <t>Rom Decor - Galati - Usi Interior, Usi Exterior, Inchideri Balcoane, Inchideri Terase</t>
  </si>
  <si>
    <t>+40 742 038 421</t>
  </si>
  <si>
    <t>https://www.rom-decor.ro/</t>
  </si>
  <si>
    <t xml:space="preserve"> VitraQ România
</t>
  </si>
  <si>
    <t xml:space="preserve"> +40 726 376 983</t>
  </si>
  <si>
    <t xml:space="preserve"> https://vitraq.ro/</t>
  </si>
  <si>
    <t xml:space="preserve"> Premium Profil
</t>
  </si>
  <si>
    <t xml:space="preserve">  +40 256 466 420</t>
  </si>
  <si>
    <t xml:space="preserve"> https://premium-profil.ro/</t>
  </si>
  <si>
    <t xml:space="preserve"> Reparatii Termopane Sector 3
</t>
  </si>
  <si>
    <t xml:space="preserve"> +40 762 150 032</t>
  </si>
  <si>
    <t xml:space="preserve"> Reparatii Termopane Crangasi
</t>
  </si>
  <si>
    <t xml:space="preserve"> Premium Isolar // Termopane Mures
</t>
  </si>
  <si>
    <t xml:space="preserve"> +40 753 016 117</t>
  </si>
  <si>
    <t xml:space="preserve"> https://termopane-mures.com/</t>
  </si>
  <si>
    <t xml:space="preserve"> Wisdom Market Hall
</t>
  </si>
  <si>
    <t xml:space="preserve">  +40 728 297 654</t>
  </si>
  <si>
    <t xml:space="preserve"> https://ledtop.ro/</t>
  </si>
  <si>
    <t xml:space="preserve"> Termovest Prod SRL (VitraQ)
</t>
  </si>
  <si>
    <t xml:space="preserve"> https://www.vitraq.ro/</t>
  </si>
  <si>
    <t xml:space="preserve"> At Plast
</t>
  </si>
  <si>
    <t xml:space="preserve"> +40 742 160 202</t>
  </si>
  <si>
    <t xml:space="preserve"> https://www.atplast.ro/</t>
  </si>
  <si>
    <t xml:space="preserve"> Reparații Termopane Ghencea
</t>
  </si>
  <si>
    <t xml:space="preserve"> Reparatii Termopane Bragadiru
</t>
  </si>
  <si>
    <t>DİĞER</t>
  </si>
  <si>
    <t xml:space="preserve"> SC Gallit MSC SRL
</t>
  </si>
  <si>
    <t xml:space="preserve"> +40 723 341 495</t>
  </si>
  <si>
    <t xml:space="preserve"> http://www.gallit.ro/</t>
  </si>
  <si>
    <t xml:space="preserve"> Total Confort Plast - Termopane, Rulouri Aluminiu, Plase Insecte, Jaluzele, Rolete, etc
</t>
  </si>
  <si>
    <t xml:space="preserve"> +40 742 831 102</t>
  </si>
  <si>
    <t xml:space="preserve"> https://totalconfortplast.business.site/</t>
  </si>
  <si>
    <t xml:space="preserve"> Confort Plast S.R.L.
</t>
  </si>
  <si>
    <t xml:space="preserve"> +40 744 485 230</t>
  </si>
  <si>
    <t xml:space="preserve"> http://confortplast.ro/</t>
  </si>
  <si>
    <t xml:space="preserve"> VI-FI S.R.L.
</t>
  </si>
  <si>
    <t xml:space="preserve">  +40 728 728 005</t>
  </si>
  <si>
    <t xml:space="preserve"> https://www.vi-fi.ro/</t>
  </si>
  <si>
    <t xml:space="preserve"> Izotec Group
</t>
  </si>
  <si>
    <t>+40 751 511 595</t>
  </si>
  <si>
    <t>https://izotec.ro/ro/acasa/</t>
  </si>
  <si>
    <t xml:space="preserve"> Termoplast
</t>
  </si>
  <si>
    <t xml:space="preserve"> +40 264 412 720</t>
  </si>
  <si>
    <t xml:space="preserve"> http://www.termoplastcj.ro/</t>
  </si>
  <si>
    <t xml:space="preserve"> Terex Confort
</t>
  </si>
  <si>
    <t xml:space="preserve"> +40 740 235 747</t>
  </si>
  <si>
    <t xml:space="preserve"> http://www.terexconfort.ro/</t>
  </si>
  <si>
    <t xml:space="preserve"> OblonConfort - Terrace Closures, Awnings and Exterior Rollers
</t>
  </si>
  <si>
    <t xml:space="preserve">  +40 729 445 445</t>
  </si>
  <si>
    <t>https://oblonconfort.ro/</t>
  </si>
  <si>
    <t xml:space="preserve"> Wooden Option SRL
</t>
  </si>
  <si>
    <t xml:space="preserve"> +40 743 130 850</t>
  </si>
  <si>
    <t xml:space="preserve"> LUCA GLOBAL GROUP
</t>
  </si>
  <si>
    <t xml:space="preserve">  +40 745 375 017</t>
  </si>
  <si>
    <t xml:space="preserve"> https://www.lucagroup.ro/</t>
  </si>
  <si>
    <t xml:space="preserve"> KULTTUR - Usi interior | Usi exterior | Parchet | Ferestre
</t>
  </si>
  <si>
    <t xml:space="preserve"> +40 757 874 874</t>
  </si>
  <si>
    <t xml:space="preserve"> https://kulttur.ro/</t>
  </si>
  <si>
    <t xml:space="preserve">Partner-Doors KFT, télikert, teraszbeépítés
</t>
  </si>
  <si>
    <t xml:space="preserve"> +36 1 287 8100</t>
  </si>
  <si>
    <t xml:space="preserve"> http://www.telikertet.hu/</t>
  </si>
  <si>
    <t xml:space="preserve"> ALUPROGRESS Kft.
</t>
  </si>
  <si>
    <t xml:space="preserve"> +36 70 282 6877</t>
  </si>
  <si>
    <t xml:space="preserve"> ADA-Alumínium Kft.
</t>
  </si>
  <si>
    <t xml:space="preserve">  +36 70 405 0362</t>
  </si>
  <si>
    <t xml:space="preserve"> https://adaalu.hu/</t>
  </si>
  <si>
    <t xml:space="preserve"> Duna-Alu Kft.
</t>
  </si>
  <si>
    <t xml:space="preserve"> +36 30 478 2132</t>
  </si>
  <si>
    <t xml:space="preserve"> http://www.dunaalu.hu/</t>
  </si>
  <si>
    <t xml:space="preserve"> Alumínium ablak
</t>
  </si>
  <si>
    <t xml:space="preserve"> +36 30 638 4020</t>
  </si>
  <si>
    <t xml:space="preserve"> Krokiglas Kft.
</t>
  </si>
  <si>
    <t xml:space="preserve"> +36 20 968 5716</t>
  </si>
  <si>
    <t xml:space="preserve"> https://www.krokiglass.hu/</t>
  </si>
  <si>
    <t xml:space="preserve"> Otto műanyag ablak es alumínium kft
</t>
  </si>
  <si>
    <t xml:space="preserve"> +36 70 671 7607</t>
  </si>
  <si>
    <t xml:space="preserve"> https://www.ottoplast.hu/</t>
  </si>
  <si>
    <t xml:space="preserve"> ALU-BASE Kft.
</t>
  </si>
  <si>
    <t xml:space="preserve"> +36 20 619 0230</t>
  </si>
  <si>
    <t xml:space="preserve"> http://alu-base.hu/</t>
  </si>
  <si>
    <t xml:space="preserve"> Helopal
</t>
  </si>
  <si>
    <t xml:space="preserve"> +36 99 537 510</t>
  </si>
  <si>
    <t xml:space="preserve"> https://www.helopal.hu/</t>
  </si>
  <si>
    <t>EMA European Quality Window Kft. Budapest</t>
  </si>
  <si>
    <t xml:space="preserve"> i didnt find the email</t>
  </si>
  <si>
    <t>+36 1 311 1555</t>
  </si>
  <si>
    <t>https://ema.hu/</t>
  </si>
  <si>
    <t xml:space="preserve"> Doorland Kft.
</t>
  </si>
  <si>
    <t xml:space="preserve"> +36 70 930 4980</t>
  </si>
  <si>
    <t xml:space="preserve"> https://doorland.hu/</t>
  </si>
  <si>
    <t xml:space="preserve"> Alukombi Kft.
</t>
  </si>
  <si>
    <t xml:space="preserve"> +36 30 916 9799</t>
  </si>
  <si>
    <t xml:space="preserve"> https://www.alukombi.hu/</t>
  </si>
  <si>
    <t xml:space="preserve"> L &amp; B Energetikai Kft. - alumínium nyílászáró gyártás
</t>
  </si>
  <si>
    <t xml:space="preserve">  +36 70 319 5478</t>
  </si>
  <si>
    <t xml:space="preserve"> https://www.facebook.com/lbenergetikaikft.hu/?paipv=0&amp;eav=AfbFg0H4Z9eQext6Lr9Lli159l-Adapp1vckB0LmnXxcGWBOZ2HaW5rmeKCtLcBACrE&amp;_rdr</t>
  </si>
  <si>
    <t xml:space="preserve"> Alumínium nyílászárók
</t>
  </si>
  <si>
    <t xml:space="preserve"> +36 20 404 1172</t>
  </si>
  <si>
    <t xml:space="preserve"> http://www.aluminiumnyilaszaro.hu/elerhetosegeink</t>
  </si>
  <si>
    <t>2023-04-19</t>
  </si>
  <si>
    <t xml:space="preserve"> Alu-Base Kft.
</t>
  </si>
  <si>
    <t xml:space="preserve"> AblakKing.hu - Műanyag redőny, Alumínium redőny, Nylászáró, Szunyogháló
</t>
  </si>
  <si>
    <t xml:space="preserve"> +36 20 520 3355</t>
  </si>
  <si>
    <t xml:space="preserve"> STRUCTURAL Kft. Dinnyés , Ipar u. 7.
</t>
  </si>
  <si>
    <t xml:space="preserve">  +36 20 973 7063</t>
  </si>
  <si>
    <t xml:space="preserve"> LTD Bau Kft.
</t>
  </si>
  <si>
    <t xml:space="preserve"> +36 30 953 6540</t>
  </si>
  <si>
    <t xml:space="preserve"> https://www.aluminiumnyilaszaro.eu/</t>
  </si>
  <si>
    <t xml:space="preserve"> Univermetál +
</t>
  </si>
  <si>
    <t xml:space="preserve"> +36 77 460 069</t>
  </si>
  <si>
    <t xml:space="preserve"> Aluplast Magyarország Kft.
</t>
  </si>
  <si>
    <t xml:space="preserve">  +36 1 424 8430</t>
  </si>
  <si>
    <t xml:space="preserve"> https://www.aluplast.net/hu/</t>
  </si>
  <si>
    <t xml:space="preserve"> Vibrohome Kft.
</t>
  </si>
  <si>
    <t xml:space="preserve">  +36 70 360 9114</t>
  </si>
  <si>
    <t xml:space="preserve"> https://stilusnyilaszaro.hu/</t>
  </si>
  <si>
    <t xml:space="preserve"> Nestor Trade Kft.
</t>
  </si>
  <si>
    <t xml:space="preserve"> +36 62 442 342</t>
  </si>
  <si>
    <t xml:space="preserve"> http://nestortrade.hu/</t>
  </si>
  <si>
    <t xml:space="preserve"> L-Winart Bt.
</t>
  </si>
  <si>
    <t xml:space="preserve"> +36 30 490 0383</t>
  </si>
  <si>
    <t xml:space="preserve"> https://ablakcsere.business.site/?utm_source=gmb&amp;utm_medium=referral</t>
  </si>
  <si>
    <t xml:space="preserve"> AluFlix Magyarország
</t>
  </si>
  <si>
    <t xml:space="preserve">  +36 20 262 0278
</t>
  </si>
  <si>
    <t xml:space="preserve"> http://www.aluflix.hu/</t>
  </si>
  <si>
    <t xml:space="preserve"> Euroline Window
</t>
  </si>
  <si>
    <t xml:space="preserve"> +36 70 419 7441</t>
  </si>
  <si>
    <t xml:space="preserve"> http://www.eurolineablak.hu/</t>
  </si>
  <si>
    <t xml:space="preserve"> Épkergép KFT
</t>
  </si>
  <si>
    <t xml:space="preserve"> +36 30 490 1170</t>
  </si>
  <si>
    <t xml:space="preserve"> http://epkergep.hu/</t>
  </si>
  <si>
    <t xml:space="preserve"> Erzo Fenster Kft.
</t>
  </si>
  <si>
    <t xml:space="preserve"> +36 1 336 1628</t>
  </si>
  <si>
    <t xml:space="preserve"> http://www.erzofenster.hu/</t>
  </si>
  <si>
    <t xml:space="preserve"> Letis Europe
</t>
  </si>
  <si>
    <t xml:space="preserve">  +36 30 990 8102</t>
  </si>
  <si>
    <t xml:space="preserve"> http://letis-europe.com/i/door_and_window_manufacturing/</t>
  </si>
  <si>
    <t xml:space="preserve"> Rosso-Therm Kft.
</t>
  </si>
  <si>
    <t xml:space="preserve"> +36 1 264 2087</t>
  </si>
  <si>
    <t xml:space="preserve"> http://www.ablakvaros.hu/</t>
  </si>
  <si>
    <t xml:space="preserve"> Fermont 92 Ipari, Szolgáltató és Szerelő Kft.
</t>
  </si>
  <si>
    <t xml:space="preserve"> +36 1 420 7925</t>
  </si>
  <si>
    <t xml:space="preserve"> Atrium Batta
</t>
  </si>
  <si>
    <t xml:space="preserve"> +36 23 550 072</t>
  </si>
  <si>
    <t xml:space="preserve"> https://www.atriumbatta.hu/</t>
  </si>
  <si>
    <t xml:space="preserve"> Gil-Trade Door Window Shop
</t>
  </si>
  <si>
    <t xml:space="preserve"> +36 1 453 0448</t>
  </si>
  <si>
    <t xml:space="preserve"> http://www.gil-trade.hu/</t>
  </si>
  <si>
    <t xml:space="preserve"> Borsod Fenster Kft.
</t>
  </si>
  <si>
    <t xml:space="preserve">  +36 70 772 1218</t>
  </si>
  <si>
    <t xml:space="preserve"> https://www.ceginformacio.hu/cr9310034674</t>
  </si>
  <si>
    <t xml:space="preserve"> Fenster Center Kft.
</t>
  </si>
  <si>
    <t xml:space="preserve"> +36 70 416 5378</t>
  </si>
  <si>
    <t xml:space="preserve"> http://www.fenstercenter.hu/</t>
  </si>
  <si>
    <t xml:space="preserve">Príma Redőny Budapest
</t>
  </si>
  <si>
    <t xml:space="preserve"> +36 30 549 7592</t>
  </si>
  <si>
    <t>http://primaredony.hu/adatkezelesi-tajekoztato</t>
  </si>
  <si>
    <t xml:space="preserve"> fa és műanyag ablak
</t>
  </si>
  <si>
    <t xml:space="preserve"> +36 20 290 3931</t>
  </si>
  <si>
    <t xml:space="preserve"> http://www.getax-ablak.hu/kapcsolat/</t>
  </si>
  <si>
    <t xml:space="preserve"> Ablakszolgálat
</t>
  </si>
  <si>
    <t xml:space="preserve"> +36 20 429 2143</t>
  </si>
  <si>
    <t xml:space="preserve"> https://ablakszolgalat.hu/</t>
  </si>
  <si>
    <t xml:space="preserve"> Nyíl-Ász Kft
</t>
  </si>
  <si>
    <t xml:space="preserve">  +36 70 458 3774</t>
  </si>
  <si>
    <t xml:space="preserve"> http://www.nyilaszarok.eu/</t>
  </si>
  <si>
    <t xml:space="preserve"> Mablakt Nyílászáró kft
</t>
  </si>
  <si>
    <t xml:space="preserve"> +36 70 946 2747</t>
  </si>
  <si>
    <t xml:space="preserve"> https://mablakt-nyilaszaro.hu/</t>
  </si>
  <si>
    <t xml:space="preserve"> Bakony Fenster Kft.
</t>
  </si>
  <si>
    <t xml:space="preserve"> +36 88 564 670</t>
  </si>
  <si>
    <t xml:space="preserve"> https://bakonyfenster.hu/</t>
  </si>
  <si>
    <t xml:space="preserve"> AluFrame Mérnökiroda Kft.
</t>
  </si>
  <si>
    <t xml:space="preserve"> +36 1 782 8141</t>
  </si>
  <si>
    <t xml:space="preserve"> https://www.aluframe.hu/</t>
  </si>
  <si>
    <t xml:space="preserve"> ema.hu Európai Minőség Ablakgyártó Kft. Érd
</t>
  </si>
  <si>
    <t xml:space="preserve">  +36 70 608 0808</t>
  </si>
  <si>
    <t xml:space="preserve"> https://ema.hu/</t>
  </si>
  <si>
    <t xml:space="preserve"> RONO-ROLL KFT.
</t>
  </si>
  <si>
    <t xml:space="preserve"> +36 70 677 0255</t>
  </si>
  <si>
    <t xml:space="preserve"> https://www.ablakcsere.eu/</t>
  </si>
  <si>
    <t xml:space="preserve"> BKS profil
</t>
  </si>
  <si>
    <t xml:space="preserve"> +36 30 222 9009</t>
  </si>
  <si>
    <t xml:space="preserve"> https://uvegterasz.hu/alkatreszek</t>
  </si>
  <si>
    <t>2023-04-17</t>
  </si>
  <si>
    <t xml:space="preserve">Fény Thermo Kft.
</t>
  </si>
  <si>
    <t xml:space="preserve"> +36 1 414 0234</t>
  </si>
  <si>
    <t xml:space="preserve"> http://www.fenythermo.hu/</t>
  </si>
  <si>
    <t>2023-04-13</t>
  </si>
  <si>
    <t xml:space="preserve"> KT Doors and Windows Ltd.
</t>
  </si>
  <si>
    <t xml:space="preserve"> +36 1 263 2031</t>
  </si>
  <si>
    <t xml:space="preserve"> https://ktablak.hu/</t>
  </si>
  <si>
    <t xml:space="preserve"> Predex Nyílászáró Kft
</t>
  </si>
  <si>
    <t xml:space="preserve">  +36 1 365 1056</t>
  </si>
  <si>
    <t xml:space="preserve"> https://www.predex.hu/</t>
  </si>
  <si>
    <t xml:space="preserve">BR-Modul Kft.
</t>
  </si>
  <si>
    <t xml:space="preserve"> +36 20 512 5016</t>
  </si>
  <si>
    <t xml:space="preserve"> http://www.modulablak.hu/</t>
  </si>
  <si>
    <t xml:space="preserve"> Halas Ablak Kft
</t>
  </si>
  <si>
    <t xml:space="preserve">  +36 30 358 5330</t>
  </si>
  <si>
    <t xml:space="preserve"> http://halasablak.hu/</t>
  </si>
  <si>
    <t xml:space="preserve"> Vibrohome Kft - Stílus Nyílászáró
</t>
  </si>
  <si>
    <t>+36 70 360 9114</t>
  </si>
  <si>
    <t xml:space="preserve"> https://ajto-ablak.net/</t>
  </si>
  <si>
    <t xml:space="preserve"> Ablakház Kft.
</t>
  </si>
  <si>
    <t xml:space="preserve"> +36 70 426 3106</t>
  </si>
  <si>
    <t xml:space="preserve"> https://ablakhaz.hu/</t>
  </si>
  <si>
    <t xml:space="preserve"> Tofa 2001 Kft.
</t>
  </si>
  <si>
    <t xml:space="preserve">  +36 1 321 0647</t>
  </si>
  <si>
    <t xml:space="preserve"> https://www.tofa.hu/</t>
  </si>
  <si>
    <t xml:space="preserve"> Árnyékolom Kft.
</t>
  </si>
  <si>
    <t xml:space="preserve">  +36 20 340 3765</t>
  </si>
  <si>
    <t xml:space="preserve"> Műanyag nyílászárók
</t>
  </si>
  <si>
    <t xml:space="preserve"> +36 30 247 4006</t>
  </si>
  <si>
    <t xml:space="preserve"> Lamella Ajtó-Ablak Kft
</t>
  </si>
  <si>
    <t xml:space="preserve"> +36 1 250 3968</t>
  </si>
  <si>
    <t xml:space="preserve">Serbial doo
</t>
  </si>
  <si>
    <t>Serbian</t>
  </si>
  <si>
    <t>+381358150005</t>
  </si>
  <si>
    <t>https://www.serbial.com/</t>
  </si>
  <si>
    <t xml:space="preserve"> Dual aluminium systems
</t>
  </si>
  <si>
    <t>+381222352367</t>
  </si>
  <si>
    <t xml:space="preserve">  http://www.stolarija.rs/</t>
  </si>
  <si>
    <t xml:space="preserve"> Lukal Aluminium System
</t>
  </si>
  <si>
    <t xml:space="preserve"> +381113238042</t>
  </si>
  <si>
    <t xml:space="preserve"> SN stolarija - Aluminijumska stolarija i PVC sistemi
</t>
  </si>
  <si>
    <t xml:space="preserve"> +381112564150</t>
  </si>
  <si>
    <t xml:space="preserve"> http://www.sn-stolarija.com/</t>
  </si>
  <si>
    <t>2023-04-16</t>
  </si>
  <si>
    <t xml:space="preserve"> Katped 05 d. o. o-aluminium windows,door,facades
</t>
  </si>
  <si>
    <t xml:space="preserve"> +381642130268</t>
  </si>
  <si>
    <t xml:space="preserve"> https://aluminium-windowsdoorfacades.business.site/?utm_source=gmb&amp;utm_medium=referral</t>
  </si>
  <si>
    <t xml:space="preserve"> Tara Aluminium
</t>
  </si>
  <si>
    <t xml:space="preserve"> https://tara-aluminium.business.site/</t>
  </si>
  <si>
    <t xml:space="preserve"> TQ - ALU
</t>
  </si>
  <si>
    <t xml:space="preserve"> +381117611999</t>
  </si>
  <si>
    <t xml:space="preserve"> http://www.tq-alu.com/</t>
  </si>
  <si>
    <t xml:space="preserve">Veranda d.o.o PVC Stolarija Beograd
</t>
  </si>
  <si>
    <t xml:space="preserve"> +381692010040</t>
  </si>
  <si>
    <t>https://www.veranda.co.rs/</t>
  </si>
  <si>
    <t xml:space="preserve"> Alu-San
</t>
  </si>
  <si>
    <t xml:space="preserve"> +3811658722</t>
  </si>
  <si>
    <t xml:space="preserve"> Aluminium Systems and Constructions (Proizvodnja)
</t>
  </si>
  <si>
    <t xml:space="preserve"> +381117700722</t>
  </si>
  <si>
    <t xml:space="preserve"> http://www.asc.co.rs/</t>
  </si>
  <si>
    <t xml:space="preserve"> Aluminium Systems and Constructions (Direkcija)
</t>
  </si>
  <si>
    <t xml:space="preserve"> +381112310990</t>
  </si>
  <si>
    <t xml:space="preserve"> http://asc.co.rs/</t>
  </si>
  <si>
    <t xml:space="preserve"> Vin Plast
</t>
  </si>
  <si>
    <t xml:space="preserve"> +381642047086</t>
  </si>
  <si>
    <t xml:space="preserve"> http://www.vinplast.rs/</t>
  </si>
  <si>
    <t xml:space="preserve"> Lift eling
</t>
  </si>
  <si>
    <t xml:space="preserve"> +381637749201</t>
  </si>
  <si>
    <t xml:space="preserve"> http://www.lifteling.rs/</t>
  </si>
  <si>
    <t xml:space="preserve"> EJ AluStone
</t>
  </si>
  <si>
    <t xml:space="preserve"> +381216897600</t>
  </si>
  <si>
    <t xml:space="preserve"> http://www.alustone.co.rs/</t>
  </si>
  <si>
    <t xml:space="preserve"> Alu-MT-Profil
</t>
  </si>
  <si>
    <t xml:space="preserve"> +38163519603</t>
  </si>
  <si>
    <t xml:space="preserve"> https://sudopere.shop/</t>
  </si>
  <si>
    <t xml:space="preserve"> Aluminijumska stolarija
</t>
  </si>
  <si>
    <t xml:space="preserve"> +381645644554</t>
  </si>
  <si>
    <t xml:space="preserve"> PVC &amp; ALU STOLARIJA "UNIVERS"
</t>
  </si>
  <si>
    <t xml:space="preserve"> +381645666733</t>
  </si>
  <si>
    <t xml:space="preserve"> https://www.facebook.com/universkm</t>
  </si>
  <si>
    <t xml:space="preserve"> AL-EUROPA DOO
</t>
  </si>
  <si>
    <t xml:space="preserve"> +38162480185</t>
  </si>
  <si>
    <t xml:space="preserve"> http://al-europa.com/</t>
  </si>
  <si>
    <t xml:space="preserve"> ILMAX - Proizvodnja i prodaja Alu i PVC Stolarije - PVC Prozori i Vrata
</t>
  </si>
  <si>
    <t xml:space="preserve"> +381113340327</t>
  </si>
  <si>
    <t xml:space="preserve"> http://www.ilmax.rs/</t>
  </si>
  <si>
    <t xml:space="preserve">Al-Sistem
</t>
  </si>
  <si>
    <t xml:space="preserve"> +381132332504</t>
  </si>
  <si>
    <t xml:space="preserve"> http://www.al-sistem.com/</t>
  </si>
  <si>
    <t xml:space="preserve"> Aluterm Alu i PVC stolarija i ograde
</t>
  </si>
  <si>
    <t xml:space="preserve"> +381652660980</t>
  </si>
  <si>
    <t xml:space="preserve"> PROAL NIŠ
</t>
  </si>
  <si>
    <t xml:space="preserve"> +381184289525</t>
  </si>
  <si>
    <t xml:space="preserve"> http://www.proal.rs/</t>
  </si>
  <si>
    <t xml:space="preserve"> POIMEX
</t>
  </si>
  <si>
    <t xml:space="preserve"> +381638166949</t>
  </si>
  <si>
    <t xml:space="preserve"> Alu-Max
</t>
  </si>
  <si>
    <t xml:space="preserve"> +38123546576</t>
  </si>
  <si>
    <t xml:space="preserve"> SA&amp;GA Plast
</t>
  </si>
  <si>
    <t xml:space="preserve"> +381112501422</t>
  </si>
  <si>
    <t xml:space="preserve"> Alpro plus
</t>
  </si>
  <si>
    <t xml:space="preserve"> +381643822599</t>
  </si>
  <si>
    <t xml:space="preserve"> http://www.alproplus.rs/</t>
  </si>
  <si>
    <t xml:space="preserve"> SEVERPLAST GRADNJA DOO
</t>
  </si>
  <si>
    <t xml:space="preserve"> +38125461769</t>
  </si>
  <si>
    <t xml:space="preserve"> https://www.severplast.rs/</t>
  </si>
  <si>
    <t xml:space="preserve"> ZOMAKS
</t>
  </si>
  <si>
    <t xml:space="preserve"> +381652476200</t>
  </si>
  <si>
    <t xml:space="preserve"> http://zomaks.co.rs/index_en.html</t>
  </si>
  <si>
    <t xml:space="preserve"> Lunik Aluminium
</t>
  </si>
  <si>
    <t xml:space="preserve"> +38116231160</t>
  </si>
  <si>
    <t xml:space="preserve"> http://www.aluograde.com/</t>
  </si>
  <si>
    <t xml:space="preserve"> Vilandar DOO
</t>
  </si>
  <si>
    <t xml:space="preserve"> +381358871555</t>
  </si>
  <si>
    <t xml:space="preserve"> http://www.vilandar.rs/</t>
  </si>
  <si>
    <t xml:space="preserve"> Demart Doo
</t>
  </si>
  <si>
    <t xml:space="preserve"> +381693440000</t>
  </si>
  <si>
    <t xml:space="preserve"> https://demart.rs/</t>
  </si>
  <si>
    <t xml:space="preserve"> Joviste
</t>
  </si>
  <si>
    <t xml:space="preserve"> +38124530350</t>
  </si>
  <si>
    <t xml:space="preserve"> http://www.joviste.rs/</t>
  </si>
  <si>
    <t xml:space="preserve"> SamaricaWindows</t>
  </si>
  <si>
    <t xml:space="preserve"> +38163313856</t>
  </si>
  <si>
    <t xml:space="preserve"> http://samaricawindows.com/</t>
  </si>
  <si>
    <t xml:space="preserve"> Plastal</t>
  </si>
  <si>
    <t xml:space="preserve"> +381112444210</t>
  </si>
  <si>
    <t xml:space="preserve"> http://www.plastal.rs/kontakt/</t>
  </si>
  <si>
    <t xml:space="preserve"> Al-Per
</t>
  </si>
  <si>
    <t>+38136821263</t>
  </si>
  <si>
    <t xml:space="preserve">  http://www.al-per.co.rs/</t>
  </si>
  <si>
    <t xml:space="preserve"> Jelen</t>
  </si>
  <si>
    <t xml:space="preserve"> +38749216838</t>
  </si>
  <si>
    <t xml:space="preserve"> http://www.jelen.ba/</t>
  </si>
  <si>
    <t xml:space="preserve"> Fimka Company
</t>
  </si>
  <si>
    <t xml:space="preserve"> +381694101111</t>
  </si>
  <si>
    <t xml:space="preserve"> http://www.fimkacompany.com/</t>
  </si>
  <si>
    <t xml:space="preserve"> IVI Promet
</t>
  </si>
  <si>
    <t xml:space="preserve"> +38134350206</t>
  </si>
  <si>
    <t xml:space="preserve"> http://www.ivipromet.com/</t>
  </si>
  <si>
    <t xml:space="preserve"> Lune
</t>
  </si>
  <si>
    <t xml:space="preserve"> +38123881270</t>
  </si>
  <si>
    <t xml:space="preserve"> TERMOINŽENJERING
</t>
  </si>
  <si>
    <t xml:space="preserve"> +38134301694</t>
  </si>
  <si>
    <t xml:space="preserve"> https://www.termoing.com/</t>
  </si>
  <si>
    <t xml:space="preserve"> Alucommerce systems d.o.o.
</t>
  </si>
  <si>
    <t xml:space="preserve"> +381112993996</t>
  </si>
  <si>
    <t xml:space="preserve"> http://www.alucommerce.rs/</t>
  </si>
  <si>
    <t xml:space="preserve"> ZASTAKLJIVANJE TERASA I KROVNE KONSTRUKCIJE Fit in
</t>
  </si>
  <si>
    <t xml:space="preserve"> +381118443074</t>
  </si>
  <si>
    <t xml:space="preserve"> http://www.fitin.rs/</t>
  </si>
  <si>
    <t xml:space="preserve"> Bonus Stan doo
</t>
  </si>
  <si>
    <t xml:space="preserve"> +38121417444</t>
  </si>
  <si>
    <t xml:space="preserve"> http://www.bonus-systems.com/</t>
  </si>
  <si>
    <t xml:space="preserve"> Vizus
</t>
  </si>
  <si>
    <t xml:space="preserve"> +38118577074</t>
  </si>
  <si>
    <t xml:space="preserve"> http://vizus.rs/</t>
  </si>
  <si>
    <t xml:space="preserve"> Sunce Marinković
</t>
  </si>
  <si>
    <t xml:space="preserve"> +38134330870</t>
  </si>
  <si>
    <t xml:space="preserve"> http://www.suncemarinkovic.com/</t>
  </si>
  <si>
    <t xml:space="preserve"> SB Roloplast
</t>
  </si>
  <si>
    <t xml:space="preserve"> +38123544949</t>
  </si>
  <si>
    <t xml:space="preserve"> PVC stolarija REHAU - Profiplast d.o.o. Beograd, Srbija
</t>
  </si>
  <si>
    <t xml:space="preserve"> +381112717470</t>
  </si>
  <si>
    <t xml:space="preserve"> http://www.profiplast.rs/</t>
  </si>
  <si>
    <t xml:space="preserve"> MDS PLAST
</t>
  </si>
  <si>
    <t xml:space="preserve"> +381646684760</t>
  </si>
  <si>
    <t xml:space="preserve"> http://www.mdsplast.rs/</t>
  </si>
  <si>
    <t xml:space="preserve"> IDEAL032 d.o.o.
</t>
  </si>
  <si>
    <t>+38132370045</t>
  </si>
  <si>
    <t xml:space="preserve">  http://www.ideal.co.rs/</t>
  </si>
  <si>
    <t xml:space="preserve"> Goldhaim d.o.o. Zemun
</t>
  </si>
  <si>
    <t xml:space="preserve"> +381606667904</t>
  </si>
  <si>
    <t xml:space="preserve"> https://goldhaim.com/</t>
  </si>
  <si>
    <t xml:space="preserve"> Hydro
</t>
  </si>
  <si>
    <t xml:space="preserve"> +381112461551</t>
  </si>
  <si>
    <t>Alukönigstahl Moldova</t>
  </si>
  <si>
    <t>Moldova</t>
  </si>
  <si>
    <t>+373 604 43 381</t>
  </si>
  <si>
    <t>http://www.alukoenigstahl.md/</t>
  </si>
  <si>
    <t xml:space="preserve"> ANCO SRL
</t>
  </si>
  <si>
    <t xml:space="preserve">  +373 692 98 509</t>
  </si>
  <si>
    <t>http://www.anco.md/contact/</t>
  </si>
  <si>
    <t xml:space="preserve"> GHEOLARIS S.A.
</t>
  </si>
  <si>
    <t xml:space="preserve"> +373 22 462 955</t>
  </si>
  <si>
    <t xml:space="preserve"> http://www.gheolaris.com/</t>
  </si>
  <si>
    <t xml:space="preserve"> Eco Ferestre | Ferestre Termopan | Usi PVC | Rolete exterioare
</t>
  </si>
  <si>
    <t xml:space="preserve"> +373 799 99 771</t>
  </si>
  <si>
    <t xml:space="preserve"> https://ecoferestre.md/</t>
  </si>
  <si>
    <t xml:space="preserve"> Doors and Windows Showroom
</t>
  </si>
  <si>
    <t xml:space="preserve">+373 693 07 073 </t>
  </si>
  <si>
    <t xml:space="preserve"> Termopane</t>
  </si>
  <si>
    <t xml:space="preserve"> +373 602 02 509</t>
  </si>
  <si>
    <t xml:space="preserve"> https://termopane.md/</t>
  </si>
  <si>
    <t xml:space="preserve"> Eco Ferestre
</t>
  </si>
  <si>
    <t xml:space="preserve">  +373 799 99 807</t>
  </si>
  <si>
    <t>https://ecoferestre.md/</t>
  </si>
  <si>
    <t xml:space="preserve"> EcoPlast
</t>
  </si>
  <si>
    <t xml:space="preserve"> +373 684 20 100</t>
  </si>
  <si>
    <t>http://www.ecoplast.md/</t>
  </si>
  <si>
    <t xml:space="preserve"> +373 799 99 774</t>
  </si>
  <si>
    <t xml:space="preserve"> Valent.md
</t>
  </si>
  <si>
    <t xml:space="preserve"> +373 788 55 558</t>
  </si>
  <si>
    <t xml:space="preserve"> https://valent.md/</t>
  </si>
  <si>
    <t xml:space="preserve"> Aluminiu Grup SRL
</t>
  </si>
  <si>
    <t xml:space="preserve">   +373 797 76 704</t>
  </si>
  <si>
    <t>https://aluminiugrup.md/</t>
  </si>
  <si>
    <t xml:space="preserve"> РОЛЛЕТЫ НА ОКНА РОЛЛЕТНЫЕ ВОРОТА
</t>
  </si>
  <si>
    <t xml:space="preserve"> +373 22 909 020</t>
  </si>
  <si>
    <t>FİRMA GENEL BİLGİLERİ</t>
  </si>
  <si>
    <t>1. İRTİBAT ŞEKLİ</t>
  </si>
  <si>
    <t xml:space="preserve">1. İRTİBAT TARİHİ </t>
  </si>
  <si>
    <t>1. İRTİBAT SONUCU</t>
  </si>
  <si>
    <t>MA</t>
  </si>
  <si>
    <t>New home upvc&amp;aluminum</t>
  </si>
  <si>
    <t>Kapı ve Pencere</t>
  </si>
  <si>
    <t xml:space="preserve">info@newhomeupvc.com
</t>
  </si>
  <si>
    <t>971 58 685 1480</t>
  </si>
  <si>
    <t>walaa</t>
  </si>
  <si>
    <t>https://www.facebook.com/profile.php?id=100077425217883</t>
  </si>
  <si>
    <t>CEVAP VERMEDİ</t>
  </si>
  <si>
    <t>Century Glass - Glass &amp; Aluminum Workshop</t>
  </si>
  <si>
    <t xml:space="preserve">Kapı </t>
  </si>
  <si>
    <t>info@centuryglass.ae</t>
  </si>
  <si>
    <t>971 4 347 6991</t>
  </si>
  <si>
    <t>https://www.facebook.com/CenturyGlass.ae/</t>
  </si>
  <si>
    <t>KATALOG GÖNDERİLDİ</t>
  </si>
  <si>
    <t>CEVAP YOK EMAIL</t>
  </si>
  <si>
    <t>Petra Aluminum Metal Manufacturing LLC</t>
  </si>
  <si>
    <t>İnşaat</t>
  </si>
  <si>
    <t>purchase2@petralu.com</t>
  </si>
  <si>
    <t>971 4 889 4100</t>
  </si>
  <si>
    <t xml:space="preserve">mr.Semir </t>
  </si>
  <si>
    <t>KATALOG GÖNDERİLDİ EMAIL</t>
  </si>
  <si>
    <t>call later for PD or MNG</t>
  </si>
  <si>
    <t>Proje olduğunda bizım ile iletisim geçerler</t>
  </si>
  <si>
    <t>Aluminum and Glass works</t>
  </si>
  <si>
    <t>aimtiaz683@gmail.com</t>
  </si>
  <si>
    <t xml:space="preserve">
+971 56 256 8755</t>
  </si>
  <si>
    <t>https://www.facebook.com/Aluminum-and-Glass-works-980713025462562/</t>
  </si>
  <si>
    <t>not importing</t>
  </si>
  <si>
    <t>Toptanci</t>
  </si>
  <si>
    <t>wating for the contact of PD or MNG</t>
  </si>
  <si>
    <t xml:space="preserve">KATALOG GÖNDERİLDİ </t>
  </si>
  <si>
    <t>Shams alsaray aluminum &amp; steel products installation</t>
  </si>
  <si>
    <t>00971 56 813 9843</t>
  </si>
  <si>
    <t>mr jihad</t>
  </si>
  <si>
    <t>https://www.facebook.com/Shams-alsaray-aluminum-steel-products-installation-107322602092336/</t>
  </si>
  <si>
    <t>FİYAT TEKLİFİ İSTEDİ</t>
  </si>
  <si>
    <t>السلام الالمونيوم</t>
  </si>
  <si>
    <t>964 770 981 4593</t>
  </si>
  <si>
    <t>ismail</t>
  </si>
  <si>
    <t>SONRA KONUSALIM</t>
  </si>
  <si>
    <t>Bizalco التعهدات الالمونيوم</t>
  </si>
  <si>
    <t>961 71 989 995</t>
  </si>
  <si>
    <t xml:space="preserve">PROJE OLDUĞUNDA BIZIM ILE ILETISIM GEÇERLER
</t>
  </si>
  <si>
    <t>~الطريق الصحيح للالمنيوم والابواب الحديثة</t>
  </si>
  <si>
    <t>ırak</t>
  </si>
  <si>
    <t>964 771 794 3004</t>
  </si>
  <si>
    <t>Bashir</t>
  </si>
  <si>
    <t>https://www.facebook.com/people/Green-Ladder-Contracting-Co/100076164337345/</t>
  </si>
  <si>
    <t>GlassTec</t>
  </si>
  <si>
    <t>961 70 721 918</t>
  </si>
  <si>
    <t>lilian</t>
  </si>
  <si>
    <t>Toyo Aluminum Composite Panels</t>
  </si>
  <si>
    <t>Filipinler</t>
  </si>
  <si>
    <t>cladding</t>
  </si>
  <si>
    <t xml:space="preserve">
+63 922 898 2674</t>
  </si>
  <si>
    <t>https://www.facebook.com/ToyoPanels/</t>
  </si>
  <si>
    <t xml:space="preserve"> +49 5904 950-0 
</t>
  </si>
  <si>
    <t>https://www.foppe.de/kontakt</t>
  </si>
  <si>
    <t>Alu Group</t>
  </si>
  <si>
    <t>singh@alugp-com</t>
  </si>
  <si>
    <t xml:space="preserve"> +49 40 / 571 996 380
</t>
  </si>
  <si>
    <t>https://alugp.com/contact/</t>
  </si>
  <si>
    <t>https://www.wertbau.de/de/</t>
  </si>
  <si>
    <t>next week</t>
  </si>
  <si>
    <t>ROBERT SCHWEIKER GMBH</t>
  </si>
  <si>
    <t>https://www.schweiker.de/kontakt/</t>
  </si>
  <si>
    <t>VEKA</t>
  </si>
  <si>
    <t xml:space="preserve">info@veka.com
</t>
  </si>
  <si>
    <t>https://www.veka.de/chDE/homepage/kontakt.html</t>
  </si>
  <si>
    <t xml:space="preserve"> info@weru.de</t>
  </si>
  <si>
    <t>Wikowski</t>
  </si>
  <si>
    <t>https://www.weru.com/de/</t>
  </si>
  <si>
    <t>anwk@dovista.com</t>
  </si>
  <si>
    <t>06051 60000</t>
  </si>
  <si>
    <t>https://www.hoefler-fenster.de/</t>
  </si>
  <si>
    <t>iki saat sonra ara</t>
  </si>
  <si>
    <t xml:space="preserve">Alu-Max
</t>
  </si>
  <si>
    <t xml:space="preserve">264(64)404447
</t>
  </si>
  <si>
    <t>ERG</t>
  </si>
  <si>
    <t>https://www.eurasianresources.lu/</t>
  </si>
  <si>
    <t>press@erg.net</t>
  </si>
  <si>
    <r>
      <rPr>
        <u/>
        <sz val="11"/>
        <color rgb="FF1155CC"/>
        <rFont val="Arial"/>
      </rPr>
      <t>https://www.absltd.co.uk/</t>
    </r>
    <r>
      <rPr>
        <sz val="11"/>
        <color theme="1"/>
        <rFont val="Arial"/>
      </rPr>
      <t>/</t>
    </r>
  </si>
  <si>
    <t>01623 721 172</t>
  </si>
  <si>
    <t>Laurah</t>
  </si>
  <si>
    <t>laurah@absltd.co.uk</t>
  </si>
  <si>
    <t>http://staraluminium.co.za/</t>
  </si>
  <si>
    <t>031 468 4522</t>
  </si>
  <si>
    <t>Elien</t>
  </si>
  <si>
    <t xml:space="preserve">half an hour </t>
  </si>
  <si>
    <t>https://www.jayceeglass.co.za/</t>
  </si>
  <si>
    <t>27 72 181 3897</t>
  </si>
  <si>
    <t xml:space="preserve">Alico Kuwait
</t>
  </si>
  <si>
    <t xml:space="preserve">PROJE GÖNDERECEK
</t>
  </si>
  <si>
    <t>ابراهيم حمدان من اليكو الكويت</t>
  </si>
  <si>
    <t xml:space="preserve">AHLIA ALUMINIUM
</t>
  </si>
  <si>
    <t>Muhammed josim(all kinds of aluminium work )</t>
  </si>
  <si>
    <t xml:space="preserve">Fahaheel industry area kuwait
</t>
  </si>
  <si>
    <t xml:space="preserve">Aluminum &amp; Glass
المنيوم المسيليم
</t>
  </si>
  <si>
    <t xml:space="preserve">ألمنيوم الكوثر
</t>
  </si>
  <si>
    <t xml:space="preserve">Gulf Aluminium Showroom
</t>
  </si>
  <si>
    <t>https://gulf-aluminium.com/</t>
  </si>
  <si>
    <t>numara calismiyor email</t>
  </si>
  <si>
    <t xml:space="preserve">مصنع شيهانه لأعمال الألمنيوم
</t>
  </si>
  <si>
    <t>Aluminum Al Qattan Factory
مصنع القطان الالمنيوم</t>
  </si>
  <si>
    <t>CEVAP YOK WP</t>
  </si>
  <si>
    <t>شركة عربي قسم الالمنيوم - قسم لوازم البناء - احواض السباحة</t>
  </si>
  <si>
    <t>info@arabicompany.net</t>
  </si>
  <si>
    <t xml:space="preserve">info@amkanint.com
</t>
  </si>
  <si>
    <t>https://amkanint.com/contact-us/</t>
  </si>
  <si>
    <t xml:space="preserve">ألمنيوم المسباح ش.م.ك.م
</t>
  </si>
  <si>
    <t xml:space="preserve">مصنع شيهانه الدولية لأعمال الألمنيوم
</t>
  </si>
  <si>
    <t xml:space="preserve">ابواب المنيوم ٩٧٧١٠٠٦٤ شبابيك الالمنيوم
</t>
  </si>
  <si>
    <t xml:space="preserve">Alufix for aluminum
</t>
  </si>
  <si>
    <t xml:space="preserve">Al fadli aluminium الفضلي المنيوم
</t>
  </si>
  <si>
    <t xml:space="preserve">المنيوم العيسى
</t>
  </si>
  <si>
    <t>ALCICO Aluminium Company</t>
  </si>
  <si>
    <t>965 9723 6518</t>
  </si>
  <si>
    <t>gorge</t>
  </si>
  <si>
    <t xml:space="preserve">شركة مصنع ثريكو للالمنيوم والمطابخ والزجاج
</t>
  </si>
  <si>
    <t xml:space="preserve">شتر و المونيم
</t>
  </si>
  <si>
    <t xml:space="preserve">BROXEL ALUMINIUM
</t>
  </si>
  <si>
    <t xml:space="preserve">مصنع المنيوم سافكو 276
</t>
  </si>
  <si>
    <t>Arcada Aluminium Factory - اركادا لصناعة الألمنيوم</t>
  </si>
  <si>
    <t xml:space="preserve">UAMCCO Factory
</t>
  </si>
  <si>
    <t>alucobond</t>
  </si>
  <si>
    <t>49 7731 941-2060</t>
  </si>
  <si>
    <t>فني المنيوم - تركيب تصليح شتر - شاور بوكس</t>
  </si>
  <si>
    <t xml:space="preserve">باب الريان لأعمال الألمنيوم والحدادة bab alrayan for aluminium and steel co
</t>
  </si>
  <si>
    <t>Alu Pro</t>
  </si>
  <si>
    <t>961 70 159 799</t>
  </si>
  <si>
    <t>https://aluprolb.com/</t>
  </si>
  <si>
    <t>Abdullah</t>
  </si>
  <si>
    <t>ziyarete gelen müsteri</t>
  </si>
  <si>
    <t xml:space="preserve">AlSahoo Aluminium co. السهو للالومنيوم
</t>
  </si>
  <si>
    <t xml:space="preserve">Masco Aluminium works Co.
</t>
  </si>
  <si>
    <t xml:space="preserve">New Aluminium AlSarraf
</t>
  </si>
  <si>
    <t>om mohamed</t>
  </si>
  <si>
    <t xml:space="preserve">Classic House Aluminium Factory
</t>
  </si>
  <si>
    <t>müdür londrada</t>
  </si>
  <si>
    <t xml:space="preserve">Kuwait Armenian Aluminium Co.
</t>
  </si>
  <si>
    <t>aftrer 3 pm</t>
  </si>
  <si>
    <t xml:space="preserve">Goal Aluminum Projects Co.
</t>
  </si>
  <si>
    <t>goalq8@yahoo.com</t>
  </si>
  <si>
    <t xml:space="preserve">Smart Metals Group
</t>
  </si>
  <si>
    <t>https://smgroup-me.com/about-us/contact/</t>
  </si>
  <si>
    <t>https://smgroup-me.com/</t>
  </si>
  <si>
    <t xml:space="preserve">Marafi Aluminium &amp; Stainless Steel
</t>
  </si>
  <si>
    <t xml:space="preserve">الدوسري لصناعات الالمنيوم
</t>
  </si>
  <si>
    <t xml:space="preserve">ALUTECH ALUMINIUM
</t>
  </si>
  <si>
    <t>SAFCO</t>
  </si>
  <si>
    <t>http://safco-kuwait.com/</t>
  </si>
  <si>
    <t xml:space="preserve">Hadia Aluminium
</t>
  </si>
  <si>
    <t xml:space="preserve">Hayat By Technal Kuwait
</t>
  </si>
  <si>
    <t xml:space="preserve"> +974 4460 0258</t>
  </si>
  <si>
    <t xml:space="preserve">Desert Line Aluminium - Aluminium Fabrication and Manufacturing
</t>
  </si>
  <si>
    <t>974 7449 2017​</t>
  </si>
  <si>
    <t>https://desertlinealuminium.com/</t>
  </si>
  <si>
    <t xml:space="preserve">UPVC and Aluminium works
</t>
  </si>
  <si>
    <t xml:space="preserve">
Sweis Aluminium
</t>
  </si>
  <si>
    <t xml:space="preserve">Mamun Aluminium
</t>
  </si>
  <si>
    <t xml:space="preserve">AL MAJED ALUMINIUM, UPVC AND STEEL WLL
</t>
  </si>
  <si>
    <t xml:space="preserve">
FBK For Trading Glass And Aluminium
</t>
  </si>
  <si>
    <t>90 552 348 40 12</t>
  </si>
  <si>
    <t xml:space="preserve">Qatar National Aluminium Panel Co.
</t>
  </si>
  <si>
    <t>sales@q-nap.com</t>
  </si>
  <si>
    <r>
      <rPr>
        <u/>
        <sz val="11"/>
        <color rgb="FF1155CC"/>
        <rFont val="Arial"/>
      </rPr>
      <t>https://q-nap.com/contactus</t>
    </r>
    <r>
      <rPr>
        <sz val="11"/>
        <color theme="1"/>
        <rFont val="Arial"/>
      </rPr>
      <t>s</t>
    </r>
  </si>
  <si>
    <t xml:space="preserve">British Aluminium &amp; Glass Trading
</t>
  </si>
  <si>
    <t xml:space="preserve">Fatah Al-Khair Aluminium Factory مصنع المنيوم فتح الخير
</t>
  </si>
  <si>
    <t>NOT INTERESTED</t>
  </si>
  <si>
    <t xml:space="preserve">Arabi Co. Head Office &amp; Arabi Factory for Aluminium Works
</t>
  </si>
  <si>
    <t>Numara Yanlis</t>
  </si>
  <si>
    <t xml:space="preserve">Omran Kuwait for Aluminium
</t>
  </si>
  <si>
    <t xml:space="preserve">SABA STEEL IRON AND ALUMINIUM TRADING COMPANY
</t>
  </si>
  <si>
    <t xml:space="preserve">Syndicate Trading Co.
</t>
  </si>
  <si>
    <t xml:space="preserve">G4 Aluminum Trading Company
</t>
  </si>
  <si>
    <t>info@g4kw.com</t>
  </si>
  <si>
    <t>http://www.g4kw.com/</t>
  </si>
  <si>
    <t>عبد الرحمن نافكو</t>
  </si>
  <si>
    <t>966 50 125 2923</t>
  </si>
  <si>
    <t xml:space="preserve">Arabi Company W.L.L. Aluminum &amp; Building System Sections
</t>
  </si>
  <si>
    <t>https://arabicompany.net/index.php/local-branches</t>
  </si>
  <si>
    <t>tatilde haftaya doner</t>
  </si>
  <si>
    <t>bi saat sonra ara</t>
  </si>
  <si>
    <t xml:space="preserve">Alu glass
</t>
  </si>
  <si>
    <t xml:space="preserve">Panorama International for doors and windows Co.
</t>
  </si>
  <si>
    <t>https://www.blk.com.kw/pages/contact-us</t>
  </si>
  <si>
    <t xml:space="preserve">Top Rock company,Al rai
</t>
  </si>
  <si>
    <t>SES ANLASILMIYORDU</t>
  </si>
  <si>
    <t xml:space="preserve">RZQ Glass
</t>
  </si>
  <si>
    <t>Ducting And Servicing Company - Dasco</t>
  </si>
  <si>
    <t>info.dasco@marafiegroup.com</t>
  </si>
  <si>
    <t xml:space="preserve">info@wincokw.com
</t>
  </si>
  <si>
    <t xml:space="preserve">Al Khalid Group
</t>
  </si>
  <si>
    <t>http://www.alkhalidgroup.com/al-khalid-aluminium/</t>
  </si>
  <si>
    <t xml:space="preserve">965 99867592
</t>
  </si>
  <si>
    <t>~شركه الأندلس  للتجارة   الدمام  محمد  الخليفه</t>
  </si>
  <si>
    <t>966 50 748 5194</t>
  </si>
  <si>
    <t xml:space="preserve">المنيوم حسن
</t>
  </si>
  <si>
    <t xml:space="preserve">Sobelver aluminium Marrakech
</t>
  </si>
  <si>
    <t xml:space="preserve">Escomax company
</t>
  </si>
  <si>
    <t xml:space="preserve">Manazel for aluminum
</t>
  </si>
  <si>
    <t xml:space="preserve">Dubal Building Materials Co. (W.L.L.)
</t>
  </si>
  <si>
    <t xml:space="preserve">Hyeroll Trading Co.
</t>
  </si>
  <si>
    <t xml:space="preserve">Amkan International
</t>
  </si>
  <si>
    <t xml:space="preserve">Al MAShAAN STEEL COMPANY
</t>
  </si>
  <si>
    <t xml:space="preserve">MIDDLE EAST GLASS &amp; ALUMINIUM
</t>
  </si>
  <si>
    <t xml:space="preserve">Al Fateh Aluminium Company
</t>
  </si>
  <si>
    <t xml:space="preserve">974 7721 2166
</t>
  </si>
  <si>
    <t xml:space="preserve">Choice Aluminium - Aluminium Fabrication,Aluminium Doors, Aluminium Kitchen in Doha
</t>
  </si>
  <si>
    <t xml:space="preserve">Sk aluminium fabrication works
</t>
  </si>
  <si>
    <t xml:space="preserve">Jabal yafa Aluminium جبل يافع للألمنيوم
</t>
  </si>
  <si>
    <t>CEVAP VERMED WP</t>
  </si>
  <si>
    <t>Sk aluminium</t>
  </si>
  <si>
    <t xml:space="preserve">ALTECH ALUMINIUM &amp; STEEL
</t>
  </si>
  <si>
    <t xml:space="preserve">Saad Al Kaabi Steel &amp; Aluminium
</t>
  </si>
  <si>
    <t xml:space="preserve">British Aluminium LLC (Qatar)
</t>
  </si>
  <si>
    <t>Upvc Aluminium &amp; Carpentry fabrication</t>
  </si>
  <si>
    <t xml:space="preserve">Al Hussaini Aluminium and UPVC
</t>
  </si>
  <si>
    <t xml:space="preserve">KHALOORI ALUMINIUM FACTORY مصنع المنيوم خلوري
</t>
  </si>
  <si>
    <t xml:space="preserve">Al Rukaie Aluminium &amp; Glass Factory
</t>
  </si>
  <si>
    <t xml:space="preserve">Middle East Aluminium Glass
</t>
  </si>
  <si>
    <t xml:space="preserve">elzarwa aluminium steel
</t>
  </si>
  <si>
    <t xml:space="preserve">Al Muraikh aluminium and steel
</t>
  </si>
  <si>
    <t xml:space="preserve">E.M.A ALUMINIUM TRED.
</t>
  </si>
  <si>
    <t xml:space="preserve">BESTCO ALUMINIUM &amp; STEEL
</t>
  </si>
  <si>
    <t xml:space="preserve">SPECIALIZED ALUMINIUM &amp; STEEL CO. W.L.L.
</t>
  </si>
  <si>
    <t xml:space="preserve">Royal Aluminium N Steel Showroom
</t>
  </si>
  <si>
    <t xml:space="preserve">Techstar Aluminium and steel
</t>
  </si>
  <si>
    <t xml:space="preserve">Al Daffa Aluminium, Upvc &amp; Steel Works
</t>
  </si>
  <si>
    <t xml:space="preserve">A A Metals
</t>
  </si>
  <si>
    <t xml:space="preserve">ITF Aluminium
</t>
  </si>
  <si>
    <t xml:space="preserve">Bifold Sales
</t>
  </si>
  <si>
    <t xml:space="preserve">kontera ltd
</t>
  </si>
  <si>
    <t xml:space="preserve">Bobby Lee Aluminum Inc
</t>
  </si>
  <si>
    <t>ABD</t>
  </si>
  <si>
    <t xml:space="preserve">True Aluminum
</t>
  </si>
  <si>
    <t>AL DANA ALUMINUM PRODUCTS,QATAR (ALDANA BOND)</t>
  </si>
  <si>
    <t xml:space="preserve">ALBINALI Aluminium Workshop
</t>
  </si>
  <si>
    <t xml:space="preserve">Al Khair Trading &amp; Aluminium Co. W.L.L.
</t>
  </si>
  <si>
    <t xml:space="preserve">AL-DERISHA DECOR &amp; ALUMINIUM
</t>
  </si>
  <si>
    <t xml:space="preserve">Al Jazeers Aluminium &amp; Steel Co.
</t>
  </si>
  <si>
    <t>HAI ALL MAZRA, Aluminium Workshop</t>
  </si>
  <si>
    <t>Aluminium Workshop</t>
  </si>
  <si>
    <t xml:space="preserve">Nurul Absar Aluminium &amp;Glass Est.
</t>
  </si>
  <si>
    <t>971 50 583 4386</t>
  </si>
  <si>
    <t xml:space="preserve">STC Aluminium Windows &amp; Doors
</t>
  </si>
  <si>
    <t xml:space="preserve">Aluminium &amp; UPVC Workshop
</t>
  </si>
  <si>
    <t xml:space="preserve">NORTHERN STAR FACTORY.
</t>
  </si>
  <si>
    <t>Nael Aluminium And Glass Works - Sole Proprietorship L.L.C.</t>
  </si>
  <si>
    <t xml:space="preserve">East Coast Powder Coating and Aluminium Factory
</t>
  </si>
  <si>
    <t xml:space="preserve">أمجاد ينقل الوطنية- ورشة ألمنيوم- Aluminium Workshop
</t>
  </si>
  <si>
    <t xml:space="preserve">Belgium Aluminium &amp; Glass Factory
</t>
  </si>
  <si>
    <t>info@belgiumagi.com</t>
  </si>
  <si>
    <t>Desert Steel And Aluminium Factory llc</t>
  </si>
  <si>
    <t>Decent aluminium &amp; Glass trading Co llc</t>
  </si>
  <si>
    <t xml:space="preserve">         AlM AFRİCA</t>
  </si>
  <si>
    <t>İNTERFER</t>
  </si>
  <si>
    <t>İmalum maroc</t>
  </si>
  <si>
    <t>HAKU - Aluminium und mehr-ein Leben lang -</t>
  </si>
  <si>
    <t xml:space="preserve"> info@haku-gmbh.de</t>
  </si>
  <si>
    <t xml:space="preserve">Euro Überdachung | Carports &amp; Terrassenüberdachungen
</t>
  </si>
  <si>
    <t>info@euro-ueberdachung.de</t>
  </si>
  <si>
    <t xml:space="preserve">Alumafel tlemcen
</t>
  </si>
  <si>
    <t xml:space="preserve">Allers Aluminium
</t>
  </si>
  <si>
    <t xml:space="preserve">
Tel: +264 (0) 61 261 455</t>
  </si>
  <si>
    <t>lorian@allersaluminium.com
patric@allersaluminium.com
sales@allersaluminium.com</t>
  </si>
  <si>
    <t xml:space="preserve">Been </t>
  </si>
  <si>
    <t xml:space="preserve">after 2  weeks </t>
  </si>
  <si>
    <t xml:space="preserve">WINDOW ELEMENTS
</t>
  </si>
  <si>
    <t>Malezya</t>
  </si>
  <si>
    <t xml:space="preserve">60 12-431 2932
</t>
  </si>
  <si>
    <t>pmd</t>
  </si>
  <si>
    <t>Azerbaycan</t>
  </si>
  <si>
    <t>994 51 233 21 13</t>
  </si>
  <si>
    <t>Ayşen</t>
  </si>
  <si>
    <t>2 saat sonra</t>
  </si>
  <si>
    <t xml:space="preserve">GLASS HOUSE
</t>
  </si>
  <si>
    <t>994 77 277 25 69</t>
  </si>
  <si>
    <t>Shahin</t>
  </si>
  <si>
    <t xml:space="preserve">HASANOĞLU </t>
  </si>
  <si>
    <t xml:space="preserve">99 412 447 48 88
</t>
  </si>
  <si>
    <t>ALTIS</t>
  </si>
  <si>
    <t xml:space="preserve">CAHAN İNŞAAT MMC
</t>
  </si>
  <si>
    <t xml:space="preserve"> +994 36 544 13 15</t>
  </si>
  <si>
    <t>office@cahan.az</t>
  </si>
  <si>
    <t xml:space="preserve">SUNTECH VERA
</t>
  </si>
  <si>
    <t>994 50 221 8620</t>
  </si>
  <si>
    <t xml:space="preserve">Vedat Eroğlu
</t>
  </si>
  <si>
    <t>ZQAN CONSTRUCTION</t>
  </si>
  <si>
    <t xml:space="preserve">994 50 201 71 70
</t>
  </si>
  <si>
    <t>Elshad Bayramov</t>
  </si>
  <si>
    <t xml:space="preserve">www.windoline.com
</t>
  </si>
  <si>
    <t>windoline@inbox.ru</t>
  </si>
  <si>
    <t xml:space="preserve">HAUTAU
</t>
  </si>
  <si>
    <t xml:space="preserve">994 012 565 00 61
</t>
  </si>
  <si>
    <t xml:space="preserve">www.hautau.de
</t>
  </si>
  <si>
    <t>Rehşan Ahmedov</t>
  </si>
  <si>
    <t>http://www.hautau.de/</t>
  </si>
  <si>
    <t>IDEAL CONSTRUCTION</t>
  </si>
  <si>
    <t>994 50 201-11-45</t>
  </si>
  <si>
    <t>Cavanşir Aliyev</t>
  </si>
  <si>
    <t xml:space="preserve">AMASS GROUP
</t>
  </si>
  <si>
    <t xml:space="preserve">994 50 201 51 92
</t>
  </si>
  <si>
    <t>PROGRESS CONSTRUCTION LLC</t>
  </si>
  <si>
    <t xml:space="preserve">994 55 212 4207
</t>
  </si>
  <si>
    <t xml:space="preserve">WINDOLINE
</t>
  </si>
  <si>
    <t>pvc</t>
  </si>
  <si>
    <t xml:space="preserve">GEA GROUP
</t>
  </si>
  <si>
    <t>Gürcistan</t>
  </si>
  <si>
    <t>+995 597 227 000</t>
  </si>
  <si>
    <t xml:space="preserve">Gela Devadze
</t>
  </si>
  <si>
    <t>Sali gün gelecekmis</t>
  </si>
  <si>
    <t xml:space="preserve">VIVA PLASTIC
</t>
  </si>
  <si>
    <t xml:space="preserve">995 599 17 57 57
</t>
  </si>
  <si>
    <t xml:space="preserve">George Sikharulidze
</t>
  </si>
  <si>
    <t>ASAS tan aliyor</t>
  </si>
  <si>
    <t>ARGO</t>
  </si>
  <si>
    <t>995 599 845698</t>
  </si>
  <si>
    <t>IMPOSTI</t>
  </si>
  <si>
    <t xml:space="preserve">995 591 42 88 88
</t>
  </si>
  <si>
    <t xml:space="preserve">Vladimer Maisuradze
</t>
  </si>
  <si>
    <t>KARM PLAST</t>
  </si>
  <si>
    <t xml:space="preserve">374 091 42 46 18
</t>
  </si>
  <si>
    <t xml:space="preserve">EUROSTAN
</t>
  </si>
  <si>
    <t xml:space="preserve">374 10 67 10 21
</t>
  </si>
  <si>
    <t xml:space="preserve">MEGAPOLIS CONSTRUCTION
</t>
  </si>
  <si>
    <t xml:space="preserve">374 11 21 22 33
</t>
  </si>
  <si>
    <t xml:space="preserve">NUMARA YANLIS
</t>
  </si>
  <si>
    <t xml:space="preserve">FARIN
</t>
  </si>
  <si>
    <t>Tacikistan</t>
  </si>
  <si>
    <t xml:space="preserve">ROMSAR
</t>
  </si>
  <si>
    <t xml:space="preserve">992 37 441-10-00
</t>
  </si>
  <si>
    <t xml:space="preserve">SALYKHAT
</t>
  </si>
  <si>
    <t>Türkmenistan</t>
  </si>
  <si>
    <t xml:space="preserve">993 12 47 30 44
</t>
  </si>
  <si>
    <t xml:space="preserve">MT
</t>
  </si>
  <si>
    <t xml:space="preserve">90 539 509 22 33
</t>
  </si>
  <si>
    <t xml:space="preserve">ALCOPON
</t>
  </si>
  <si>
    <t>Özbekistan</t>
  </si>
  <si>
    <t xml:space="preserve">998 97 703 77 54
</t>
  </si>
  <si>
    <t xml:space="preserve">HB GLASS
</t>
  </si>
  <si>
    <t>+255 782 500 552</t>
  </si>
  <si>
    <t>Mr.Huzeifa</t>
  </si>
  <si>
    <t xml:space="preserve">FOCUS ALUMINIUM
</t>
  </si>
  <si>
    <t xml:space="preserve">254 759 914 963
</t>
  </si>
  <si>
    <t xml:space="preserve">https://focusaluminium.com/
</t>
  </si>
  <si>
    <t xml:space="preserve">WINDOW PLUS E A
</t>
  </si>
  <si>
    <t xml:space="preserve">254 0724255405
</t>
  </si>
  <si>
    <t xml:space="preserve">HABETULLAH BROTHERS LTD
</t>
  </si>
  <si>
    <t xml:space="preserve">254 0722/0733-786 606
</t>
  </si>
  <si>
    <t xml:space="preserve">INOVA LTD.
</t>
  </si>
  <si>
    <t xml:space="preserve">256 706 822642
</t>
  </si>
  <si>
    <t xml:space="preserve">METALUM 
</t>
  </si>
  <si>
    <t xml:space="preserve">234 814 745 0331
</t>
  </si>
  <si>
    <t xml:space="preserve">RONGTAI ALUMINIUM
</t>
  </si>
  <si>
    <t>Nijerya</t>
  </si>
  <si>
    <t>nami</t>
  </si>
  <si>
    <t xml:space="preserve">Rydan </t>
  </si>
  <si>
    <t>tunısıe profıles Alumınıum</t>
  </si>
  <si>
    <t>monam</t>
  </si>
  <si>
    <t>Abderrahım</t>
  </si>
  <si>
    <t>Negoce Veysal</t>
  </si>
  <si>
    <t>Fransa</t>
  </si>
  <si>
    <t>33 6 21 23 68 19</t>
  </si>
  <si>
    <t>Ugur</t>
  </si>
  <si>
    <t>HAIF COMPANY</t>
  </si>
  <si>
    <t>962 7 9601 1811</t>
  </si>
  <si>
    <t>MHM</t>
  </si>
  <si>
    <t>Tafseel Alumium</t>
  </si>
  <si>
    <t>CREATIVE CLOSETS</t>
  </si>
  <si>
    <t>isopam</t>
  </si>
  <si>
    <t xml:space="preserve">Seba group </t>
  </si>
  <si>
    <t>sieger</t>
  </si>
  <si>
    <t>Kazakistan</t>
  </si>
  <si>
    <t>boglan</t>
  </si>
  <si>
    <t>Hoonam</t>
  </si>
  <si>
    <t>iran</t>
  </si>
  <si>
    <t>Amit Jafari</t>
  </si>
  <si>
    <t>Bel chile</t>
  </si>
  <si>
    <t>Şili</t>
  </si>
  <si>
    <t>56 225024990</t>
  </si>
  <si>
    <t>cristobal</t>
  </si>
  <si>
    <t>Ravshan biolding</t>
  </si>
  <si>
    <t>Güney Sudan</t>
  </si>
  <si>
    <t>khakimov</t>
  </si>
  <si>
    <t>Salah naser</t>
  </si>
  <si>
    <t>Mısır</t>
  </si>
  <si>
    <t>20 102 914 2273</t>
  </si>
  <si>
    <t>salah</t>
  </si>
  <si>
    <t>alkhas for trade</t>
  </si>
  <si>
    <t>966 50 275 6792</t>
  </si>
  <si>
    <t>tarek</t>
  </si>
  <si>
    <t>muaz ahmed</t>
  </si>
  <si>
    <t>962 7 9779 1035</t>
  </si>
  <si>
    <t>Arabella</t>
  </si>
  <si>
    <t>98 914 102 4124</t>
  </si>
  <si>
    <t xml:space="preserve">Al fareed </t>
  </si>
  <si>
    <t>962 7 9973 0025</t>
  </si>
  <si>
    <t>ASC</t>
  </si>
  <si>
    <t>381 63 688339</t>
  </si>
  <si>
    <t>Borıs</t>
  </si>
  <si>
    <t xml:space="preserve">Dacani </t>
  </si>
  <si>
    <t>Filistin</t>
  </si>
  <si>
    <t xml:space="preserve">Jarray </t>
  </si>
  <si>
    <t>effel group</t>
  </si>
  <si>
    <t>bezo konac</t>
  </si>
  <si>
    <t>İsveç</t>
  </si>
  <si>
    <t>46 70 942 22 42</t>
  </si>
  <si>
    <t>Görgis</t>
  </si>
  <si>
    <t>Scope</t>
  </si>
  <si>
    <t>966 53 205 5555</t>
  </si>
  <si>
    <t xml:space="preserve">world hala for aluminium </t>
  </si>
  <si>
    <t>ivanovic</t>
  </si>
  <si>
    <t>CK</t>
  </si>
  <si>
    <t>Malta</t>
  </si>
  <si>
    <t>356 7940 5100</t>
  </si>
  <si>
    <t>Tumas</t>
  </si>
  <si>
    <t xml:space="preserve">Alwadi </t>
  </si>
  <si>
    <t>Siam</t>
  </si>
  <si>
    <t>MCR</t>
  </si>
  <si>
    <t>Moritanya</t>
  </si>
  <si>
    <t>habib</t>
  </si>
  <si>
    <t>Besarta/remzi</t>
  </si>
  <si>
    <t>C3s</t>
  </si>
  <si>
    <t>Senegal</t>
  </si>
  <si>
    <t>221 77 450 82 80</t>
  </si>
  <si>
    <t>m-annab</t>
  </si>
  <si>
    <t>mehdi</t>
  </si>
  <si>
    <t>conforama</t>
  </si>
  <si>
    <t>abdullah</t>
  </si>
  <si>
    <t>abullsallam</t>
  </si>
  <si>
    <t xml:space="preserve">Fuladi shakoor </t>
  </si>
  <si>
    <t>abdulaziz</t>
  </si>
  <si>
    <t>babak</t>
  </si>
  <si>
    <t>Al kobaisi</t>
  </si>
  <si>
    <t>973 3945 8901</t>
  </si>
  <si>
    <t xml:space="preserve">walid </t>
  </si>
  <si>
    <t>972 59-972-1520</t>
  </si>
  <si>
    <t>haftaya gelebilir</t>
  </si>
  <si>
    <t>Khalid Al Buhran</t>
  </si>
  <si>
    <t>971 50 992 2180</t>
  </si>
  <si>
    <t>omran aluminium</t>
  </si>
  <si>
    <t>98 913 159 1002</t>
  </si>
  <si>
    <t>raydan</t>
  </si>
  <si>
    <t>alum amen</t>
  </si>
  <si>
    <t>972 50-547-0285</t>
  </si>
  <si>
    <t>Rami</t>
  </si>
  <si>
    <t>Al shammas</t>
  </si>
  <si>
    <t>SAF</t>
  </si>
  <si>
    <t>Fiamma</t>
  </si>
  <si>
    <t>email gönder</t>
  </si>
  <si>
    <t xml:space="preserve">Leila </t>
  </si>
  <si>
    <t>İran</t>
  </si>
  <si>
    <t>98 918 869 7550</t>
  </si>
  <si>
    <t>mourad</t>
  </si>
  <si>
    <t>Omar Ghosheh</t>
  </si>
  <si>
    <t>218 91-2109858</t>
  </si>
  <si>
    <t>,</t>
  </si>
  <si>
    <t>onu yeniden ara</t>
  </si>
  <si>
    <t xml:space="preserve">Clarity Aluminium and Glass
</t>
  </si>
  <si>
    <t xml:space="preserve">AP Glass &amp; Aluminium
</t>
  </si>
  <si>
    <t>ANSO Aluminium</t>
  </si>
  <si>
    <t xml:space="preserve">Gordonia Glass &amp; Aluminium
</t>
  </si>
  <si>
    <t>murat azzouz</t>
  </si>
  <si>
    <t>Vetedy</t>
  </si>
  <si>
    <t>352 621 201 204</t>
  </si>
  <si>
    <t>حمزة عرابى</t>
  </si>
  <si>
    <t>https://www.facebook.com/profile.php?id=100048526004766</t>
  </si>
  <si>
    <t>SOSYAL MEDYA</t>
  </si>
  <si>
    <t>احمد الزند</t>
  </si>
  <si>
    <t xml:space="preserve">المنيوم الصفا السعودية
</t>
  </si>
  <si>
    <t xml:space="preserve">شركة ألمنيوم الخليج
</t>
  </si>
  <si>
    <t xml:space="preserve">ALSALEH ALUMINIUM - المنيوم الصالح
</t>
  </si>
  <si>
    <t xml:space="preserve">مصنع المنيوم غرناطة
</t>
  </si>
  <si>
    <t xml:space="preserve">Ajail Aluminum Factory
</t>
  </si>
  <si>
    <t xml:space="preserve">Altaiseer Aluminium Company
</t>
  </si>
  <si>
    <t>Info@altaiseer.com</t>
  </si>
  <si>
    <t xml:space="preserve">Granada Aluminium Factory Head Office </t>
  </si>
  <si>
    <t xml:space="preserve">granada@andalusgroup.net
</t>
  </si>
  <si>
    <t>asmaa Alu</t>
  </si>
  <si>
    <t xml:space="preserve">Alco Aluminum Factoryمستودع اظهر
</t>
  </si>
  <si>
    <t xml:space="preserve">مصنع العامر للالمنيوم
</t>
  </si>
  <si>
    <t>Ramah aluminum factory شركة مصنع رامة للالمنيوم و طلاء المعادن</t>
  </si>
  <si>
    <t xml:space="preserve"> sales@ramah-sa.com</t>
  </si>
  <si>
    <t xml:space="preserve">شركة ألمنيوم سنابل
</t>
  </si>
  <si>
    <t>Technicians creativity Aluminium Factory</t>
  </si>
  <si>
    <t>Riyazah Aluminum Factory Company</t>
  </si>
  <si>
    <t>riyazah@hotmail.com</t>
  </si>
  <si>
    <t xml:space="preserve">مؤسسة أبو عثمان التجارية لأعمال الألومنيوم
</t>
  </si>
  <si>
    <t xml:space="preserve">Ata Rabah for Aluminum
</t>
  </si>
  <si>
    <t>962 7 9919 4853</t>
  </si>
  <si>
    <t>National Aluminum &amp; Profile Co. (NAPCO)</t>
  </si>
  <si>
    <t>liala</t>
  </si>
  <si>
    <t xml:space="preserve">شركة الفريد للألمنيوم
</t>
  </si>
  <si>
    <t xml:space="preserve">شركة الهجرة الصناعية للالمنيوم و uPVC والمطابخ
</t>
  </si>
  <si>
    <t xml:space="preserve">الشركة العربية لصناعة الالمنيوم (ارال)
</t>
  </si>
  <si>
    <t>AlBayan for Aluminium Industries Co (AlFaqeer Group)</t>
  </si>
  <si>
    <t>BMG Aluminum, Accessoires, PVC &amp; BA13</t>
  </si>
  <si>
    <t>213 658 89 73 35</t>
  </si>
  <si>
    <t>Menuiserie d'Aluminium et Divers ALU-SPACE</t>
  </si>
  <si>
    <t xml:space="preserve">Malki aluminium
</t>
  </si>
  <si>
    <t xml:space="preserve">Alghanah Aluminium
</t>
  </si>
  <si>
    <t>http://www.alghanah.com/</t>
  </si>
  <si>
    <t xml:space="preserve">Meta glass Aluminium and glass
</t>
  </si>
  <si>
    <t xml:space="preserve">Aluminium Bahrain (Alba) BSC
</t>
  </si>
  <si>
    <t xml:space="preserve">Al Dana Aluminium Factory W.L.L
</t>
  </si>
  <si>
    <t>Aluser</t>
  </si>
  <si>
    <t>​+973 6639 2238</t>
  </si>
  <si>
    <t>yarin ara müdür ile konusmak icin</t>
  </si>
  <si>
    <t>218 92-5118339</t>
  </si>
  <si>
    <t>Alu Afrıca</t>
  </si>
  <si>
    <t>234 812 841 7797</t>
  </si>
  <si>
    <t>ياسين رجب عبد العظيم</t>
  </si>
  <si>
    <t>20 115 148 8321</t>
  </si>
  <si>
    <t xml:space="preserve">Aluminium Balkon Bau GmbH
</t>
  </si>
  <si>
    <t>bussian</t>
  </si>
  <si>
    <t>abbbussian@t-online.de</t>
  </si>
  <si>
    <t>ALUFEST GmbH</t>
  </si>
  <si>
    <t>0711/888 633-10</t>
  </si>
  <si>
    <t>info@alufest.de</t>
  </si>
  <si>
    <t>Alexander Dolde Fenster- und Metallbau</t>
  </si>
  <si>
    <t xml:space="preserve">info@fensterbau-dolde.de
</t>
  </si>
  <si>
    <t>https://fenster-dolde.de/</t>
  </si>
  <si>
    <t xml:space="preserve">BE - Metall Elementbau GmbH
</t>
  </si>
  <si>
    <t>info@be-metall.de</t>
  </si>
  <si>
    <t>https://www.be-metall.de/index.php?id=startseite</t>
  </si>
  <si>
    <t xml:space="preserve">Martin Schraitle Metallbau
</t>
  </si>
  <si>
    <t xml:space="preserve"> metallbau-schraitle@t-online.de</t>
  </si>
  <si>
    <t xml:space="preserve">Wochinger Metallbau
</t>
  </si>
  <si>
    <t>email@Wochinger-Metallbau.de</t>
  </si>
  <si>
    <t xml:space="preserve">Lutz GmbH
</t>
  </si>
  <si>
    <t xml:space="preserve">07022 95352-40
</t>
  </si>
  <si>
    <t>roland.klotzer@lutz-fensterbau.de</t>
  </si>
  <si>
    <t>lutz-fensterbau.de</t>
  </si>
  <si>
    <t>samimi degiller</t>
  </si>
  <si>
    <t xml:space="preserve">QUADROFORM GmbH
</t>
  </si>
  <si>
    <t>49 07151 982 7648</t>
  </si>
  <si>
    <t xml:space="preserve">info@quadroform.com
</t>
  </si>
  <si>
    <t>satinalma@europen.com.tr</t>
  </si>
  <si>
    <t xml:space="preserve">Lumon Deutschland GmbH
</t>
  </si>
  <si>
    <t>Finlandiya</t>
  </si>
  <si>
    <t>358 20 7403 200</t>
  </si>
  <si>
    <t xml:space="preserve">
info@lumon.com</t>
  </si>
  <si>
    <t xml:space="preserve">Glalum Glas + Aluminium GmbH
</t>
  </si>
  <si>
    <t>0 52 61 . 6 08 01/+49526160801</t>
  </si>
  <si>
    <t xml:space="preserve">Fenster Horizont
</t>
  </si>
  <si>
    <t>kontakt@fensterhorizont.de</t>
  </si>
  <si>
    <t xml:space="preserve">fensterversand.com
</t>
  </si>
  <si>
    <t xml:space="preserve">info@fensterversand.com
</t>
  </si>
  <si>
    <t xml:space="preserve">Stuttgarter Bauelemente Vertriebsgesellschaft mbH
</t>
  </si>
  <si>
    <t xml:space="preserve">info@sbv-stuttgart.de
</t>
  </si>
  <si>
    <t>https://www.sbv-stuttgart.de/kontakt</t>
  </si>
  <si>
    <t xml:space="preserve">Albrecht Fensterbau GmbH
</t>
  </si>
  <si>
    <t xml:space="preserve">Müller Fensterbau GmbH
</t>
  </si>
  <si>
    <t>mail@qualitaetsfenster.com</t>
  </si>
  <si>
    <t>Glaserei Kraft - Fensterbau Stuttgart</t>
  </si>
  <si>
    <t>info@kraft-glaserei.de</t>
  </si>
  <si>
    <t>FTS - Fenster &amp; Türen Service</t>
  </si>
  <si>
    <t>info(ät)fts-fensterbau.de</t>
  </si>
  <si>
    <t xml:space="preserve">FRECH Fenster &amp; Glaserei
</t>
  </si>
  <si>
    <t>info@glaserei-frech.de</t>
  </si>
  <si>
    <t xml:space="preserve">Türenmann Stuttgart GmbH &amp; Co. KG
</t>
  </si>
  <si>
    <t>info@tueren-mann.de</t>
  </si>
  <si>
    <t xml:space="preserve">Dietmar Bürk
</t>
  </si>
  <si>
    <t xml:space="preserve">info@buerk-fenster.de
</t>
  </si>
  <si>
    <t xml:space="preserve">Franco Fenster
</t>
  </si>
  <si>
    <t xml:space="preserve">Di Franco Fenster GmbH
</t>
  </si>
  <si>
    <t xml:space="preserve">079 628 30 18
</t>
  </si>
  <si>
    <t>info@df-fenster.ch</t>
  </si>
  <si>
    <t xml:space="preserve">Gebr. Neuffer Fensterfabrik GmbH Stuttgart
</t>
  </si>
  <si>
    <t xml:space="preserve">info@neuffer-fenster.de
</t>
  </si>
  <si>
    <t xml:space="preserve">Michael Fenster GmbH
</t>
  </si>
  <si>
    <t>info@michael-fenster.de</t>
  </si>
  <si>
    <t xml:space="preserve">EMO Fenster u. Türen GmbH &amp; Co. KG
</t>
  </si>
  <si>
    <t xml:space="preserve">info @ emo-fensterbau.de
</t>
  </si>
  <si>
    <t xml:space="preserve">baru Fenster &amp; Türen
</t>
  </si>
  <si>
    <t>info@baru-fenster.de</t>
  </si>
  <si>
    <t xml:space="preserve">FenSonn Fenster &amp; Sonnenschutz
</t>
  </si>
  <si>
    <t>info@fensonn.de</t>
  </si>
  <si>
    <t>geri dönüş yapacaklar</t>
  </si>
  <si>
    <t>Türk , yarin ara</t>
  </si>
  <si>
    <t xml:space="preserve">Weidle Fensterbau | Haustüren
</t>
  </si>
  <si>
    <t xml:space="preserve">Fensterbau Frech
</t>
  </si>
  <si>
    <t>kontakt@fensterbau-frech.de</t>
  </si>
  <si>
    <t xml:space="preserve">Markus Lieber GmbH | Fenster, Haustüren, Türen &amp; Sonnenschutz
</t>
  </si>
  <si>
    <t>info@lieber-gleich-richtig.de</t>
  </si>
  <si>
    <t xml:space="preserve">FTZ Fenster &amp; Türen Zentrum e.K.
</t>
  </si>
  <si>
    <t xml:space="preserve">Filder Fenster GbR
</t>
  </si>
  <si>
    <t xml:space="preserve">
theodore </t>
  </si>
  <si>
    <t xml:space="preserve">info@filder-fenster.de
</t>
  </si>
  <si>
    <t>amine salah hassen</t>
  </si>
  <si>
    <t xml:space="preserve">Fenster Hofer e. K. Inhaber Uwe W. Steinke
</t>
  </si>
  <si>
    <t xml:space="preserve">Vogel Glaserei-Fensterbau
</t>
  </si>
  <si>
    <t xml:space="preserve">Metallbau Ludger Nyland e.K., Inhaber: Nils Nyland
</t>
  </si>
  <si>
    <t xml:space="preserve">kontakt@metallbau-nyland.de
</t>
  </si>
  <si>
    <t xml:space="preserve">
</t>
  </si>
  <si>
    <t xml:space="preserve">Andreas Bäuerle Glaserei und Fensterbau
</t>
  </si>
  <si>
    <t>info@fenster-baeuerle.de</t>
  </si>
  <si>
    <t xml:space="preserve">Roos Fenster und Haustüren GmbH
</t>
  </si>
  <si>
    <t>info@roos-fenster.de</t>
  </si>
  <si>
    <t xml:space="preserve">Stimpfig Stahl- und Metallbau Stuttgart GmbH
</t>
  </si>
  <si>
    <t>Korkuluk</t>
  </si>
  <si>
    <t>info(at)metallbau-stimpfig.de</t>
  </si>
  <si>
    <t xml:space="preserve">Okolowski Metallbau - Schlosserei Stuttgart
</t>
  </si>
  <si>
    <t xml:space="preserve">Axel Spranger Schlosserei
</t>
  </si>
  <si>
    <t>49 7141 460181</t>
  </si>
  <si>
    <t>metallwerk@web.de</t>
  </si>
  <si>
    <t xml:space="preserve">Belser Metallbau GmbH - Schlosserei
</t>
  </si>
  <si>
    <t>mail@belser-metallbau.de</t>
  </si>
  <si>
    <t xml:space="preserve">Metallbau Meyer UG
</t>
  </si>
  <si>
    <t xml:space="preserve"> Kapı ve Pencere ve Korkuluk</t>
  </si>
  <si>
    <t>metallbaumeyer@gmx.de</t>
  </si>
  <si>
    <t xml:space="preserve">Deihle Metallbau GmbH
</t>
  </si>
  <si>
    <t>info@deihle-metallbau.de</t>
  </si>
  <si>
    <t xml:space="preserve">Azeraluminium LLC
</t>
  </si>
  <si>
    <t>extrusion</t>
  </si>
  <si>
    <t>Saf-Pencere. Plastik və Alüminium Qapı-Pəncərə Sistemləri Cəbhə Şüşələnməsi</t>
  </si>
  <si>
    <t xml:space="preserve">994 77 520 23 30
</t>
  </si>
  <si>
    <t>Fenster24 Pəncərə Qapı</t>
  </si>
  <si>
    <t>994 50 609 09 90</t>
  </si>
  <si>
    <t>~عمر يحياوي</t>
  </si>
  <si>
    <t>216 97 632 664</t>
  </si>
  <si>
    <t>Crystal Pen Plastik və alüminium qapı-pəncərə sistemləri</t>
  </si>
  <si>
    <t>994 70 400 00 03</t>
  </si>
  <si>
    <t xml:space="preserve">PVC Plastik və Alüminium Qapı və Pəncərə sistemləri
</t>
  </si>
  <si>
    <t xml:space="preserve">Tel: +994 55 226 26 18
</t>
  </si>
  <si>
    <t>Plastik və alüminium qapı və pəncərə sistemləri</t>
  </si>
  <si>
    <t>994 55 895 04 52</t>
  </si>
  <si>
    <t xml:space="preserve">sahid hidayetov
</t>
  </si>
  <si>
    <t>994 51 376 46 17</t>
  </si>
  <si>
    <t xml:space="preserve">PVC-plastik &amp; alüminium pəncərə-qapı, cam balkon və cəbhə sistemləri
</t>
  </si>
  <si>
    <t>994 55 959 08 16/ (051) 707 03 18</t>
  </si>
  <si>
    <t xml:space="preserve">Pimapen Azerbaijan
</t>
  </si>
  <si>
    <t xml:space="preserve">
+994 50 555 41 41</t>
  </si>
  <si>
    <t xml:space="preserve">Sinax Azerbaycan
</t>
  </si>
  <si>
    <t>Pencere</t>
  </si>
  <si>
    <t>994 50 990 70 70</t>
  </si>
  <si>
    <t>sinax@sinax.az</t>
  </si>
  <si>
    <t>Plastik , Aluminium və Şüşə xidmətləri</t>
  </si>
  <si>
    <t>994 55 523 99 22</t>
  </si>
  <si>
    <t>https://www.facebook.com/plastik.cambalkon</t>
  </si>
  <si>
    <t>Plastik qapı pəncərə və alüminium işləri cəbhə vitrin</t>
  </si>
  <si>
    <t>994 55 688 04 05</t>
  </si>
  <si>
    <t>https://www.facebook.com/profile.php?id=100077796273849</t>
  </si>
  <si>
    <t xml:space="preserve">GÜVƏN GLASS
</t>
  </si>
  <si>
    <t xml:space="preserve">994 50 543 44 22
</t>
  </si>
  <si>
    <t>https://www.facebook.com/guvenglass.az</t>
  </si>
  <si>
    <t xml:space="preserve">Alkosan Azerbaycan
</t>
  </si>
  <si>
    <t>cephe</t>
  </si>
  <si>
    <t>994 51 338 08 98</t>
  </si>
  <si>
    <t>https://www.facebook.com/profile.php?id=100063840200295</t>
  </si>
  <si>
    <t xml:space="preserve">Böhm Schlosserei Stahlbau GmbH
</t>
  </si>
  <si>
    <t>49 (0) 711 78 23 96 0</t>
  </si>
  <si>
    <t>https://boehm-stahlbau.de/gelaender/</t>
  </si>
  <si>
    <t xml:space="preserve">info@boehm-stahlbau.de
</t>
  </si>
  <si>
    <t xml:space="preserve">Zenn Metallbau GbR
</t>
  </si>
  <si>
    <t xml:space="preserve">Frank Dreher- Fenster und Türen
</t>
  </si>
  <si>
    <t xml:space="preserve"> info@fenster-dreher.de</t>
  </si>
  <si>
    <t xml:space="preserve">FEBKON Fensterbau GmbH
</t>
  </si>
  <si>
    <t xml:space="preserve"> info@febkon.de</t>
  </si>
  <si>
    <t xml:space="preserve">Atro Element Süd
</t>
  </si>
  <si>
    <t>49 (0)2563 208364</t>
  </si>
  <si>
    <t>info@atro-element.de</t>
  </si>
  <si>
    <t xml:space="preserve">MICHAKO Holz-Alusysteme GmbH INSEKTENSCHUTZSYSTEME
</t>
  </si>
  <si>
    <t>0 71 61 - 92 21 69</t>
  </si>
  <si>
    <t xml:space="preserve"> info@michako.de</t>
  </si>
  <si>
    <t xml:space="preserve">Feba Fensterbau GmbH
</t>
  </si>
  <si>
    <t xml:space="preserve">Fensterbau Cammerer
</t>
  </si>
  <si>
    <t>https://www.fensterbau-cammerer.de/</t>
  </si>
  <si>
    <t>info@fensterbau-cammerer.de</t>
  </si>
  <si>
    <t xml:space="preserve">Ingo Reissner Montagebau
</t>
  </si>
  <si>
    <t>497031/601622</t>
  </si>
  <si>
    <t>https://www.ingo-reissner.de/index.php/kontakt</t>
  </si>
  <si>
    <t xml:space="preserve">Motzer Fenster Gmbh &amp; Co.KG
</t>
  </si>
  <si>
    <t xml:space="preserve"> 49 (0)7157 5662-0</t>
  </si>
  <si>
    <t>https://www.motzer-fenster.de/kontakt.html</t>
  </si>
  <si>
    <t xml:space="preserve"> info@motzer-fenster.de</t>
  </si>
  <si>
    <t xml:space="preserve">ISO-FENSTER GmbH
</t>
  </si>
  <si>
    <t>https://www.iso-fenster.de/kontakt/</t>
  </si>
  <si>
    <t xml:space="preserve">info@iso-fenster.de </t>
  </si>
  <si>
    <t xml:space="preserve">Dengler Fensterbau GmbH &amp; Co. KG
</t>
  </si>
  <si>
    <t>https://www.dengler-fensterbau.de/</t>
  </si>
  <si>
    <t>info@dengler-fensterbau.de</t>
  </si>
  <si>
    <t xml:space="preserve">Frank Sicherheits- und Fenstertechnik GmbH
</t>
  </si>
  <si>
    <t>https://www.frank-sf.de/</t>
  </si>
  <si>
    <t xml:space="preserve">Andreas Keller Fensterbau GmbH
</t>
  </si>
  <si>
    <t>http://www.keller-fensterbau.de/</t>
  </si>
  <si>
    <t xml:space="preserve"> info@keller-fensterbau.de</t>
  </si>
  <si>
    <t xml:space="preserve">Hansel &amp; Heininger Metalltechnik GmbH
</t>
  </si>
  <si>
    <t>https://www.h-h-metalltechnik.de/</t>
  </si>
  <si>
    <t>info@h-h-metalltechnik.de</t>
  </si>
  <si>
    <t xml:space="preserve">BAUKO-tec GmbH | Fenster, Türen, Wintergärten
</t>
  </si>
  <si>
    <t>http://www.baukotec.de/</t>
  </si>
  <si>
    <t>info@baukotec.de</t>
  </si>
  <si>
    <t xml:space="preserve">ulco GmbH
</t>
  </si>
  <si>
    <t>https://www.ulco.de/</t>
  </si>
  <si>
    <t>mail@ulco.de</t>
  </si>
  <si>
    <t xml:space="preserve">Bolay und Vogel Fenster GmbH &amp; Co. KG
</t>
  </si>
  <si>
    <t>https://www.fensterling.de/?utm_source=gmb&amp;utm_medium=organic&amp;utm_campaign=gmb</t>
  </si>
  <si>
    <t xml:space="preserve">FeLa Bauelemente Ulrich Langer
</t>
  </si>
  <si>
    <t>http://www.fela-bauelemente.de/</t>
  </si>
  <si>
    <t>info@fela-bauelemente.de</t>
  </si>
  <si>
    <t xml:space="preserve">WINGLAS GmbH
</t>
  </si>
  <si>
    <t>http://winglas.de/</t>
  </si>
  <si>
    <t xml:space="preserve">Letzgus OHG Fensterbau
</t>
  </si>
  <si>
    <t>https://www.fenster-letzgus.de/</t>
  </si>
  <si>
    <t xml:space="preserve"> info@fenster-letzgus.de</t>
  </si>
  <si>
    <t xml:space="preserve">Müller &amp; Sohn GmbH
</t>
  </si>
  <si>
    <t>http://www.mueller-fensterfabrik.de/</t>
  </si>
  <si>
    <t xml:space="preserve"> info@mueller-fensterfabrik.de</t>
  </si>
  <si>
    <t xml:space="preserve">K.S.-Fenster
</t>
  </si>
  <si>
    <t xml:space="preserve">WERU GmbH
</t>
  </si>
  <si>
    <t xml:space="preserve">Fensterbau Kontermann
</t>
  </si>
  <si>
    <t>info@fensterbaukontermann.de</t>
  </si>
  <si>
    <t xml:space="preserve">Schwenker Fensterbau
</t>
  </si>
  <si>
    <t xml:space="preserve">Itsline Deutscher Fenstershop GmbH
</t>
  </si>
  <si>
    <t>Fensterland Dieckmann</t>
  </si>
  <si>
    <t>info@fensterland-dieckmann.de</t>
  </si>
  <si>
    <t xml:space="preserve">SDM Fenster GmbH
</t>
  </si>
  <si>
    <t xml:space="preserve">info@sdmfenster.de
</t>
  </si>
  <si>
    <t xml:space="preserve">Er-Sa Fensterbau
</t>
  </si>
  <si>
    <t xml:space="preserve">HeKa Fenster und Türen
</t>
  </si>
  <si>
    <t xml:space="preserve"> info@heka.de</t>
  </si>
  <si>
    <t xml:space="preserve">Fensterbau Glaserei Rode
</t>
  </si>
  <si>
    <t xml:space="preserve">Stahl Fensterbau GmbH
</t>
  </si>
  <si>
    <t>info@fensterbau-stahl.de</t>
  </si>
  <si>
    <t xml:space="preserve">Uwe Forschner Bauelemente GbR
</t>
  </si>
  <si>
    <t>uwe-forschner-bauelemente@gmx.de
uwe-forschner-bauelemente@arcor.de</t>
  </si>
  <si>
    <t xml:space="preserve">ECKERT Bauelemente
</t>
  </si>
  <si>
    <t>http://www.eckert-bauelemente.de/</t>
  </si>
  <si>
    <t xml:space="preserve">KEckert@gmx.de
</t>
  </si>
  <si>
    <t>info@fensterland.info</t>
  </si>
  <si>
    <t xml:space="preserve">ALECO GmbH Fenster - Haustüren - Markisen - Überdachungen
</t>
  </si>
  <si>
    <t>aleco@aleco.de</t>
  </si>
  <si>
    <t>SUDE Group - Sizin inşaat dostunuz</t>
  </si>
  <si>
    <t>994 77 721 99 99</t>
  </si>
  <si>
    <t>Fenstar Pencere Sirketi</t>
  </si>
  <si>
    <t>994 51 404 41 41</t>
  </si>
  <si>
    <t xml:space="preserve">Sparta Inşaat </t>
  </si>
  <si>
    <t>994 55 279 00 05</t>
  </si>
  <si>
    <t>VEKA pəncərələri</t>
  </si>
  <si>
    <t>994 77 554 94 74</t>
  </si>
  <si>
    <t>Plastik pencere jaluz</t>
  </si>
  <si>
    <t>Aliminium və Plastik Qapı - Pəncərə sistemləri</t>
  </si>
  <si>
    <t xml:space="preserve">994 55 536 64 54
</t>
  </si>
  <si>
    <t xml:space="preserve">Alvetro
</t>
  </si>
  <si>
    <t>994 55 555 01 02</t>
  </si>
  <si>
    <t xml:space="preserve">Vrproject
</t>
  </si>
  <si>
    <t xml:space="preserve">
994 50 200 51 21</t>
  </si>
  <si>
    <t>Glass Construction</t>
  </si>
  <si>
    <t xml:space="preserve">
994 12 510 48 46</t>
  </si>
  <si>
    <t xml:space="preserve">Fenesta Windows
</t>
  </si>
  <si>
    <t>Hindistan</t>
  </si>
  <si>
    <t xml:space="preserve">91 124 682 7020
</t>
  </si>
  <si>
    <t xml:space="preserve">ARDE Fensterbau Baden GbR
</t>
  </si>
  <si>
    <t xml:space="preserve"> info@ardefensterbaubaden.de</t>
  </si>
  <si>
    <t>https://www.ardefensterbaubadengbr.de</t>
  </si>
  <si>
    <t xml:space="preserve">RK Bauelemente Unternehmensgesellschaft
</t>
  </si>
  <si>
    <t xml:space="preserve">info@krauss-fenster.de </t>
  </si>
  <si>
    <t>https://krauss-fenster.de/</t>
  </si>
  <si>
    <t xml:space="preserve">KBK GmbH Fenster + Türen
</t>
  </si>
  <si>
    <t>info@kbk-kupferzell.de</t>
  </si>
  <si>
    <t>http://www.kbk-kupferzell.de/</t>
  </si>
  <si>
    <t xml:space="preserve">Philipp Becker GmbH Fensterbau-Glaserei
</t>
  </si>
  <si>
    <t>https://www.fensterbau-becker.de/?utm_source=gmb&amp;utm_medium=organic&amp;utm_campaign=gmb</t>
  </si>
  <si>
    <t xml:space="preserve"> info@fensterbau-becker.de
</t>
  </si>
  <si>
    <t xml:space="preserve">Krazer Fensterbau GmbH &amp; Co. KG
</t>
  </si>
  <si>
    <t>http://www.fenster-krazer.de/</t>
  </si>
  <si>
    <t>info@fenster-krazer.de</t>
  </si>
  <si>
    <t xml:space="preserve">Schlaich Fensterbau
</t>
  </si>
  <si>
    <t>http://www.fensterbau-schlaich.de/</t>
  </si>
  <si>
    <t xml:space="preserve">info@fensterbau-schlaich.de
</t>
  </si>
  <si>
    <t xml:space="preserve">Schreinerei Kastner - Fenster - Türen - Möbel - Innenausbau
</t>
  </si>
  <si>
    <t>https://www.schreinerei-kastner.de/?utm_source=gmb&amp;utm_medium=organic&amp;utm_campaign=gmb</t>
  </si>
  <si>
    <t xml:space="preserve">WR-maintenando GmbH &amp; Co. KG
</t>
  </si>
  <si>
    <t xml:space="preserve">Dietz Fensterbau GmbH
</t>
  </si>
  <si>
    <t xml:space="preserve">EMSA Bauelemente
</t>
  </si>
  <si>
    <t>https://www.emsa-bauelemente.de/</t>
  </si>
  <si>
    <t xml:space="preserve">         info@emsa-bauelemente.de</t>
  </si>
  <si>
    <t>Konrad Türen und Fensterbau in Rosenfeld</t>
  </si>
  <si>
    <t xml:space="preserve">Fenster-dicht!
</t>
  </si>
  <si>
    <t>http://www.fenster-dicht.de/</t>
  </si>
  <si>
    <t>fenster-dicht@t-online.de</t>
  </si>
  <si>
    <t>Firma Getto Türen Fenster Sonnenschutz</t>
  </si>
  <si>
    <t>http://www.getto-kandel.de/</t>
  </si>
  <si>
    <t xml:space="preserve">mail@getto-kandel.de
</t>
  </si>
  <si>
    <t xml:space="preserve">Löffel Fenster + Fassaden GmbH &amp; Co.KG
</t>
  </si>
  <si>
    <t>http://www.loeffelfenster.de/</t>
  </si>
  <si>
    <t xml:space="preserve">Lebsack &amp; Söhne GmbH
</t>
  </si>
  <si>
    <t>http://www.lebsack.de/</t>
  </si>
  <si>
    <t>info@lebsack.de</t>
  </si>
  <si>
    <t xml:space="preserve">HeKa Herzog GmbH
</t>
  </si>
  <si>
    <t>http://www.heka.de/</t>
  </si>
  <si>
    <t>info@heka.de</t>
  </si>
  <si>
    <t xml:space="preserve">Fensterbau Gauermann GmbH
</t>
  </si>
  <si>
    <t>https://gauermann.de/</t>
  </si>
  <si>
    <t xml:space="preserve">Fenster-Striegel GmbH
</t>
  </si>
  <si>
    <t>http://www.fenster-striegel.de/</t>
  </si>
  <si>
    <t xml:space="preserve"> info@fenster-striegel.de </t>
  </si>
  <si>
    <t xml:space="preserve">STEMPFLE FENSTER, HAUSTÜREN, GLASANBAUTEN GMBH &amp; CO.KG
</t>
  </si>
  <si>
    <t>http://www.fenster-stempfle.de/</t>
  </si>
  <si>
    <t xml:space="preserve"> info@fenster-stempfle.de</t>
  </si>
  <si>
    <t xml:space="preserve">Einholz, Fenster und Türen GmbH
</t>
  </si>
  <si>
    <t>http://neu.einholz-fenster.de/</t>
  </si>
  <si>
    <t xml:space="preserve"> einholz-fenster@web.de</t>
  </si>
  <si>
    <t xml:space="preserve">Gugelfuss GmbH
</t>
  </si>
  <si>
    <t>http://www.gugelfuss.de/</t>
  </si>
  <si>
    <t>info@gugelfuss.de</t>
  </si>
  <si>
    <t xml:space="preserve">Dürei Fenster &amp; Türen GmbH
</t>
  </si>
  <si>
    <t>http://www.duerei-fenster.de/</t>
  </si>
  <si>
    <t xml:space="preserve"> info@duerei-fenster.de</t>
  </si>
  <si>
    <t xml:space="preserve">HR Fenstertechnik
</t>
  </si>
  <si>
    <t>https://www.hr-fenstertechnik.de/</t>
  </si>
  <si>
    <t>info@hr-fenstertechnik.de</t>
  </si>
  <si>
    <t xml:space="preserve">RENNER Montage + Fensterbau
</t>
  </si>
  <si>
    <t>https://www.renner-dienstleistungen.de/</t>
  </si>
  <si>
    <t>info@renner-dienstleistungen.de</t>
  </si>
  <si>
    <t>SPEKTRUM Bauelemente Vertrieb und Service GmbH</t>
  </si>
  <si>
    <t>http://www.spektrum-bauelemente.de/</t>
  </si>
  <si>
    <t>info@spektrum-bauelemente.de</t>
  </si>
  <si>
    <t xml:space="preserve">Fensterbau Leopold GmbH &amp; Co. KG
</t>
  </si>
  <si>
    <t>http://www.fensterbau-leopold.de/</t>
  </si>
  <si>
    <t>info@fensterbau-leopold.de</t>
  </si>
  <si>
    <t xml:space="preserve">Ruoff Fenster GmbH &amp; Co KG
</t>
  </si>
  <si>
    <t>http://www.ruoff.de/</t>
  </si>
  <si>
    <t>info@ruoff.de</t>
  </si>
  <si>
    <t xml:space="preserve">Stoll Fenstertechnik GmbH &amp; Co.KG - Fenster und Türen - Fensterverkleidungen Weingarten/Ravensburg
</t>
  </si>
  <si>
    <t>http://www.stoll-fenstertechnik.de/</t>
  </si>
  <si>
    <t>info@stoll-fenstertechnik.de</t>
  </si>
  <si>
    <t xml:space="preserve">Fenster und Türen Max Staudinger
</t>
  </si>
  <si>
    <t>http://www.fenster-staudinger.de/</t>
  </si>
  <si>
    <t>info@fenster-staudinger.de</t>
  </si>
  <si>
    <t xml:space="preserve">GMexclusive
</t>
  </si>
  <si>
    <t>http://www.gmexclusive.de/</t>
  </si>
  <si>
    <t xml:space="preserve">info@gmexclusive.de
</t>
  </si>
  <si>
    <t xml:space="preserve">Fensterzeiten GmbH
</t>
  </si>
  <si>
    <t>http://fensterzeiten.de/</t>
  </si>
  <si>
    <t>info@fensterzeiten.de</t>
  </si>
  <si>
    <t xml:space="preserve">Bauelemente Tomasek
</t>
  </si>
  <si>
    <t>http://www.bauelemente-tomasek.de/</t>
  </si>
  <si>
    <t xml:space="preserve"> bauelemente_tomasek@t-online.de</t>
  </si>
  <si>
    <t xml:space="preserve">Hueber GmbH Fensterbau
</t>
  </si>
  <si>
    <t>https://www.hueber-fensterbau.de/</t>
  </si>
  <si>
    <t>hueber@hueber-fenster.de</t>
  </si>
  <si>
    <t xml:space="preserve">SoBauenProfis | Fenster und Haustüren mit professioneller Montage
</t>
  </si>
  <si>
    <t>https://www.sobauenprofis.de/</t>
  </si>
  <si>
    <t xml:space="preserve">Klaus Gath
</t>
  </si>
  <si>
    <t>http://klausgath.de/</t>
  </si>
  <si>
    <t xml:space="preserve"> info@klausgath.de</t>
  </si>
  <si>
    <t xml:space="preserve">JS FENSTER &amp; BAU GMBH
</t>
  </si>
  <si>
    <t>http://jstueren-gmbh.de/</t>
  </si>
  <si>
    <t> </t>
  </si>
  <si>
    <t xml:space="preserve">AL Hanse Fenster
</t>
  </si>
  <si>
    <t>https://www.al-hansefenster.de/?utm_source=local&amp;utm_medium=organic&amp;utm_campaign=gmb</t>
  </si>
  <si>
    <t>info@al-hansefenster.de</t>
  </si>
  <si>
    <t xml:space="preserve">Fensterprofisdirekt 👨🏼‍🔧🏠 Fensterbauer in meiner Nähe
</t>
  </si>
  <si>
    <t>https://fensterprofisdirekt.de/l/</t>
  </si>
  <si>
    <t xml:space="preserve">AS Fenster und Türen GmbH
</t>
  </si>
  <si>
    <t>https://www.fenster-az.de/</t>
  </si>
  <si>
    <t>info@fenster-az.de</t>
  </si>
  <si>
    <t xml:space="preserve">R2L Fenster GmbH
</t>
  </si>
  <si>
    <t>http://www.r2l-fenster.de/</t>
  </si>
  <si>
    <t>info@r2l-fenster.de</t>
  </si>
  <si>
    <t xml:space="preserve">W&amp;D'S 2000 UG
</t>
  </si>
  <si>
    <t>http://www.wds2000.de/</t>
  </si>
  <si>
    <t xml:space="preserve">
</t>
  </si>
  <si>
    <t xml:space="preserve">Steinle Hans, HASO Kunststoff-Fenster und Türen Inh. Ian Macfarlane
</t>
  </si>
  <si>
    <t xml:space="preserve">Alstertaler Fenster + Türentechnik GmbH
</t>
  </si>
  <si>
    <t>https://www.alstertaler-hamburg.de/</t>
  </si>
  <si>
    <t>wegner@alstertaler-hamburg.de</t>
  </si>
  <si>
    <t xml:space="preserve">MM Kunststofffenster Gmbh Fenster &amp; Türen
</t>
  </si>
  <si>
    <t xml:space="preserve">AluFusion Systems
</t>
  </si>
  <si>
    <t>https://alufusion-systems.de/</t>
  </si>
  <si>
    <t xml:space="preserve">fensteraktuell24
</t>
  </si>
  <si>
    <t>https://www.fensteraktuell24.de/</t>
  </si>
  <si>
    <t>info@fensteraktuell24.de</t>
  </si>
  <si>
    <t xml:space="preserve">FTB Hamburg
</t>
  </si>
  <si>
    <t>http://www.ftb-hamburg.de/</t>
  </si>
  <si>
    <t>ftb.angebote@gmail.com</t>
  </si>
  <si>
    <t xml:space="preserve">Sehlmann Fensterbau GmbH
</t>
  </si>
  <si>
    <t>https://sehlmann.de/</t>
  </si>
  <si>
    <t xml:space="preserve"> info@sehlmann.de</t>
  </si>
  <si>
    <t xml:space="preserve">D&amp;S Fensterbau GbR
</t>
  </si>
  <si>
    <t xml:space="preserve">Fenstermöblierung oHG
</t>
  </si>
  <si>
    <t>http://fenstermoeblierung.de/</t>
  </si>
  <si>
    <t>info@fenstermoeblierung.de</t>
  </si>
  <si>
    <t xml:space="preserve">Akkurat Glas- und Fensterbau GmbH
</t>
  </si>
  <si>
    <t>http://www.akkurat-glas.de/</t>
  </si>
  <si>
    <t>info(at)akkurat-glas.de</t>
  </si>
  <si>
    <t xml:space="preserve">Nordfenster
</t>
  </si>
  <si>
    <t>https://www.nordfenster.com/</t>
  </si>
  <si>
    <t>info@nordfenster.de</t>
  </si>
  <si>
    <t xml:space="preserve">S3 Innova Fensterverkleidung Fachbetrieb Hamburg
</t>
  </si>
  <si>
    <t>0751 561911-20</t>
  </si>
  <si>
    <t>https://s3-innova-fenster-verkleiden.de/</t>
  </si>
  <si>
    <t>info@s3-innova.de</t>
  </si>
  <si>
    <t xml:space="preserve">BML Fenstertechnik GmbH in Hamburg
</t>
  </si>
  <si>
    <t>https://bml-fenstertechnik.de/</t>
  </si>
  <si>
    <t>info@bml-fenstertechnik.de</t>
  </si>
  <si>
    <t xml:space="preserve">Elbdörfer Glas- und Fensterbau GmbH
</t>
  </si>
  <si>
    <t>http://www.elbdoerfer.com/</t>
  </si>
  <si>
    <t xml:space="preserve">info@elbdoerfer.com
</t>
  </si>
  <si>
    <t xml:space="preserve">Elementar-Braak
</t>
  </si>
  <si>
    <t>https://elementar-braak.de/</t>
  </si>
  <si>
    <t>info@elementar-braak.de</t>
  </si>
  <si>
    <t xml:space="preserve">Horst Biernatzki GmbH
</t>
  </si>
  <si>
    <t>http://www.biernatzki.de/</t>
  </si>
  <si>
    <t xml:space="preserve">René Mahnke
</t>
  </si>
  <si>
    <t xml:space="preserve">info@rene-mahnke.de
</t>
  </si>
  <si>
    <t xml:space="preserve">Glaserei F. Dwuzet - Inh. Sven Büthe
</t>
  </si>
  <si>
    <t>http://www.glaserei-norderstedt.de/</t>
  </si>
  <si>
    <t>info@glaserei-norderstedt.de</t>
  </si>
  <si>
    <t xml:space="preserve">Fenster-pro.de
</t>
  </si>
  <si>
    <t>https://fenster-pro.de/</t>
  </si>
  <si>
    <t xml:space="preserve">Fenster-Türen-Tore-Antriebe von BEBATHERM
</t>
  </si>
  <si>
    <t>http://www.bebatherm.de/</t>
  </si>
  <si>
    <t xml:space="preserve">info@bebatherm.de
</t>
  </si>
  <si>
    <t xml:space="preserve">EGE GmbH – Vertriebsbüro Harmstorf
</t>
  </si>
  <si>
    <t>https://www.ege.de/de/fuer-haendler/vertrieb.html</t>
  </si>
  <si>
    <t xml:space="preserve">Metallbau Nowacki GmbH
</t>
  </si>
  <si>
    <t>http://www.metallbau-nowacki.de/</t>
  </si>
  <si>
    <t>info@metallbau-nowacki.de</t>
  </si>
  <si>
    <t xml:space="preserve">Glaserei Retzlaff GmbH und Co. KG
</t>
  </si>
  <si>
    <t>https://www.glaserei-retzlaff.de/</t>
  </si>
  <si>
    <t xml:space="preserve">Balu Bauelemente Vertriebs GmbH
</t>
  </si>
  <si>
    <t>https://www.balu-bauelemente.de/</t>
  </si>
  <si>
    <t xml:space="preserve">Türen Fenster Maslanka
</t>
  </si>
  <si>
    <t>http://www.tueren-fenster-maslanka.de/</t>
  </si>
  <si>
    <t xml:space="preserve">info@tueren-fenster-maslanka.de
</t>
  </si>
  <si>
    <t xml:space="preserve">Olaf Meier Fenster - Haustüren und Möbeltischlerei
</t>
  </si>
  <si>
    <t>https://fenster-haustueren-olafmeier.de/</t>
  </si>
  <si>
    <t>kontakt@fenster-haustueren-olafmeier.de</t>
  </si>
  <si>
    <t xml:space="preserve">B&amp;P Bauelemente Vertrieb - Lüneburg
</t>
  </si>
  <si>
    <t>http://www.bp-bauelemente.de/</t>
  </si>
  <si>
    <t>info@bp-bauelemente.de</t>
  </si>
  <si>
    <t xml:space="preserve">Hansen Metallbau GmbH
</t>
  </si>
  <si>
    <t>http://www.hansen-metallbau.com/</t>
  </si>
  <si>
    <t xml:space="preserve"> info@hansen-metallbau.com</t>
  </si>
  <si>
    <t xml:space="preserve">VAS Fenster &amp; Solar
</t>
  </si>
  <si>
    <t>http://www.fensterbau-24.de/</t>
  </si>
  <si>
    <t xml:space="preserve"> info@fensterkaufen-24.de</t>
  </si>
  <si>
    <t xml:space="preserve">profenster Weichsel GmbH - Studio Adendorf
</t>
  </si>
  <si>
    <t>https://www.profenster.de/</t>
  </si>
  <si>
    <t xml:space="preserve">
info@profenster.de </t>
  </si>
  <si>
    <t xml:space="preserve">FensterMax.de
</t>
  </si>
  <si>
    <t>http://fenstermax.de/</t>
  </si>
  <si>
    <t>info@fenstermax.de</t>
  </si>
  <si>
    <t xml:space="preserve">Saul Schlosserei und Metallbau GmbH &amp; Co. KG
</t>
  </si>
  <si>
    <t>http://www.saul-metallbau.de/</t>
  </si>
  <si>
    <t>info@Saul-Metallbau.de</t>
  </si>
  <si>
    <t xml:space="preserve">Lübecker Fenster + Türen e.K.
</t>
  </si>
  <si>
    <t xml:space="preserve">Böttcher Fenster und Türen GmbH &amp; Co. KG
</t>
  </si>
  <si>
    <t>https://boettcher-fenster.de/</t>
  </si>
  <si>
    <t>info@boettcher-fenster.de</t>
  </si>
  <si>
    <t xml:space="preserve">pmd group </t>
  </si>
  <si>
    <t>00994 51 230 41 09</t>
  </si>
  <si>
    <t>Günay Hanım</t>
  </si>
  <si>
    <t xml:space="preserve">ADIGA-Fenster e. K.
</t>
  </si>
  <si>
    <t>http://adiga-fenster.de/</t>
  </si>
  <si>
    <t>info@adiga-fenster.de</t>
  </si>
  <si>
    <t xml:space="preserve">OKI BAU UG (Haftungsbeschränkt)
</t>
  </si>
  <si>
    <t>http://www.oki-bau.de/</t>
  </si>
  <si>
    <t>info@oki-bau.de</t>
  </si>
  <si>
    <t xml:space="preserve">Solarlux GmbH - Vertriebs- und Beratungsbüro
</t>
  </si>
  <si>
    <t>http://www.solarlux.com/</t>
  </si>
  <si>
    <t>info@solarlux.com</t>
  </si>
  <si>
    <t xml:space="preserve">THIEMS Fenster
</t>
  </si>
  <si>
    <t>https://www.mein-neues-fenster.de/</t>
  </si>
  <si>
    <r>
      <rPr>
        <sz val="11"/>
        <color theme="1"/>
        <rFont val="Arial"/>
      </rPr>
      <t>info[a]</t>
    </r>
    <r>
      <rPr>
        <u/>
        <sz val="11"/>
        <color rgb="FF1155CC"/>
        <rFont val="Arial"/>
      </rPr>
      <t>mein-neues-fenster.de</t>
    </r>
  </si>
  <si>
    <t xml:space="preserve">Tischlerei Helmut Meyer GmbH Inh. Christian Meyer
</t>
  </si>
  <si>
    <t>http://www.meyer-fenster.de/</t>
  </si>
  <si>
    <t xml:space="preserve"> info@meyer-fenster.de</t>
  </si>
  <si>
    <t xml:space="preserve">GRADO Fenster &amp; Türen GmbH
</t>
  </si>
  <si>
    <t>http://www.grado-fenster.de/</t>
  </si>
  <si>
    <t>info@grado-fenster.de</t>
  </si>
  <si>
    <t xml:space="preserve">WMU Fenster Werksvertretungen + Bauelemente Michael Ulrich
</t>
  </si>
  <si>
    <t>http://www.wmu-fenster.de/</t>
  </si>
  <si>
    <t>info@wmu-fenster.de</t>
  </si>
  <si>
    <t xml:space="preserve">Kruse &amp; Reger
</t>
  </si>
  <si>
    <t>http://www.kruse-reger.de/</t>
  </si>
  <si>
    <t xml:space="preserve"> info@kruse-reger.de</t>
  </si>
  <si>
    <t xml:space="preserve">Oliver Littek Fenster &amp; Haustüren aus Polen
</t>
  </si>
  <si>
    <t>http://xn--preisgnstige-fenster-uec.de/</t>
  </si>
  <si>
    <t>Littek-Melsdorf@t-online.de</t>
  </si>
  <si>
    <t xml:space="preserve">Fensterfuchs - Benny Menzel
</t>
  </si>
  <si>
    <t>http://www.fensterfuchs-rotenburg.de/</t>
  </si>
  <si>
    <t>info@fensterfuchs-rotenburg.de</t>
  </si>
  <si>
    <t xml:space="preserve">Fenster Böttcher
</t>
  </si>
  <si>
    <t>http://www.fenster-boettcher.de/</t>
  </si>
  <si>
    <t>info@fenster-boettcher.de</t>
  </si>
  <si>
    <t xml:space="preserve">Tischlerei W. Svenson GmbH
</t>
  </si>
  <si>
    <t>http://www.dasanderefenster.de/</t>
  </si>
  <si>
    <t>info@dasanderefenster.de</t>
  </si>
  <si>
    <t>Bauelemente Seibert Fenster-Haustüren-Rollladen / Vertrieb und Montage</t>
  </si>
  <si>
    <t>http://www.bauelemente-seibert.de/</t>
  </si>
  <si>
    <t>info@bauelemente-seibert.de</t>
  </si>
  <si>
    <t xml:space="preserve">Bremer Fensterbau GmbH
</t>
  </si>
  <si>
    <t>http://www.bremer-fensterbau.de/</t>
  </si>
  <si>
    <t>info@bremer-fensterbau.de</t>
  </si>
  <si>
    <t xml:space="preserve">WINGU Bauelemente GmbH &amp; Co. KG
</t>
  </si>
  <si>
    <t>https://www.win-gu.de/</t>
  </si>
  <si>
    <t>INFO@WIN-GU.DE</t>
  </si>
  <si>
    <t xml:space="preserve">Montagebetrieb Haß GmbH - Fenster + Türen aus Kiel
</t>
  </si>
  <si>
    <t>https://www.hass-montagebetrieb.de/?utm_source=local&amp;utm_medium=organic&amp;utm_campaign=gmb</t>
  </si>
  <si>
    <t xml:space="preserve"> info@montagebetrieb-hass.de</t>
  </si>
  <si>
    <t xml:space="preserve">I.D. Fenster- und Türenvertriebs GmbH
</t>
  </si>
  <si>
    <t>http://www.id-fenster.de/</t>
  </si>
  <si>
    <t xml:space="preserve">Montagedienst Baier
</t>
  </si>
  <si>
    <t>http://www.montagedienst-baier.de/</t>
  </si>
  <si>
    <t xml:space="preserve"> info@montagedienst-baier.de</t>
  </si>
  <si>
    <t xml:space="preserve">Jehlen-Fenster
</t>
  </si>
  <si>
    <t>https://jehlen-fenster.de/</t>
  </si>
  <si>
    <t>Fenster@Jehlenco.de</t>
  </si>
  <si>
    <t xml:space="preserve">Busche Bauelemente
</t>
  </si>
  <si>
    <t>http://www.busche-bauelemente.de/</t>
  </si>
  <si>
    <t>info@busche-bauelemente.de</t>
  </si>
  <si>
    <t>Bau- und Möbeltischlerei, Inhaber Michael Gran, Hülsenkoppel 1, 25337 Seeth-Ekholt</t>
  </si>
  <si>
    <t xml:space="preserve">info@bau-und-moebeltischlerei.de
</t>
  </si>
  <si>
    <t xml:space="preserve">Kamphoog GmbH
</t>
  </si>
  <si>
    <t>http://www.kamphoog.de/</t>
  </si>
  <si>
    <t>info@kamphoog.de</t>
  </si>
  <si>
    <t xml:space="preserve">Lothar Hasselberg Gmbh &amp; Co.KG
</t>
  </si>
  <si>
    <t>http://hasselberg-fenster.de/</t>
  </si>
  <si>
    <t>info@hasselberg-fenster.de</t>
  </si>
  <si>
    <t xml:space="preserve">BL Fenster — Kunststofffenster Aluminiumfenster Holzfenster
</t>
  </si>
  <si>
    <t>https://kunststofffenster-pvc.de/</t>
  </si>
  <si>
    <t>info@bauliefer.de</t>
  </si>
  <si>
    <t xml:space="preserve">Atut Systemy Okienne i Drzwiowe
</t>
  </si>
  <si>
    <t>http://atutpiaseczno.pl/</t>
  </si>
  <si>
    <t>kontakt@atut-piaseczno.pl</t>
  </si>
  <si>
    <t xml:space="preserve">Oknostyl Łódź - Okna PCV, drzwi, bramy garażowe i osłony okienne
</t>
  </si>
  <si>
    <t>https://okno-styl.net.pl/</t>
  </si>
  <si>
    <t>wycena@oknostyl.net</t>
  </si>
  <si>
    <t xml:space="preserve">Oknolux - okna, drzwi, bramy
</t>
  </si>
  <si>
    <t>http://systemyokienne.eu/</t>
  </si>
  <si>
    <t>kontakt@systemyokienne.eu</t>
  </si>
  <si>
    <t>All-Max - Okna, drzwi, dekoracje okienne Andrzej Pala</t>
  </si>
  <si>
    <t>https://all-max-andrzej-pala.business.site/?utm_source=gmb&amp;utm_medium=referral</t>
  </si>
  <si>
    <t xml:space="preserve">Fensterglück.de - Drutex Fenster, Türen und Rollläden
</t>
  </si>
  <si>
    <t>http://xn--fensterglck-1hb.de/</t>
  </si>
  <si>
    <t xml:space="preserve">Schmidt Fenster GmbH
</t>
  </si>
  <si>
    <t>http://www.schmidt-visbek.de/</t>
  </si>
  <si>
    <t>info@schmidt-visbek.deLogin</t>
  </si>
  <si>
    <t xml:space="preserve">Pollmann &amp; Renken GmbH
</t>
  </si>
  <si>
    <t>https://www.pollmann-renken.de/</t>
  </si>
  <si>
    <t xml:space="preserve">W. Blanke Inh. Dieter Blanke
</t>
  </si>
  <si>
    <t>http://www.fenster-tuerenbau-blanke.de/</t>
  </si>
  <si>
    <t xml:space="preserve"> info(at)fensterundtueren-blanke.de</t>
  </si>
  <si>
    <t xml:space="preserve">Clemens Kurre Fenster und Türen GmbH &amp; Co. KG
</t>
  </si>
  <si>
    <t>http://www.c-kurre.de/</t>
  </si>
  <si>
    <t>info@c-kurre.de</t>
  </si>
  <si>
    <t xml:space="preserve">KH Segelken GmbH &amp; Co. KG
</t>
  </si>
  <si>
    <t>https://www.kh-segelken.de/</t>
  </si>
  <si>
    <t xml:space="preserve">Tischlerei Dolhs - Fenster - Türen - Wintergärten
</t>
  </si>
  <si>
    <t>https://www.tischlerei-dolhs.de/</t>
  </si>
  <si>
    <t xml:space="preserve">Zich &amp; Issa GbR - Fenster und Türen
</t>
  </si>
  <si>
    <t>https://www.zich-issa.de/?utm_source=gmb&amp;utm_medium=organic&amp;utm_campaign=gmb</t>
  </si>
  <si>
    <t xml:space="preserve">Meyer Fensterwerke GmbH
</t>
  </si>
  <si>
    <t>https://www.meyer-wardenburg.de/</t>
  </si>
  <si>
    <t>Mübarek Group</t>
  </si>
  <si>
    <t>Somali</t>
  </si>
  <si>
    <t>252 907 797 731</t>
  </si>
  <si>
    <t xml:space="preserve">Robert´s Fenster-Türen-Rollläden Berlin
</t>
  </si>
  <si>
    <t>http://www.roberts-fenster.de/</t>
  </si>
  <si>
    <t>roberts-fenster@gmx.de</t>
  </si>
  <si>
    <t xml:space="preserve">Tischlerei Construct &amp; Beschlaghandel Potsdam
</t>
  </si>
  <si>
    <t>https://www.tischlerei-construct-beschlaghandel.de/</t>
  </si>
  <si>
    <t xml:space="preserve">KWK Fensterhandel | Fenster und Türen aus Kunststoff, Holz oder Aluminium | Fenster aus PoleN
</t>
  </si>
  <si>
    <t>http://www.kwk-fensterhandel.de/</t>
  </si>
  <si>
    <t>anfrage@kwk-fensterhandel.de</t>
  </si>
  <si>
    <t xml:space="preserve">Fensterblick GmbH &amp; Co. KG
</t>
  </si>
  <si>
    <t>info@fensterblick.de</t>
  </si>
  <si>
    <t xml:space="preserve">Baudiscount Fenster
</t>
  </si>
  <si>
    <t>https://www.baudiscount-fenster.de/</t>
  </si>
  <si>
    <t>info@baustoffhandel-baudiscount.de</t>
  </si>
  <si>
    <t xml:space="preserve">FENSTER-KOMM
</t>
  </si>
  <si>
    <t>https://fenster-komm.de/</t>
  </si>
  <si>
    <t xml:space="preserve">H-LEX Fenster &amp; Türen Berlin
</t>
  </si>
  <si>
    <t>https://h-lex.de/</t>
  </si>
  <si>
    <r>
      <rPr>
        <sz val="11"/>
        <color theme="1"/>
        <rFont val="Arial"/>
      </rPr>
      <t>info[at]</t>
    </r>
    <r>
      <rPr>
        <u/>
        <sz val="11"/>
        <color rgb="FF1155CC"/>
        <rFont val="Arial"/>
      </rPr>
      <t>h-lex.de</t>
    </r>
  </si>
  <si>
    <t>Tazhi Group</t>
  </si>
  <si>
    <t xml:space="preserve">995 591 54 07 54
</t>
  </si>
  <si>
    <t>https://www.facebook.com/TazhiiGroup/</t>
  </si>
  <si>
    <t>Euro Modern House • ევრო მოდერნ ჰაუსი</t>
  </si>
  <si>
    <t xml:space="preserve">995 577 55 12 02 </t>
  </si>
  <si>
    <t>https://www.facebook.com/euromodernhouse/</t>
  </si>
  <si>
    <t>Dio . დიო</t>
  </si>
  <si>
    <t>995 577 55 56 17</t>
  </si>
  <si>
    <t>Mr. Gorge</t>
  </si>
  <si>
    <t xml:space="preserve">Alu tech </t>
  </si>
  <si>
    <t>995 591 96 11 26</t>
  </si>
  <si>
    <t>https://alu.ge/english/products</t>
  </si>
  <si>
    <t>he buys ASAS cheaper than us</t>
  </si>
  <si>
    <t xml:space="preserve">LB ALUMINUM
</t>
  </si>
  <si>
    <t>995 597 23 55 34</t>
  </si>
  <si>
    <t>Real Palace</t>
  </si>
  <si>
    <t>995 577 08 47 47</t>
  </si>
  <si>
    <t>https://www.facebook.com/BuildingCompanyREALPALACE/posts/2107034772774250/</t>
  </si>
  <si>
    <t xml:space="preserve">Domus Aluminium
</t>
  </si>
  <si>
    <t>995 32 223 25 23</t>
  </si>
  <si>
    <t>https://www.facebook.com/domusaluminium/about/?ref=page_internal</t>
  </si>
  <si>
    <t xml:space="preserve">გარანტი ჯგუფი
</t>
  </si>
  <si>
    <t xml:space="preserve">995 598 14 38 38
</t>
  </si>
  <si>
    <t>https://www.facebook.com/garantigroup.ge/</t>
  </si>
  <si>
    <t xml:space="preserve">Archline•არქლაინი 
</t>
  </si>
  <si>
    <t xml:space="preserve">
+995 568 73 63 43</t>
  </si>
  <si>
    <t>https://www.facebook.com/ArchlineEngineering1/</t>
  </si>
  <si>
    <t>offcıal dealer ?????</t>
  </si>
  <si>
    <t xml:space="preserve">ALCOM • ალკომი
</t>
  </si>
  <si>
    <t>995 599 19 83 82</t>
  </si>
  <si>
    <t xml:space="preserve">Hakhverdyan shinmontaj
</t>
  </si>
  <si>
    <t>374 43 888596</t>
  </si>
  <si>
    <t>https://www.hakhverdyan.am/en/works</t>
  </si>
  <si>
    <t xml:space="preserve">ALP Պատուհաններ և Դռներ Երևանում
</t>
  </si>
  <si>
    <t>374 95 200814</t>
  </si>
  <si>
    <t>https://alp.am/</t>
  </si>
  <si>
    <t xml:space="preserve">House Master
</t>
  </si>
  <si>
    <t>374 91 807227</t>
  </si>
  <si>
    <t>http://housemaster.am/</t>
  </si>
  <si>
    <t>374 55 292727</t>
  </si>
  <si>
    <t>MR. Edward</t>
  </si>
  <si>
    <t>https://www.facebook.com/LLC.ASEDL/</t>
  </si>
  <si>
    <t xml:space="preserve">STEKO LLC
</t>
  </si>
  <si>
    <t>374 55 505004</t>
  </si>
  <si>
    <t>https://www.facebook.com/stekollc/</t>
  </si>
  <si>
    <t xml:space="preserve">Expert 1
</t>
  </si>
  <si>
    <t>https://expert1.am/</t>
  </si>
  <si>
    <t xml:space="preserve">Esse Alu
</t>
  </si>
  <si>
    <t>http://www.essealu.com/</t>
  </si>
  <si>
    <t xml:space="preserve">Aluminium Glass
</t>
  </si>
  <si>
    <t>http://www.aluminiumglass.ro/</t>
  </si>
  <si>
    <t xml:space="preserve">Arcom Glass
</t>
  </si>
  <si>
    <t xml:space="preserve">MaralGlass
</t>
  </si>
  <si>
    <t>http://www.maralglass.ro/</t>
  </si>
  <si>
    <t xml:space="preserve">Aluminum fabrication center
</t>
  </si>
  <si>
    <t>Liberya</t>
  </si>
  <si>
    <t>231 55 545 5745</t>
  </si>
  <si>
    <t xml:space="preserve">BFB BrandenburgerFensterbau
</t>
  </si>
  <si>
    <t xml:space="preserve">Milglass Baustoffhandel UG
</t>
  </si>
  <si>
    <t>http://www.milglass.co/home-1/</t>
  </si>
  <si>
    <t xml:space="preserve">fenster-haus.de Vertriebs GmbH
</t>
  </si>
  <si>
    <t>http://www.fenster-haus.de/</t>
  </si>
  <si>
    <t xml:space="preserve">SATLER FENSTER UND TÜREN WIENENERSTRASSE 90B,AT - 8605 Kapfenberg
</t>
  </si>
  <si>
    <t>Avusturya</t>
  </si>
  <si>
    <t>info@fenster-satler.at</t>
  </si>
  <si>
    <t>http://www.fenster-satler.at/geschaeftsstellen</t>
  </si>
  <si>
    <t xml:space="preserve">ALUGLASBAU KL GmbH
</t>
  </si>
  <si>
    <t>office@aluglasbau.at</t>
  </si>
  <si>
    <t>https://www.aluglasbau.at/</t>
  </si>
  <si>
    <t xml:space="preserve">HAGtec - Holz Alu Glas
</t>
  </si>
  <si>
    <t>office@hagtec.at</t>
  </si>
  <si>
    <t>http://www.hagtec.at/</t>
  </si>
  <si>
    <t xml:space="preserve">Aluminium Hagenauer
</t>
  </si>
  <si>
    <t>alu3@alu-hagenauer.at</t>
  </si>
  <si>
    <t>https://alu-hagenauer.at/</t>
  </si>
  <si>
    <t xml:space="preserve">FENTECH - Fenster &amp; Türen &amp; Sonnenschutz
</t>
  </si>
  <si>
    <t>http://www.fentech.at/</t>
  </si>
  <si>
    <t xml:space="preserve">AK-Zimmerei
</t>
  </si>
  <si>
    <t>office@ak-zimmerei.com</t>
  </si>
  <si>
    <t>http://www.ak-zimmerei.com/</t>
  </si>
  <si>
    <t xml:space="preserve">Lagerhaus Internorm Fenster und Türen
</t>
  </si>
  <si>
    <t>https://www.lagerhaus-fenster.at/</t>
  </si>
  <si>
    <t xml:space="preserve">Interroll Fenster,Türen und Röllladen GmbH
</t>
  </si>
  <si>
    <t xml:space="preserve">interroll@outlook.de
</t>
  </si>
  <si>
    <t>http://www.interrollgraz.com/</t>
  </si>
  <si>
    <t xml:space="preserve">G.S. Georg Stemeseder GmbH
</t>
  </si>
  <si>
    <t>office@stemeseder.com</t>
  </si>
  <si>
    <t>https://stemeseder.com/</t>
  </si>
  <si>
    <t xml:space="preserve">Fensterunion
</t>
  </si>
  <si>
    <t>https://www.fensterunion.at/</t>
  </si>
  <si>
    <t xml:space="preserve">Alu-Solid Fenster&amp;Türen GmbH
</t>
  </si>
  <si>
    <t>alu.solid.fenster@gmail.com</t>
  </si>
  <si>
    <t>http://www.alu-solid.at/</t>
  </si>
  <si>
    <t xml:space="preserve">Fenster Wien
</t>
  </si>
  <si>
    <t>http://www.fenster.wien/</t>
  </si>
  <si>
    <t>office@fentech.at</t>
  </si>
  <si>
    <t xml:space="preserve">RUPO Fenstersysteme GmbH - AluFusion Fenster | Türen | Balkon &amp; Terrassentüren | Sonnen &amp; Insektenschutz | Wintergärten
</t>
  </si>
  <si>
    <t>https://www.rupo.co.at/</t>
  </si>
  <si>
    <t>grafendorf@rupo.co.at</t>
  </si>
  <si>
    <t>manufaktur matauschek</t>
  </si>
  <si>
    <t>office@matauschek.com</t>
  </si>
  <si>
    <t xml:space="preserve">Türkmen Penjire H.J.
</t>
  </si>
  <si>
    <t>https://tmpen.com/</t>
  </si>
  <si>
    <t xml:space="preserve">Panjur
</t>
  </si>
  <si>
    <t>http://www.panjur-tm.com/</t>
  </si>
  <si>
    <t xml:space="preserve">ALUTEX
</t>
  </si>
  <si>
    <t>998 98 125 04 44</t>
  </si>
  <si>
    <t>https://alutex.uz/</t>
  </si>
  <si>
    <t xml:space="preserve">ألمنيوم أفق الجزيرة
</t>
  </si>
  <si>
    <t>ورشة الوليد للألمنيوم</t>
  </si>
  <si>
    <t xml:space="preserve">معرض العبدلي للحدادة والألمنيوم والاستانل ستيل
</t>
  </si>
  <si>
    <t>AlBitar Glass Mirrors Steel Aluminum Factory مصانع الدمام مرآة الزجاج الألومنيوم</t>
  </si>
  <si>
    <t xml:space="preserve">Jamal Aluminum
</t>
  </si>
  <si>
    <t xml:space="preserve">Rakayez Al-Town Est. For Aluminum &amp; Iron
</t>
  </si>
  <si>
    <t xml:space="preserve">مصنع الغداري للأعمال المعدنية والزجاج
</t>
  </si>
  <si>
    <t xml:space="preserve">Rataal Aluminium &amp; Steel Company
</t>
  </si>
  <si>
    <t xml:space="preserve">Smart Window Aluminum Factory
</t>
  </si>
  <si>
    <t xml:space="preserve">Asia Factory for Aluminum &amp; Glass works.
</t>
  </si>
  <si>
    <t xml:space="preserve">Areeb Al Jubail for steel and aluminum
</t>
  </si>
  <si>
    <t xml:space="preserve">Safa Aluminium Saudi Co.
</t>
  </si>
  <si>
    <t xml:space="preserve">Shehab Aluminium accessories
</t>
  </si>
  <si>
    <t xml:space="preserve">JAZZAH FACTORY FOR ALUMINIUM PRODUCTIONS CO.
</t>
  </si>
  <si>
    <t>966 50 449 8893</t>
  </si>
  <si>
    <t xml:space="preserve">Daral Fanon Almoniuam
</t>
  </si>
  <si>
    <t xml:space="preserve">Asma Aluminum أسماء الألمنيوم
</t>
  </si>
  <si>
    <t>966 50 270 4935</t>
  </si>
  <si>
    <t xml:space="preserve">Ashico Alum-شركة مصنع العشي للالومنيوم
</t>
  </si>
  <si>
    <t>http://www.ashicoalum.com/</t>
  </si>
  <si>
    <t xml:space="preserve">ALUMATEC - Aluminum Manufacturers Co Ltd
</t>
  </si>
  <si>
    <t>(+961-1) 305-124</t>
  </si>
  <si>
    <r>
      <rPr>
        <sz val="10"/>
        <color theme="1"/>
        <rFont val="Roboto"/>
      </rPr>
      <t>   </t>
    </r>
    <r>
      <rPr>
        <sz val="11"/>
        <color rgb="FF188038"/>
        <rFont val="Google Sans"/>
      </rPr>
      <t>ARAMA LİSTELERİ</t>
    </r>
    <r>
      <rPr>
        <sz val="11"/>
        <color rgb="FF5F6368"/>
        <rFont val="Google Sans"/>
      </rPr>
      <t>VERİLEN TEKLİFLEROTOMATİK LİSTE İSİMLERİ</t>
    </r>
    <r>
      <rPr>
        <sz val="10"/>
        <color theme="1"/>
        <rFont val="Google Sans"/>
      </rPr>
      <t> </t>
    </r>
    <r>
      <rPr>
        <sz val="9"/>
        <color rgb="FF737373"/>
        <rFont val="Roboto"/>
      </rPr>
      <t>Explore</t>
    </r>
  </si>
  <si>
    <t xml:space="preserve">كراد العربية للألومنيوم Karad Arabia
</t>
  </si>
  <si>
    <t>966 58 288 8510</t>
  </si>
  <si>
    <t xml:space="preserve">نوافذ المنيوم - ابواب المنيوم - مصنع اكتن لانظمة الابواب والنوافذ
</t>
  </si>
  <si>
    <t xml:space="preserve">(+966) 539195552
</t>
  </si>
  <si>
    <t xml:space="preserve">المنيوم الحبيب و زجاج Alluminium Alhabib
</t>
  </si>
  <si>
    <t>966 50 462 9000</t>
  </si>
  <si>
    <t xml:space="preserve">EPS Factory
</t>
  </si>
  <si>
    <t xml:space="preserve">Smart Window Aluminum &amp; Glass Factory
</t>
  </si>
  <si>
    <t xml:space="preserve">Marsa al Madina General cont est. (Aluminium &amp; Glass work)
</t>
  </si>
  <si>
    <t>Saudi Industries for PVC U-Windows Co.Ltd (WinTek)</t>
  </si>
  <si>
    <t xml:space="preserve">Granada Aluminium jeddah / معرض ألمنيوم غرناطة بجدة
</t>
  </si>
  <si>
    <t xml:space="preserve">Al-Saeed Glass Company
</t>
  </si>
  <si>
    <t>966 54 443 4883</t>
  </si>
  <si>
    <t>Mohannad.kallas@alsaeedco.com</t>
  </si>
  <si>
    <t xml:space="preserve">Almanee Trading &amp; Industrial Corp
</t>
  </si>
  <si>
    <t xml:space="preserve">Granada Aluminium Factory Head Office - شركة مصنع ألمنيوم غرناطة / الادارة العامة
</t>
  </si>
  <si>
    <t xml:space="preserve">مصنع الزهور للالمنيوم
</t>
  </si>
  <si>
    <t>http://www.alzuhour.com.sa/</t>
  </si>
  <si>
    <t xml:space="preserve">Alumunium Constructions Systems Co.
</t>
  </si>
  <si>
    <t>http://www.alusystems.com.sa/</t>
  </si>
  <si>
    <t xml:space="preserve">Alco Aluminum Factoryمستودع اظهر
</t>
  </si>
  <si>
    <t>966 59 865 3767</t>
  </si>
  <si>
    <t>شريف الشبراوي Alco</t>
  </si>
  <si>
    <t xml:space="preserve">المنيوم الوكيل
</t>
  </si>
  <si>
    <t xml:space="preserve">KHAZAL INDUSTRIES FACTORY مصنع خزعل للصناعات المعدنية
</t>
  </si>
  <si>
    <t xml:space="preserve">مصنع المانع للألمنيوم والزجاج
</t>
  </si>
  <si>
    <t xml:space="preserve">Aluminium Products Company, Jeddah(ALUPCO) , A Saudi Joint Stock Co. (Closed)
</t>
  </si>
  <si>
    <t>info@alupco.com</t>
  </si>
  <si>
    <t xml:space="preserve">افال لأنظمة الألمنيوم
</t>
  </si>
  <si>
    <t xml:space="preserve">info@afal.biz
</t>
  </si>
  <si>
    <t xml:space="preserve">ورشة الومنيوم شتر
</t>
  </si>
  <si>
    <t xml:space="preserve">Lamar
</t>
  </si>
  <si>
    <t>40 21 425 0925</t>
  </si>
  <si>
    <t xml:space="preserve">Aluser - Serramenti Schuco Milano
</t>
  </si>
  <si>
    <t xml:space="preserve">واجهة العربية
</t>
  </si>
  <si>
    <t xml:space="preserve">شركة الراجحي للألمنيوم
</t>
  </si>
  <si>
    <t xml:space="preserve">Brotherhood art aluminum factory
</t>
  </si>
  <si>
    <t>966 50 455 4169</t>
  </si>
  <si>
    <t>rajhico5@gmail.com</t>
  </si>
  <si>
    <t xml:space="preserve">مصنع الجميل للالمونيوم
</t>
  </si>
  <si>
    <t>966 55 404 4149</t>
  </si>
  <si>
    <t>https://www.facebook.com/1980Gmaa/</t>
  </si>
  <si>
    <t xml:space="preserve">ورشة أشكال الروعه- حداده - المنيوم-نجاره-كلادنج
</t>
  </si>
  <si>
    <t>966 55 926 6814</t>
  </si>
  <si>
    <t xml:space="preserve">باجابر للالومنيوم والاكسسوار
</t>
  </si>
  <si>
    <t>966 53 053 5532</t>
  </si>
  <si>
    <t xml:space="preserve">مجموعة المثالي للرخام الصناعي والألمنيوم
</t>
  </si>
  <si>
    <t xml:space="preserve">Al Andalus Trading Co - شركة الأندلس للتجارة
</t>
  </si>
  <si>
    <t xml:space="preserve">REKORD Fenster Mautern
</t>
  </si>
  <si>
    <t xml:space="preserve">Fenster Hannover
</t>
  </si>
  <si>
    <t xml:space="preserve">HiFeBa Fenster Türen &amp; Wintergarten GmbH &amp; Co. KG
</t>
  </si>
  <si>
    <t>ara bi daha</t>
  </si>
  <si>
    <t xml:space="preserve">Fenal Fenster u. Fassaden GmbH
</t>
  </si>
  <si>
    <t xml:space="preserve">Kreativ Ausbau - B. Kuhlmann
</t>
  </si>
  <si>
    <t xml:space="preserve">Tischlerei Kaiser + Gent GmbH &amp; Co. KG
</t>
  </si>
  <si>
    <t xml:space="preserve"> info@kaiser-gent.de</t>
  </si>
  <si>
    <t>https://www.kaiser-gent.de/kontakt</t>
  </si>
  <si>
    <t>ara</t>
  </si>
  <si>
    <t xml:space="preserve">Eberst Bauelemente
</t>
  </si>
  <si>
    <t>info@eberst.eu</t>
  </si>
  <si>
    <t xml:space="preserve">Jehlen-Fenster
</t>
  </si>
  <si>
    <t>jehlen-fenster.de</t>
  </si>
  <si>
    <t xml:space="preserve">DW-Montagebau
</t>
  </si>
  <si>
    <t xml:space="preserve">info@dw-montagebau.de
</t>
  </si>
  <si>
    <t xml:space="preserve">Burckhardt Metall Glas GmbH
</t>
  </si>
  <si>
    <t>49 174 4025275</t>
  </si>
  <si>
    <t>Herr Grampe</t>
  </si>
  <si>
    <t xml:space="preserve">ورشة نايف سعد المشري للحدادة والألمنيوم
</t>
  </si>
  <si>
    <t>966 55 444 5325</t>
  </si>
  <si>
    <t>drsaber@alusystems.com.sa</t>
  </si>
  <si>
    <t>http://www.alusystems.com.sa/products/</t>
  </si>
  <si>
    <t>uaac</t>
  </si>
  <si>
    <t xml:space="preserve"> info@uaac-sa.com</t>
  </si>
  <si>
    <t xml:space="preserve">Al Ghurair Construction Aluminium LLC
</t>
  </si>
  <si>
    <t xml:space="preserve"> +971 4 2029777</t>
  </si>
  <si>
    <t>Biju.chandran@al-ghurair.com</t>
  </si>
  <si>
    <t>https://www.al-ghurair.com/en/contact-us</t>
  </si>
  <si>
    <t xml:space="preserve">Al Gurg </t>
  </si>
  <si>
    <t>https://www.algurg.com/Contact-Us</t>
  </si>
  <si>
    <t xml:space="preserve">AlSahel Contracting Company LLC
</t>
  </si>
  <si>
    <t xml:space="preserve"> +971 4 285 7324</t>
  </si>
  <si>
    <t>https://alsahelcon.com/</t>
  </si>
  <si>
    <t xml:space="preserve">S3 Innova Fensterverkleidung Fachbetrieb Hannover
</t>
  </si>
  <si>
    <t>Herr Schrmnar</t>
  </si>
  <si>
    <t>http://s3-innova-fenster-verkleiden.de/</t>
  </si>
  <si>
    <t xml:space="preserve">Qualital for Aluminum Works
</t>
  </si>
  <si>
    <t>20 112 222 9959</t>
  </si>
  <si>
    <t xml:space="preserve">Türen und Fenster Faßbender
</t>
  </si>
  <si>
    <t>f.fassbender@netcologne.de</t>
  </si>
  <si>
    <t>https://www.fenster-fassbender.de/</t>
  </si>
  <si>
    <t xml:space="preserve">Wallburger GmbH
</t>
  </si>
  <si>
    <t>Herr Klaus</t>
  </si>
  <si>
    <t>info@wallburger.de</t>
  </si>
  <si>
    <t>http://www.wallburger.de/</t>
  </si>
  <si>
    <t>pazartesi ara</t>
  </si>
  <si>
    <t xml:space="preserve">Fenster aus Poland
</t>
  </si>
  <si>
    <t>Pesotopola@gmail.com</t>
  </si>
  <si>
    <t>http://www.pesotopola.pl/</t>
  </si>
  <si>
    <t xml:space="preserve">1A Fenstermontage - Fensterbau Köln
</t>
  </si>
  <si>
    <t>koeln@1A-Fenstermontage.de</t>
  </si>
  <si>
    <t>http://koeln.1a-fenstermontage.de/</t>
  </si>
  <si>
    <t xml:space="preserve">Bauelemente Seven
</t>
  </si>
  <si>
    <t>Bauelemente.seven@gmx.de</t>
  </si>
  <si>
    <t>http://bauelementeseven.de/</t>
  </si>
  <si>
    <t>Türk</t>
  </si>
  <si>
    <t xml:space="preserve">AGA Moderne Bauelemente
</t>
  </si>
  <si>
    <t>Aykut bey</t>
  </si>
  <si>
    <t xml:space="preserve"> info@agakoeln.de</t>
  </si>
  <si>
    <t>http://agakoeln.de/</t>
  </si>
  <si>
    <t xml:space="preserve">Fensterbau Konzepte Schug GmbH (früher DM Fensterbau)
</t>
  </si>
  <si>
    <t>info@fensterbau-konzepte.de</t>
  </si>
  <si>
    <t>https://www.fensterbau-konzepte.de/</t>
  </si>
  <si>
    <t xml:space="preserve">Kuntze GmbH
</t>
  </si>
  <si>
    <t xml:space="preserve">Sonra ara </t>
  </si>
  <si>
    <t xml:space="preserve">Dewald-OHG
</t>
  </si>
  <si>
    <t xml:space="preserve"> info@dewald-ohg.de</t>
  </si>
  <si>
    <t>https://www.dewald-ohg.de/</t>
  </si>
  <si>
    <t xml:space="preserve">FN Fensterbau Brühl Gmbh
</t>
  </si>
  <si>
    <t>info@euskirchener-fensterbau.de</t>
  </si>
  <si>
    <t>https://fensterbau-bruehl.de/</t>
  </si>
  <si>
    <t xml:space="preserve">Weingarten Innenausbau Türen und Fenster
</t>
  </si>
  <si>
    <t>http://www.weingarten-innenausbau.de/?utm_source=gmb&amp;utm_medium=organic&amp;utm_campaign=gmb</t>
  </si>
  <si>
    <t xml:space="preserve">Hoffmann &amp; Co. KG
</t>
  </si>
  <si>
    <t>https://www.hoffmann-handwerk.de/?utm_source=gmb&amp;utm_medium=organic&amp;utm_campaign=Profil</t>
  </si>
  <si>
    <t xml:space="preserve">Handelsvertretung für deutsche Fenster aus Polen
</t>
  </si>
  <si>
    <t>Sladkowski</t>
  </si>
  <si>
    <t>https://polenfenster.business.site/?utm_source=gmb&amp;utm_medium=referral</t>
  </si>
  <si>
    <t xml:space="preserve">Tischlerzentrum Köln
</t>
  </si>
  <si>
    <t>https://www.tischlerzentrum.koeln/</t>
  </si>
  <si>
    <t xml:space="preserve">Bauelemente Ralf Wierig Köln | Fenster, Fensterreparaturen, Haustüren &amp; Rollladen
</t>
  </si>
  <si>
    <t>wierig</t>
  </si>
  <si>
    <t>bauelemente.wierig@web.de</t>
  </si>
  <si>
    <t>https://www.bauelemente-wierig.de/</t>
  </si>
  <si>
    <t xml:space="preserve">Tischlerzentrum Köln
</t>
  </si>
  <si>
    <t xml:space="preserve">Fenster Sonnenschutz Meisterbetrieb Alibasic
</t>
  </si>
  <si>
    <t>http://feanster-sonnenschutz.de/</t>
  </si>
  <si>
    <t>ea@feass.de</t>
  </si>
  <si>
    <t xml:space="preserve">Bernhard Faßbender Türen und Fenster
</t>
  </si>
  <si>
    <t xml:space="preserve">Kalzip GmbH
</t>
  </si>
  <si>
    <t>http://www.kalzip.com/</t>
  </si>
  <si>
    <t>germany@kalzip.com</t>
  </si>
  <si>
    <t xml:space="preserve">ProAl GmbH
</t>
  </si>
  <si>
    <t>http://www.proal.de/</t>
  </si>
  <si>
    <t>info@proal.de</t>
  </si>
  <si>
    <t xml:space="preserve">Fenster Türen Fassaden Hoffmann GmbH &amp; Co. KG
</t>
  </si>
  <si>
    <t xml:space="preserve">Vinylit Fassaden GmbH
</t>
  </si>
  <si>
    <t>frau Ombach</t>
  </si>
  <si>
    <t>https://www.vinylit.de/</t>
  </si>
  <si>
    <t>julia.ombach@vinylit.de</t>
  </si>
  <si>
    <t>yarin ara</t>
  </si>
  <si>
    <t xml:space="preserve">Haushaut GmbH
</t>
  </si>
  <si>
    <t>sales@haushaut.com</t>
  </si>
  <si>
    <t>https://www.haushaut.com/</t>
  </si>
  <si>
    <t xml:space="preserve">fshape GmbH
</t>
  </si>
  <si>
    <t>info@fshape.de</t>
  </si>
  <si>
    <t>http://www.fshape.de/</t>
  </si>
  <si>
    <t xml:space="preserve">Bau-Fuchs
</t>
  </si>
  <si>
    <t xml:space="preserve">info@baufuchsonline.de </t>
  </si>
  <si>
    <t>https://www.baufuchsonline.de/</t>
  </si>
  <si>
    <t>sonraki cuma ara</t>
  </si>
  <si>
    <t xml:space="preserve">Alufinish GmbH &amp; Co. KG
</t>
  </si>
  <si>
    <t>Africa Aluminium Structural Systems cc</t>
  </si>
  <si>
    <t xml:space="preserve">Fiedler Glas- und Fensterbau
</t>
  </si>
  <si>
    <t>49 171 5327262</t>
  </si>
  <si>
    <t>Şahin Sezer</t>
  </si>
  <si>
    <t xml:space="preserve">info@fiedlerglas.de
</t>
  </si>
  <si>
    <t>https://www.fiedlerglas.de/</t>
  </si>
  <si>
    <t xml:space="preserve">BEK Bauelemente Manfred Kluge Fenster | Türen | Rollläden
</t>
  </si>
  <si>
    <t>info@bauelemente-kluge.de</t>
  </si>
  <si>
    <t>https://www.bauelemente-kluge.de/</t>
  </si>
  <si>
    <t xml:space="preserve">Rika Bauelemente und Sonnenschutz
</t>
  </si>
  <si>
    <t xml:space="preserve">
info@rkbauelemente.de</t>
  </si>
  <si>
    <t>https://www.rkbauelemente.de/</t>
  </si>
  <si>
    <t xml:space="preserve">Clarvis Fenster und Türen GmbH
</t>
  </si>
  <si>
    <r>
      <rPr>
        <u/>
        <sz val="11"/>
        <color rgb="FFFFFFFF"/>
        <rFont val="Arial"/>
      </rPr>
      <t>service@interoba.de</t>
    </r>
    <r>
      <rPr>
        <u/>
        <sz val="11"/>
        <color rgb="FF000000"/>
        <rFont val="Arial"/>
      </rPr>
      <t>service@interoba.de</t>
    </r>
  </si>
  <si>
    <t>https://interoba.de/</t>
  </si>
  <si>
    <t>montag nochmal</t>
  </si>
  <si>
    <t xml:space="preserve">Fenster &amp; Haustüren Rhein-Erft-Kreis I Norff GmbH
</t>
  </si>
  <si>
    <t xml:space="preserve">info@norff-gmbh.de
</t>
  </si>
  <si>
    <t xml:space="preserve">FENSTERKONZEPTE SCHULZE
</t>
  </si>
  <si>
    <t xml:space="preserve"> info@fensterkonzepte.de</t>
  </si>
  <si>
    <t>http://www.fensterkonzepte.de/</t>
  </si>
  <si>
    <t xml:space="preserve">Fiedler Bauelemente GmbH | Fenster | Türen | Wintergarten Siegburg
</t>
  </si>
  <si>
    <t>https://www.facebook.com/Fiedler.Bauelemente.GmbH.Siegburg/</t>
  </si>
  <si>
    <t>info@fiedler-bauelemente-siegburg.de</t>
  </si>
  <si>
    <t xml:space="preserve">Hengstwerth Bauelemente Fenster Haustüren Wintergärten und mehr
</t>
  </si>
  <si>
    <t>https://hengstwerth-bauelemente.business.site/</t>
  </si>
  <si>
    <t xml:space="preserve">ASS Fensterbau "seit 1952"
</t>
  </si>
  <si>
    <t>https://www.facebook.com/ASS.Fensterbau/</t>
  </si>
  <si>
    <t xml:space="preserve">ARKO - Fenster &amp; Türen
</t>
  </si>
  <si>
    <t>http://www.arko-fenster.de/</t>
  </si>
  <si>
    <t>info@arko-fenster.de</t>
  </si>
  <si>
    <t xml:space="preserve">RSG-FENSTER
</t>
  </si>
  <si>
    <t>http://rsg-fenster.de/</t>
  </si>
  <si>
    <t>info@rsg-fenster.de</t>
  </si>
  <si>
    <t xml:space="preserve">Saudi Aluminium Company - الشركة السعودية للألمنيوم
</t>
  </si>
  <si>
    <t xml:space="preserve"> +966-92-000-7866
</t>
  </si>
  <si>
    <t>andalus@andalusgroup.net</t>
  </si>
  <si>
    <t xml:space="preserve">Garbia Technical Aluminium Factory
</t>
  </si>
  <si>
    <t>966 55 499 5302</t>
  </si>
  <si>
    <t xml:space="preserve">Info@lounametal.com
</t>
  </si>
  <si>
    <t xml:space="preserve">Deem Aluminium Factory Demetal ديم للألمونيوم
</t>
  </si>
  <si>
    <t>966 11 265 5566</t>
  </si>
  <si>
    <t xml:space="preserve">Nefal Aluminum
</t>
  </si>
  <si>
    <t>966 58 236 5460</t>
  </si>
  <si>
    <t>I metal</t>
  </si>
  <si>
    <t>966 55 519 1397</t>
  </si>
  <si>
    <t xml:space="preserve">Alinco
</t>
  </si>
  <si>
    <t>966 11 265 9470</t>
  </si>
  <si>
    <t xml:space="preserve">(g]ALSEDDIK GROUP FOR CONSTRUCTION (A.S.G
</t>
  </si>
  <si>
    <t>20 111 115 4290</t>
  </si>
  <si>
    <t xml:space="preserve">Venster Egypt for aluminum works
</t>
  </si>
  <si>
    <t>aliaa Hussien</t>
  </si>
  <si>
    <t>http://web.vensteregypt.com/contact.php</t>
  </si>
  <si>
    <t xml:space="preserve">Alu frame For Aluminum and Glass Solutions
</t>
  </si>
  <si>
    <t xml:space="preserve">20 2 23104301
</t>
  </si>
  <si>
    <t xml:space="preserve">BLK Egypt
</t>
  </si>
  <si>
    <t>info@blkegypt.com</t>
  </si>
  <si>
    <t xml:space="preserve">Alusolutions
</t>
  </si>
  <si>
    <t>20 101 784 5547</t>
  </si>
  <si>
    <t>info@alusolutions.net</t>
  </si>
  <si>
    <t xml:space="preserve">Arpina for Aluminum &amp; Contracting
</t>
  </si>
  <si>
    <t>https://www.facebook.com/arpina.eg</t>
  </si>
  <si>
    <t>Amanos System</t>
  </si>
  <si>
    <t xml:space="preserve">49 173 421 34 00
</t>
  </si>
  <si>
    <t>kerem bey</t>
  </si>
  <si>
    <t>https://amanossystem.com/tr/iletisim/</t>
  </si>
  <si>
    <t>archiclad</t>
  </si>
  <si>
    <t xml:space="preserve">contact@archiclad.com
</t>
  </si>
  <si>
    <t>alicoegypt</t>
  </si>
  <si>
    <t>mail@alicoegypt.com</t>
  </si>
  <si>
    <t xml:space="preserve">Al Ghurair Construction Aluminium LLC
</t>
  </si>
  <si>
    <t>971 50 288 1307</t>
  </si>
  <si>
    <t xml:space="preserve">Cornish Arabian Aluminium Factory LLC
</t>
  </si>
  <si>
    <t xml:space="preserve">971 4 258 8828
</t>
  </si>
  <si>
    <t>info@aluminiumcornish.com</t>
  </si>
  <si>
    <t xml:space="preserve">Commodore Aluminum Industrial
</t>
  </si>
  <si>
    <t>971 55 311 7730</t>
  </si>
  <si>
    <t xml:space="preserve">Unique facade aluminum works
</t>
  </si>
  <si>
    <t>971 56 732 7804</t>
  </si>
  <si>
    <t>unique.facade2020@gmail.com</t>
  </si>
  <si>
    <t xml:space="preserve">AL BANIA ALUMINIUM &amp; GLASS CONTRACTING LLC
</t>
  </si>
  <si>
    <t>albaniaalum.com</t>
  </si>
  <si>
    <t>971 -6- 5386 559</t>
  </si>
  <si>
    <t xml:space="preserve">sibi@albaniaalum.com
</t>
  </si>
  <si>
    <t>Technical Glass &amp; Aluminium Co. LLC</t>
  </si>
  <si>
    <t>https://www.tgac.net/</t>
  </si>
  <si>
    <t>Khayam Abbas</t>
  </si>
  <si>
    <t xml:space="preserve">Beirut Aluminium &amp; Glass Works LLC
</t>
  </si>
  <si>
    <t>971 54 545 4088</t>
  </si>
  <si>
    <t>beirutgl@yahoo.com</t>
  </si>
  <si>
    <t xml:space="preserve">Al Hassan Glass &amp; Aluminium - Abu Dhabi
</t>
  </si>
  <si>
    <t>971 2 550 9628</t>
  </si>
  <si>
    <t xml:space="preserve">Al Barary Aluminium &amp; Glass LLC
</t>
  </si>
  <si>
    <t>971 4 8850 111</t>
  </si>
  <si>
    <t>info@albarary.com</t>
  </si>
  <si>
    <t>http://albarary.com/</t>
  </si>
  <si>
    <t xml:space="preserve">Al Abbar Group | Engineering &amp; Aluminum Manufacturing Facility
</t>
  </si>
  <si>
    <t>whıte Alumınım</t>
  </si>
  <si>
    <t xml:space="preserve">ART DESIGN STEEL AND ALUMINIUM WORKS LLC
</t>
  </si>
  <si>
    <t xml:space="preserve"> +971 56 561 4410</t>
  </si>
  <si>
    <t>jaswıen</t>
  </si>
  <si>
    <t>https://www.artdesignae.com/</t>
  </si>
  <si>
    <t xml:space="preserve">Specialized Aluminium and Steel co.
</t>
  </si>
  <si>
    <t>971 50 572 2562/+971 55 296 6021</t>
  </si>
  <si>
    <t xml:space="preserve">الشماس سيستيم </t>
  </si>
  <si>
    <t>Slimani</t>
  </si>
  <si>
    <t>216 58 678 556</t>
  </si>
  <si>
    <t>Abdul Aziz</t>
  </si>
  <si>
    <t>966 55 530 9666</t>
  </si>
  <si>
    <t xml:space="preserve">Lucky </t>
  </si>
  <si>
    <t>Pakistan</t>
  </si>
  <si>
    <t>92 300 8242500</t>
  </si>
  <si>
    <t>Mr. Choudhry Lucky</t>
  </si>
  <si>
    <t>Veysal</t>
  </si>
  <si>
    <t>Isopam</t>
  </si>
  <si>
    <t>212 662-106396</t>
  </si>
  <si>
    <t xml:space="preserve">Al-Basira Aluminuim &amp; Glass Room Contracting
</t>
  </si>
  <si>
    <t>971 50 525 3270</t>
  </si>
  <si>
    <t xml:space="preserve">NATIONAL ALUMINIUM &amp; STEEL FACTORY
</t>
  </si>
  <si>
    <t>:+971 6-743-3417</t>
  </si>
  <si>
    <t>info@gincoaluminium.com</t>
  </si>
  <si>
    <t xml:space="preserve">CIJI BLDG. METALIC CONST. IND. LLC
</t>
  </si>
  <si>
    <t>971 6 535 5094</t>
  </si>
  <si>
    <t>ciji@cijiintl.com</t>
  </si>
  <si>
    <t>call after 11:30</t>
  </si>
  <si>
    <t xml:space="preserve">Elite Aluminium &amp; Glass Works
</t>
  </si>
  <si>
    <t>971 2 551 3132</t>
  </si>
  <si>
    <t xml:space="preserve">Unesia Aluminium Contracting Co. LLC
</t>
  </si>
  <si>
    <t>971 6 534 1202</t>
  </si>
  <si>
    <t xml:space="preserve">Alphaglass LLC
</t>
  </si>
  <si>
    <t>Vivek</t>
  </si>
  <si>
    <t xml:space="preserve">Al Milad Hardware Trading
</t>
  </si>
  <si>
    <t xml:space="preserve">050 737 1857
</t>
  </si>
  <si>
    <t>after half hour</t>
  </si>
  <si>
    <t xml:space="preserve">Khalid Al Arabid Trd. Co. L.L.C (KATCO) شركة خالد العرابيد التجارية ذ.م.م
</t>
  </si>
  <si>
    <t xml:space="preserve">يورو تريد لتجارة وتوزيع اكسسوارات الالومنيوم
</t>
  </si>
  <si>
    <t>20 100 630 4455</t>
  </si>
  <si>
    <t xml:space="preserve">BD@euro-trade.co
</t>
  </si>
  <si>
    <t xml:space="preserve">Quali'Metal system
</t>
  </si>
  <si>
    <t>20 122 578 7871</t>
  </si>
  <si>
    <t>Mark ıhab</t>
  </si>
  <si>
    <t>eng. Ashraf</t>
  </si>
  <si>
    <t>20 100 344 9013</t>
  </si>
  <si>
    <t xml:space="preserve">EGYTAL for aluminium system
</t>
  </si>
  <si>
    <t>20 100 538 0578</t>
  </si>
  <si>
    <t xml:space="preserve">Alu Glass
</t>
  </si>
  <si>
    <t>zakzakaria@bahgat.com</t>
  </si>
  <si>
    <t xml:space="preserve">Madar Egypt
</t>
  </si>
  <si>
    <t xml:space="preserve">النيل للألومنيوم والمعادن Alu Nile
</t>
  </si>
  <si>
    <t>20 122 000 2106</t>
  </si>
  <si>
    <t xml:space="preserve">Al Remal Aluminium &amp; Glass Industries LLC
</t>
  </si>
  <si>
    <t xml:space="preserve"> +971 6 534 2855</t>
  </si>
  <si>
    <t xml:space="preserve">WHITE ALUMINIUM CO (L.L.C), Suppliers of Aluminium, Glass and Accessories.
</t>
  </si>
  <si>
    <t>971 6 535 8545</t>
  </si>
  <si>
    <t xml:space="preserve">alum amen </t>
  </si>
  <si>
    <t>Sergiu Chis</t>
  </si>
  <si>
    <t>40 763 105 453</t>
  </si>
  <si>
    <t>sergiu.chis@artfm.ro/alsaglass@yahoo</t>
  </si>
  <si>
    <t xml:space="preserve">ALU-Bauelemente GmbH
</t>
  </si>
  <si>
    <t>49 35600 7082</t>
  </si>
  <si>
    <t>Engineering facade solution</t>
  </si>
  <si>
    <t>961 3 203 828</t>
  </si>
  <si>
    <t>sleimanslim@efs.com.lb</t>
  </si>
  <si>
    <t>Ahmad Itani</t>
  </si>
  <si>
    <t>metalix2000@gmil.com</t>
  </si>
  <si>
    <t xml:space="preserve">Seba Group </t>
  </si>
  <si>
    <t>seba Elise</t>
  </si>
  <si>
    <t>elise.seba@hotmail,com</t>
  </si>
  <si>
    <t xml:space="preserve">Mostafa Kurdi </t>
  </si>
  <si>
    <t>961 3 852 033</t>
  </si>
  <si>
    <t>Mustafa</t>
  </si>
  <si>
    <t>Ibrahim Kobrosly</t>
  </si>
  <si>
    <t>961 71 172 457</t>
  </si>
  <si>
    <t>Ammouri Aluminum</t>
  </si>
  <si>
    <t>961 3 486 940</t>
  </si>
  <si>
    <t>fouad.ammoury@gmail.com</t>
  </si>
  <si>
    <r>
      <rPr>
        <u/>
        <sz val="11"/>
        <color rgb="FF1155CC"/>
        <rFont val="Arial"/>
      </rPr>
      <t>https://alusel.eu/.</t>
    </r>
    <r>
      <rPr>
        <u/>
        <sz val="11"/>
        <color rgb="FF000000"/>
        <rFont val="Arial"/>
      </rPr>
      <t xml:space="preserve">  Türk Tuna almünıüm calısıyor</t>
    </r>
  </si>
  <si>
    <t xml:space="preserve"> info@alusel.de</t>
  </si>
  <si>
    <t xml:space="preserve">ALU-Bauelemente GmbH
</t>
  </si>
  <si>
    <t>ALU-Bauelemente_GmbH@t-online.de</t>
  </si>
  <si>
    <t xml:space="preserve">Moba Fenster Aluminiumbau GmbH
</t>
  </si>
  <si>
    <t>49 6327 97600</t>
  </si>
  <si>
    <t>info@moba-aluminiumbau.de</t>
  </si>
  <si>
    <t xml:space="preserve">Rätsch &amp; Gruhn Bauelemente GmbH
</t>
  </si>
  <si>
    <t xml:space="preserve">B.M.T.- Deutsche Bauelemente Berlin
</t>
  </si>
  <si>
    <t>49 177 2391202</t>
  </si>
  <si>
    <t>https://bmt-bauelemente.de/</t>
  </si>
  <si>
    <t xml:space="preserve">Keller Minimal windows® by AC Aluminium Créations SA
</t>
  </si>
  <si>
    <t>41 78 800 46 05</t>
  </si>
  <si>
    <t xml:space="preserve">        Info@alucreations.ch</t>
  </si>
  <si>
    <t xml:space="preserve">Fjelsø Alu Facader A/S
</t>
  </si>
  <si>
    <t>Danimarka</t>
  </si>
  <si>
    <t>45 72 11 91 00</t>
  </si>
  <si>
    <t>mail@fjelso.dk</t>
  </si>
  <si>
    <t xml:space="preserve">A. E. Stålmontage A / S
</t>
  </si>
  <si>
    <t>45 96 86 87 20</t>
  </si>
  <si>
    <t xml:space="preserve">Alluco
</t>
  </si>
  <si>
    <t>216 58 316 400</t>
  </si>
  <si>
    <t>محمد الغضاب</t>
  </si>
  <si>
    <t>infoen@alluco.com</t>
  </si>
  <si>
    <t xml:space="preserve">AMA GROUP
</t>
  </si>
  <si>
    <t>216 71 782 588</t>
  </si>
  <si>
    <t>marketing@amagroup.tn</t>
  </si>
  <si>
    <t xml:space="preserve">Société Easy Batiment Windoor
</t>
  </si>
  <si>
    <t xml:space="preserve">216 71 942 760
</t>
  </si>
  <si>
    <t>Commercial@easywindoor.com</t>
  </si>
  <si>
    <t xml:space="preserve">EDG
</t>
  </si>
  <si>
    <t>212 662-681190</t>
  </si>
  <si>
    <t>omnia</t>
  </si>
  <si>
    <t xml:space="preserve">FONEX Aluminium
</t>
  </si>
  <si>
    <t>212 661-748953</t>
  </si>
  <si>
    <t xml:space="preserve">Best Façade
</t>
  </si>
  <si>
    <t xml:space="preserve"> +212 669-707523</t>
  </si>
  <si>
    <t xml:space="preserve">Alualpha maroc
</t>
  </si>
  <si>
    <t>212 5283-24801</t>
  </si>
  <si>
    <t>Masmoudi Mohamed</t>
  </si>
  <si>
    <r>
      <rPr>
        <sz val="11"/>
        <color theme="1"/>
        <rFont val="Arial"/>
      </rPr>
      <t>www.futuralu,</t>
    </r>
    <r>
      <rPr>
        <u/>
        <sz val="11"/>
        <color rgb="FF1155CC"/>
        <rFont val="Arial"/>
      </rPr>
      <t>com.tn</t>
    </r>
  </si>
  <si>
    <t xml:space="preserve">Middle East Aluminium W.L.L
</t>
  </si>
  <si>
    <t>ahmed@eastaluminium.net /sales@eastaluminium.net</t>
  </si>
  <si>
    <t>http://www.eastaluminium.net/</t>
  </si>
  <si>
    <t xml:space="preserve">Lima Trading &amp; Contracting LLC
</t>
  </si>
  <si>
    <t>968 9934 9410</t>
  </si>
  <si>
    <t>https://ltc.lima-oman.com/</t>
  </si>
  <si>
    <t>sales@lima-oman.com</t>
  </si>
  <si>
    <t xml:space="preserve">OryxOman
</t>
  </si>
  <si>
    <t>968 9444 4726</t>
  </si>
  <si>
    <t>https://alfanar.om/contact-3/</t>
  </si>
  <si>
    <t>info@alfanar.om</t>
  </si>
  <si>
    <t>calismizor email</t>
  </si>
  <si>
    <t xml:space="preserve">MultiScale Aluminium &amp; Metal Industries
</t>
  </si>
  <si>
    <t xml:space="preserve">ALMA Aluminum &amp; Steel Co.
</t>
  </si>
  <si>
    <t>974 5568 4469</t>
  </si>
  <si>
    <t>Nabil</t>
  </si>
  <si>
    <t xml:space="preserve">National Aluminium &amp; Steel Factory (GINCO)
</t>
  </si>
  <si>
    <t>971 6 743 3417</t>
  </si>
  <si>
    <t xml:space="preserve">Moba Fenster Aluminiumbau GmbH
</t>
  </si>
  <si>
    <t xml:space="preserve">Aluminiumbau Stefan Mohra
</t>
  </si>
  <si>
    <t>0 63 45 17 75</t>
  </si>
  <si>
    <t>info@aluminiumbau-mohra.de</t>
  </si>
  <si>
    <t>https://www.aluminiumbau-mohra.de/</t>
  </si>
  <si>
    <t xml:space="preserve">Merk-Aluminium-Bau GmbH
</t>
  </si>
  <si>
    <t xml:space="preserve">0911 / 65 28 00
</t>
  </si>
  <si>
    <t>info@merk-aluminium.de/</t>
  </si>
  <si>
    <t>http://www.merk-aluminium.de/</t>
  </si>
  <si>
    <t>شركة الاندلس للتجارة</t>
  </si>
  <si>
    <t>966 50 770 0515</t>
  </si>
  <si>
    <t>Provema Sarl Au</t>
  </si>
  <si>
    <t>fas</t>
  </si>
  <si>
    <t>212 662-854834</t>
  </si>
  <si>
    <t xml:space="preserve">OneSource Windows &amp; Doors
</t>
  </si>
  <si>
    <t>https://onesourcewindows.com/</t>
  </si>
  <si>
    <t xml:space="preserve">Baker Aluminum
</t>
  </si>
  <si>
    <t>http://www.bakerindaluminum.com/</t>
  </si>
  <si>
    <t xml:space="preserve">mail@alhussainialuminium.qa
</t>
  </si>
  <si>
    <t xml:space="preserve">Egybel Qatar
</t>
  </si>
  <si>
    <t xml:space="preserve">kemcosas aluminium Office
</t>
  </si>
  <si>
    <t xml:space="preserve">Al Khinji Group
</t>
  </si>
  <si>
    <t xml:space="preserve">BRQ TRADING CONTRACTING &amp; SERVICES W.L.L
</t>
  </si>
  <si>
    <t>https://brq2020.com/</t>
  </si>
  <si>
    <t xml:space="preserve">Qatar uPVC Windows + Doors
</t>
  </si>
  <si>
    <t xml:space="preserve">
(+974) 55759701</t>
  </si>
  <si>
    <t xml:space="preserve">Specialized Qatar Windows and Doors systems‎
</t>
  </si>
  <si>
    <t xml:space="preserve">German Quality UPVC for Windows and Doors - Doha Qatar
</t>
  </si>
  <si>
    <t>974 6655 6545</t>
  </si>
  <si>
    <t>info@ottawaqatar.com</t>
  </si>
  <si>
    <t>https://www.ottawaqatar.com/</t>
  </si>
  <si>
    <t xml:space="preserve">IBA (Ismail Bin Ali) Group
</t>
  </si>
  <si>
    <t xml:space="preserve">Folda Qatar
</t>
  </si>
  <si>
    <t xml:space="preserve">Qatar Technology for Aluminum and Steel Co. W.L.L.
</t>
  </si>
  <si>
    <t>974 55759701</t>
  </si>
  <si>
    <t xml:space="preserve">Alumco Qatar W.L.L.
</t>
  </si>
  <si>
    <t>974 4496 2888</t>
  </si>
  <si>
    <t>https://www.profession-alu.com/contact-us</t>
  </si>
  <si>
    <t>info@profession-alu.com</t>
  </si>
  <si>
    <t xml:space="preserve">Abdulla Trading aluminium &amp; Decor. W.L.L
</t>
  </si>
  <si>
    <t>974 4432 7486</t>
  </si>
  <si>
    <t>http://abcdecore.qa/contact-us.php</t>
  </si>
  <si>
    <t xml:space="preserve">Union for Steel &amp; Aluminum
</t>
  </si>
  <si>
    <t xml:space="preserve">Aluminium Gulf Ray (AGR)
</t>
  </si>
  <si>
    <t>sales@agrqatar.com</t>
  </si>
  <si>
    <t xml:space="preserve">Alpro Aluminium
</t>
  </si>
  <si>
    <t>264 64 463 580</t>
  </si>
  <si>
    <t>info@alproaluminium.com</t>
  </si>
  <si>
    <t>http://www.alproaluminium.com/</t>
  </si>
  <si>
    <t xml:space="preserve">Africa Aluminium Structural Systems cc
</t>
  </si>
  <si>
    <t>264 61 218610</t>
  </si>
  <si>
    <t>joseph@shop-expo.com
creative@shop-expo.com
barend@shop-expo.com</t>
  </si>
  <si>
    <t>https://www.africaaluminium.com/contact</t>
  </si>
  <si>
    <t xml:space="preserve">King Aluminium &amp; Renovations CC
</t>
  </si>
  <si>
    <t xml:space="preserve"> 264 81 260 0154</t>
  </si>
  <si>
    <t>kingalu@iway.na
kingalusales@gmail.com</t>
  </si>
  <si>
    <t>https://www.kingalu.com/</t>
  </si>
  <si>
    <t xml:space="preserve">Aluminum Maximum Fabticators
</t>
  </si>
  <si>
    <t xml:space="preserve">264 81 124 4484 (Robert)
</t>
  </si>
  <si>
    <t>http://www.alu-maxnamibia.com/index.php/contact-us</t>
  </si>
  <si>
    <t xml:space="preserve">Al Rajhi Co. For Aluminium
</t>
  </si>
  <si>
    <t>966-02-6170222</t>
  </si>
  <si>
    <t xml:space="preserve"> info@alrajhi-z.com</t>
  </si>
  <si>
    <t>http://www.alrajhi-z.com/en/al-rajhi-z-group/al-rajhi-aluminium</t>
  </si>
  <si>
    <t xml:space="preserve">Al Musbah Aluminium &amp; Glass Trading Co LLC
</t>
  </si>
  <si>
    <t>971 50 786 8904</t>
  </si>
  <si>
    <t>Mr. Shakir ALMUSBAH</t>
  </si>
  <si>
    <t>info@magcollc.com</t>
  </si>
  <si>
    <t>http://www.magcollc.com/gallery</t>
  </si>
  <si>
    <t xml:space="preserve">KEMFLEX Aluminiumsysteme
</t>
  </si>
  <si>
    <t>49 2772 6464933</t>
  </si>
  <si>
    <t>info@kemflex.de</t>
  </si>
  <si>
    <t>https://www.kemflex.de/</t>
  </si>
  <si>
    <t xml:space="preserve">Reynaers GmbH Aluminium Systeme
</t>
  </si>
  <si>
    <t>info@reynaers.de</t>
  </si>
  <si>
    <t xml:space="preserve">Al-Fattah Aluminium &amp; Glass Industries
</t>
  </si>
  <si>
    <t>http://www.al-fattah.com/</t>
  </si>
  <si>
    <t>info@al-fattah.com</t>
  </si>
  <si>
    <t>Mr.Gela</t>
  </si>
  <si>
    <t>380 66 441 1442</t>
  </si>
  <si>
    <t>قمة الالمونيوم</t>
  </si>
  <si>
    <t>معمل أسامة ألمونيوم</t>
  </si>
  <si>
    <t>964 771 307 6070</t>
  </si>
  <si>
    <t>Abbas</t>
  </si>
  <si>
    <t>Burundi</t>
  </si>
  <si>
    <t>90 537 942 94 54</t>
  </si>
  <si>
    <t xml:space="preserve">GTS Aluminum
</t>
  </si>
  <si>
    <t>961 76 343 311</t>
  </si>
  <si>
    <t>http://gtsaluminum.com/</t>
  </si>
  <si>
    <t xml:space="preserve">Safra Aluminium
</t>
  </si>
  <si>
    <t>961 71 967 169</t>
  </si>
  <si>
    <t>william</t>
  </si>
  <si>
    <t>https://safra-aluminium.business.site/</t>
  </si>
  <si>
    <t xml:space="preserve">مؤسسة جواد للالمونيوم
</t>
  </si>
  <si>
    <t>961 71 209 481</t>
  </si>
  <si>
    <t xml:space="preserve">FENESTRA WINDOWS sarl
</t>
  </si>
  <si>
    <t>961 78 858 085</t>
  </si>
  <si>
    <t>info@fenestra.co</t>
  </si>
  <si>
    <t>http://fenestra.co/</t>
  </si>
  <si>
    <t xml:space="preserve">Alu. Rady
</t>
  </si>
  <si>
    <t>961 71 042 869</t>
  </si>
  <si>
    <t xml:space="preserve">StoreFlex (by Emile El Khoury)
</t>
  </si>
  <si>
    <t>961 3 312 819</t>
  </si>
  <si>
    <t xml:space="preserve">Elite aluminium sarl
</t>
  </si>
  <si>
    <t>961 1 698 945</t>
  </si>
  <si>
    <t xml:space="preserve">Alugex
</t>
  </si>
  <si>
    <t>961 1 690 847</t>
  </si>
  <si>
    <t>info@alugex.com</t>
  </si>
  <si>
    <t>https://www.alugex.com/contact.html</t>
  </si>
  <si>
    <t xml:space="preserve">Pam Aluminium
</t>
  </si>
  <si>
    <t>961 3 616 248</t>
  </si>
  <si>
    <t>sharpel</t>
  </si>
  <si>
    <t xml:space="preserve">Atalium
</t>
  </si>
  <si>
    <t>961 4 724 200</t>
  </si>
  <si>
    <t>http://www.atalium.com/</t>
  </si>
  <si>
    <t xml:space="preserve">ATCO
</t>
  </si>
  <si>
    <t>00 961 3 224 818</t>
  </si>
  <si>
    <t>z.attallah@atcoalu.com</t>
  </si>
  <si>
    <t>http://atcoalu.com/</t>
  </si>
  <si>
    <t xml:space="preserve">Guarantee for Glass and Aluminium
</t>
  </si>
  <si>
    <t>961 3 900 388</t>
  </si>
  <si>
    <t xml:space="preserve">Isotop Lebanon
</t>
  </si>
  <si>
    <t>961 4 984 023</t>
  </si>
  <si>
    <t>http://isotop-group.com/</t>
  </si>
  <si>
    <t xml:space="preserve">ARCADIA:: Aluminum in Lebanon, Aluminium in Lebanon
</t>
  </si>
  <si>
    <t>961-70-923293</t>
  </si>
  <si>
    <t>http://www.arcadia-sarl.com/</t>
  </si>
  <si>
    <t xml:space="preserve">Aluminium Roni
</t>
  </si>
  <si>
    <t>961 3 381 245</t>
  </si>
  <si>
    <t xml:space="preserve">Glass com
</t>
  </si>
  <si>
    <t xml:space="preserve">PROFITECH Aluminium Hmeidani
</t>
  </si>
  <si>
    <t>961 3 256 322</t>
  </si>
  <si>
    <t>http://www.hmeidani.com/</t>
  </si>
  <si>
    <t xml:space="preserve">Profico- Aluminum and Glass Experts- Aluminium in Lebanon, Glass in Lebanon, Aluminum in Lebanon
</t>
  </si>
  <si>
    <t>ali</t>
  </si>
  <si>
    <t xml:space="preserve">AluTek Factory
</t>
  </si>
  <si>
    <t>961 70 758 150</t>
  </si>
  <si>
    <t>https://www.aluteklb.com/</t>
  </si>
  <si>
    <t xml:space="preserve">ISSA GROUPE CO.
</t>
  </si>
  <si>
    <t xml:space="preserve">D8 Metals
</t>
  </si>
  <si>
    <t xml:space="preserve">Dalbana Company Aluminum &amp; Glass
</t>
  </si>
  <si>
    <t xml:space="preserve">STAL - Steel &amp; Aluminium Construction
</t>
  </si>
  <si>
    <t xml:space="preserve">WATING FOR THE CONTACT OF PD OR MNG
</t>
  </si>
  <si>
    <t xml:space="preserve">Fenestra Windows - Beirut
</t>
  </si>
  <si>
    <t>961 3 996 988</t>
  </si>
  <si>
    <t>http://www.fenestra.co/</t>
  </si>
  <si>
    <t>961 1 485 500</t>
  </si>
  <si>
    <t xml:space="preserve">EGC Ezzeddine glass contracting
</t>
  </si>
  <si>
    <t>961 81 332 266</t>
  </si>
  <si>
    <t xml:space="preserve">ASNAF Husseini Group
</t>
  </si>
  <si>
    <t>961 9 795 335</t>
  </si>
  <si>
    <t xml:space="preserve">Bohman Upvc Windows And Doors
</t>
  </si>
  <si>
    <t xml:space="preserve">961 3 470 297
</t>
  </si>
  <si>
    <t>http://www.bohmangroup.com/</t>
  </si>
  <si>
    <t xml:space="preserve">A.B.Z aluminium &amp; glass works
</t>
  </si>
  <si>
    <t xml:space="preserve">Cedar Group
</t>
  </si>
  <si>
    <t xml:space="preserve">Aluminium chady el khoury
</t>
  </si>
  <si>
    <t>961 3 298 655</t>
  </si>
  <si>
    <t xml:space="preserve">Profal Husseini
</t>
  </si>
  <si>
    <t xml:space="preserve">ALUMEC
</t>
  </si>
  <si>
    <t xml:space="preserve">EIT - European Industrial Traders sarl - Beirut Office
</t>
  </si>
  <si>
    <t>961 1 986 984</t>
  </si>
  <si>
    <t xml:space="preserve">Khattar Aluminum
</t>
  </si>
  <si>
    <t>961 3 176 738</t>
  </si>
  <si>
    <t>961 5 806 019</t>
  </si>
  <si>
    <t xml:space="preserve">Abou Zeinab EST. for Aluminium &amp; Glass
</t>
  </si>
  <si>
    <t xml:space="preserve">Abboud Group Aluminium
</t>
  </si>
  <si>
    <t xml:space="preserve">Hijazi Glass Contracting Co.
</t>
  </si>
  <si>
    <t xml:space="preserve">961 5 480 106
</t>
  </si>
  <si>
    <t>http://hijazihtl.com/</t>
  </si>
  <si>
    <t xml:space="preserve">Bassem Dgheileh Aluminium
</t>
  </si>
  <si>
    <t>961 3 812 887</t>
  </si>
  <si>
    <t xml:space="preserve">Ste chebabi for trading
</t>
  </si>
  <si>
    <t xml:space="preserve">Windoors sarl uPVC Windows &amp; Doors Systems
</t>
  </si>
  <si>
    <t xml:space="preserve">Shamoun Co. For Glass &amp; Mirror
</t>
  </si>
  <si>
    <t>961 5 810 888</t>
  </si>
  <si>
    <t xml:space="preserve">EIT - European Industrial Traders sarl - Factory
</t>
  </si>
  <si>
    <t xml:space="preserve">Alusystem Jounieh
</t>
  </si>
  <si>
    <t xml:space="preserve">Royal aluminum
</t>
  </si>
  <si>
    <t xml:space="preserve">Khadra Safety Glass co
</t>
  </si>
  <si>
    <t>961 7 350 973</t>
  </si>
  <si>
    <t xml:space="preserve">Glassinum
</t>
  </si>
  <si>
    <t>961 3 554 488</t>
  </si>
  <si>
    <t xml:space="preserve">technical Aluminium and Glass
</t>
  </si>
  <si>
    <t>STRALCO</t>
  </si>
  <si>
    <t>961 1 895 645</t>
  </si>
  <si>
    <t xml:space="preserve">Diaspora Ltd
</t>
  </si>
  <si>
    <t>961 1 690 939</t>
  </si>
  <si>
    <t>https://www.diaspora.com.lb/</t>
  </si>
  <si>
    <t xml:space="preserve">Growcut
</t>
  </si>
  <si>
    <t>961 9 221 074</t>
  </si>
  <si>
    <t xml:space="preserve">E_ glass
</t>
  </si>
  <si>
    <t>proje gönderecek</t>
  </si>
  <si>
    <t xml:space="preserve">Beydoun Blinds &amp; Glass Curtains Specialists - Glazing - Aluminum -Outdoor/Indoor blinds - Pergolas in Lebanon
</t>
  </si>
  <si>
    <t>961 76 777 961</t>
  </si>
  <si>
    <t>https://beydoun-lb.com/</t>
  </si>
  <si>
    <t xml:space="preserve">ALUMCO HQ
</t>
  </si>
  <si>
    <t>961 5 433 335</t>
  </si>
  <si>
    <t>http://www.alumcogroup.com/</t>
  </si>
  <si>
    <t xml:space="preserve">Hijazi Aluminum &amp; Glass
</t>
  </si>
  <si>
    <t>malik</t>
  </si>
  <si>
    <t xml:space="preserve">Glassline -Design &amp; Build Facade Contractor - Aluminum &amp; Glass Company
</t>
  </si>
  <si>
    <t xml:space="preserve">AMA.sarl
</t>
  </si>
  <si>
    <t>Aluvie</t>
  </si>
  <si>
    <t>961 70 555 598</t>
  </si>
  <si>
    <t xml:space="preserve">Alexco alay
</t>
  </si>
  <si>
    <t>961 5 550 250</t>
  </si>
  <si>
    <t>http://www.alexco.com.lb/</t>
  </si>
  <si>
    <t xml:space="preserve">Bifem Paralu Industries
</t>
  </si>
  <si>
    <t>961 71 438 787</t>
  </si>
  <si>
    <t>http://bifem-paralu.com/</t>
  </si>
  <si>
    <t xml:space="preserve">Haddad for Aluminium &amp; Hardware SARL
</t>
  </si>
  <si>
    <t>961 1 885 445</t>
  </si>
  <si>
    <t>http://www.fullcrom.com/</t>
  </si>
  <si>
    <t xml:space="preserve">NOT IMPORTING
</t>
  </si>
  <si>
    <t xml:space="preserve">Daaboul Engineering sal
</t>
  </si>
  <si>
    <t xml:space="preserve">Galerie Florid
</t>
  </si>
  <si>
    <t>961 5 456 270</t>
  </si>
  <si>
    <t xml:space="preserve">Alexco Showroom
</t>
  </si>
  <si>
    <t>961 79 100 232</t>
  </si>
  <si>
    <t>aya</t>
  </si>
  <si>
    <t xml:space="preserve">ALFENA INDUSTRIES
</t>
  </si>
  <si>
    <t xml:space="preserve">ICIE - Industrial &amp; Commercial International Entreprise
</t>
  </si>
  <si>
    <t>961 1 646 209</t>
  </si>
  <si>
    <t>https://ici-ent.com/</t>
  </si>
  <si>
    <t xml:space="preserve">ALGSCO
</t>
  </si>
  <si>
    <t xml:space="preserve">ABG TECH sarl
</t>
  </si>
  <si>
    <t>961 9 235 687</t>
  </si>
  <si>
    <t>josif</t>
  </si>
  <si>
    <t>abg@abgaluminium.com</t>
  </si>
  <si>
    <t>http://www.abgaluminium.com/?fbclid=IwAR3yb5TG8gpboDX9AgCJ9SivxCHnjZzKBMUop0yTD76z9ad4R1aEumu83sE</t>
  </si>
  <si>
    <t xml:space="preserve">Alumex
</t>
  </si>
  <si>
    <r>
      <rPr>
        <u/>
        <sz val="11"/>
        <color rgb="FF1155CC"/>
        <rFont val="Arial"/>
      </rPr>
      <t>https://alumex-aluminum-window.business.site/?utm_source=gmb&amp;utm_medium=referral</t>
    </r>
    <r>
      <rPr>
        <sz val="11"/>
        <color theme="1"/>
        <rFont val="Arial"/>
      </rPr>
      <t>l</t>
    </r>
  </si>
  <si>
    <t xml:space="preserve">Shammas Aluminum
</t>
  </si>
  <si>
    <t>962 6 593 9818</t>
  </si>
  <si>
    <t>http://www.shammas.me/</t>
  </si>
  <si>
    <t xml:space="preserve">MADAR ALUMINUM ZADA CO
</t>
  </si>
  <si>
    <t>Suriye</t>
  </si>
  <si>
    <t>963 11 888 2768</t>
  </si>
  <si>
    <t>http://www.zada-co.com/</t>
  </si>
  <si>
    <t xml:space="preserve">Aluminium Windows &amp; Doors ( AL ATON TRADING LLC ☎️ 711 79 086)
</t>
  </si>
  <si>
    <t>968 7117 9086</t>
  </si>
  <si>
    <t>968 9321 6645</t>
  </si>
  <si>
    <t>https://aluminium-windows-doors.business.site/?utm_source=gmb&amp;utm_medium=referral</t>
  </si>
  <si>
    <t xml:space="preserve">Usama Al Balushi Trad Est.
</t>
  </si>
  <si>
    <t>968 9931 4305</t>
  </si>
  <si>
    <t>https://aistoman.com/</t>
  </si>
  <si>
    <t xml:space="preserve">SUNRISE WINDOWS
</t>
  </si>
  <si>
    <t xml:space="preserve">Al-Maghderi Trading Aluminium Windows
</t>
  </si>
  <si>
    <t>968 9289 9698</t>
  </si>
  <si>
    <t>https://al-maghderi-trading-aluminium-windows.business.site/?utm_source=gmb&amp;utm_medium=referral</t>
  </si>
  <si>
    <t xml:space="preserve">Elegant Windows
</t>
  </si>
  <si>
    <t>https://elegant-windows-llc.business.site/?utm_source=gmb&amp;utm_medium=referral</t>
  </si>
  <si>
    <t xml:space="preserve">Aluminium Windows (Al Aton Trading LLC)
</t>
  </si>
  <si>
    <t>https://www.alatonoman.com/</t>
  </si>
  <si>
    <t xml:space="preserve">Aluminum Windows &amp; Glass works
</t>
  </si>
  <si>
    <t xml:space="preserve">Khalil projects development intl (KPDI)
</t>
  </si>
  <si>
    <t>968 9907 1198</t>
  </si>
  <si>
    <t>swad</t>
  </si>
  <si>
    <t>http://www.khalilprojects.com/</t>
  </si>
  <si>
    <t xml:space="preserve">Rozsilver Aluminium Doors روز الفضية لابواب الألمنيوم
</t>
  </si>
  <si>
    <t>968 9931 3244</t>
  </si>
  <si>
    <t xml:space="preserve">Al mouni aluminium
</t>
  </si>
  <si>
    <t>968 9542 4376</t>
  </si>
  <si>
    <t xml:space="preserve">Panorama Windows نوافذ بانوراما
</t>
  </si>
  <si>
    <t>968 24 526509</t>
  </si>
  <si>
    <t>http://www.panoramawindows.net/</t>
  </si>
  <si>
    <t xml:space="preserve">Mayar General Trading LLC
</t>
  </si>
  <si>
    <t>968 9368 4398</t>
  </si>
  <si>
    <t xml:space="preserve">My Window Oman
</t>
  </si>
  <si>
    <t>968 9788 6892</t>
  </si>
  <si>
    <t xml:space="preserve">Modern development LLC
</t>
  </si>
  <si>
    <t xml:space="preserve">UPVC AND ALMUNIUM WINDOWS AND DOORS
</t>
  </si>
  <si>
    <t>968 9751 1676</t>
  </si>
  <si>
    <t xml:space="preserve">AL ESRY ALUMINIUM LLC
</t>
  </si>
  <si>
    <t>968 9233 2218</t>
  </si>
  <si>
    <t xml:space="preserve">MEGA UPVC ALUMINIUM CARPENTRY WORKSHOP
</t>
  </si>
  <si>
    <t>968 9131 3189</t>
  </si>
  <si>
    <t>ikram</t>
  </si>
  <si>
    <t xml:space="preserve">MAHAWAR MAZOON UPVC PRODUCTS
</t>
  </si>
  <si>
    <t>968 9932 0035</t>
  </si>
  <si>
    <t xml:space="preserve">AL ATON TRADING LLC
</t>
  </si>
  <si>
    <t xml:space="preserve">WINDOOR OMAN
</t>
  </si>
  <si>
    <t xml:space="preserve">Al Mimari Industries
</t>
  </si>
  <si>
    <t xml:space="preserve">Atlantic Aluminium Workshop Misfah
</t>
  </si>
  <si>
    <t xml:space="preserve">Aluminium &amp; Steel Workshop تلال الرميلة - ورشة المنيوم و حديد
</t>
  </si>
  <si>
    <t>968 7191 4788</t>
  </si>
  <si>
    <t xml:space="preserve">Shomk al abda
</t>
  </si>
  <si>
    <t xml:space="preserve">Abu Nadil Trade.Service
</t>
  </si>
  <si>
    <t xml:space="preserve">Almersal al mutakamilah
</t>
  </si>
  <si>
    <t xml:space="preserve">CEVAP VERMED </t>
  </si>
  <si>
    <t xml:space="preserve">Takaddum Showroom for UPVC Doors and Windows التقدم للنوافذ و الأبواب
</t>
  </si>
  <si>
    <t>968 9095 5558</t>
  </si>
  <si>
    <t xml:space="preserve">Aluminium WorkShop
</t>
  </si>
  <si>
    <t>968 9911 7452</t>
  </si>
  <si>
    <t>https://carpentry-aluminium-workshop.business.site/?utm_source=gmb&amp;utm_medium=referral</t>
  </si>
  <si>
    <t xml:space="preserve">MGE UPVC Door &amp; Window
</t>
  </si>
  <si>
    <t>https://www.majanghm.com/</t>
  </si>
  <si>
    <t xml:space="preserve">Muscat Windows
</t>
  </si>
  <si>
    <t xml:space="preserve">Al-Kemyani Aluminum &amp; UPVC
</t>
  </si>
  <si>
    <t xml:space="preserve">UPVC &amp; ALUMINIUM - AAT COMPANY أضواء الأحتراف
</t>
  </si>
  <si>
    <t xml:space="preserve">Panorama Windows Co LLC
</t>
  </si>
  <si>
    <t>968 9192 1234</t>
  </si>
  <si>
    <t xml:space="preserve">Aluminium&amp;UPVC Windows, MISFA
</t>
  </si>
  <si>
    <t>968 9850 7272</t>
  </si>
  <si>
    <t xml:space="preserve">Millennium Bright
</t>
  </si>
  <si>
    <t xml:space="preserve">Gulf Aluminium الخليج للالمونيوم
</t>
  </si>
  <si>
    <t>968 9221 5761</t>
  </si>
  <si>
    <t xml:space="preserve">A STAR ALUMINYUM
</t>
  </si>
  <si>
    <t xml:space="preserve">Reliable International LLC الموثوق العالمية
</t>
  </si>
  <si>
    <t>968 9137 3943</t>
  </si>
  <si>
    <t xml:space="preserve">KHALIL PROJECTS
</t>
  </si>
  <si>
    <t xml:space="preserve">Royal Glass
</t>
  </si>
  <si>
    <t>968 9794 8474</t>
  </si>
  <si>
    <t xml:space="preserve">New Saray I السرايا الجديدة
</t>
  </si>
  <si>
    <t>968 22 076499</t>
  </si>
  <si>
    <t>https://www.newsaray.com/</t>
  </si>
  <si>
    <t xml:space="preserve">AL Zaeem Aluminium &amp; Glass الزعيم للألمنيوم و الزجاج
</t>
  </si>
  <si>
    <t>968 24 460256</t>
  </si>
  <si>
    <t xml:space="preserve">New Saraya store
</t>
  </si>
  <si>
    <t xml:space="preserve">Upvc windos door&amp;aluminium work 99157790
</t>
  </si>
  <si>
    <t xml:space="preserve">Al Dawaser trad &amp; cont
</t>
  </si>
  <si>
    <t>968 9777 8101</t>
  </si>
  <si>
    <t xml:space="preserve">Modern Fort Enterprise
</t>
  </si>
  <si>
    <t>968 26 712199</t>
  </si>
  <si>
    <t xml:space="preserve">EL BEIT FOR WINDOWS &amp; DOORS
</t>
  </si>
  <si>
    <t xml:space="preserve"> 968 24 552984</t>
  </si>
  <si>
    <t>http://www.elbeitoman.com/</t>
  </si>
  <si>
    <t xml:space="preserve">artwindows oman UPVC
</t>
  </si>
  <si>
    <t>968 9594 5313</t>
  </si>
  <si>
    <t>http://artwindowsoman.com/</t>
  </si>
  <si>
    <t xml:space="preserve">SHIAM LLC carpentery &amp; aluminium work shope
</t>
  </si>
  <si>
    <t>968 9889 9660</t>
  </si>
  <si>
    <t xml:space="preserve">Sohel gazi alduwalia
</t>
  </si>
  <si>
    <t xml:space="preserve">SHIAM L L C
</t>
  </si>
  <si>
    <t>968 9607 2773</t>
  </si>
  <si>
    <t xml:space="preserve">Shanfari Aluminum Co LLC
</t>
  </si>
  <si>
    <t>968 22 506400</t>
  </si>
  <si>
    <t>https://www.shanfari.com/</t>
  </si>
  <si>
    <t xml:space="preserve">HAMAD BIN SALEM ALAZZANI TRADING EST.
</t>
  </si>
  <si>
    <t>968 25 651120</t>
  </si>
  <si>
    <t xml:space="preserve">Al Barary Aluminium &amp; Glass LLC
</t>
  </si>
  <si>
    <t>971 4 885 0111</t>
  </si>
  <si>
    <t xml:space="preserve">Technical Supplies &amp; Services Co. LLC
</t>
  </si>
  <si>
    <t xml:space="preserve">ALMOAZENH FACTORY Aluminium Works Handrail &amp; Decoration
</t>
  </si>
  <si>
    <t>218 92-5119556</t>
  </si>
  <si>
    <t xml:space="preserve">Alumarket Aluminium wholesalers
</t>
  </si>
  <si>
    <t>218 92-7505051</t>
  </si>
  <si>
    <t xml:space="preserve">Almoazenh Aluminium Factory
</t>
  </si>
  <si>
    <t>218 91-3904244</t>
  </si>
  <si>
    <t xml:space="preserve">الجيل الجديد لأعمال البي في سي pvc والمطابخ والألومنيوم
</t>
  </si>
  <si>
    <t>218 91-2182667</t>
  </si>
  <si>
    <t xml:space="preserve">الأمانة لأعمال الألمنيوم والمطابخ
</t>
  </si>
  <si>
    <t>218 91-3612799</t>
  </si>
  <si>
    <t xml:space="preserve">شركة الراشد لصناعة الألمنيوم التركي ومطابخ وديكور محلات والمقاولات العامة
</t>
  </si>
  <si>
    <t>218 92-5328330</t>
  </si>
  <si>
    <t xml:space="preserve">İnka
</t>
  </si>
  <si>
    <t>218 91-8878160</t>
  </si>
  <si>
    <t xml:space="preserve">مصنع نجم للاعمال الالمنيوم PVC
</t>
  </si>
  <si>
    <t>218 91-5164882</t>
  </si>
  <si>
    <t xml:space="preserve">Alguendoz factory for the manufacture of aluminum blinds
</t>
  </si>
  <si>
    <t>218 91-1240324</t>
  </si>
  <si>
    <t xml:space="preserve">شركة المعماري لصناعة الالومنيوم والزجاج
</t>
  </si>
  <si>
    <t>218 91-3784666</t>
  </si>
  <si>
    <t xml:space="preserve">شركة الجبل الاخضر لصناعة الالمنيوم
</t>
  </si>
  <si>
    <t>218 91-2157029</t>
  </si>
  <si>
    <t xml:space="preserve">تصنيع كافة أنواع الالمنيوم والمطابخ
</t>
  </si>
  <si>
    <t>218 94-4562064</t>
  </si>
  <si>
    <t xml:space="preserve">إطار لأعمال الألمنيوم
</t>
  </si>
  <si>
    <t>218 92-0539116</t>
  </si>
  <si>
    <t xml:space="preserve">شركة الفرقان لاعمال الPvc و المنيوم
</t>
  </si>
  <si>
    <t>218 92-5040435</t>
  </si>
  <si>
    <t xml:space="preserve">شركة الباشا للألومنيوم
</t>
  </si>
  <si>
    <t>218 92-6075555</t>
  </si>
  <si>
    <t xml:space="preserve">مصنع الفيل الالو منيوم bvc,
</t>
  </si>
  <si>
    <t>218 92-5902552</t>
  </si>
  <si>
    <t xml:space="preserve">شركة اليبية اليونانية للألمنيوم
</t>
  </si>
  <si>
    <t>218 92-6883775</t>
  </si>
  <si>
    <t xml:space="preserve">ورشة المنير لأعمال الالمنيوم
</t>
  </si>
  <si>
    <t xml:space="preserve">شركة رواسم - Rawasem Co.
</t>
  </si>
  <si>
    <t>218 91-0793100</t>
  </si>
  <si>
    <t xml:space="preserve">Albunyan for manufacturing of Aluminum Doors, Windows and Curtain Walls. LLc
</t>
  </si>
  <si>
    <t>218 (91)343 4982</t>
  </si>
  <si>
    <t xml:space="preserve">المدى الصناعي
</t>
  </si>
  <si>
    <t xml:space="preserve">مصنع المتميز لأعمال الألومنيوم وال pvc
</t>
  </si>
  <si>
    <t>218 91-9641436</t>
  </si>
  <si>
    <t xml:space="preserve">ورشة الفارس لأعمال الالمنيوم
</t>
  </si>
  <si>
    <t xml:space="preserve">شركة أساس الجديدة
</t>
  </si>
  <si>
    <t xml:space="preserve">مصنع النور المبين...للآلمنيوم
</t>
  </si>
  <si>
    <t xml:space="preserve">شادي لأعمال البي في سي والمطابخ
</t>
  </si>
  <si>
    <t xml:space="preserve">بلال لأعمال الالمنيوم
</t>
  </si>
  <si>
    <t xml:space="preserve">ورشة التقدم الألمنيوم وPVC
</t>
  </si>
  <si>
    <t>218 91-3328509</t>
  </si>
  <si>
    <t xml:space="preserve">شركة نافذة لأعمال الألمنيوم و الزجاج
</t>
  </si>
  <si>
    <t xml:space="preserve">ورشةالأندلس للألومنيوم
</t>
  </si>
  <si>
    <t xml:space="preserve">تشاركية افريقيا لاعمال الالمنيوم
</t>
  </si>
  <si>
    <t xml:space="preserve">الرونق للألمنيوم والبي في سي والترابزين
</t>
  </si>
  <si>
    <t>218 91-4420212</t>
  </si>
  <si>
    <t xml:space="preserve">شركة سما لأعمال الألمونيوم
</t>
  </si>
  <si>
    <t>971 2 551 5322</t>
  </si>
  <si>
    <t xml:space="preserve">الصفوة لأنظمة الالومنيوم والزجاج المتكاملة
</t>
  </si>
  <si>
    <t>20 101 425 0304</t>
  </si>
  <si>
    <t>ركة حسنى مرعى لتجارة قطاعات الألومنيوم و الإكسسوارات موزع معتمد شريف على حسن (م/ حسنى مرعى ) H.M.G</t>
  </si>
  <si>
    <t xml:space="preserve"> +20 100 561 7182</t>
  </si>
  <si>
    <t>Alutek</t>
  </si>
  <si>
    <t>20 100 069 3960</t>
  </si>
  <si>
    <t xml:space="preserve">Eval for Aluminum works
</t>
  </si>
  <si>
    <t>20 109 931 3457</t>
  </si>
  <si>
    <t xml:space="preserve">Alnozom egypt
</t>
  </si>
  <si>
    <t>0 120 096 6133</t>
  </si>
  <si>
    <t xml:space="preserve">شركة ارسنيم الالمنيوم و PVC
</t>
  </si>
  <si>
    <t xml:space="preserve">218 91-2116130
</t>
  </si>
  <si>
    <t xml:space="preserve">ورشة الأبداع لأعمال الألمنيوم/pvc
</t>
  </si>
  <si>
    <t xml:space="preserve">يامن لاعمال الالمنيوم
</t>
  </si>
  <si>
    <t xml:space="preserve">ورشة أبناء الحاج فرج بوعزة
</t>
  </si>
  <si>
    <t xml:space="preserve">شركة البوصلة لصناعة البي في سي و الألمنيوم
</t>
  </si>
  <si>
    <t xml:space="preserve">شركة نجمة الميدان للمقاولات العامة
</t>
  </si>
  <si>
    <t xml:space="preserve">شركة الشويهدي
</t>
  </si>
  <si>
    <t xml:space="preserve">صالح الصريمي لي بيع و تصنيع قطاعات ال pvc و الالمنيوم و المطابخ⁶
</t>
  </si>
  <si>
    <t xml:space="preserve">مصنع الفرجاني الألمنيوم
</t>
  </si>
  <si>
    <t xml:space="preserve">المنارة لاعمال الألمنيوم والديكور
</t>
  </si>
  <si>
    <t xml:space="preserve">شركة اسطنبول لاعمال pvc والالمنيوم والمطابخ
</t>
  </si>
  <si>
    <t xml:space="preserve">ورشه اسامه المنفي لأعمال الألمنيوم وbvc
</t>
  </si>
  <si>
    <t xml:space="preserve">مصنع الفارسي للالمنيوم
</t>
  </si>
  <si>
    <t xml:space="preserve">مصنع الفتح للزجاج والألمنيوم2
</t>
  </si>
  <si>
    <t xml:space="preserve">لاغا لمستلزمات الألومنيوم والبي في سي
</t>
  </si>
  <si>
    <t xml:space="preserve">Bab El Salam Company
</t>
  </si>
  <si>
    <t xml:space="preserve">الدرقاش للألومنيوم و الأسقف المعلقة و الحصائر المعدنية و البلاستيكيه
</t>
  </si>
  <si>
    <t>218 91-3537612</t>
  </si>
  <si>
    <t xml:space="preserve">المبدعون لأعمال الألمنيوم والبي في سي
</t>
  </si>
  <si>
    <t xml:space="preserve">ورشة الشلماني لأعمال الألمنيوم و الpvc
</t>
  </si>
  <si>
    <t xml:space="preserve">ورشة معاذ الالمنيوم
</t>
  </si>
  <si>
    <t xml:space="preserve">الإبداع للبي في سي و الألمنيوم و المطابخ والرخام
</t>
  </si>
  <si>
    <t xml:space="preserve">Betykall - Aluminium and Glazing
</t>
  </si>
  <si>
    <t>961 3 307 435</t>
  </si>
  <si>
    <t xml:space="preserve">TMF Glass and Aluminium
</t>
  </si>
  <si>
    <t>961 3 699 600</t>
  </si>
  <si>
    <t>tonyfarid@live.com</t>
  </si>
  <si>
    <t>https://www.facebook.com/profile.php?id=100065307257114</t>
  </si>
  <si>
    <t xml:space="preserve">شركة يوسف شعبان للألمنيوم Youssef shaaban co. For aluminium
</t>
  </si>
  <si>
    <t>961 3 327 904</t>
  </si>
  <si>
    <t xml:space="preserve">Chamaa Aluminium And Glass - CAG
</t>
  </si>
  <si>
    <t>961 3 878 722</t>
  </si>
  <si>
    <t>chamaa.aluminium.glass@gmail.com</t>
  </si>
  <si>
    <t xml:space="preserve">Fouani Aluminium
</t>
  </si>
  <si>
    <t>961 70 005 697</t>
  </si>
  <si>
    <t>https://www.facebook.com/profile.php?id=100054548525636</t>
  </si>
  <si>
    <t xml:space="preserve">ABZ. aluminium &amp; glass works
</t>
  </si>
  <si>
    <t>Karimabuzulof70@gmail.com</t>
  </si>
  <si>
    <t>https://www.facebook.com/profile.php?id=100067160030433</t>
  </si>
  <si>
    <t xml:space="preserve">ماسة كلاس - ألمنيوم
</t>
  </si>
  <si>
    <t>961 78 843 902</t>
  </si>
  <si>
    <t>https://www.facebook.com/aluminium.Masa.class</t>
  </si>
  <si>
    <t>Khatib - Aluminium and kitchens</t>
  </si>
  <si>
    <t>961 3 093 823</t>
  </si>
  <si>
    <t>https://www.facebook.com/profile.php?id=100063531071645</t>
  </si>
  <si>
    <t xml:space="preserve">Haddad For Aluminium &amp; Hardware SARL
</t>
  </si>
  <si>
    <t xml:space="preserve">961 3 619 302
</t>
  </si>
  <si>
    <t>m.had@haddadest.com.lb</t>
  </si>
  <si>
    <t>https://www.facebook.com/Haddad.For.Aluminium.And.Hardware.SARL</t>
  </si>
  <si>
    <t xml:space="preserve">Aluminium
</t>
  </si>
  <si>
    <t xml:space="preserve">961 70 749 903
</t>
  </si>
  <si>
    <t>https://www.facebook.com/profile.php?id=100068043565295</t>
  </si>
  <si>
    <t xml:space="preserve">AD Aluminium
</t>
  </si>
  <si>
    <t xml:space="preserve">961 76 381 135
</t>
  </si>
  <si>
    <t>https://www.facebook.com/Avo.Dadoushian.Aluminium</t>
  </si>
  <si>
    <t xml:space="preserve">M.J.M Aluminium &amp; Glass
</t>
  </si>
  <si>
    <t>Nader Aluminium</t>
  </si>
  <si>
    <t>961 70 794 894</t>
  </si>
  <si>
    <t>https://www.facebook.com/naderaluminium</t>
  </si>
  <si>
    <t xml:space="preserve">Aluminium yahya
</t>
  </si>
  <si>
    <t>961 3 386 548</t>
  </si>
  <si>
    <t>haj mad</t>
  </si>
  <si>
    <t>https://www.facebook.com/aluminiumyahya</t>
  </si>
  <si>
    <t>RAC-Rizk Aluminium Contracting</t>
  </si>
  <si>
    <t>961 3 707 390</t>
  </si>
  <si>
    <t>https://www.facebook.com/rac.rizk</t>
  </si>
  <si>
    <t>76453952 Aluminium Ameen</t>
  </si>
  <si>
    <t xml:space="preserve">961 76 453 952
</t>
  </si>
  <si>
    <t>https://www.facebook.com/76453952-Aluminium-Ameen-1176428012375260/</t>
  </si>
  <si>
    <t xml:space="preserve">New Aluminium
</t>
  </si>
  <si>
    <t xml:space="preserve">F.A.B Co Ltd - شركة فاب
</t>
  </si>
  <si>
    <t>961 71 180 157</t>
  </si>
  <si>
    <t>https://www.facebook.com/BaydounAluminium</t>
  </si>
  <si>
    <t>Jaber for aluminium and glass</t>
  </si>
  <si>
    <t>961 70 725 442</t>
  </si>
  <si>
    <t>https://www.facebook.com/profile.php?id=100063641615727</t>
  </si>
  <si>
    <t>Faux Plafond pvc &amp; Aluminium - Abdo Houeiss</t>
  </si>
  <si>
    <t>961 76 874 013</t>
  </si>
  <si>
    <t>https://www.facebook.com/fauxplafon.aluminium</t>
  </si>
  <si>
    <t xml:space="preserve">Dekintal Aluminium
</t>
  </si>
  <si>
    <t>961 3 044 561</t>
  </si>
  <si>
    <t>https://www.facebook.com/tonibattal</t>
  </si>
  <si>
    <t xml:space="preserve">Aluminium and curtain glass
</t>
  </si>
  <si>
    <t>961 81 371 276</t>
  </si>
  <si>
    <t>https://www.facebook.com/profile.php?id=100071192563161</t>
  </si>
  <si>
    <t>Aluminium Elie</t>
  </si>
  <si>
    <t xml:space="preserve">961 71 965 973
</t>
  </si>
  <si>
    <t>https://www.facebook.com/profile.php?id=100065050808424</t>
  </si>
  <si>
    <t xml:space="preserve">Rajha Aluminium - Est
</t>
  </si>
  <si>
    <t>961 70 204 179</t>
  </si>
  <si>
    <t xml:space="preserve">
elie.rajha@hotmail.co.uk</t>
  </si>
  <si>
    <t>https://www.facebook.com/RajhaAluminium.since1990</t>
  </si>
  <si>
    <t>Aghnatios Aluminium</t>
  </si>
  <si>
    <t>03927616-71927616-01880355- 71880355</t>
  </si>
  <si>
    <t>fadyaghnatios@hotmail.co.uk</t>
  </si>
  <si>
    <t>https://www.facebook.com/AghnatiosAluminium</t>
  </si>
  <si>
    <t>Abou Okde For Aluminium Kitchens &amp; Sucerol Glass Curtains</t>
  </si>
  <si>
    <t xml:space="preserve">961 71 567 787
</t>
  </si>
  <si>
    <t>https://www.facebook.com/abouokdekitchensandsucerol</t>
  </si>
  <si>
    <t>Aluminium Zaytoun</t>
  </si>
  <si>
    <t>961 3 439 421</t>
  </si>
  <si>
    <t>https://www.facebook.com/profile.php?id=100054230182017</t>
  </si>
  <si>
    <t>Aluminium Installation</t>
  </si>
  <si>
    <t>starium2011@hotmail.com</t>
  </si>
  <si>
    <t xml:space="preserve">Aluminium alemeh
</t>
  </si>
  <si>
    <t>961 70 093 813</t>
  </si>
  <si>
    <t>https://www.facebook.com/profile.php?id=100066762451007</t>
  </si>
  <si>
    <t xml:space="preserve">Mostafa khalife Aluminium
</t>
  </si>
  <si>
    <t>961 3 768 779</t>
  </si>
  <si>
    <t>https://www.facebook.com/Mostafa-khalife-Aluminium-180193786235694</t>
  </si>
  <si>
    <t>Alupethos Aluminium Works &amp; Kitchens</t>
  </si>
  <si>
    <t>961 3 708 067</t>
  </si>
  <si>
    <t>https://www.facebook.com/profile.php?id=100063748925049</t>
  </si>
  <si>
    <t xml:space="preserve">Younes Aluminium
</t>
  </si>
  <si>
    <t>961 71 297 992</t>
  </si>
  <si>
    <t>https://www.facebook.com/Romance.cafe.lb</t>
  </si>
  <si>
    <t>Wood &amp; aluminium maintenance by Sweidan Corporation</t>
  </si>
  <si>
    <t>961 70 711 419</t>
  </si>
  <si>
    <t>https://www.facebook.com/profile.php?id=100063736582540</t>
  </si>
  <si>
    <t xml:space="preserve">Al Nahda Contracting
</t>
  </si>
  <si>
    <t>961 3 015 757</t>
  </si>
  <si>
    <t>https://www.facebook.com/NahdaAluminium</t>
  </si>
  <si>
    <t xml:space="preserve">Tralco Aluminium
</t>
  </si>
  <si>
    <t>961 3 209 495</t>
  </si>
  <si>
    <t>s.ghostine@hotmail.com</t>
  </si>
  <si>
    <t>https://www.facebook.com/profile.php?id=100047221016003&amp;sk=about</t>
  </si>
  <si>
    <t xml:space="preserve">Premier Aluminium &amp; Glass
</t>
  </si>
  <si>
    <t>961 71 339 390</t>
  </si>
  <si>
    <t>https://www.facebook.com/profile.php?id=100063779034372</t>
  </si>
  <si>
    <t>Radwan for all aluminium &amp; alocobond and glass</t>
  </si>
  <si>
    <t>961 70 977 004</t>
  </si>
  <si>
    <t>https://www.facebook.com/profile.php?id=100069622200894</t>
  </si>
  <si>
    <t>K Glass</t>
  </si>
  <si>
    <t>961 1 687 432</t>
  </si>
  <si>
    <t>https://www.facebook.com/kglass.sarl</t>
  </si>
  <si>
    <t>Jamal Aluminum</t>
  </si>
  <si>
    <t>961 3 698 867</t>
  </si>
  <si>
    <t>https://www.facebook.com/jamaluminum</t>
  </si>
  <si>
    <t>Khalil hinawy. Aluminium</t>
  </si>
  <si>
    <t>961 3 760 043</t>
  </si>
  <si>
    <t>https://www.facebook.com/khalilhinawyAluminium</t>
  </si>
  <si>
    <t xml:space="preserve">Aluminium Design
</t>
  </si>
  <si>
    <t>961 3 807 513</t>
  </si>
  <si>
    <t>https://www.facebook.com/profile.php?id=100063511092344</t>
  </si>
  <si>
    <t xml:space="preserve">Daher aluminium
</t>
  </si>
  <si>
    <t xml:space="preserve">عباس للالمنيوم
</t>
  </si>
  <si>
    <t>961 3 058 896</t>
  </si>
  <si>
    <t>https://www.facebook.com/Abbas.Aluminium</t>
  </si>
  <si>
    <t xml:space="preserve">Aluminium kejok
</t>
  </si>
  <si>
    <t>961 71 630 778</t>
  </si>
  <si>
    <t>https://www.facebook.com/AluminiumKejok</t>
  </si>
  <si>
    <t>ALKON Aluminium&amp;Stainless Steel - ألكون للألمنيوم والستانلس ستيل</t>
  </si>
  <si>
    <t>961 78 802 404</t>
  </si>
  <si>
    <t>https://www.facebook.com/profile.php?id=100088144624930</t>
  </si>
  <si>
    <t>A-youb for Aluminium</t>
  </si>
  <si>
    <t>961 3 204 307</t>
  </si>
  <si>
    <t>https://www.facebook.com/profile.php?id=100034992593185</t>
  </si>
  <si>
    <t xml:space="preserve">Decorist Aluminium Walid Massry
</t>
  </si>
  <si>
    <t>961 70 085 042</t>
  </si>
  <si>
    <t>https://www.facebook.com/walidziadmassry</t>
  </si>
  <si>
    <t>El samra Aluminium Design</t>
  </si>
  <si>
    <t>Merheb Aluminium Commitments</t>
  </si>
  <si>
    <t>961 76 594 716</t>
  </si>
  <si>
    <t>https://www.facebook.com/profile.php?id=100069568687020</t>
  </si>
  <si>
    <t>Aluminium decor turkmani</t>
  </si>
  <si>
    <t>961 79 301 405</t>
  </si>
  <si>
    <t>https://www.facebook.com/profile.php?id=100083436336434</t>
  </si>
  <si>
    <t>Al-Sadek Company For Aluminium &amp;Design</t>
  </si>
  <si>
    <t>961 3 143 266</t>
  </si>
  <si>
    <t>https://www.facebook.com/profile.php?id=100082079022463</t>
  </si>
  <si>
    <t xml:space="preserve">Prisma Kuwait Aluminium Co.
</t>
  </si>
  <si>
    <t xml:space="preserve">sales@prismakwt.com
</t>
  </si>
  <si>
    <t>https://prismakwt.com/arabic/contact.php</t>
  </si>
  <si>
    <t xml:space="preserve">NME Company شركة ناصر العيسى
</t>
  </si>
  <si>
    <t xml:space="preserve">Aldoor Oy
</t>
  </si>
  <si>
    <t>https://www.aldoor.fi/etusivu</t>
  </si>
  <si>
    <t>etunimi.sukunimi(at)aldoor.fi</t>
  </si>
  <si>
    <t xml:space="preserve">HR-Ikkunat Ruhkala Oy
</t>
  </si>
  <si>
    <t>https://hrikkunat.fi/</t>
  </si>
  <si>
    <t>myynti@hrikkunat.fi</t>
  </si>
  <si>
    <t>AluConstruction Oy</t>
  </si>
  <si>
    <t>https://www.aluconst.fi/</t>
  </si>
  <si>
    <t xml:space="preserve">jani.karkulehto@aluconst.fi
</t>
  </si>
  <si>
    <t xml:space="preserve">ALLSTAR ALUMINUM WINDOW AND DOORS INC
</t>
  </si>
  <si>
    <t>http://www.allstaraluminum.com/</t>
  </si>
  <si>
    <t xml:space="preserve">Ferguson Construction &amp; Aluminum
</t>
  </si>
  <si>
    <t>http://fergusonwindows.com/</t>
  </si>
  <si>
    <t xml:space="preserve">Modern Aluminium Factory
</t>
  </si>
  <si>
    <t>252 63 3334003</t>
  </si>
  <si>
    <t xml:space="preserve">Better Aluminium Company Limited
</t>
  </si>
  <si>
    <t>252 61 1666616</t>
  </si>
  <si>
    <t xml:space="preserve">Daldhis Aluminium &amp; Decoration Factory
</t>
  </si>
  <si>
    <t>252 61 5800666</t>
  </si>
  <si>
    <t>mr. Omar</t>
  </si>
  <si>
    <t>Shanfool Construction Company</t>
  </si>
  <si>
    <t>252 63 4339398</t>
  </si>
  <si>
    <t>https://www.facebook.com/sccshanfool/</t>
  </si>
  <si>
    <t xml:space="preserve">
sccshanfool@gmail.com</t>
  </si>
  <si>
    <t xml:space="preserve">Sky Aluminium
</t>
  </si>
  <si>
    <t xml:space="preserve">Ileys aluminium and decoration company
</t>
  </si>
  <si>
    <t>252 61 7735754</t>
  </si>
  <si>
    <t xml:space="preserve">Crown Aluminium
</t>
  </si>
  <si>
    <t xml:space="preserve">Xaddi Aluminium And PVC
</t>
  </si>
  <si>
    <t>252 63 3388484</t>
  </si>
  <si>
    <t xml:space="preserve">Modern Aluminum Factory
</t>
  </si>
  <si>
    <t>252 2 527614</t>
  </si>
  <si>
    <t xml:space="preserve">GLOBAL ALUMINIUM
</t>
  </si>
  <si>
    <t xml:space="preserve">Haaji Muuse Aluminium
</t>
  </si>
  <si>
    <t>252 63 4466229</t>
  </si>
  <si>
    <t>COUNTRY NAMES</t>
  </si>
  <si>
    <t>ÜLKE ADLARI</t>
  </si>
  <si>
    <t>FAALİYET v.2</t>
  </si>
  <si>
    <t>EKLEYENLER</t>
  </si>
  <si>
    <t>İrtibat Şekli</t>
  </si>
  <si>
    <t>İrtibat Şekli v.2</t>
  </si>
  <si>
    <t>İRTİBAT SONUÇLARI LİSTESİ</t>
  </si>
  <si>
    <t>ONAY DURUMU</t>
  </si>
  <si>
    <t>İRTİBAT SONUCU</t>
  </si>
  <si>
    <t>UNITED KINGDOM</t>
  </si>
  <si>
    <t>GB</t>
  </si>
  <si>
    <t>British</t>
  </si>
  <si>
    <t>a Briton</t>
  </si>
  <si>
    <t>Rusya</t>
  </si>
  <si>
    <t>FAD</t>
  </si>
  <si>
    <t>ONAY</t>
  </si>
  <si>
    <t>ARGENTINA</t>
  </si>
  <si>
    <t>AR</t>
  </si>
  <si>
    <t>Argentinian</t>
  </si>
  <si>
    <t>an Argentinian</t>
  </si>
  <si>
    <t>Antarktika</t>
  </si>
  <si>
    <t>RED</t>
  </si>
  <si>
    <t>AUSTRALIA</t>
  </si>
  <si>
    <t>AU</t>
  </si>
  <si>
    <t>Australian</t>
  </si>
  <si>
    <t>an Australian</t>
  </si>
  <si>
    <t>Kanada</t>
  </si>
  <si>
    <t>AL</t>
  </si>
  <si>
    <t>BEKLEME</t>
  </si>
  <si>
    <t>BAHAMAS</t>
  </si>
  <si>
    <t>BS</t>
  </si>
  <si>
    <t>Bahamian</t>
  </si>
  <si>
    <t>a Bahamian</t>
  </si>
  <si>
    <t>MÜDÜRE ULASTIRACAK BIZI</t>
  </si>
  <si>
    <t>TEKLİF HAZIRLANIYOR</t>
  </si>
  <si>
    <t>BELGIUM</t>
  </si>
  <si>
    <t>BE</t>
  </si>
  <si>
    <t>Belgian</t>
  </si>
  <si>
    <t>a Belgian</t>
  </si>
  <si>
    <t>Çatı Sistemleri</t>
  </si>
  <si>
    <t xml:space="preserve">WATING FOR THE CONTACT OF PD OR MNG
</t>
  </si>
  <si>
    <t>TEKLİF VEREMEDIK</t>
  </si>
  <si>
    <t>BRAZIL</t>
  </si>
  <si>
    <t>BR</t>
  </si>
  <si>
    <t>Brazilian</t>
  </si>
  <si>
    <t>a Brazilian</t>
  </si>
  <si>
    <t>Brezilya</t>
  </si>
  <si>
    <t>CANADA</t>
  </si>
  <si>
    <t>CA</t>
  </si>
  <si>
    <t>Canadian</t>
  </si>
  <si>
    <t>a Canadian</t>
  </si>
  <si>
    <t>Avustralya</t>
  </si>
  <si>
    <t xml:space="preserve">NOT IMPORTING
</t>
  </si>
  <si>
    <t>CHINA</t>
  </si>
  <si>
    <t>CN</t>
  </si>
  <si>
    <t>Chinese</t>
  </si>
  <si>
    <t>a Chinese</t>
  </si>
  <si>
    <t xml:space="preserve">NUMARA YANLIS
</t>
  </si>
  <si>
    <t>COLOMBIA</t>
  </si>
  <si>
    <t>CO</t>
  </si>
  <si>
    <t>Colombian</t>
  </si>
  <si>
    <t>a Colombian</t>
  </si>
  <si>
    <t>Arjantin</t>
  </si>
  <si>
    <t>CUBA</t>
  </si>
  <si>
    <t>CU</t>
  </si>
  <si>
    <t>Cuban</t>
  </si>
  <si>
    <t>a Cuban</t>
  </si>
  <si>
    <t>DOMINICAN REPUBLIC</t>
  </si>
  <si>
    <t>DO</t>
  </si>
  <si>
    <t>Dominican</t>
  </si>
  <si>
    <t>a Dominican</t>
  </si>
  <si>
    <t>ECUADOR</t>
  </si>
  <si>
    <t>EC</t>
  </si>
  <si>
    <t>Ecuadorean</t>
  </si>
  <si>
    <t>an Ecuadorean</t>
  </si>
  <si>
    <t>Demokratik Kongo Cumhuriyeti</t>
  </si>
  <si>
    <t xml:space="preserve">PROJE OLDUĞUNDA BIZIM ILE ILETISIM GEÇERLER
</t>
  </si>
  <si>
    <t>EL SALVADOR</t>
  </si>
  <si>
    <t>SV</t>
  </si>
  <si>
    <t>Salvadorean</t>
  </si>
  <si>
    <t>a Salvadorean</t>
  </si>
  <si>
    <t>Grönland (Danimarka)</t>
  </si>
  <si>
    <t>INGLIZCE BILMIYORLAR</t>
  </si>
  <si>
    <t>FRANCE</t>
  </si>
  <si>
    <t>FR</t>
  </si>
  <si>
    <t>French</t>
  </si>
  <si>
    <t>a Frenchman</t>
  </si>
  <si>
    <t>GERMANY</t>
  </si>
  <si>
    <t>DE</t>
  </si>
  <si>
    <t>German</t>
  </si>
  <si>
    <t>a German</t>
  </si>
  <si>
    <t>Meksika</t>
  </si>
  <si>
    <t>GUATEMALA</t>
  </si>
  <si>
    <t>GT</t>
  </si>
  <si>
    <t>Guatemalan</t>
  </si>
  <si>
    <t>a Guatemalan</t>
  </si>
  <si>
    <t>Endonezya</t>
  </si>
  <si>
    <t xml:space="preserve">NUMARA CALISMIYOR EMAIL
</t>
  </si>
  <si>
    <t>HAITI</t>
  </si>
  <si>
    <t>HT</t>
  </si>
  <si>
    <t>Haitian</t>
  </si>
  <si>
    <t>a Haitian</t>
  </si>
  <si>
    <t>HONDURAS</t>
  </si>
  <si>
    <t>HN</t>
  </si>
  <si>
    <t>Honduran</t>
  </si>
  <si>
    <t>a Honduran</t>
  </si>
  <si>
    <t>INDIA</t>
  </si>
  <si>
    <t>IN</t>
  </si>
  <si>
    <t>Indian</t>
  </si>
  <si>
    <t>an Indian</t>
  </si>
  <si>
    <t>IRELAND</t>
  </si>
  <si>
    <t>IE</t>
  </si>
  <si>
    <t>Ireland</t>
  </si>
  <si>
    <t>an Irishman</t>
  </si>
  <si>
    <t>Moğolistan</t>
  </si>
  <si>
    <t>ISRAEL</t>
  </si>
  <si>
    <t>IL</t>
  </si>
  <si>
    <t>Israeli</t>
  </si>
  <si>
    <t>an Israeli</t>
  </si>
  <si>
    <t>Peru</t>
  </si>
  <si>
    <t>ITALY</t>
  </si>
  <si>
    <t>IT</t>
  </si>
  <si>
    <t>Italian</t>
  </si>
  <si>
    <t>an Italian</t>
  </si>
  <si>
    <t>Çad</t>
  </si>
  <si>
    <t>JAPAN</t>
  </si>
  <si>
    <t>JP</t>
  </si>
  <si>
    <t>Japanese</t>
  </si>
  <si>
    <t>a Japanese</t>
  </si>
  <si>
    <t>Nijer</t>
  </si>
  <si>
    <t>KOREA</t>
  </si>
  <si>
    <t>KR</t>
  </si>
  <si>
    <t>South Korean</t>
  </si>
  <si>
    <t>a South Korean</t>
  </si>
  <si>
    <t>Angola</t>
  </si>
  <si>
    <t>MEXICO</t>
  </si>
  <si>
    <t>MX</t>
  </si>
  <si>
    <t>Mexican</t>
  </si>
  <si>
    <t>a Mexican</t>
  </si>
  <si>
    <t>Mali</t>
  </si>
  <si>
    <t>NETHERLANDS</t>
  </si>
  <si>
    <t>NL</t>
  </si>
  <si>
    <t>Dutch</t>
  </si>
  <si>
    <t>a Dutchman,</t>
  </si>
  <si>
    <t>PHILIPPINES</t>
  </si>
  <si>
    <t>PH</t>
  </si>
  <si>
    <t>Philippine</t>
  </si>
  <si>
    <t>a Filipino</t>
  </si>
  <si>
    <t>Kolombiya</t>
  </si>
  <si>
    <t>SPAIN</t>
  </si>
  <si>
    <t>ES</t>
  </si>
  <si>
    <t>Spanish</t>
  </si>
  <si>
    <t>a Spaniard</t>
  </si>
  <si>
    <t>Etiyopya</t>
  </si>
  <si>
    <t>SWEDEN</t>
  </si>
  <si>
    <t>SE</t>
  </si>
  <si>
    <t>Swedish</t>
  </si>
  <si>
    <t>a Swede</t>
  </si>
  <si>
    <t>Bolivya</t>
  </si>
  <si>
    <t>SWITZERLAND</t>
  </si>
  <si>
    <t>CH</t>
  </si>
  <si>
    <t>Swiss</t>
  </si>
  <si>
    <t>a Swiss</t>
  </si>
  <si>
    <t>TAIWAN</t>
  </si>
  <si>
    <t>TW</t>
  </si>
  <si>
    <t>Taiwanese</t>
  </si>
  <si>
    <t>a Taiwanese</t>
  </si>
  <si>
    <t>VENEZUELA</t>
  </si>
  <si>
    <t>VE</t>
  </si>
  <si>
    <t>Venezuelan</t>
  </si>
  <si>
    <t>a Venezuelan</t>
  </si>
  <si>
    <t>VIET NAM</t>
  </si>
  <si>
    <t>VN</t>
  </si>
  <si>
    <t>Vietnamese</t>
  </si>
  <si>
    <t>a Vietnamese</t>
  </si>
  <si>
    <t>AFGHANISTAN</t>
  </si>
  <si>
    <t>AF</t>
  </si>
  <si>
    <t>Afghan</t>
  </si>
  <si>
    <t>an Afghan</t>
  </si>
  <si>
    <t>Venezuela</t>
  </si>
  <si>
    <t>ALBANIA</t>
  </si>
  <si>
    <t>Albanian</t>
  </si>
  <si>
    <t>an Albanian</t>
  </si>
  <si>
    <t>ALGERIA</t>
  </si>
  <si>
    <t>DZ</t>
  </si>
  <si>
    <t>Algerian</t>
  </si>
  <si>
    <t>an Algerian</t>
  </si>
  <si>
    <t>AMERICAN SAMOA</t>
  </si>
  <si>
    <t>AS</t>
  </si>
  <si>
    <t>Samoan</t>
  </si>
  <si>
    <t>a Samoan</t>
  </si>
  <si>
    <t>Mozambik</t>
  </si>
  <si>
    <t>ANDORRA</t>
  </si>
  <si>
    <t>AD</t>
  </si>
  <si>
    <t>Andorran</t>
  </si>
  <si>
    <t>an Andorran</t>
  </si>
  <si>
    <t>Türkiye</t>
  </si>
  <si>
    <t>ANGOLA</t>
  </si>
  <si>
    <t>AO</t>
  </si>
  <si>
    <t>Angolan</t>
  </si>
  <si>
    <t>an Angolan</t>
  </si>
  <si>
    <t>ARMENIA</t>
  </si>
  <si>
    <t>AM</t>
  </si>
  <si>
    <t>Armenian</t>
  </si>
  <si>
    <t>an Armenian</t>
  </si>
  <si>
    <t>Zambiya</t>
  </si>
  <si>
    <t>AUSTRIA</t>
  </si>
  <si>
    <t>AT</t>
  </si>
  <si>
    <t>Austrian</t>
  </si>
  <si>
    <t>an Austrian</t>
  </si>
  <si>
    <t>Burma</t>
  </si>
  <si>
    <t>AZERBAIJAN</t>
  </si>
  <si>
    <t>AZ</t>
  </si>
  <si>
    <t>Azerbaijani</t>
  </si>
  <si>
    <t>an Azerbaijani</t>
  </si>
  <si>
    <t>Afganistan</t>
  </si>
  <si>
    <t>BAHRAIN</t>
  </si>
  <si>
    <t>BH</t>
  </si>
  <si>
    <t>Bahraini</t>
  </si>
  <si>
    <t>a Bahraini</t>
  </si>
  <si>
    <t>BANGLADESH</t>
  </si>
  <si>
    <t>BD</t>
  </si>
  <si>
    <t>Bangladeshi</t>
  </si>
  <si>
    <t>a Bangladeshi</t>
  </si>
  <si>
    <t>BARBADOS</t>
  </si>
  <si>
    <t>BB</t>
  </si>
  <si>
    <t>Barbadian</t>
  </si>
  <si>
    <t>a Barbadian</t>
  </si>
  <si>
    <t>BELARUS</t>
  </si>
  <si>
    <t>BY</t>
  </si>
  <si>
    <t>Belarusian</t>
  </si>
  <si>
    <t>a Belarusian</t>
  </si>
  <si>
    <t>Orta Afrika Cumhuriyeti</t>
  </si>
  <si>
    <t>BELIZE</t>
  </si>
  <si>
    <t>BZ</t>
  </si>
  <si>
    <t>Belizean</t>
  </si>
  <si>
    <t>a Belizean</t>
  </si>
  <si>
    <t>Ukrayna</t>
  </si>
  <si>
    <t>BENIN</t>
  </si>
  <si>
    <t>BJ</t>
  </si>
  <si>
    <t>Beninese</t>
  </si>
  <si>
    <t>a Beninese</t>
  </si>
  <si>
    <t>Madagaskar</t>
  </si>
  <si>
    <t>BERMUDA</t>
  </si>
  <si>
    <t>BM</t>
  </si>
  <si>
    <t>Bermudian</t>
  </si>
  <si>
    <t>a Bermudian</t>
  </si>
  <si>
    <t>Botsvana</t>
  </si>
  <si>
    <t>BHUTAN</t>
  </si>
  <si>
    <t>BT</t>
  </si>
  <si>
    <t>Bhutanese</t>
  </si>
  <si>
    <t>a Bhutanese</t>
  </si>
  <si>
    <t>BOLIVIA</t>
  </si>
  <si>
    <t>BO</t>
  </si>
  <si>
    <t>Bolivian</t>
  </si>
  <si>
    <t>a Bolivian</t>
  </si>
  <si>
    <t>BOSNIA AND HERZEGOVINA</t>
  </si>
  <si>
    <t>BA</t>
  </si>
  <si>
    <t>Bosnian</t>
  </si>
  <si>
    <t>a Bosnian</t>
  </si>
  <si>
    <t>Tayland</t>
  </si>
  <si>
    <t>BOTSWANA</t>
  </si>
  <si>
    <t>BW</t>
  </si>
  <si>
    <t>Botswanan</t>
  </si>
  <si>
    <t>a Tswana</t>
  </si>
  <si>
    <t>İspanya</t>
  </si>
  <si>
    <t>BULGARIA</t>
  </si>
  <si>
    <t>BG</t>
  </si>
  <si>
    <t>Bulgarian</t>
  </si>
  <si>
    <t>a Bulgarian</t>
  </si>
  <si>
    <t>BURKINA FASO</t>
  </si>
  <si>
    <t>BF</t>
  </si>
  <si>
    <t>Burkinese</t>
  </si>
  <si>
    <t>a Burkinese</t>
  </si>
  <si>
    <t>Kamerun</t>
  </si>
  <si>
    <t>BURUNDI</t>
  </si>
  <si>
    <t>BI</t>
  </si>
  <si>
    <t>Burundian</t>
  </si>
  <si>
    <t>a Burundian</t>
  </si>
  <si>
    <t>Papua Yeni Gine</t>
  </si>
  <si>
    <t>CAMBODIA</t>
  </si>
  <si>
    <t>KH</t>
  </si>
  <si>
    <t>Cambodian</t>
  </si>
  <si>
    <t>a Cambodian</t>
  </si>
  <si>
    <t>CAMEROON</t>
  </si>
  <si>
    <t>CM</t>
  </si>
  <si>
    <t>Cameroonian</t>
  </si>
  <si>
    <t>a Cameroonian</t>
  </si>
  <si>
    <t>CAPE VERDE ISLANDS</t>
  </si>
  <si>
    <t>CV</t>
  </si>
  <si>
    <t>Cape Verdean</t>
  </si>
  <si>
    <t>a Cape Verdean</t>
  </si>
  <si>
    <t>CHAD</t>
  </si>
  <si>
    <t>TD</t>
  </si>
  <si>
    <t>Chadian</t>
  </si>
  <si>
    <t>a Chadian</t>
  </si>
  <si>
    <t>CHILE</t>
  </si>
  <si>
    <t>CL</t>
  </si>
  <si>
    <t>Chilean</t>
  </si>
  <si>
    <t>a Chilean</t>
  </si>
  <si>
    <t>Paraguay</t>
  </si>
  <si>
    <t>CONGO</t>
  </si>
  <si>
    <t>CG</t>
  </si>
  <si>
    <t>Congolese</t>
  </si>
  <si>
    <t>a Congolese</t>
  </si>
  <si>
    <t>Zimbabve</t>
  </si>
  <si>
    <t>COSTA RICA</t>
  </si>
  <si>
    <t>CR</t>
  </si>
  <si>
    <t>Costa Rican</t>
  </si>
  <si>
    <t>a Costa Rican</t>
  </si>
  <si>
    <t>Japonya</t>
  </si>
  <si>
    <t>CROATIA</t>
  </si>
  <si>
    <t>HR</t>
  </si>
  <si>
    <t>Croat</t>
  </si>
  <si>
    <t>a Croat or a Croatian</t>
  </si>
  <si>
    <t>CYPRUS</t>
  </si>
  <si>
    <t>CY</t>
  </si>
  <si>
    <t>Cypriot</t>
  </si>
  <si>
    <t>a Cypriot</t>
  </si>
  <si>
    <t>CZECH REPUBLIC</t>
  </si>
  <si>
    <t>CZ</t>
  </si>
  <si>
    <t>Czech</t>
  </si>
  <si>
    <t>a Czech</t>
  </si>
  <si>
    <t>Kongo Cumhuriyeti</t>
  </si>
  <si>
    <t>DENMARK</t>
  </si>
  <si>
    <t>DK</t>
  </si>
  <si>
    <t>Danish</t>
  </si>
  <si>
    <t>a Dane</t>
  </si>
  <si>
    <t>DJIBOUTI</t>
  </si>
  <si>
    <t>DJ</t>
  </si>
  <si>
    <t>Djiboutian</t>
  </si>
  <si>
    <t>a Djiboutian</t>
  </si>
  <si>
    <t>Vietnam</t>
  </si>
  <si>
    <t>DOMINICA</t>
  </si>
  <si>
    <t>DM</t>
  </si>
  <si>
    <t>EGYPT</t>
  </si>
  <si>
    <t>EG</t>
  </si>
  <si>
    <t>Egyptian</t>
  </si>
  <si>
    <t>an Egyptian</t>
  </si>
  <si>
    <t>Norveç</t>
  </si>
  <si>
    <t>ERITREA</t>
  </si>
  <si>
    <t>ER</t>
  </si>
  <si>
    <t>Eritrean</t>
  </si>
  <si>
    <t>an Eritrean</t>
  </si>
  <si>
    <t>Fildişi Sahili</t>
  </si>
  <si>
    <t>ESTONIA</t>
  </si>
  <si>
    <t>EE</t>
  </si>
  <si>
    <t>Estonian</t>
  </si>
  <si>
    <t>an Estonian</t>
  </si>
  <si>
    <t>ETHIOPIA</t>
  </si>
  <si>
    <t>ET</t>
  </si>
  <si>
    <t>Ethiopian</t>
  </si>
  <si>
    <t>an Ethiopian</t>
  </si>
  <si>
    <t>FIJI</t>
  </si>
  <si>
    <t>FJ</t>
  </si>
  <si>
    <t>Fijian</t>
  </si>
  <si>
    <t>a Fijian</t>
  </si>
  <si>
    <t>İtalya</t>
  </si>
  <si>
    <t>FINLAND</t>
  </si>
  <si>
    <t>FI</t>
  </si>
  <si>
    <t>Finnish</t>
  </si>
  <si>
    <t>a Finn</t>
  </si>
  <si>
    <t>Burkina Faso</t>
  </si>
  <si>
    <t>FRENCH POLYNESIA</t>
  </si>
  <si>
    <t>PF</t>
  </si>
  <si>
    <t>Polynesian</t>
  </si>
  <si>
    <t>a French Polynesian</t>
  </si>
  <si>
    <t>Yeni Zelanda</t>
  </si>
  <si>
    <t>GABON</t>
  </si>
  <si>
    <t>GA</t>
  </si>
  <si>
    <t>Gabonese</t>
  </si>
  <si>
    <t>a Gabonese</t>
  </si>
  <si>
    <t>Gabon</t>
  </si>
  <si>
    <t>GAMBIA</t>
  </si>
  <si>
    <t>GM</t>
  </si>
  <si>
    <t>Gambian</t>
  </si>
  <si>
    <t>a Gambian</t>
  </si>
  <si>
    <t>Batı Sahra</t>
  </si>
  <si>
    <t>GEORGIA</t>
  </si>
  <si>
    <t>GE</t>
  </si>
  <si>
    <t>Georgian</t>
  </si>
  <si>
    <t>a Georgian</t>
  </si>
  <si>
    <t>Ekvador</t>
  </si>
  <si>
    <t>GHANA</t>
  </si>
  <si>
    <t>GH</t>
  </si>
  <si>
    <t>Ghanaian</t>
  </si>
  <si>
    <t>a Ghanaian</t>
  </si>
  <si>
    <t>Gine</t>
  </si>
  <si>
    <t>GREECE</t>
  </si>
  <si>
    <t>GR</t>
  </si>
  <si>
    <t>Greek</t>
  </si>
  <si>
    <t>a Greek</t>
  </si>
  <si>
    <t>GRENADA</t>
  </si>
  <si>
    <t>GD</t>
  </si>
  <si>
    <t>Grenadian</t>
  </si>
  <si>
    <t>a Grenadian</t>
  </si>
  <si>
    <t>Uganda</t>
  </si>
  <si>
    <t>GUINEA</t>
  </si>
  <si>
    <t>GN</t>
  </si>
  <si>
    <t>Guinean</t>
  </si>
  <si>
    <t>a Guinean</t>
  </si>
  <si>
    <t>Gana</t>
  </si>
  <si>
    <t>GUYANA</t>
  </si>
  <si>
    <t>GY</t>
  </si>
  <si>
    <t>Guyanese</t>
  </si>
  <si>
    <t>a Guyanese</t>
  </si>
  <si>
    <t>HUNGARY</t>
  </si>
  <si>
    <t>HU</t>
  </si>
  <si>
    <t>Hungarian</t>
  </si>
  <si>
    <t>a Hungarian</t>
  </si>
  <si>
    <t>Laos</t>
  </si>
  <si>
    <t>ICELAND</t>
  </si>
  <si>
    <t>IS</t>
  </si>
  <si>
    <t>Icelandic</t>
  </si>
  <si>
    <t>an Icelander</t>
  </si>
  <si>
    <t>Guyana</t>
  </si>
  <si>
    <t>INDONESIA</t>
  </si>
  <si>
    <t>ID</t>
  </si>
  <si>
    <t>Indonesian</t>
  </si>
  <si>
    <t>an Indonesian</t>
  </si>
  <si>
    <t>Beyaz Rusya</t>
  </si>
  <si>
    <t>IRAN</t>
  </si>
  <si>
    <t>IR</t>
  </si>
  <si>
    <t>Iranian</t>
  </si>
  <si>
    <t>an Iranian</t>
  </si>
  <si>
    <t>Kırgızistan</t>
  </si>
  <si>
    <t>IRAQ</t>
  </si>
  <si>
    <t>IQ</t>
  </si>
  <si>
    <t>Iraqi</t>
  </si>
  <si>
    <t>an Iraqi</t>
  </si>
  <si>
    <t>JAMAICA</t>
  </si>
  <si>
    <t>JM</t>
  </si>
  <si>
    <t>Jamaican</t>
  </si>
  <si>
    <t>a Jamaican</t>
  </si>
  <si>
    <t>JORDAN</t>
  </si>
  <si>
    <t>JO</t>
  </si>
  <si>
    <t>Jordanian</t>
  </si>
  <si>
    <t>a Jordanian</t>
  </si>
  <si>
    <t>Kamboçya</t>
  </si>
  <si>
    <t>KAZAKHSTAN</t>
  </si>
  <si>
    <t>KZ</t>
  </si>
  <si>
    <t>Kazakh</t>
  </si>
  <si>
    <t>a Kazakh</t>
  </si>
  <si>
    <t>Uruguay</t>
  </si>
  <si>
    <t>KENYA</t>
  </si>
  <si>
    <t>KE</t>
  </si>
  <si>
    <t>Kenyan</t>
  </si>
  <si>
    <t>a Kenyan</t>
  </si>
  <si>
    <t>Surinam</t>
  </si>
  <si>
    <t>KP</t>
  </si>
  <si>
    <t>North Korean</t>
  </si>
  <si>
    <t>a North Korean</t>
  </si>
  <si>
    <t>KUWAIT</t>
  </si>
  <si>
    <t>KW</t>
  </si>
  <si>
    <t>Kuwaiti</t>
  </si>
  <si>
    <t>a Kuwaiti</t>
  </si>
  <si>
    <t>Bangladeş</t>
  </si>
  <si>
    <t>LATVIA</t>
  </si>
  <si>
    <t>LV</t>
  </si>
  <si>
    <t>Latvian</t>
  </si>
  <si>
    <t>a Latvian</t>
  </si>
  <si>
    <t>Nepal</t>
  </si>
  <si>
    <t>LEBANON</t>
  </si>
  <si>
    <t>LB</t>
  </si>
  <si>
    <t>Lebanese</t>
  </si>
  <si>
    <t>a Lebanese</t>
  </si>
  <si>
    <t>LIBERIA</t>
  </si>
  <si>
    <t>LR</t>
  </si>
  <si>
    <t>Liberian</t>
  </si>
  <si>
    <t>a Liberian</t>
  </si>
  <si>
    <t>Somaliland</t>
  </si>
  <si>
    <t>LIBYA</t>
  </si>
  <si>
    <t>LY</t>
  </si>
  <si>
    <t>Libyan</t>
  </si>
  <si>
    <t>a Libyan</t>
  </si>
  <si>
    <t>Yunanistan</t>
  </si>
  <si>
    <t>LITHUANIA</t>
  </si>
  <si>
    <t>LT</t>
  </si>
  <si>
    <t>Lithuanian</t>
  </si>
  <si>
    <t>a Lithuanian</t>
  </si>
  <si>
    <t>Nikaragua</t>
  </si>
  <si>
    <t>LUXEMBOURG</t>
  </si>
  <si>
    <t>LU</t>
  </si>
  <si>
    <t>a Luxembourger</t>
  </si>
  <si>
    <t>Kuzey Kore</t>
  </si>
  <si>
    <t>MADAGASCAR</t>
  </si>
  <si>
    <t>MG</t>
  </si>
  <si>
    <t>Madagascan</t>
  </si>
  <si>
    <t>a Malagasy</t>
  </si>
  <si>
    <t>Malavi</t>
  </si>
  <si>
    <t>MALAWI</t>
  </si>
  <si>
    <t>MW</t>
  </si>
  <si>
    <t>Malawian</t>
  </si>
  <si>
    <t>a Malawian</t>
  </si>
  <si>
    <t>Eritre</t>
  </si>
  <si>
    <t>MALAYSIA</t>
  </si>
  <si>
    <t>MY</t>
  </si>
  <si>
    <t>Malaysian</t>
  </si>
  <si>
    <t>a Malaysian</t>
  </si>
  <si>
    <t>Benin</t>
  </si>
  <si>
    <t>MALDIVES</t>
  </si>
  <si>
    <t>MV</t>
  </si>
  <si>
    <t>Maldivian</t>
  </si>
  <si>
    <t>a Maldivian</t>
  </si>
  <si>
    <t>Honduras</t>
  </si>
  <si>
    <t>MALI</t>
  </si>
  <si>
    <t>ML</t>
  </si>
  <si>
    <t>Malian</t>
  </si>
  <si>
    <t>a Malian</t>
  </si>
  <si>
    <t>MALTA</t>
  </si>
  <si>
    <t>MT</t>
  </si>
  <si>
    <t>Maltese</t>
  </si>
  <si>
    <t>a Maltese</t>
  </si>
  <si>
    <t>MAURITANIA</t>
  </si>
  <si>
    <t>MR</t>
  </si>
  <si>
    <t>Mauritanian</t>
  </si>
  <si>
    <t>a Mauritanian</t>
  </si>
  <si>
    <t>Küba</t>
  </si>
  <si>
    <t>MAURITIUS</t>
  </si>
  <si>
    <t>MU</t>
  </si>
  <si>
    <t>Mauritian</t>
  </si>
  <si>
    <t>a Mauritian</t>
  </si>
  <si>
    <t>Guatemala</t>
  </si>
  <si>
    <t>MONACO</t>
  </si>
  <si>
    <t>MC</t>
  </si>
  <si>
    <t>Monacan</t>
  </si>
  <si>
    <t>a Monégasque</t>
  </si>
  <si>
    <t>İzlanda</t>
  </si>
  <si>
    <t>MONGOLIA</t>
  </si>
  <si>
    <t>MN</t>
  </si>
  <si>
    <t>Mongolian</t>
  </si>
  <si>
    <t>a Mongolian</t>
  </si>
  <si>
    <t>Güney Kore</t>
  </si>
  <si>
    <t>MONTENEGRO</t>
  </si>
  <si>
    <t>ME</t>
  </si>
  <si>
    <t>Montenegrin</t>
  </si>
  <si>
    <t>a Montenegrin</t>
  </si>
  <si>
    <t>MOROCCO</t>
  </si>
  <si>
    <t>Moroccan</t>
  </si>
  <si>
    <t>a Moroccan</t>
  </si>
  <si>
    <t>Portekiz</t>
  </si>
  <si>
    <t>MOZAMBIQUE</t>
  </si>
  <si>
    <t>MZ</t>
  </si>
  <si>
    <t>Mozambican</t>
  </si>
  <si>
    <t>a Mozambican</t>
  </si>
  <si>
    <t>NAMIBIA</t>
  </si>
  <si>
    <t>NA</t>
  </si>
  <si>
    <t>Namibian</t>
  </si>
  <si>
    <t>a Namibian</t>
  </si>
  <si>
    <t>NEPAL</t>
  </si>
  <si>
    <t>NP</t>
  </si>
  <si>
    <t>Nepalese</t>
  </si>
  <si>
    <t>a Nepalese</t>
  </si>
  <si>
    <t>NEW ZEALAND</t>
  </si>
  <si>
    <t>NZ</t>
  </si>
  <si>
    <t>New Zealand</t>
  </si>
  <si>
    <t>a New Zealander</t>
  </si>
  <si>
    <t>NICARAGUA</t>
  </si>
  <si>
    <t>NI</t>
  </si>
  <si>
    <t>Nicaraguan</t>
  </si>
  <si>
    <t>a Nicaraguan</t>
  </si>
  <si>
    <t>NIGER</t>
  </si>
  <si>
    <t>NE</t>
  </si>
  <si>
    <t>Nigerien</t>
  </si>
  <si>
    <t>a Nigerien</t>
  </si>
  <si>
    <t>Çek Cumhuriyeti</t>
  </si>
  <si>
    <t>NIGERIA</t>
  </si>
  <si>
    <t>NG</t>
  </si>
  <si>
    <t>Nigerian</t>
  </si>
  <si>
    <t>a Nigerian</t>
  </si>
  <si>
    <t>Panama</t>
  </si>
  <si>
    <t>NORWAY</t>
  </si>
  <si>
    <t>Norwegian</t>
  </si>
  <si>
    <t>a Norwegian</t>
  </si>
  <si>
    <t>Sierra Leone</t>
  </si>
  <si>
    <t>OMAN</t>
  </si>
  <si>
    <t>OM</t>
  </si>
  <si>
    <t>Omani</t>
  </si>
  <si>
    <t>an Omani</t>
  </si>
  <si>
    <t>İrlanda</t>
  </si>
  <si>
    <t>PAKISTAN</t>
  </si>
  <si>
    <t>PK</t>
  </si>
  <si>
    <t>Pakistani</t>
  </si>
  <si>
    <t>a Pakistani</t>
  </si>
  <si>
    <t>PANAMA</t>
  </si>
  <si>
    <t>PA</t>
  </si>
  <si>
    <t>Panamanian</t>
  </si>
  <si>
    <t>a Panamanian</t>
  </si>
  <si>
    <t>Sri Lanka</t>
  </si>
  <si>
    <t>PAPUA NEW GUINEA</t>
  </si>
  <si>
    <t>PG</t>
  </si>
  <si>
    <t>a Papua New Guinean</t>
  </si>
  <si>
    <t>Litvanya</t>
  </si>
  <si>
    <t>PARAGUAY</t>
  </si>
  <si>
    <t>PY</t>
  </si>
  <si>
    <t>Paraguayan</t>
  </si>
  <si>
    <t>a Paraguayan</t>
  </si>
  <si>
    <t>Letonya</t>
  </si>
  <si>
    <t>PERU</t>
  </si>
  <si>
    <t>PE</t>
  </si>
  <si>
    <t>Peruvian</t>
  </si>
  <si>
    <t>a Peruvian</t>
  </si>
  <si>
    <t>Svalbard ve Jan Mayen (Norveç)</t>
  </si>
  <si>
    <t>POLAND</t>
  </si>
  <si>
    <t>PL</t>
  </si>
  <si>
    <t>Polish</t>
  </si>
  <si>
    <t>a Pole</t>
  </si>
  <si>
    <t>Togo</t>
  </si>
  <si>
    <t>PORTUGAL</t>
  </si>
  <si>
    <t>PT</t>
  </si>
  <si>
    <t>Portuguese</t>
  </si>
  <si>
    <t>a Portuguese</t>
  </si>
  <si>
    <t>QATAR</t>
  </si>
  <si>
    <t>QA</t>
  </si>
  <si>
    <t>Qatari</t>
  </si>
  <si>
    <t>a Qatari</t>
  </si>
  <si>
    <t>ROMANIA</t>
  </si>
  <si>
    <t>RO</t>
  </si>
  <si>
    <t>Romanian</t>
  </si>
  <si>
    <t>a Romanian</t>
  </si>
  <si>
    <t>Kosta Rika</t>
  </si>
  <si>
    <t>RWANDA</t>
  </si>
  <si>
    <t>RW</t>
  </si>
  <si>
    <t>Rwandan</t>
  </si>
  <si>
    <t>a Rwandan</t>
  </si>
  <si>
    <t>Slovakya</t>
  </si>
  <si>
    <t>SAUDI ARABIA</t>
  </si>
  <si>
    <t>SA</t>
  </si>
  <si>
    <t>Saudi Arabian</t>
  </si>
  <si>
    <t>a Saudi Arabian</t>
  </si>
  <si>
    <t>Dominik Cumhuriyeti</t>
  </si>
  <si>
    <t>SENEGAL</t>
  </si>
  <si>
    <t>SN</t>
  </si>
  <si>
    <t>Senegalese</t>
  </si>
  <si>
    <t>a Senegalese</t>
  </si>
  <si>
    <t>Estonya</t>
  </si>
  <si>
    <t>SERBIA</t>
  </si>
  <si>
    <t>RS</t>
  </si>
  <si>
    <t>Serb or Serbian</t>
  </si>
  <si>
    <t>a Serb or a Serbian</t>
  </si>
  <si>
    <t>SIERRA LEONE</t>
  </si>
  <si>
    <t>SL</t>
  </si>
  <si>
    <t>Sierra Leonian</t>
  </si>
  <si>
    <t>a Sierra Leonian</t>
  </si>
  <si>
    <t>SINGAPORE</t>
  </si>
  <si>
    <t>SG</t>
  </si>
  <si>
    <t>Singaporean</t>
  </si>
  <si>
    <t>a Singaporean</t>
  </si>
  <si>
    <t>SLOVAKIA</t>
  </si>
  <si>
    <t>SK</t>
  </si>
  <si>
    <t>Slovak</t>
  </si>
  <si>
    <t>a Slovak</t>
  </si>
  <si>
    <t>Bhutan</t>
  </si>
  <si>
    <t>SLOVENIA</t>
  </si>
  <si>
    <t>SI</t>
  </si>
  <si>
    <t>Slovenian</t>
  </si>
  <si>
    <t>a Slovene</t>
  </si>
  <si>
    <t>Tayvan</t>
  </si>
  <si>
    <t>SOLOMON ISLANDS</t>
  </si>
  <si>
    <t>SB</t>
  </si>
  <si>
    <t>Slomoni</t>
  </si>
  <si>
    <t>a Solomon Islander</t>
  </si>
  <si>
    <t>Gine Bissau</t>
  </si>
  <si>
    <t>SOMALIA</t>
  </si>
  <si>
    <t>SO</t>
  </si>
  <si>
    <t>a Somali</t>
  </si>
  <si>
    <t>SOUTH AFRICA</t>
  </si>
  <si>
    <t>ZA</t>
  </si>
  <si>
    <t>South African</t>
  </si>
  <si>
    <t>a South African</t>
  </si>
  <si>
    <t>Belçika</t>
  </si>
  <si>
    <t>SRI LANKA</t>
  </si>
  <si>
    <t>LK</t>
  </si>
  <si>
    <t>Sri Lankan</t>
  </si>
  <si>
    <t>a Sri Lankan</t>
  </si>
  <si>
    <t>Lesoto</t>
  </si>
  <si>
    <t>SUDAN</t>
  </si>
  <si>
    <t>SD</t>
  </si>
  <si>
    <t>Sudanese</t>
  </si>
  <si>
    <t>a Sudanese</t>
  </si>
  <si>
    <t>SURINAME</t>
  </si>
  <si>
    <t>SR</t>
  </si>
  <si>
    <t>Surinamese</t>
  </si>
  <si>
    <t>a Surinamer</t>
  </si>
  <si>
    <t>Solomon Adaları</t>
  </si>
  <si>
    <t>SWAZILAND</t>
  </si>
  <si>
    <t>SZ</t>
  </si>
  <si>
    <t>Swazi</t>
  </si>
  <si>
    <t>a Swazi</t>
  </si>
  <si>
    <t>TAJIKISTAN</t>
  </si>
  <si>
    <t>TJ</t>
  </si>
  <si>
    <t>Tajik</t>
  </si>
  <si>
    <t>a Tajik</t>
  </si>
  <si>
    <t>Ekvator Ginesi</t>
  </si>
  <si>
    <t>THAILAND</t>
  </si>
  <si>
    <t>TH</t>
  </si>
  <si>
    <t>Thai</t>
  </si>
  <si>
    <t>a Thai</t>
  </si>
  <si>
    <t>TOGO</t>
  </si>
  <si>
    <t>TG</t>
  </si>
  <si>
    <t>Togolese</t>
  </si>
  <si>
    <t>a Togolese</t>
  </si>
  <si>
    <t>Haiti</t>
  </si>
  <si>
    <t>TRINIDAD AND TOBAGO</t>
  </si>
  <si>
    <t>TT</t>
  </si>
  <si>
    <t>Trinidadian</t>
  </si>
  <si>
    <t>a Trinidadian</t>
  </si>
  <si>
    <t>Ruanda</t>
  </si>
  <si>
    <t>TUNISIA</t>
  </si>
  <si>
    <t>TN</t>
  </si>
  <si>
    <t>Tunisian</t>
  </si>
  <si>
    <t>a Tunisian</t>
  </si>
  <si>
    <t>TURKEY</t>
  </si>
  <si>
    <t>TR</t>
  </si>
  <si>
    <t>Turkish</t>
  </si>
  <si>
    <t>a Turk</t>
  </si>
  <si>
    <t>Cibuti</t>
  </si>
  <si>
    <t>TURKMENISTAN</t>
  </si>
  <si>
    <t>TM</t>
  </si>
  <si>
    <t>Turkoman</t>
  </si>
  <si>
    <t>a Turkmen</t>
  </si>
  <si>
    <t>Belize</t>
  </si>
  <si>
    <t>TUVALU</t>
  </si>
  <si>
    <t>TV</t>
  </si>
  <si>
    <t>Tuvaluan</t>
  </si>
  <si>
    <t>a Tuvaluan</t>
  </si>
  <si>
    <t>El Salvador</t>
  </si>
  <si>
    <t>UGANDA</t>
  </si>
  <si>
    <t>UG</t>
  </si>
  <si>
    <t>Ugandan</t>
  </si>
  <si>
    <t>a Ugandan</t>
  </si>
  <si>
    <t>İsrail</t>
  </si>
  <si>
    <t>UKRAINE</t>
  </si>
  <si>
    <t>UA</t>
  </si>
  <si>
    <t>Ukrainian</t>
  </si>
  <si>
    <t>a Ukrainian</t>
  </si>
  <si>
    <t>Slovenya</t>
  </si>
  <si>
    <t>UNITED ARAB EMIRATES</t>
  </si>
  <si>
    <t>AE</t>
  </si>
  <si>
    <t>Emirati</t>
  </si>
  <si>
    <t>a UAE citizen</t>
  </si>
  <si>
    <t>Yeni Kaledonya (Fransa)</t>
  </si>
  <si>
    <t>UNITED STATES</t>
  </si>
  <si>
    <t>US</t>
  </si>
  <si>
    <t>American</t>
  </si>
  <si>
    <t>a US citizen</t>
  </si>
  <si>
    <t>Fiji</t>
  </si>
  <si>
    <t>URUGUAY</t>
  </si>
  <si>
    <t>UY</t>
  </si>
  <si>
    <t>Uruguayan</t>
  </si>
  <si>
    <t>a Uruguayan</t>
  </si>
  <si>
    <t>UZBEKISTAN</t>
  </si>
  <si>
    <t>UZ</t>
  </si>
  <si>
    <t>Uzbek</t>
  </si>
  <si>
    <t>an Uzbek</t>
  </si>
  <si>
    <t>Svaziland</t>
  </si>
  <si>
    <t>VANUATU</t>
  </si>
  <si>
    <t>VU</t>
  </si>
  <si>
    <t>Vanuatuan</t>
  </si>
  <si>
    <t>a Vanuatuan</t>
  </si>
  <si>
    <t>Doğu Timor</t>
  </si>
  <si>
    <t>YEMEN</t>
  </si>
  <si>
    <t>YE</t>
  </si>
  <si>
    <t>Yemeni</t>
  </si>
  <si>
    <t>a Yemeni</t>
  </si>
  <si>
    <t>Bahamalar</t>
  </si>
  <si>
    <t>ZAMBIA</t>
  </si>
  <si>
    <t>ZM</t>
  </si>
  <si>
    <t>Zambian</t>
  </si>
  <si>
    <t>a Zambian</t>
  </si>
  <si>
    <t>Karadağ</t>
  </si>
  <si>
    <t>Vanuatu</t>
  </si>
  <si>
    <t>Falkland Adaları (Birleşik Krallık)</t>
  </si>
  <si>
    <t>Dağlık Karabağ</t>
  </si>
  <si>
    <t>Gambiya</t>
  </si>
  <si>
    <t>Jamaika</t>
  </si>
  <si>
    <t>Porto Riko (ABD)</t>
  </si>
  <si>
    <t>Abhazya</t>
  </si>
  <si>
    <t>Fransız Güney ve Antarktika Toprakları (Fransa)</t>
  </si>
  <si>
    <t>Pasifik Uzak Adaları Deniz Ulusal Anıtı</t>
  </si>
  <si>
    <t>Brunei</t>
  </si>
  <si>
    <t>Trinidad ve Tobago</t>
  </si>
  <si>
    <t>Transdinyester</t>
  </si>
  <si>
    <t>Yeşil Burun Adaları</t>
  </si>
  <si>
    <t>Fransız Polinezyası (Fransa)</t>
  </si>
  <si>
    <t>Güney Georgia ve Güney Sandwich Adaları (Birleşik Krallık)</t>
  </si>
  <si>
    <t>Güney Osetya</t>
  </si>
  <si>
    <t>Kuzey Kıbrıs</t>
  </si>
  <si>
    <t>Samoa</t>
  </si>
  <si>
    <t>Lüksemburg</t>
  </si>
  <si>
    <t>Mauritius</t>
  </si>
  <si>
    <t>Komorlar</t>
  </si>
  <si>
    <t>Faroe Adaları (Danimarka)</t>
  </si>
  <si>
    <t>Hong Kong (Çin)</t>
  </si>
  <si>
    <t>São Tomé ve Príncipe</t>
  </si>
  <si>
    <t>Turks ve Caicos Adaları (Birleşik Krallık)</t>
  </si>
  <si>
    <t>Kiribati</t>
  </si>
  <si>
    <t>Dominika</t>
  </si>
  <si>
    <t>Tonga</t>
  </si>
  <si>
    <t>Singapur</t>
  </si>
  <si>
    <t>Mikronezya Federal Devletleri</t>
  </si>
  <si>
    <t>Saint Lucia</t>
  </si>
  <si>
    <t>Man Adası (Birleşik Krallık)</t>
  </si>
  <si>
    <t>Guam (ABD)</t>
  </si>
  <si>
    <t>Andorra</t>
  </si>
  <si>
    <t>Kuzey Mariana Adaları (ABD)</t>
  </si>
  <si>
    <t>Palau</t>
  </si>
  <si>
    <t>Seyşeller</t>
  </si>
  <si>
    <t>Curaçao (Hollanda)</t>
  </si>
  <si>
    <t>Antigua ve Barbuda</t>
  </si>
  <si>
    <t>Barbados</t>
  </si>
  <si>
    <t>Heard Adası ve McDonald Adaları (Avustralya)</t>
  </si>
  <si>
    <t>Saint Vincent ve Grenadinler</t>
  </si>
  <si>
    <t>ABD Virjin Adaları (ABD)</t>
  </si>
  <si>
    <t>Grenada</t>
  </si>
  <si>
    <t>Saint Helena (Birleşik Krallık)</t>
  </si>
  <si>
    <t>Maldivler</t>
  </si>
  <si>
    <t>Cayman Adaları (Birleşik Krallık)</t>
  </si>
  <si>
    <t>Saint Kitts ve Nevis</t>
  </si>
  <si>
    <t>Niue (Yeni Zelanda)</t>
  </si>
  <si>
    <t>Ağrotur ve Dikelya (Birleşik Krallık)</t>
  </si>
  <si>
    <t>Saint Pierre ve Miquelon (Fransa)</t>
  </si>
  <si>
    <t>Cook Adaları (Yeni Zelanda)</t>
  </si>
  <si>
    <t>Amerikan Samoası (ABD)</t>
  </si>
  <si>
    <t>Marshall Adaları</t>
  </si>
  <si>
    <t>Aruba (Hollanda)</t>
  </si>
  <si>
    <t>Lihtenştayn</t>
  </si>
  <si>
    <t>Britanya Virjin Adaları (Birleşik Krallık)</t>
  </si>
  <si>
    <t>Wallis ve Futuna (Fransa)</t>
  </si>
  <si>
    <t>Christmas Adası (Avustralya)</t>
  </si>
  <si>
    <t>Jersey (Birleşik Krallık)</t>
  </si>
  <si>
    <t>Montserrat (Birleşik Krallık)</t>
  </si>
  <si>
    <t>Anguilla (Birleşik Krallık)</t>
  </si>
  <si>
    <t>Guernsey (Birleşik Krallık)</t>
  </si>
  <si>
    <t>San Marino</t>
  </si>
  <si>
    <t>Britanya Hint Okyanusu Toprakları (Birleşik Krallık)</t>
  </si>
  <si>
    <t>Saint Martin (Fransa)</t>
  </si>
  <si>
    <t>Bermuda (Birleşik Krallık)</t>
  </si>
  <si>
    <t>Bouvet Adası (Norway)</t>
  </si>
  <si>
    <t>Pitcairn Adaları (Birleşik Krallık)</t>
  </si>
  <si>
    <t>Norfolk Adası (Avustralya)</t>
  </si>
  <si>
    <t>Sint Maarten (Hollanda)</t>
  </si>
  <si>
    <t>Makao (Çin)</t>
  </si>
  <si>
    <t>Tuvalu</t>
  </si>
  <si>
    <t>Nauru</t>
  </si>
  <si>
    <t>Saint Barthélemy (Fransa)</t>
  </si>
  <si>
    <t>Cocos Adaları (Avustralya)</t>
  </si>
  <si>
    <t>Tokelau (Yeni Zelanda)</t>
  </si>
  <si>
    <t>Cebelitarık (Birleşik Krallık)</t>
  </si>
  <si>
    <t>Wake Adası (ABD)</t>
  </si>
  <si>
    <t>Clipperton Adası (Fransa)</t>
  </si>
  <si>
    <t>Navassa Adası (ABD)</t>
  </si>
  <si>
    <t>Ashmore ve Cartier Adaları (Avustralya)</t>
  </si>
  <si>
    <t>Spratly Adaları (tartışmalı)</t>
  </si>
  <si>
    <t>Mercan Denizi Adaları (Avustralya)</t>
  </si>
  <si>
    <t>Monako</t>
  </si>
  <si>
    <t>Vatikan</t>
  </si>
  <si>
    <t>VERİLEN TEKLİFLER</t>
  </si>
  <si>
    <t>TEKLİF TARİHİ</t>
  </si>
  <si>
    <t>TEKLİF NUMARASI</t>
  </si>
  <si>
    <t>TEKLİF VEREN</t>
  </si>
  <si>
    <t>KODU</t>
  </si>
  <si>
    <t>İLETİŞİM</t>
  </si>
  <si>
    <t>TOPLAM FİYAT</t>
  </si>
  <si>
    <t>İLK ÖDEME TARİHİ</t>
  </si>
  <si>
    <t>İLK ÖDEME</t>
  </si>
  <si>
    <t>SON ÖDEME</t>
  </si>
  <si>
    <t>ÖDEME DURUMU</t>
  </si>
  <si>
    <t>ÖDEME TAMAMLANMA TARİHİ</t>
  </si>
  <si>
    <t xml:space="preserve">FBK For Trading Glass And Aluminium
</t>
  </si>
  <si>
    <t xml:space="preserve">Glassinum Office
</t>
  </si>
  <si>
    <t>Al Mimari Industries</t>
  </si>
  <si>
    <t xml:space="preserve">Alnozom egypt
</t>
  </si>
  <si>
    <t>20 120 096 6133</t>
  </si>
  <si>
    <t>Hijazi Aluminum &amp; Glass</t>
  </si>
  <si>
    <t>X-tru Windows</t>
  </si>
  <si>
    <t>Omniguard</t>
  </si>
  <si>
    <t>Profico- Aluminum and Glass Experts- Aluminium in Lebanon, Glass in Lebanon, Aluminum in Lebanon</t>
  </si>
  <si>
    <t>Herr Siegel</t>
  </si>
  <si>
    <t xml:space="preserve">Metal plast 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</si>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</sst>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\-mm\-dd"/>
    <numFmt numFmtId="165" formatCode="dd\.mm\.yyyy"/>
    <numFmt numFmtId="166" formatCode="&quot;+&quot;0"/>
    <numFmt numFmtId="167" formatCode="ddd&quot;, &quot;d&quot; &quot;mmm&quot; &quot;yy"/>
    <numFmt numFmtId="168" formatCode="ddd\,\ d\ mmm\ yy"/>
    <numFmt numFmtId="169" formatCode="_(#,###.00_ \$* \ ;\ _(\$* &quot;-&quot;_);\ _("/>
  </numFmts>
  <fonts count="78">
    <font>
      <sz val="11"/>
      <color theme="1"/>
      <name val="Arial"/>
      <scheme val="minor"/>
    </font>
    <font>
      <b/>
      <sz val="18"/>
      <color theme="1"/>
      <name val="Arial"/>
    </font>
    <font>
      <sz val="11"/>
      <name val="Arial"/>
    </font>
    <font>
      <b/>
      <sz val="11"/>
      <color theme="1"/>
      <name val="Arial"/>
      <scheme val="minor"/>
    </font>
    <font>
      <b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u/>
      <sz val="11"/>
      <color theme="1"/>
      <name val="Arial"/>
    </font>
    <font>
      <sz val="11"/>
      <color theme="1"/>
      <name val="Arial"/>
      <scheme val="minor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00"/>
      <name val="Arial"/>
    </font>
    <font>
      <sz val="11"/>
      <color theme="1"/>
      <name val="Arial"/>
    </font>
    <font>
      <u/>
      <sz val="11"/>
      <color rgb="FF000000"/>
      <name val="Arial"/>
    </font>
    <font>
      <u/>
      <sz val="11"/>
      <color rgb="FF0563C1"/>
      <name val="Arial"/>
    </font>
    <font>
      <u/>
      <sz val="11"/>
      <color rgb="FF000000"/>
      <name val="Arial"/>
    </font>
    <font>
      <u/>
      <sz val="11"/>
      <color rgb="FF0563C1"/>
      <name val="Arial"/>
    </font>
    <font>
      <sz val="11"/>
      <color rgb="FF050505"/>
      <name val="Arial"/>
    </font>
    <font>
      <sz val="11"/>
      <color rgb="FF000000"/>
      <name val="Arial"/>
    </font>
    <font>
      <u/>
      <sz val="11"/>
      <color theme="1"/>
      <name val="Arial"/>
    </font>
    <font>
      <sz val="11"/>
      <color rgb="FF202124"/>
      <name val="&quot;Google Sans&quot;"/>
    </font>
    <font>
      <sz val="11"/>
      <color rgb="FF202124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0"/>
      <color theme="1"/>
      <name val="Arial"/>
    </font>
    <font>
      <u/>
      <sz val="11"/>
      <color rgb="FF0000FF"/>
      <name val="Arial"/>
    </font>
    <font>
      <u/>
      <sz val="11"/>
      <color rgb="FF000000"/>
      <name val="Roboto"/>
    </font>
    <font>
      <u/>
      <sz val="11"/>
      <color rgb="FF0000FF"/>
      <name val="Arial"/>
    </font>
    <font>
      <sz val="12"/>
      <color rgb="FF404040"/>
      <name val="Nunito"/>
    </font>
    <font>
      <sz val="12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1"/>
      <color rgb="FF202124"/>
      <name val="&quot;Google Sans&quot;"/>
    </font>
    <font>
      <sz val="11"/>
      <color rgb="FF70757A"/>
      <name val="Roboto"/>
    </font>
    <font>
      <b/>
      <sz val="11"/>
      <color theme="1"/>
      <name val="Arial"/>
    </font>
    <font>
      <sz val="12"/>
      <color rgb="FF666666"/>
      <name val="&quot;Kumbh Sans&quot;"/>
    </font>
    <font>
      <b/>
      <u/>
      <sz val="11"/>
      <color rgb="FF0563C1"/>
      <name val="Arial"/>
    </font>
    <font>
      <b/>
      <sz val="14"/>
      <color theme="1"/>
      <name val="Arial"/>
    </font>
    <font>
      <sz val="14"/>
      <color rgb="FF000000"/>
      <name val="Arial"/>
    </font>
    <font>
      <u/>
      <sz val="11"/>
      <color rgb="FF0563C1"/>
      <name val="Arial"/>
    </font>
    <font>
      <b/>
      <sz val="14"/>
      <color rgb="FF000000"/>
      <name val="Arial"/>
    </font>
    <font>
      <u/>
      <sz val="11"/>
      <color theme="1"/>
      <name val="Arial"/>
    </font>
    <font>
      <sz val="11"/>
      <color rgb="FF888888"/>
      <name val="&quot;PT Sans Narrow&quot;"/>
    </font>
    <font>
      <sz val="9"/>
      <color rgb="FF202124"/>
      <name val="Arial"/>
    </font>
    <font>
      <u/>
      <sz val="11"/>
      <color theme="1"/>
      <name val="Arial"/>
    </font>
    <font>
      <sz val="9"/>
      <color rgb="FF3B3B3B"/>
      <name val="Arial"/>
    </font>
    <font>
      <u/>
      <sz val="11"/>
      <color rgb="FF0563C1"/>
      <name val="Arial"/>
    </font>
    <font>
      <sz val="12"/>
      <color rgb="FF2F4657"/>
      <name val="Lato"/>
    </font>
    <font>
      <u/>
      <sz val="11"/>
      <color rgb="FF000000"/>
      <name val="Arial"/>
    </font>
    <font>
      <sz val="25"/>
      <color rgb="FF282828"/>
      <name val="Roboto"/>
    </font>
    <font>
      <sz val="14"/>
      <color rgb="FF13574A"/>
      <name val="&quot;Century Gothic&quot;"/>
    </font>
    <font>
      <b/>
      <u/>
      <sz val="14"/>
      <color rgb="FF0563C1"/>
      <name val="Arial"/>
    </font>
    <font>
      <u/>
      <sz val="11"/>
      <color rgb="FFFFFFFF"/>
      <name val="Arial"/>
    </font>
    <font>
      <sz val="11"/>
      <color rgb="FF1A0DAB"/>
      <name val="Arial"/>
    </font>
    <font>
      <u/>
      <sz val="11"/>
      <color rgb="FF777777"/>
      <name val="Arial"/>
    </font>
    <font>
      <u/>
      <sz val="11"/>
      <color rgb="FF0000FF"/>
      <name val="Arial"/>
    </font>
    <font>
      <sz val="12"/>
      <color rgb="FF505050"/>
      <name val="Rajdhani"/>
    </font>
    <font>
      <u/>
      <sz val="11"/>
      <color rgb="FF1A0DAB"/>
      <name val="Arial"/>
    </font>
    <font>
      <u/>
      <sz val="11"/>
      <color rgb="FF0563C1"/>
      <name val="Arial"/>
    </font>
    <font>
      <u/>
      <sz val="11"/>
      <color rgb="FF1A0DAB"/>
      <name val="Arial"/>
    </font>
    <font>
      <u/>
      <sz val="11"/>
      <color rgb="FF0000FF"/>
      <name val="Arial"/>
    </font>
    <font>
      <u/>
      <sz val="11"/>
      <color rgb="FF0000FF"/>
      <name val="&quot;Segoe UI Historic&quot;"/>
    </font>
    <font>
      <sz val="11"/>
      <color rgb="FF050505"/>
      <name val="&quot;Segoe UI Historic&quot;"/>
    </font>
    <font>
      <u/>
      <sz val="11"/>
      <color theme="1"/>
      <name val="Arial"/>
    </font>
    <font>
      <u/>
      <sz val="11"/>
      <color rgb="FF0563C1"/>
      <name val="Arial"/>
    </font>
    <font>
      <u/>
      <sz val="11"/>
      <color theme="1"/>
      <name val="Arial"/>
    </font>
    <font>
      <u/>
      <sz val="11"/>
      <color rgb="FF0000FF"/>
      <name val="Arial"/>
    </font>
    <font>
      <sz val="23"/>
      <color rgb="FF202124"/>
      <name val="&quot;Google Sans&quot;"/>
    </font>
    <font>
      <u/>
      <sz val="11"/>
      <color rgb="FF0000FF"/>
      <name val="Arial"/>
    </font>
    <font>
      <u/>
      <sz val="11"/>
      <color theme="1"/>
      <name val="Arial"/>
    </font>
    <font>
      <sz val="11"/>
      <color rgb="FF000000"/>
      <name val="Inherit"/>
    </font>
    <font>
      <sz val="11"/>
      <color rgb="FF000000"/>
      <name val="Calibri"/>
    </font>
    <font>
      <u/>
      <sz val="11"/>
      <color rgb="FF1155CC"/>
      <name val="Arial"/>
    </font>
    <font>
      <sz val="10"/>
      <color theme="1"/>
      <name val="Roboto"/>
    </font>
    <font>
      <sz val="11"/>
      <color rgb="FF188038"/>
      <name val="Google Sans"/>
    </font>
    <font>
      <sz val="11"/>
      <color rgb="FF5F6368"/>
      <name val="Google Sans"/>
    </font>
    <font>
      <sz val="10"/>
      <color theme="1"/>
      <name val="Google Sans"/>
    </font>
    <font>
      <sz val="9"/>
      <color rgb="FF737373"/>
      <name val="Roboto"/>
    </font>
  </fonts>
  <fills count="18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9F9F9"/>
        <bgColor rgb="FFF9F9F9"/>
      </patternFill>
    </fill>
    <fill>
      <patternFill patternType="solid">
        <fgColor rgb="FF980000"/>
        <bgColor rgb="FF980000"/>
      </patternFill>
    </fill>
    <fill>
      <patternFill patternType="solid">
        <fgColor rgb="FFF8F8F8"/>
        <bgColor rgb="FFF8F8F8"/>
      </patternFill>
    </fill>
    <fill>
      <patternFill patternType="solid">
        <fgColor rgb="FFDFE8F4"/>
        <bgColor rgb="FFDFE8F4"/>
      </patternFill>
    </fill>
    <fill>
      <patternFill patternType="solid">
        <fgColor rgb="FFF7F7F7"/>
        <bgColor rgb="FFF7F7F7"/>
      </patternFill>
    </fill>
    <fill>
      <patternFill patternType="solid">
        <fgColor rgb="FFF3F3F3"/>
        <bgColor rgb="FFF3F3F3"/>
      </patternFill>
    </fill>
    <fill>
      <patternFill patternType="solid">
        <fgColor rgb="FF018CD2"/>
        <bgColor rgb="FF018CD2"/>
      </patternFill>
    </fill>
    <fill>
      <patternFill patternType="solid">
        <fgColor rgb="FF9EE3B4"/>
        <bgColor rgb="FF9EE3B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26">
    <xf numFmtId="0" fontId="0" fillId="0" borderId="0" xfId="0" applyFont="1" applyAlignment="1"/>
    <xf numFmtId="0" fontId="1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4" xfId="0" quotePrefix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4" xfId="0" quotePrefix="1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/>
    <xf numFmtId="0" fontId="6" fillId="5" borderId="4" xfId="0" applyFont="1" applyFill="1" applyBorder="1" applyAlignment="1"/>
    <xf numFmtId="0" fontId="6" fillId="5" borderId="4" xfId="0" quotePrefix="1" applyFont="1" applyFill="1" applyBorder="1" applyAlignment="1"/>
    <xf numFmtId="0" fontId="8" fillId="5" borderId="4" xfId="0" applyFont="1" applyFill="1" applyBorder="1"/>
    <xf numFmtId="0" fontId="9" fillId="5" borderId="4" xfId="0" applyFont="1" applyFill="1" applyBorder="1" applyAlignment="1">
      <alignment horizontal="center" vertical="center" wrapText="1"/>
    </xf>
    <xf numFmtId="0" fontId="6" fillId="5" borderId="4" xfId="0" quotePrefix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164" fontId="6" fillId="5" borderId="4" xfId="0" applyNumberFormat="1" applyFont="1" applyFill="1" applyBorder="1" applyAlignment="1">
      <alignment vertical="center"/>
    </xf>
    <xf numFmtId="20" fontId="6" fillId="5" borderId="4" xfId="0" applyNumberFormat="1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/>
    <xf numFmtId="0" fontId="6" fillId="5" borderId="4" xfId="0" applyFont="1" applyFill="1" applyBorder="1" applyAlignment="1">
      <alignment horizontal="center" vertical="center" wrapText="1"/>
    </xf>
    <xf numFmtId="20" fontId="6" fillId="5" borderId="4" xfId="0" applyNumberFormat="1" applyFont="1" applyFill="1" applyBorder="1" applyAlignment="1">
      <alignment vertical="center"/>
    </xf>
    <xf numFmtId="0" fontId="6" fillId="6" borderId="4" xfId="0" applyFont="1" applyFill="1" applyBorder="1" applyAlignment="1">
      <alignment horizontal="center" vertical="center" wrapText="1"/>
    </xf>
    <xf numFmtId="0" fontId="6" fillId="6" borderId="4" xfId="0" quotePrefix="1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horizontal="center" vertical="center"/>
    </xf>
    <xf numFmtId="164" fontId="6" fillId="6" borderId="4" xfId="0" applyNumberFormat="1" applyFont="1" applyFill="1" applyBorder="1" applyAlignment="1">
      <alignment vertical="center"/>
    </xf>
    <xf numFmtId="20" fontId="6" fillId="6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4" xfId="0" applyFont="1" applyFill="1" applyBorder="1"/>
    <xf numFmtId="0" fontId="6" fillId="6" borderId="4" xfId="0" applyFont="1" applyFill="1" applyBorder="1" applyAlignment="1"/>
    <xf numFmtId="164" fontId="6" fillId="6" borderId="4" xfId="0" applyNumberFormat="1" applyFont="1" applyFill="1" applyBorder="1" applyAlignment="1"/>
    <xf numFmtId="0" fontId="8" fillId="6" borderId="4" xfId="0" applyFont="1" applyFill="1" applyBorder="1"/>
    <xf numFmtId="20" fontId="6" fillId="6" borderId="4" xfId="0" applyNumberFormat="1" applyFont="1" applyFill="1" applyBorder="1" applyAlignment="1">
      <alignment vertical="center"/>
    </xf>
    <xf numFmtId="20" fontId="6" fillId="6" borderId="4" xfId="0" applyNumberFormat="1" applyFont="1" applyFill="1" applyBorder="1" applyAlignment="1"/>
    <xf numFmtId="0" fontId="6" fillId="6" borderId="4" xfId="0" quotePrefix="1" applyFont="1" applyFill="1" applyBorder="1" applyAlignment="1"/>
    <xf numFmtId="0" fontId="6" fillId="6" borderId="4" xfId="0" quotePrefix="1" applyFont="1" applyFill="1" applyBorder="1" applyAlignment="1">
      <alignment vertical="center"/>
    </xf>
    <xf numFmtId="20" fontId="6" fillId="5" borderId="4" xfId="0" applyNumberFormat="1" applyFont="1" applyFill="1" applyBorder="1" applyAlignment="1"/>
    <xf numFmtId="0" fontId="6" fillId="7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5" borderId="0" xfId="0" applyFont="1" applyFill="1" applyAlignment="1">
      <alignment horizontal="left"/>
    </xf>
    <xf numFmtId="0" fontId="18" fillId="5" borderId="4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left" wrapText="1"/>
    </xf>
    <xf numFmtId="0" fontId="21" fillId="5" borderId="0" xfId="0" applyFont="1" applyFill="1" applyAlignment="1">
      <alignment horizontal="left" wrapText="1"/>
    </xf>
    <xf numFmtId="20" fontId="6" fillId="5" borderId="4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4" xfId="0" applyFont="1" applyFill="1" applyBorder="1"/>
    <xf numFmtId="0" fontId="8" fillId="8" borderId="4" xfId="0" applyFont="1" applyFill="1" applyBorder="1"/>
    <xf numFmtId="0" fontId="22" fillId="6" borderId="4" xfId="0" applyFont="1" applyFill="1" applyBorder="1" applyAlignment="1">
      <alignment horizontal="center" vertical="center" wrapText="1"/>
    </xf>
    <xf numFmtId="0" fontId="23" fillId="6" borderId="4" xfId="0" applyFont="1" applyFill="1" applyBorder="1" applyAlignment="1">
      <alignment horizontal="center" vertical="center" wrapText="1"/>
    </xf>
    <xf numFmtId="165" fontId="6" fillId="5" borderId="4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6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7" fontId="6" fillId="9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167" fontId="6" fillId="9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166" fontId="28" fillId="10" borderId="0" xfId="0" applyNumberFormat="1" applyFont="1" applyFill="1" applyAlignment="1"/>
    <xf numFmtId="0" fontId="11" fillId="6" borderId="4" xfId="0" applyFont="1" applyFill="1" applyBorder="1" applyAlignment="1">
      <alignment horizontal="center" vertical="center"/>
    </xf>
    <xf numFmtId="166" fontId="18" fillId="5" borderId="0" xfId="0" applyNumberFormat="1" applyFont="1" applyFill="1" applyAlignment="1">
      <alignment horizontal="right" wrapText="1"/>
    </xf>
    <xf numFmtId="166" fontId="29" fillId="5" borderId="0" xfId="0" applyNumberFormat="1" applyFont="1" applyFill="1" applyAlignment="1">
      <alignment wrapText="1"/>
    </xf>
    <xf numFmtId="0" fontId="30" fillId="0" borderId="4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5" borderId="0" xfId="0" applyFont="1" applyFill="1" applyAlignment="1">
      <alignment horizontal="left"/>
    </xf>
    <xf numFmtId="0" fontId="8" fillId="0" borderId="0" xfId="0" applyFont="1" applyAlignment="1"/>
    <xf numFmtId="0" fontId="33" fillId="5" borderId="0" xfId="0" applyFont="1" applyFill="1" applyAlignment="1">
      <alignment horizontal="left"/>
    </xf>
    <xf numFmtId="166" fontId="12" fillId="0" borderId="4" xfId="0" applyNumberFormat="1" applyFont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166" fontId="34" fillId="0" borderId="4" xfId="0" applyNumberFormat="1" applyFont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166" fontId="12" fillId="0" borderId="4" xfId="0" applyNumberFormat="1" applyFont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35" fillId="5" borderId="0" xfId="0" applyFont="1" applyFill="1" applyAlignment="1">
      <alignment horizontal="left"/>
    </xf>
    <xf numFmtId="0" fontId="32" fillId="0" borderId="0" xfId="0" applyFont="1" applyAlignment="1">
      <alignment horizontal="left"/>
    </xf>
    <xf numFmtId="0" fontId="33" fillId="5" borderId="0" xfId="0" applyFont="1" applyFill="1" applyAlignment="1">
      <alignment horizontal="left"/>
    </xf>
    <xf numFmtId="0" fontId="36" fillId="0" borderId="4" xfId="0" applyFont="1" applyBorder="1" applyAlignment="1">
      <alignment horizontal="center" vertical="center"/>
    </xf>
    <xf numFmtId="166" fontId="12" fillId="5" borderId="4" xfId="0" applyNumberFormat="1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32" fillId="6" borderId="0" xfId="0" applyFont="1" applyFill="1" applyAlignment="1">
      <alignment horizontal="left"/>
    </xf>
    <xf numFmtId="0" fontId="37" fillId="0" borderId="0" xfId="0" applyFont="1" applyAlignment="1">
      <alignment horizontal="center"/>
    </xf>
    <xf numFmtId="166" fontId="38" fillId="8" borderId="0" xfId="0" applyNumberFormat="1" applyFont="1" applyFill="1" applyAlignment="1">
      <alignment horizontal="center"/>
    </xf>
    <xf numFmtId="0" fontId="39" fillId="8" borderId="0" xfId="0" applyFont="1" applyFill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4" xfId="0" quotePrefix="1" applyFont="1" applyBorder="1" applyAlignment="1">
      <alignment horizontal="center" vertical="center"/>
    </xf>
    <xf numFmtId="0" fontId="40" fillId="0" borderId="0" xfId="0" applyFont="1" applyAlignment="1">
      <alignment horizontal="center"/>
    </xf>
    <xf numFmtId="0" fontId="41" fillId="0" borderId="4" xfId="0" applyFont="1" applyBorder="1" applyAlignment="1">
      <alignment horizontal="center" vertical="center" wrapText="1"/>
    </xf>
    <xf numFmtId="0" fontId="42" fillId="12" borderId="0" xfId="0" applyFont="1" applyFill="1"/>
    <xf numFmtId="0" fontId="43" fillId="5" borderId="0" xfId="0" applyFont="1" applyFill="1" applyAlignment="1">
      <alignment horizontal="left"/>
    </xf>
    <xf numFmtId="0" fontId="44" fillId="5" borderId="4" xfId="0" applyFont="1" applyFill="1" applyBorder="1" applyAlignment="1">
      <alignment horizontal="center" vertical="center"/>
    </xf>
    <xf numFmtId="0" fontId="32" fillId="0" borderId="0" xfId="0" applyFont="1" applyAlignment="1">
      <alignment horizontal="left"/>
    </xf>
    <xf numFmtId="0" fontId="33" fillId="6" borderId="0" xfId="0" applyFont="1" applyFill="1" applyAlignment="1">
      <alignment horizontal="left"/>
    </xf>
    <xf numFmtId="166" fontId="45" fillId="13" borderId="0" xfId="0" applyNumberFormat="1" applyFont="1" applyFill="1" applyAlignment="1">
      <alignment horizontal="left"/>
    </xf>
    <xf numFmtId="0" fontId="46" fillId="0" borderId="4" xfId="0" applyFont="1" applyBorder="1" applyAlignment="1">
      <alignment horizontal="center" vertical="center" wrapText="1"/>
    </xf>
    <xf numFmtId="0" fontId="47" fillId="0" borderId="0" xfId="0" applyFont="1" applyAlignment="1"/>
    <xf numFmtId="0" fontId="48" fillId="0" borderId="4" xfId="0" applyFont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/>
    </xf>
    <xf numFmtId="166" fontId="17" fillId="5" borderId="0" xfId="0" applyNumberFormat="1" applyFont="1" applyFill="1" applyAlignment="1">
      <alignment horizontal="left"/>
    </xf>
    <xf numFmtId="166" fontId="49" fillId="5" borderId="0" xfId="0" applyNumberFormat="1" applyFont="1" applyFill="1" applyAlignment="1">
      <alignment horizontal="center"/>
    </xf>
    <xf numFmtId="0" fontId="50" fillId="0" borderId="0" xfId="0" applyFont="1"/>
    <xf numFmtId="0" fontId="18" fillId="5" borderId="0" xfId="0" applyFont="1" applyFill="1" applyAlignment="1">
      <alignment horizontal="center"/>
    </xf>
    <xf numFmtId="0" fontId="12" fillId="0" borderId="4" xfId="0" applyFont="1" applyBorder="1" applyAlignment="1">
      <alignment horizontal="center" vertical="center" wrapText="1"/>
    </xf>
    <xf numFmtId="0" fontId="51" fillId="14" borderId="0" xfId="0" applyFont="1" applyFill="1" applyAlignment="1">
      <alignment horizontal="center"/>
    </xf>
    <xf numFmtId="0" fontId="52" fillId="5" borderId="0" xfId="0" applyFont="1" applyFill="1" applyAlignment="1">
      <alignment horizontal="left"/>
    </xf>
    <xf numFmtId="166" fontId="53" fillId="5" borderId="0" xfId="0" applyNumberFormat="1" applyFont="1" applyFill="1" applyAlignment="1">
      <alignment horizontal="left"/>
    </xf>
    <xf numFmtId="0" fontId="54" fillId="15" borderId="0" xfId="0" applyFont="1" applyFill="1" applyAlignment="1">
      <alignment vertical="top"/>
    </xf>
    <xf numFmtId="166" fontId="55" fillId="0" borderId="4" xfId="0" applyNumberFormat="1" applyFont="1" applyBorder="1" applyAlignment="1">
      <alignment horizontal="center" vertical="center"/>
    </xf>
    <xf numFmtId="0" fontId="18" fillId="16" borderId="0" xfId="0" applyFont="1" applyFill="1" applyAlignment="1"/>
    <xf numFmtId="0" fontId="56" fillId="5" borderId="0" xfId="0" applyFont="1" applyFill="1" applyAlignment="1">
      <alignment horizontal="left"/>
    </xf>
    <xf numFmtId="168" fontId="8" fillId="0" borderId="0" xfId="0" applyNumberFormat="1" applyFont="1" applyAlignment="1"/>
    <xf numFmtId="166" fontId="57" fillId="5" borderId="0" xfId="0" applyNumberFormat="1" applyFont="1" applyFill="1" applyAlignment="1">
      <alignment horizontal="left"/>
    </xf>
    <xf numFmtId="166" fontId="58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7" fontId="6" fillId="9" borderId="0" xfId="0" applyNumberFormat="1" applyFont="1" applyFill="1" applyAlignment="1">
      <alignment horizontal="center" vertical="center" wrapText="1"/>
    </xf>
    <xf numFmtId="167" fontId="6" fillId="9" borderId="0" xfId="0" applyNumberFormat="1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66" fontId="59" fillId="5" borderId="0" xfId="0" applyNumberFormat="1" applyFont="1" applyFill="1" applyAlignment="1">
      <alignment horizontal="left"/>
    </xf>
    <xf numFmtId="166" fontId="12" fillId="6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60" fillId="0" borderId="0" xfId="0" applyFont="1" applyAlignment="1">
      <alignment horizontal="center" vertical="center"/>
    </xf>
    <xf numFmtId="0" fontId="61" fillId="5" borderId="0" xfId="0" applyFont="1" applyFill="1" applyAlignment="1">
      <alignment horizontal="left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62" fillId="6" borderId="0" xfId="0" applyFont="1" applyFill="1" applyAlignment="1">
      <alignment horizontal="left"/>
    </xf>
    <xf numFmtId="0" fontId="63" fillId="6" borderId="0" xfId="0" applyFont="1" applyFill="1" applyAlignment="1">
      <alignment horizontal="center" vertical="center"/>
    </xf>
    <xf numFmtId="167" fontId="6" fillId="6" borderId="0" xfId="0" applyNumberFormat="1" applyFont="1" applyFill="1" applyAlignment="1">
      <alignment horizontal="center" vertical="center" wrapText="1"/>
    </xf>
    <xf numFmtId="167" fontId="6" fillId="6" borderId="0" xfId="0" applyNumberFormat="1" applyFont="1" applyFill="1" applyAlignment="1">
      <alignment horizontal="center" vertical="center" wrapText="1"/>
    </xf>
    <xf numFmtId="0" fontId="8" fillId="6" borderId="0" xfId="0" applyFont="1" applyFill="1"/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66" fillId="6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67" fillId="5" borderId="0" xfId="0" applyFont="1" applyFill="1" applyAlignment="1">
      <alignment horizontal="left" wrapText="1"/>
    </xf>
    <xf numFmtId="0" fontId="68" fillId="0" borderId="0" xfId="0" applyFont="1" applyAlignment="1">
      <alignment horizontal="center" vertical="center" wrapText="1"/>
    </xf>
    <xf numFmtId="0" fontId="69" fillId="0" borderId="0" xfId="0" applyFont="1" applyAlignment="1">
      <alignment horizontal="center" vertical="center" wrapText="1"/>
    </xf>
    <xf numFmtId="0" fontId="71" fillId="0" borderId="9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1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70" fillId="5" borderId="10" xfId="0" applyFont="1" applyFill="1" applyBorder="1" applyAlignment="1">
      <alignment horizontal="center"/>
    </xf>
    <xf numFmtId="0" fontId="70" fillId="5" borderId="11" xfId="0" applyFont="1" applyFill="1" applyBorder="1" applyAlignment="1">
      <alignment horizontal="left"/>
    </xf>
    <xf numFmtId="0" fontId="70" fillId="5" borderId="12" xfId="0" applyFont="1" applyFill="1" applyBorder="1" applyAlignment="1">
      <alignment horizontal="left"/>
    </xf>
    <xf numFmtId="0" fontId="71" fillId="0" borderId="13" xfId="0" applyFont="1" applyBorder="1" applyAlignment="1"/>
    <xf numFmtId="0" fontId="12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70" fillId="5" borderId="15" xfId="0" applyFont="1" applyFill="1" applyBorder="1" applyAlignment="1">
      <alignment horizontal="center"/>
    </xf>
    <xf numFmtId="0" fontId="70" fillId="5" borderId="16" xfId="0" applyFont="1" applyFill="1" applyBorder="1" applyAlignment="1">
      <alignment horizontal="left"/>
    </xf>
    <xf numFmtId="0" fontId="70" fillId="5" borderId="17" xfId="0" applyFont="1" applyFill="1" applyBorder="1" applyAlignment="1">
      <alignment horizontal="left"/>
    </xf>
    <xf numFmtId="0" fontId="71" fillId="0" borderId="18" xfId="0" applyFont="1" applyBorder="1" applyAlignment="1"/>
    <xf numFmtId="0" fontId="8" fillId="0" borderId="0" xfId="0" applyFont="1" applyAlignment="1">
      <alignment vertical="center"/>
    </xf>
    <xf numFmtId="0" fontId="11" fillId="5" borderId="0" xfId="0" applyFont="1" applyFill="1" applyAlignment="1">
      <alignment horizontal="left"/>
    </xf>
    <xf numFmtId="0" fontId="12" fillId="0" borderId="14" xfId="0" applyFont="1" applyBorder="1"/>
    <xf numFmtId="0" fontId="12" fillId="0" borderId="14" xfId="0" applyFont="1" applyBorder="1" applyAlignment="1"/>
    <xf numFmtId="0" fontId="8" fillId="0" borderId="14" xfId="0" applyFont="1" applyBorder="1" applyAlignment="1">
      <alignment vertical="center"/>
    </xf>
    <xf numFmtId="0" fontId="70" fillId="5" borderId="19" xfId="0" applyFont="1" applyFill="1" applyBorder="1" applyAlignment="1">
      <alignment horizontal="center"/>
    </xf>
    <xf numFmtId="0" fontId="70" fillId="5" borderId="20" xfId="0" applyFont="1" applyFill="1" applyBorder="1" applyAlignment="1">
      <alignment horizontal="left"/>
    </xf>
    <xf numFmtId="0" fontId="70" fillId="5" borderId="21" xfId="0" applyFont="1" applyFill="1" applyBorder="1" applyAlignment="1">
      <alignment horizontal="left"/>
    </xf>
    <xf numFmtId="0" fontId="71" fillId="0" borderId="22" xfId="0" applyFont="1" applyBorder="1" applyAlignment="1"/>
    <xf numFmtId="0" fontId="8" fillId="0" borderId="23" xfId="0" applyFont="1" applyBorder="1" applyAlignment="1">
      <alignment vertical="center"/>
    </xf>
    <xf numFmtId="0" fontId="4" fillId="17" borderId="4" xfId="0" applyFont="1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 wrapText="1"/>
    </xf>
    <xf numFmtId="1" fontId="4" fillId="9" borderId="4" xfId="0" applyNumberFormat="1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169" fontId="4" fillId="9" borderId="4" xfId="0" applyNumberFormat="1" applyFont="1" applyFill="1" applyBorder="1" applyAlignment="1">
      <alignment horizontal="center" vertical="center" wrapText="1"/>
    </xf>
    <xf numFmtId="169" fontId="4" fillId="9" borderId="4" xfId="0" applyNumberFormat="1" applyFont="1" applyFill="1" applyBorder="1" applyAlignment="1">
      <alignment horizontal="center" vertical="center" wrapText="1"/>
    </xf>
    <xf numFmtId="0" fontId="12" fillId="9" borderId="0" xfId="0" applyFont="1" applyFill="1"/>
    <xf numFmtId="0" fontId="4" fillId="9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0" borderId="5" xfId="0" applyFont="1" applyBorder="1"/>
    <xf numFmtId="0" fontId="70" fillId="5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1" fillId="17" borderId="0" xfId="0" applyFont="1" applyFill="1" applyAlignment="1">
      <alignment horizontal="center" vertical="center" wrapText="1"/>
    </xf>
  </cellXfs>
  <cellStyles count="1">
    <cellStyle name="Normal" xfId="0" builtinId="0"/>
  </cellStyles>
  <dxfs count="14">
    <dxf>
      <font>
        <color theme="0"/>
      </font>
      <fill>
        <patternFill patternType="solid">
          <fgColor rgb="FFDC602D"/>
          <bgColor rgb="FFDC602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8D66D"/>
          <bgColor rgb="FFF8D66D"/>
        </patternFill>
      </fill>
    </dxf>
    <dxf>
      <fill>
        <patternFill patternType="solid">
          <fgColor rgb="FFFF6961"/>
          <bgColor rgb="FFFF6961"/>
        </patternFill>
      </fill>
    </dxf>
    <dxf>
      <fill>
        <patternFill patternType="solid">
          <fgColor rgb="FF8CD47E"/>
          <bgColor rgb="FF8CD47E"/>
        </patternFill>
      </fill>
    </dxf>
    <dxf>
      <font>
        <color theme="0"/>
      </font>
      <fill>
        <patternFill patternType="solid">
          <fgColor rgb="FF92D764"/>
          <bgColor rgb="FF92D764"/>
        </patternFill>
      </fill>
    </dxf>
    <dxf>
      <font>
        <color theme="0"/>
      </font>
      <fill>
        <patternFill patternType="solid">
          <fgColor rgb="FFDC602D"/>
          <bgColor rgb="FFDC602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8D66D"/>
          <bgColor rgb="FFF8D66D"/>
        </patternFill>
      </fill>
    </dxf>
    <dxf>
      <fill>
        <patternFill patternType="solid">
          <fgColor rgb="FFFF6961"/>
          <bgColor rgb="FFFF6961"/>
        </patternFill>
      </fill>
    </dxf>
    <dxf>
      <fill>
        <patternFill patternType="solid">
          <fgColor rgb="FF8CD47E"/>
          <bgColor rgb="FF8CD47E"/>
        </patternFill>
      </fill>
    </dxf>
    <dxf>
      <font>
        <color theme="0"/>
      </font>
      <fill>
        <patternFill patternType="solid">
          <fgColor rgb="FF92D764"/>
          <bgColor rgb="FF92D76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bel.com.cy/" TargetMode="External"/><Relationship Id="rId299" Type="http://schemas.openxmlformats.org/officeDocument/2006/relationships/hyperlink" Target="http://www.service-termopane.com/" TargetMode="External"/><Relationship Id="rId21" Type="http://schemas.openxmlformats.org/officeDocument/2006/relationships/hyperlink" Target="https://www.albalux.hu/" TargetMode="External"/><Relationship Id="rId63" Type="http://schemas.openxmlformats.org/officeDocument/2006/relationships/hyperlink" Target="https://desertlinealuminium.com/sales-enquiry/" TargetMode="External"/><Relationship Id="rId159" Type="http://schemas.openxmlformats.org/officeDocument/2006/relationships/hyperlink" Target="https://punimealuminpvc.company.site/" TargetMode="External"/><Relationship Id="rId324" Type="http://schemas.openxmlformats.org/officeDocument/2006/relationships/hyperlink" Target="https://www.rom-decor.ro/" TargetMode="External"/><Relationship Id="rId366" Type="http://schemas.openxmlformats.org/officeDocument/2006/relationships/hyperlink" Target="https://doorland.hu/" TargetMode="External"/><Relationship Id="rId170" Type="http://schemas.openxmlformats.org/officeDocument/2006/relationships/hyperlink" Target="http://www.wesa.pl/" TargetMode="External"/><Relationship Id="rId226" Type="http://schemas.openxmlformats.org/officeDocument/2006/relationships/hyperlink" Target="https://metalplast.ro/" TargetMode="External"/><Relationship Id="rId433" Type="http://schemas.openxmlformats.org/officeDocument/2006/relationships/hyperlink" Target="http://www.fimkacompany.com/" TargetMode="External"/><Relationship Id="rId268" Type="http://schemas.openxmlformats.org/officeDocument/2006/relationships/hyperlink" Target="https://imperial-security.business.site/" TargetMode="External"/><Relationship Id="rId32" Type="http://schemas.openxmlformats.org/officeDocument/2006/relationships/hyperlink" Target="https://www.d8metals.com/" TargetMode="External"/><Relationship Id="rId74" Type="http://schemas.openxmlformats.org/officeDocument/2006/relationships/hyperlink" Target="https://kemcosasaluminium.com/contact.html" TargetMode="External"/><Relationship Id="rId128" Type="http://schemas.openxmlformats.org/officeDocument/2006/relationships/hyperlink" Target="http://cyprusjoy.com/" TargetMode="External"/><Relationship Id="rId335" Type="http://schemas.openxmlformats.org/officeDocument/2006/relationships/hyperlink" Target="https://www.perfectview.ro/it" TargetMode="External"/><Relationship Id="rId377" Type="http://schemas.openxmlformats.org/officeDocument/2006/relationships/hyperlink" Target="http://www.eurolineablak.hu/" TargetMode="External"/><Relationship Id="rId5" Type="http://schemas.openxmlformats.org/officeDocument/2006/relationships/hyperlink" Target="https://www.sohelgazi.com/" TargetMode="External"/><Relationship Id="rId181" Type="http://schemas.openxmlformats.org/officeDocument/2006/relationships/hyperlink" Target="https://www.reynaers.pl/" TargetMode="External"/><Relationship Id="rId237" Type="http://schemas.openxmlformats.org/officeDocument/2006/relationships/hyperlink" Target="https://magazindeferestre.ro/tamplarie-aluminiu-constanta/" TargetMode="External"/><Relationship Id="rId402" Type="http://schemas.openxmlformats.org/officeDocument/2006/relationships/hyperlink" Target="https://ablakhaz.hu/" TargetMode="External"/><Relationship Id="rId279" Type="http://schemas.openxmlformats.org/officeDocument/2006/relationships/hyperlink" Target="https://qfenster.business.site/?utm_source=gmb&amp;utm_medium=referral" TargetMode="External"/><Relationship Id="rId444" Type="http://schemas.openxmlformats.org/officeDocument/2006/relationships/hyperlink" Target="https://goldhaim.com/" TargetMode="External"/><Relationship Id="rId43" Type="http://schemas.openxmlformats.org/officeDocument/2006/relationships/hyperlink" Target="http://www.alhayekgroup.com/" TargetMode="External"/><Relationship Id="rId139" Type="http://schemas.openxmlformats.org/officeDocument/2006/relationships/hyperlink" Target="https://www.facebook.com/AN-Alumin-Construction-LTD-964540300268977/" TargetMode="External"/><Relationship Id="rId290" Type="http://schemas.openxmlformats.org/officeDocument/2006/relationships/hyperlink" Target="https://benati.ro/en/" TargetMode="External"/><Relationship Id="rId304" Type="http://schemas.openxmlformats.org/officeDocument/2006/relationships/hyperlink" Target="http://www.optimedia.eu/" TargetMode="External"/><Relationship Id="rId346" Type="http://schemas.openxmlformats.org/officeDocument/2006/relationships/hyperlink" Target="https://www.service-termopane.com/" TargetMode="External"/><Relationship Id="rId388" Type="http://schemas.openxmlformats.org/officeDocument/2006/relationships/hyperlink" Target="https://ablakszolgalat.hu/" TargetMode="External"/><Relationship Id="rId85" Type="http://schemas.openxmlformats.org/officeDocument/2006/relationships/hyperlink" Target="https://robin-aluminium.business.site/" TargetMode="External"/><Relationship Id="rId150" Type="http://schemas.openxmlformats.org/officeDocument/2006/relationships/hyperlink" Target="http://www.formal.com.tr/" TargetMode="External"/><Relationship Id="rId192" Type="http://schemas.openxmlformats.org/officeDocument/2006/relationships/hyperlink" Target="https://gapks.com/" TargetMode="External"/><Relationship Id="rId206" Type="http://schemas.openxmlformats.org/officeDocument/2006/relationships/hyperlink" Target="http://www.fillistahl.hr/" TargetMode="External"/><Relationship Id="rId413" Type="http://schemas.openxmlformats.org/officeDocument/2006/relationships/hyperlink" Target="http://www.vinplast.rs/" TargetMode="External"/><Relationship Id="rId248" Type="http://schemas.openxmlformats.org/officeDocument/2006/relationships/hyperlink" Target="https://windowsandmore.ro/" TargetMode="External"/><Relationship Id="rId455" Type="http://schemas.openxmlformats.org/officeDocument/2006/relationships/hyperlink" Target="https://aluminiugrup.md/" TargetMode="External"/><Relationship Id="rId12" Type="http://schemas.openxmlformats.org/officeDocument/2006/relationships/hyperlink" Target="http://www.hilalgroup.com/" TargetMode="External"/><Relationship Id="rId108" Type="http://schemas.openxmlformats.org/officeDocument/2006/relationships/hyperlink" Target="https://www.absltd.co.uk/" TargetMode="External"/><Relationship Id="rId315" Type="http://schemas.openxmlformats.org/officeDocument/2006/relationships/hyperlink" Target="https://pravaliadeferestre.ro/" TargetMode="External"/><Relationship Id="rId357" Type="http://schemas.openxmlformats.org/officeDocument/2006/relationships/hyperlink" Target="https://kulttur.ro/" TargetMode="External"/><Relationship Id="rId54" Type="http://schemas.openxmlformats.org/officeDocument/2006/relationships/hyperlink" Target="https://alumex-aluminum-window.business.site/?utm_source=gmb&amp;utm_medium=referrall" TargetMode="External"/><Relationship Id="rId96" Type="http://schemas.openxmlformats.org/officeDocument/2006/relationships/hyperlink" Target="https://secasa.ch/" TargetMode="External"/><Relationship Id="rId161" Type="http://schemas.openxmlformats.org/officeDocument/2006/relationships/hyperlink" Target="http://www.vloralumin.al/" TargetMode="External"/><Relationship Id="rId217" Type="http://schemas.openxmlformats.org/officeDocument/2006/relationships/hyperlink" Target="http://www.aluminiumglass.ro/" TargetMode="External"/><Relationship Id="rId399" Type="http://schemas.openxmlformats.org/officeDocument/2006/relationships/hyperlink" Target="http://www.modulablak.hu/" TargetMode="External"/><Relationship Id="rId6" Type="http://schemas.openxmlformats.org/officeDocument/2006/relationships/hyperlink" Target="https://mitro-plast.eu/" TargetMode="External"/><Relationship Id="rId238" Type="http://schemas.openxmlformats.org/officeDocument/2006/relationships/hyperlink" Target="https://top-roll-design-srl.business.site/?utm_source=gmb&amp;utm_medium=referral" TargetMode="External"/><Relationship Id="rId259" Type="http://schemas.openxmlformats.org/officeDocument/2006/relationships/hyperlink" Target="https://getarteh.ro/" TargetMode="External"/><Relationship Id="rId424" Type="http://schemas.openxmlformats.org/officeDocument/2006/relationships/hyperlink" Target="http://zomaks.co.rs/index_en.html" TargetMode="External"/><Relationship Id="rId445" Type="http://schemas.openxmlformats.org/officeDocument/2006/relationships/hyperlink" Target="http://www.alukoenigstahl.md/" TargetMode="External"/><Relationship Id="rId23" Type="http://schemas.openxmlformats.org/officeDocument/2006/relationships/hyperlink" Target="http://www.xhenia.com/" TargetMode="External"/><Relationship Id="rId119" Type="http://schemas.openxmlformats.org/officeDocument/2006/relationships/hyperlink" Target="http://www.xkaluminium.com/" TargetMode="External"/><Relationship Id="rId270" Type="http://schemas.openxmlformats.org/officeDocument/2006/relationships/hyperlink" Target="http://www.idalferestre.ro/" TargetMode="External"/><Relationship Id="rId291" Type="http://schemas.openxmlformats.org/officeDocument/2006/relationships/hyperlink" Target="http://www.btsaluminium.com/en/" TargetMode="External"/><Relationship Id="rId305" Type="http://schemas.openxmlformats.org/officeDocument/2006/relationships/hyperlink" Target="https://termopanevalcea.ro/showroom-ferestre-si-usi-pitesti/" TargetMode="External"/><Relationship Id="rId326" Type="http://schemas.openxmlformats.org/officeDocument/2006/relationships/hyperlink" Target="https://www.wintec.com.ro/" TargetMode="External"/><Relationship Id="rId347" Type="http://schemas.openxmlformats.org/officeDocument/2006/relationships/hyperlink" Target="https://www.service-termopane.com/" TargetMode="External"/><Relationship Id="rId44" Type="http://schemas.openxmlformats.org/officeDocument/2006/relationships/hyperlink" Target="https://www.e-i-t.eu/" TargetMode="External"/><Relationship Id="rId65" Type="http://schemas.openxmlformats.org/officeDocument/2006/relationships/hyperlink" Target="https://altechgulf.com/contactus/" TargetMode="External"/><Relationship Id="rId86" Type="http://schemas.openxmlformats.org/officeDocument/2006/relationships/hyperlink" Target="https://www.alahlialuminium.com/contact.html" TargetMode="External"/><Relationship Id="rId130" Type="http://schemas.openxmlformats.org/officeDocument/2006/relationships/hyperlink" Target="https://shadeportsplus.com/?utm_source=Google&amp;utm_medium=Google%20My%20Business&amp;utm_campaign=Local%20listing" TargetMode="External"/><Relationship Id="rId151" Type="http://schemas.openxmlformats.org/officeDocument/2006/relationships/hyperlink" Target="http://www.kontosenterprises.com/" TargetMode="External"/><Relationship Id="rId368" Type="http://schemas.openxmlformats.org/officeDocument/2006/relationships/hyperlink" Target="https://www.facebook.com/lbenergetikaikft.hu/?paipv=0&amp;eav=AfbFg0H4Z9eQext6Lr9Lli159l-Adapp1vckB0LmnXxcGWBOZ2HaW5rmeKCtLcBACrE&amp;_rdr" TargetMode="External"/><Relationship Id="rId389" Type="http://schemas.openxmlformats.org/officeDocument/2006/relationships/hyperlink" Target="http://www.nyilaszarok.eu/" TargetMode="External"/><Relationship Id="rId172" Type="http://schemas.openxmlformats.org/officeDocument/2006/relationships/hyperlink" Target="http://www.gvg.com.pl/" TargetMode="External"/><Relationship Id="rId193" Type="http://schemas.openxmlformats.org/officeDocument/2006/relationships/hyperlink" Target="https://mitro-plast.eu/" TargetMode="External"/><Relationship Id="rId207" Type="http://schemas.openxmlformats.org/officeDocument/2006/relationships/hyperlink" Target="https://kfk.hr/" TargetMode="External"/><Relationship Id="rId228" Type="http://schemas.openxmlformats.org/officeDocument/2006/relationships/hyperlink" Target="https://edelwand.ro/" TargetMode="External"/><Relationship Id="rId249" Type="http://schemas.openxmlformats.org/officeDocument/2006/relationships/hyperlink" Target="http://www.termopanerehau.com/" TargetMode="External"/><Relationship Id="rId414" Type="http://schemas.openxmlformats.org/officeDocument/2006/relationships/hyperlink" Target="http://www.lifteling.rs/" TargetMode="External"/><Relationship Id="rId435" Type="http://schemas.openxmlformats.org/officeDocument/2006/relationships/hyperlink" Target="https://www.termoing.com/" TargetMode="External"/><Relationship Id="rId13" Type="http://schemas.openxmlformats.org/officeDocument/2006/relationships/hyperlink" Target="https://atlanticoman.com/" TargetMode="External"/><Relationship Id="rId109" Type="http://schemas.openxmlformats.org/officeDocument/2006/relationships/hyperlink" Target="http://www.alouminorama.com/" TargetMode="External"/><Relationship Id="rId260" Type="http://schemas.openxmlformats.org/officeDocument/2006/relationships/hyperlink" Target="https://etem.ro/" TargetMode="External"/><Relationship Id="rId281" Type="http://schemas.openxmlformats.org/officeDocument/2006/relationships/hyperlink" Target="https://visuallglass.ro/" TargetMode="External"/><Relationship Id="rId316" Type="http://schemas.openxmlformats.org/officeDocument/2006/relationships/hyperlink" Target="https://www.facebook.com/SolidonTehnicMagazin/shop" TargetMode="External"/><Relationship Id="rId337" Type="http://schemas.openxmlformats.org/officeDocument/2006/relationships/hyperlink" Target="https://www.tamplarie.com/" TargetMode="External"/><Relationship Id="rId34" Type="http://schemas.openxmlformats.org/officeDocument/2006/relationships/hyperlink" Target="http://www.stal-me.com/" TargetMode="External"/><Relationship Id="rId55" Type="http://schemas.openxmlformats.org/officeDocument/2006/relationships/hyperlink" Target="https://glassinum.com/" TargetMode="External"/><Relationship Id="rId76" Type="http://schemas.openxmlformats.org/officeDocument/2006/relationships/hyperlink" Target="https://www.kyda.qa/" TargetMode="External"/><Relationship Id="rId97" Type="http://schemas.openxmlformats.org/officeDocument/2006/relationships/hyperlink" Target="https://pplsa.ch/" TargetMode="External"/><Relationship Id="rId120" Type="http://schemas.openxmlformats.org/officeDocument/2006/relationships/hyperlink" Target="https://ykaraspyros-aluminium.business.site/?utm_source=gmb&amp;utm_medium=referral" TargetMode="External"/><Relationship Id="rId141" Type="http://schemas.openxmlformats.org/officeDocument/2006/relationships/hyperlink" Target="http://www.lamglass.cy/" TargetMode="External"/><Relationship Id="rId358" Type="http://schemas.openxmlformats.org/officeDocument/2006/relationships/hyperlink" Target="http://www.telikertet.hu/" TargetMode="External"/><Relationship Id="rId379" Type="http://schemas.openxmlformats.org/officeDocument/2006/relationships/hyperlink" Target="http://www.erzofenster.hu/" TargetMode="External"/><Relationship Id="rId7" Type="http://schemas.openxmlformats.org/officeDocument/2006/relationships/hyperlink" Target="http://www.modalserve.com/" TargetMode="External"/><Relationship Id="rId162" Type="http://schemas.openxmlformats.org/officeDocument/2006/relationships/hyperlink" Target="https://aluglassalbania.com/" TargetMode="External"/><Relationship Id="rId183" Type="http://schemas.openxmlformats.org/officeDocument/2006/relationships/hyperlink" Target="http://www.scorpio.pl/" TargetMode="External"/><Relationship Id="rId218" Type="http://schemas.openxmlformats.org/officeDocument/2006/relationships/hyperlink" Target="http://www.techline.ro/" TargetMode="External"/><Relationship Id="rId239" Type="http://schemas.openxmlformats.org/officeDocument/2006/relationships/hyperlink" Target="https://www.ferestrehelios.ro/" TargetMode="External"/><Relationship Id="rId390" Type="http://schemas.openxmlformats.org/officeDocument/2006/relationships/hyperlink" Target="https://mablakt-nyilaszaro.hu/" TargetMode="External"/><Relationship Id="rId404" Type="http://schemas.openxmlformats.org/officeDocument/2006/relationships/hyperlink" Target="https://www.serbial.com/" TargetMode="External"/><Relationship Id="rId425" Type="http://schemas.openxmlformats.org/officeDocument/2006/relationships/hyperlink" Target="http://www.aluograde.com/" TargetMode="External"/><Relationship Id="rId446" Type="http://schemas.openxmlformats.org/officeDocument/2006/relationships/hyperlink" Target="http://www.anco.md/contact/" TargetMode="External"/><Relationship Id="rId250" Type="http://schemas.openxmlformats.org/officeDocument/2006/relationships/hyperlink" Target="https://www.facebook.com/spectrumgrupsrl" TargetMode="External"/><Relationship Id="rId271" Type="http://schemas.openxmlformats.org/officeDocument/2006/relationships/hyperlink" Target="https://www.teraglass.ro/" TargetMode="External"/><Relationship Id="rId292" Type="http://schemas.openxmlformats.org/officeDocument/2006/relationships/hyperlink" Target="https://www.mtplines.com/" TargetMode="External"/><Relationship Id="rId306" Type="http://schemas.openxmlformats.org/officeDocument/2006/relationships/hyperlink" Target="http://www.dacogrup.ro/" TargetMode="External"/><Relationship Id="rId24" Type="http://schemas.openxmlformats.org/officeDocument/2006/relationships/hyperlink" Target="https://www.ceginformacio.hu/cr9310880622" TargetMode="External"/><Relationship Id="rId45" Type="http://schemas.openxmlformats.org/officeDocument/2006/relationships/hyperlink" Target="https://www.facebook.com/royalaluminum1/" TargetMode="External"/><Relationship Id="rId66" Type="http://schemas.openxmlformats.org/officeDocument/2006/relationships/hyperlink" Target="http://british-aluminium.com/" TargetMode="External"/><Relationship Id="rId87" Type="http://schemas.openxmlformats.org/officeDocument/2006/relationships/hyperlink" Target="https://www.sky-frame.com/en/" TargetMode="External"/><Relationship Id="rId110" Type="http://schemas.openxmlformats.org/officeDocument/2006/relationships/hyperlink" Target="https://www.facebook.com/aluminiumtsiakkas" TargetMode="External"/><Relationship Id="rId131" Type="http://schemas.openxmlformats.org/officeDocument/2006/relationships/hyperlink" Target="http://www.daremtrading.com/" TargetMode="External"/><Relationship Id="rId327" Type="http://schemas.openxmlformats.org/officeDocument/2006/relationships/hyperlink" Target="https://pravaliadeferestre.ro/" TargetMode="External"/><Relationship Id="rId348" Type="http://schemas.openxmlformats.org/officeDocument/2006/relationships/hyperlink" Target="http://www.gallit.ro/" TargetMode="External"/><Relationship Id="rId369" Type="http://schemas.openxmlformats.org/officeDocument/2006/relationships/hyperlink" Target="http://www.aluminiumnyilaszaro.hu/elerhetosegeink" TargetMode="External"/><Relationship Id="rId152" Type="http://schemas.openxmlformats.org/officeDocument/2006/relationships/hyperlink" Target="http://www.windowtech.al/" TargetMode="External"/><Relationship Id="rId173" Type="http://schemas.openxmlformats.org/officeDocument/2006/relationships/hyperlink" Target="http://www.agfenetres.eu/" TargetMode="External"/><Relationship Id="rId194" Type="http://schemas.openxmlformats.org/officeDocument/2006/relationships/hyperlink" Target="http://www.m-technologie.com/" TargetMode="External"/><Relationship Id="rId208" Type="http://schemas.openxmlformats.org/officeDocument/2006/relationships/hyperlink" Target="http://www.alu-k.si/" TargetMode="External"/><Relationship Id="rId229" Type="http://schemas.openxmlformats.org/officeDocument/2006/relationships/hyperlink" Target="https://espunct.business.site/" TargetMode="External"/><Relationship Id="rId380" Type="http://schemas.openxmlformats.org/officeDocument/2006/relationships/hyperlink" Target="http://letis-europe.com/i/door_and_window_manufacturing/" TargetMode="External"/><Relationship Id="rId415" Type="http://schemas.openxmlformats.org/officeDocument/2006/relationships/hyperlink" Target="http://www.alustone.co.rs/" TargetMode="External"/><Relationship Id="rId436" Type="http://schemas.openxmlformats.org/officeDocument/2006/relationships/hyperlink" Target="http://www.alucommerce.rs/" TargetMode="External"/><Relationship Id="rId240" Type="http://schemas.openxmlformats.org/officeDocument/2006/relationships/hyperlink" Target="http://www.avglobal.ro/insecte.html" TargetMode="External"/><Relationship Id="rId261" Type="http://schemas.openxmlformats.org/officeDocument/2006/relationships/hyperlink" Target="https://www.reynaers.ro/" TargetMode="External"/><Relationship Id="rId14" Type="http://schemas.openxmlformats.org/officeDocument/2006/relationships/hyperlink" Target="http://www.instagram.com/almimari.industries" TargetMode="External"/><Relationship Id="rId35" Type="http://schemas.openxmlformats.org/officeDocument/2006/relationships/hyperlink" Target="http://robertkashouh.com/" TargetMode="External"/><Relationship Id="rId56" Type="http://schemas.openxmlformats.org/officeDocument/2006/relationships/hyperlink" Target="http://daaboulengineering.com/" TargetMode="External"/><Relationship Id="rId77" Type="http://schemas.openxmlformats.org/officeDocument/2006/relationships/hyperlink" Target="https://tsscgroup.com/products-and-services/" TargetMode="External"/><Relationship Id="rId100" Type="http://schemas.openxmlformats.org/officeDocument/2006/relationships/hyperlink" Target="https://tech-fenetres.ch/contact/" TargetMode="External"/><Relationship Id="rId282" Type="http://schemas.openxmlformats.org/officeDocument/2006/relationships/hyperlink" Target="http://obloanedinaluminiu.ro/" TargetMode="External"/><Relationship Id="rId317" Type="http://schemas.openxmlformats.org/officeDocument/2006/relationships/hyperlink" Target="https://www.nov-art.ro/" TargetMode="External"/><Relationship Id="rId338" Type="http://schemas.openxmlformats.org/officeDocument/2006/relationships/hyperlink" Target="https://www.rom-decor.ro/" TargetMode="External"/><Relationship Id="rId359" Type="http://schemas.openxmlformats.org/officeDocument/2006/relationships/hyperlink" Target="https://adaalu.hu/" TargetMode="External"/><Relationship Id="rId8" Type="http://schemas.openxmlformats.org/officeDocument/2006/relationships/hyperlink" Target="https://www.reliableintllc.com/" TargetMode="External"/><Relationship Id="rId98" Type="http://schemas.openxmlformats.org/officeDocument/2006/relationships/hyperlink" Target="https://zurbuchensa.ch/" TargetMode="External"/><Relationship Id="rId121" Type="http://schemas.openxmlformats.org/officeDocument/2006/relationships/hyperlink" Target="http://www.antisprokopiou.com/" TargetMode="External"/><Relationship Id="rId142" Type="http://schemas.openxmlformats.org/officeDocument/2006/relationships/hyperlink" Target="http://dscarpentry.com.cy/" TargetMode="External"/><Relationship Id="rId163" Type="http://schemas.openxmlformats.org/officeDocument/2006/relationships/hyperlink" Target="http://acp.al/company-listing/company/101/Martini/" TargetMode="External"/><Relationship Id="rId184" Type="http://schemas.openxmlformats.org/officeDocument/2006/relationships/hyperlink" Target="https://superdrew.pl/" TargetMode="External"/><Relationship Id="rId219" Type="http://schemas.openxmlformats.org/officeDocument/2006/relationships/hyperlink" Target="https://www.tc-aluminium.ro/" TargetMode="External"/><Relationship Id="rId370" Type="http://schemas.openxmlformats.org/officeDocument/2006/relationships/hyperlink" Target="http://alu-base.hu/" TargetMode="External"/><Relationship Id="rId391" Type="http://schemas.openxmlformats.org/officeDocument/2006/relationships/hyperlink" Target="https://bakonyfenster.hu/" TargetMode="External"/><Relationship Id="rId405" Type="http://schemas.openxmlformats.org/officeDocument/2006/relationships/hyperlink" Target="http://www.stolarija.rs/" TargetMode="External"/><Relationship Id="rId426" Type="http://schemas.openxmlformats.org/officeDocument/2006/relationships/hyperlink" Target="http://www.vilandar.rs/" TargetMode="External"/><Relationship Id="rId447" Type="http://schemas.openxmlformats.org/officeDocument/2006/relationships/hyperlink" Target="http://www.gheolaris.com/" TargetMode="External"/><Relationship Id="rId230" Type="http://schemas.openxmlformats.org/officeDocument/2006/relationships/hyperlink" Target="https://dako.ro/" TargetMode="External"/><Relationship Id="rId251" Type="http://schemas.openxmlformats.org/officeDocument/2006/relationships/hyperlink" Target="https://fereastra-adf.ro/" TargetMode="External"/><Relationship Id="rId25" Type="http://schemas.openxmlformats.org/officeDocument/2006/relationships/hyperlink" Target="http://nyilaszarocenter.hu/" TargetMode="External"/><Relationship Id="rId46" Type="http://schemas.openxmlformats.org/officeDocument/2006/relationships/hyperlink" Target="https://www.khadraglass.com/en" TargetMode="External"/><Relationship Id="rId67" Type="http://schemas.openxmlformats.org/officeDocument/2006/relationships/hyperlink" Target="https://www.facebook.com/people/Aluminum-Gulf-Ray/100080134308246/" TargetMode="External"/><Relationship Id="rId272" Type="http://schemas.openxmlformats.org/officeDocument/2006/relationships/hyperlink" Target="https://adamdesign.ro/" TargetMode="External"/><Relationship Id="rId293" Type="http://schemas.openxmlformats.org/officeDocument/2006/relationships/hyperlink" Target="https://alcogroup.ro/" TargetMode="External"/><Relationship Id="rId307" Type="http://schemas.openxmlformats.org/officeDocument/2006/relationships/hyperlink" Target="https://www.flozo.ro/" TargetMode="External"/><Relationship Id="rId328" Type="http://schemas.openxmlformats.org/officeDocument/2006/relationships/hyperlink" Target="https://www.facebook.com/SolidonTehnicMagazin/shop" TargetMode="External"/><Relationship Id="rId349" Type="http://schemas.openxmlformats.org/officeDocument/2006/relationships/hyperlink" Target="https://totalconfortplast.business.site/" TargetMode="External"/><Relationship Id="rId88" Type="http://schemas.openxmlformats.org/officeDocument/2006/relationships/hyperlink" Target="https://www.aluswiss.ch/" TargetMode="External"/><Relationship Id="rId111" Type="http://schemas.openxmlformats.org/officeDocument/2006/relationships/hyperlink" Target="https://www.stemaluminium.com/" TargetMode="External"/><Relationship Id="rId132" Type="http://schemas.openxmlformats.org/officeDocument/2006/relationships/hyperlink" Target="https://www.facebook.com/aluminiumtsiakkas" TargetMode="External"/><Relationship Id="rId153" Type="http://schemas.openxmlformats.org/officeDocument/2006/relationships/hyperlink" Target="http://www.atragroup.eu/" TargetMode="External"/><Relationship Id="rId174" Type="http://schemas.openxmlformats.org/officeDocument/2006/relationships/hyperlink" Target="http://www.bildau.de/" TargetMode="External"/><Relationship Id="rId195" Type="http://schemas.openxmlformats.org/officeDocument/2006/relationships/hyperlink" Target="https://ginza-ks.com/" TargetMode="External"/><Relationship Id="rId209" Type="http://schemas.openxmlformats.org/officeDocument/2006/relationships/hyperlink" Target="http://soltec.si/" TargetMode="External"/><Relationship Id="rId360" Type="http://schemas.openxmlformats.org/officeDocument/2006/relationships/hyperlink" Target="http://www.dunaalu.hu/" TargetMode="External"/><Relationship Id="rId381" Type="http://schemas.openxmlformats.org/officeDocument/2006/relationships/hyperlink" Target="http://www.ablakvaros.hu/" TargetMode="External"/><Relationship Id="rId416" Type="http://schemas.openxmlformats.org/officeDocument/2006/relationships/hyperlink" Target="https://sudopere.shop/" TargetMode="External"/><Relationship Id="rId220" Type="http://schemas.openxmlformats.org/officeDocument/2006/relationships/hyperlink" Target="http://www.mimo.ro/" TargetMode="External"/><Relationship Id="rId241" Type="http://schemas.openxmlformats.org/officeDocument/2006/relationships/hyperlink" Target="http://www.mcvprotrust.ro/" TargetMode="External"/><Relationship Id="rId437" Type="http://schemas.openxmlformats.org/officeDocument/2006/relationships/hyperlink" Target="http://www.fitin.rs/" TargetMode="External"/><Relationship Id="rId15" Type="http://schemas.openxmlformats.org/officeDocument/2006/relationships/hyperlink" Target="https://geritanyilaszaro.business.site/?utm_source=gmb&amp;utm_medium=referral" TargetMode="External"/><Relationship Id="rId36" Type="http://schemas.openxmlformats.org/officeDocument/2006/relationships/hyperlink" Target="https://www.facebook.com/egcleb/" TargetMode="External"/><Relationship Id="rId57" Type="http://schemas.openxmlformats.org/officeDocument/2006/relationships/hyperlink" Target="http://www.glasslineindustries.com/" TargetMode="External"/><Relationship Id="rId262" Type="http://schemas.openxmlformats.org/officeDocument/2006/relationships/hyperlink" Target="https://www.floridaconstruct.ro/" TargetMode="External"/><Relationship Id="rId283" Type="http://schemas.openxmlformats.org/officeDocument/2006/relationships/hyperlink" Target="https://fer-al.ro/" TargetMode="External"/><Relationship Id="rId318" Type="http://schemas.openxmlformats.org/officeDocument/2006/relationships/hyperlink" Target="https://magazindetermopane.ro/" TargetMode="External"/><Relationship Id="rId339" Type="http://schemas.openxmlformats.org/officeDocument/2006/relationships/hyperlink" Target="https://vitraq.ro/" TargetMode="External"/><Relationship Id="rId78" Type="http://schemas.openxmlformats.org/officeDocument/2006/relationships/hyperlink" Target="https://www.multiscale.ae/contact.php" TargetMode="External"/><Relationship Id="rId99" Type="http://schemas.openxmlformats.org/officeDocument/2006/relationships/hyperlink" Target="https://sw-montagen.ch/" TargetMode="External"/><Relationship Id="rId101" Type="http://schemas.openxmlformats.org/officeDocument/2006/relationships/hyperlink" Target="https://swiss-fermetures.ch/" TargetMode="External"/><Relationship Id="rId122" Type="http://schemas.openxmlformats.org/officeDocument/2006/relationships/hyperlink" Target="https://muskita.com.cy/" TargetMode="External"/><Relationship Id="rId143" Type="http://schemas.openxmlformats.org/officeDocument/2006/relationships/hyperlink" Target="https://www.dmdaluminium.com/" TargetMode="External"/><Relationship Id="rId164" Type="http://schemas.openxmlformats.org/officeDocument/2006/relationships/hyperlink" Target="http://www.everest.al/" TargetMode="External"/><Relationship Id="rId185" Type="http://schemas.openxmlformats.org/officeDocument/2006/relationships/hyperlink" Target="https://door-filipek.pl/" TargetMode="External"/><Relationship Id="rId350" Type="http://schemas.openxmlformats.org/officeDocument/2006/relationships/hyperlink" Target="http://confortplast.ro/" TargetMode="External"/><Relationship Id="rId371" Type="http://schemas.openxmlformats.org/officeDocument/2006/relationships/hyperlink" Target="https://www.aluminiumnyilaszaro.eu/" TargetMode="External"/><Relationship Id="rId406" Type="http://schemas.openxmlformats.org/officeDocument/2006/relationships/hyperlink" Target="http://www.sn-stolarija.com/" TargetMode="External"/><Relationship Id="rId9" Type="http://schemas.openxmlformats.org/officeDocument/2006/relationships/hyperlink" Target="https://astaroman.com/" TargetMode="External"/><Relationship Id="rId210" Type="http://schemas.openxmlformats.org/officeDocument/2006/relationships/hyperlink" Target="http://www.protherm.si/" TargetMode="External"/><Relationship Id="rId392" Type="http://schemas.openxmlformats.org/officeDocument/2006/relationships/hyperlink" Target="https://www.aluframe.hu/" TargetMode="External"/><Relationship Id="rId427" Type="http://schemas.openxmlformats.org/officeDocument/2006/relationships/hyperlink" Target="https://demart.rs/" TargetMode="External"/><Relationship Id="rId448" Type="http://schemas.openxmlformats.org/officeDocument/2006/relationships/hyperlink" Target="https://ecoferestre.md/" TargetMode="External"/><Relationship Id="rId26" Type="http://schemas.openxmlformats.org/officeDocument/2006/relationships/hyperlink" Target="http://fensterturen.hu/" TargetMode="External"/><Relationship Id="rId231" Type="http://schemas.openxmlformats.org/officeDocument/2006/relationships/hyperlink" Target="http://idealcasasb.ro/" TargetMode="External"/><Relationship Id="rId252" Type="http://schemas.openxmlformats.org/officeDocument/2006/relationships/hyperlink" Target="https://vicovfenster.ro/" TargetMode="External"/><Relationship Id="rId273" Type="http://schemas.openxmlformats.org/officeDocument/2006/relationships/hyperlink" Target="https://www.rom-decor.ro/" TargetMode="External"/><Relationship Id="rId294" Type="http://schemas.openxmlformats.org/officeDocument/2006/relationships/hyperlink" Target="https://sincom.ro/" TargetMode="External"/><Relationship Id="rId308" Type="http://schemas.openxmlformats.org/officeDocument/2006/relationships/hyperlink" Target="https://www.service-termopane.com/" TargetMode="External"/><Relationship Id="rId329" Type="http://schemas.openxmlformats.org/officeDocument/2006/relationships/hyperlink" Target="https://www.nov-art.ro/" TargetMode="External"/><Relationship Id="rId47" Type="http://schemas.openxmlformats.org/officeDocument/2006/relationships/hyperlink" Target="http://www.modalserve.com/" TargetMode="External"/><Relationship Id="rId68" Type="http://schemas.openxmlformats.org/officeDocument/2006/relationships/hyperlink" Target="https://foldaqatar.com/" TargetMode="External"/><Relationship Id="rId89" Type="http://schemas.openxmlformats.org/officeDocument/2006/relationships/hyperlink" Target="https://doormetal.ch/" TargetMode="External"/><Relationship Id="rId112" Type="http://schemas.openxmlformats.org/officeDocument/2006/relationships/hyperlink" Target="http://www.alutech.com.cy/" TargetMode="External"/><Relationship Id="rId133" Type="http://schemas.openxmlformats.org/officeDocument/2006/relationships/hyperlink" Target="https://m.facebook.com/pochanischaralambousco/" TargetMode="External"/><Relationship Id="rId154" Type="http://schemas.openxmlformats.org/officeDocument/2006/relationships/hyperlink" Target="http://2faf.com/" TargetMode="External"/><Relationship Id="rId175" Type="http://schemas.openxmlformats.org/officeDocument/2006/relationships/hyperlink" Target="http://www.adm-pl.com/" TargetMode="External"/><Relationship Id="rId340" Type="http://schemas.openxmlformats.org/officeDocument/2006/relationships/hyperlink" Target="https://premium-profil.ro/" TargetMode="External"/><Relationship Id="rId361" Type="http://schemas.openxmlformats.org/officeDocument/2006/relationships/hyperlink" Target="https://www.krokiglass.hu/" TargetMode="External"/><Relationship Id="rId196" Type="http://schemas.openxmlformats.org/officeDocument/2006/relationships/hyperlink" Target="https://roleta-megaplast.com/" TargetMode="External"/><Relationship Id="rId200" Type="http://schemas.openxmlformats.org/officeDocument/2006/relationships/hyperlink" Target="https://ponistra.hr/" TargetMode="External"/><Relationship Id="rId382" Type="http://schemas.openxmlformats.org/officeDocument/2006/relationships/hyperlink" Target="https://www.atriumbatta.hu/" TargetMode="External"/><Relationship Id="rId417" Type="http://schemas.openxmlformats.org/officeDocument/2006/relationships/hyperlink" Target="https://www.facebook.com/universkm" TargetMode="External"/><Relationship Id="rId438" Type="http://schemas.openxmlformats.org/officeDocument/2006/relationships/hyperlink" Target="http://www.bonus-systems.com/" TargetMode="External"/><Relationship Id="rId16" Type="http://schemas.openxmlformats.org/officeDocument/2006/relationships/hyperlink" Target="https://futuredoors.hu/" TargetMode="External"/><Relationship Id="rId221" Type="http://schemas.openxmlformats.org/officeDocument/2006/relationships/hyperlink" Target="https://ferestretermopan.ro/" TargetMode="External"/><Relationship Id="rId242" Type="http://schemas.openxmlformats.org/officeDocument/2006/relationships/hyperlink" Target="https://dragosim.ro/" TargetMode="External"/><Relationship Id="rId263" Type="http://schemas.openxmlformats.org/officeDocument/2006/relationships/hyperlink" Target="http://www.celena.ro/" TargetMode="External"/><Relationship Id="rId284" Type="http://schemas.openxmlformats.org/officeDocument/2006/relationships/hyperlink" Target="https://www.sinerco.ro/" TargetMode="External"/><Relationship Id="rId319" Type="http://schemas.openxmlformats.org/officeDocument/2006/relationships/hyperlink" Target="https://www.romservinvest.ro/" TargetMode="External"/><Relationship Id="rId37" Type="http://schemas.openxmlformats.org/officeDocument/2006/relationships/hyperlink" Target="http://www.husseinigroup.com/" TargetMode="External"/><Relationship Id="rId58" Type="http://schemas.openxmlformats.org/officeDocument/2006/relationships/hyperlink" Target="https://www.ama-lb.com/" TargetMode="External"/><Relationship Id="rId79" Type="http://schemas.openxmlformats.org/officeDocument/2006/relationships/hyperlink" Target="https://www.whitealuminium.ae/" TargetMode="External"/><Relationship Id="rId102" Type="http://schemas.openxmlformats.org/officeDocument/2006/relationships/hyperlink" Target="https://www.asvfenetressa.ch/" TargetMode="External"/><Relationship Id="rId123" Type="http://schemas.openxmlformats.org/officeDocument/2006/relationships/hyperlink" Target="http://www.nprailings.com/" TargetMode="External"/><Relationship Id="rId144" Type="http://schemas.openxmlformats.org/officeDocument/2006/relationships/hyperlink" Target="http://www.sydeatrading.com/" TargetMode="External"/><Relationship Id="rId330" Type="http://schemas.openxmlformats.org/officeDocument/2006/relationships/hyperlink" Target="https://termopanebeclean.ro/" TargetMode="External"/><Relationship Id="rId90" Type="http://schemas.openxmlformats.org/officeDocument/2006/relationships/hyperlink" Target="https://doormetal.ch/" TargetMode="External"/><Relationship Id="rId165" Type="http://schemas.openxmlformats.org/officeDocument/2006/relationships/hyperlink" Target="http://www.everest.al/" TargetMode="External"/><Relationship Id="rId186" Type="http://schemas.openxmlformats.org/officeDocument/2006/relationships/hyperlink" Target="http://www.pulzbud.pl/" TargetMode="External"/><Relationship Id="rId351" Type="http://schemas.openxmlformats.org/officeDocument/2006/relationships/hyperlink" Target="https://www.vi-fi.ro/" TargetMode="External"/><Relationship Id="rId372" Type="http://schemas.openxmlformats.org/officeDocument/2006/relationships/hyperlink" Target="https://www.aluplast.net/hu/" TargetMode="External"/><Relationship Id="rId393" Type="http://schemas.openxmlformats.org/officeDocument/2006/relationships/hyperlink" Target="https://ema.hu/" TargetMode="External"/><Relationship Id="rId407" Type="http://schemas.openxmlformats.org/officeDocument/2006/relationships/hyperlink" Target="https://aluminium-windowsdoorfacades.business.site/?utm_source=gmb&amp;utm_medium=referral" TargetMode="External"/><Relationship Id="rId428" Type="http://schemas.openxmlformats.org/officeDocument/2006/relationships/hyperlink" Target="http://www.joviste.rs/" TargetMode="External"/><Relationship Id="rId449" Type="http://schemas.openxmlformats.org/officeDocument/2006/relationships/hyperlink" Target="https://termopane.md/" TargetMode="External"/><Relationship Id="rId211" Type="http://schemas.openxmlformats.org/officeDocument/2006/relationships/hyperlink" Target="https://dooherceg.ba/" TargetMode="External"/><Relationship Id="rId232" Type="http://schemas.openxmlformats.org/officeDocument/2006/relationships/hyperlink" Target="https://metaller.ro/" TargetMode="External"/><Relationship Id="rId253" Type="http://schemas.openxmlformats.org/officeDocument/2006/relationships/hyperlink" Target="http://www.lorenzo.ro/ro/" TargetMode="External"/><Relationship Id="rId274" Type="http://schemas.openxmlformats.org/officeDocument/2006/relationships/hyperlink" Target="https://fereastra-adf.ro/" TargetMode="External"/><Relationship Id="rId295" Type="http://schemas.openxmlformats.org/officeDocument/2006/relationships/hyperlink" Target="https://www.terasealuminiu.ro/" TargetMode="External"/><Relationship Id="rId309" Type="http://schemas.openxmlformats.org/officeDocument/2006/relationships/hyperlink" Target="http://www.ferestresibiu.ro/" TargetMode="External"/><Relationship Id="rId27" Type="http://schemas.openxmlformats.org/officeDocument/2006/relationships/hyperlink" Target="https://www.ablaknet.hu/" TargetMode="External"/><Relationship Id="rId48" Type="http://schemas.openxmlformats.org/officeDocument/2006/relationships/hyperlink" Target="https://glassaluminiumworks.business.site/?utm_source=gmb&amp;utm_medium=referral" TargetMode="External"/><Relationship Id="rId69" Type="http://schemas.openxmlformats.org/officeDocument/2006/relationships/hyperlink" Target="https://iba.com.qa/" TargetMode="External"/><Relationship Id="rId113" Type="http://schemas.openxmlformats.org/officeDocument/2006/relationships/hyperlink" Target="https://muskita.com.cy/" TargetMode="External"/><Relationship Id="rId134" Type="http://schemas.openxmlformats.org/officeDocument/2006/relationships/hyperlink" Target="http://www.smeka.com.cy/" TargetMode="External"/><Relationship Id="rId320" Type="http://schemas.openxmlformats.org/officeDocument/2006/relationships/hyperlink" Target="https://casapvc.ro/en/home-2/" TargetMode="External"/><Relationship Id="rId80" Type="http://schemas.openxmlformats.org/officeDocument/2006/relationships/hyperlink" Target="https://royal-aluminium-co-spc.business.site/?utm_source=gmb&amp;utm_medium=referral" TargetMode="External"/><Relationship Id="rId155" Type="http://schemas.openxmlformats.org/officeDocument/2006/relationships/hyperlink" Target="https://www.facebook.com/Arti-Alumin-263731517841954/" TargetMode="External"/><Relationship Id="rId176" Type="http://schemas.openxmlformats.org/officeDocument/2006/relationships/hyperlink" Target="https://alumglass.eu/" TargetMode="External"/><Relationship Id="rId197" Type="http://schemas.openxmlformats.org/officeDocument/2006/relationships/hyperlink" Target="https://lesna.net/en/home/" TargetMode="External"/><Relationship Id="rId341" Type="http://schemas.openxmlformats.org/officeDocument/2006/relationships/hyperlink" Target="https://www.service-termopane.com/" TargetMode="External"/><Relationship Id="rId362" Type="http://schemas.openxmlformats.org/officeDocument/2006/relationships/hyperlink" Target="https://www.ottoplast.hu/" TargetMode="External"/><Relationship Id="rId383" Type="http://schemas.openxmlformats.org/officeDocument/2006/relationships/hyperlink" Target="http://www.gil-trade.hu/" TargetMode="External"/><Relationship Id="rId418" Type="http://schemas.openxmlformats.org/officeDocument/2006/relationships/hyperlink" Target="http://al-europa.com/" TargetMode="External"/><Relationship Id="rId439" Type="http://schemas.openxmlformats.org/officeDocument/2006/relationships/hyperlink" Target="http://vizus.rs/" TargetMode="External"/><Relationship Id="rId201" Type="http://schemas.openxmlformats.org/officeDocument/2006/relationships/hyperlink" Target="https://www.eurotim.com.hr/" TargetMode="External"/><Relationship Id="rId222" Type="http://schemas.openxmlformats.org/officeDocument/2006/relationships/hyperlink" Target="https://www.fabricadeferestre.com/" TargetMode="External"/><Relationship Id="rId243" Type="http://schemas.openxmlformats.org/officeDocument/2006/relationships/hyperlink" Target="http://www.habikon.ro/" TargetMode="External"/><Relationship Id="rId264" Type="http://schemas.openxmlformats.org/officeDocument/2006/relationships/hyperlink" Target="https://g2-allsys-construct-srl.business.site/" TargetMode="External"/><Relationship Id="rId285" Type="http://schemas.openxmlformats.org/officeDocument/2006/relationships/hyperlink" Target="http://www.lorenzo.ro/ro/" TargetMode="External"/><Relationship Id="rId450" Type="http://schemas.openxmlformats.org/officeDocument/2006/relationships/hyperlink" Target="https://ecoferestre.md/" TargetMode="External"/><Relationship Id="rId17" Type="http://schemas.openxmlformats.org/officeDocument/2006/relationships/hyperlink" Target="https://www.roltechablak.hu/" TargetMode="External"/><Relationship Id="rId38" Type="http://schemas.openxmlformats.org/officeDocument/2006/relationships/hyperlink" Target="http://www.husseinigroup.com/" TargetMode="External"/><Relationship Id="rId59" Type="http://schemas.openxmlformats.org/officeDocument/2006/relationships/hyperlink" Target="http://www.4starwindows.nl/" TargetMode="External"/><Relationship Id="rId103" Type="http://schemas.openxmlformats.org/officeDocument/2006/relationships/hyperlink" Target="http://www.alicokuwait.com/index.php/contact" TargetMode="External"/><Relationship Id="rId124" Type="http://schemas.openxmlformats.org/officeDocument/2006/relationships/hyperlink" Target="http://psavvaaluminium.com/" TargetMode="External"/><Relationship Id="rId310" Type="http://schemas.openxmlformats.org/officeDocument/2006/relationships/hyperlink" Target="https://www.perfectview.ro/" TargetMode="External"/><Relationship Id="rId70" Type="http://schemas.openxmlformats.org/officeDocument/2006/relationships/hyperlink" Target="https://sq-upvc.com/" TargetMode="External"/><Relationship Id="rId91" Type="http://schemas.openxmlformats.org/officeDocument/2006/relationships/hyperlink" Target="https://swisslinewindows.ch/" TargetMode="External"/><Relationship Id="rId145" Type="http://schemas.openxmlformats.org/officeDocument/2006/relationships/hyperlink" Target="http://adoaluminium.com/" TargetMode="External"/><Relationship Id="rId166" Type="http://schemas.openxmlformats.org/officeDocument/2006/relationships/hyperlink" Target="http://www.aluflor.com/" TargetMode="External"/><Relationship Id="rId187" Type="http://schemas.openxmlformats.org/officeDocument/2006/relationships/hyperlink" Target="http://www.aikondistribution.com/" TargetMode="External"/><Relationship Id="rId331" Type="http://schemas.openxmlformats.org/officeDocument/2006/relationships/hyperlink" Target="https://pvc-aluminiu.ro/" TargetMode="External"/><Relationship Id="rId352" Type="http://schemas.openxmlformats.org/officeDocument/2006/relationships/hyperlink" Target="https://izotec.ro/ro/acasa/" TargetMode="External"/><Relationship Id="rId373" Type="http://schemas.openxmlformats.org/officeDocument/2006/relationships/hyperlink" Target="https://stilusnyilaszaro.hu/" TargetMode="External"/><Relationship Id="rId394" Type="http://schemas.openxmlformats.org/officeDocument/2006/relationships/hyperlink" Target="https://www.ablakcsere.eu/" TargetMode="External"/><Relationship Id="rId408" Type="http://schemas.openxmlformats.org/officeDocument/2006/relationships/hyperlink" Target="https://tara-aluminium.business.site/" TargetMode="External"/><Relationship Id="rId429" Type="http://schemas.openxmlformats.org/officeDocument/2006/relationships/hyperlink" Target="http://samaricawindows.com/" TargetMode="External"/><Relationship Id="rId1" Type="http://schemas.openxmlformats.org/officeDocument/2006/relationships/hyperlink" Target="http://www.kavaluminium.com/" TargetMode="External"/><Relationship Id="rId212" Type="http://schemas.openxmlformats.org/officeDocument/2006/relationships/hyperlink" Target="https://lecaer-global-market-srl.business.site/?utm_source=gmb&amp;utm_medium=referra" TargetMode="External"/><Relationship Id="rId233" Type="http://schemas.openxmlformats.org/officeDocument/2006/relationships/hyperlink" Target="https://vovi.aaz.ro/" TargetMode="External"/><Relationship Id="rId254" Type="http://schemas.openxmlformats.org/officeDocument/2006/relationships/hyperlink" Target="http://www.authentique.ro/" TargetMode="External"/><Relationship Id="rId440" Type="http://schemas.openxmlformats.org/officeDocument/2006/relationships/hyperlink" Target="http://www.suncemarinkovic.com/" TargetMode="External"/><Relationship Id="rId28" Type="http://schemas.openxmlformats.org/officeDocument/2006/relationships/hyperlink" Target="https://www.solarlux-telikert.hu/mitol-kulonlegesek-a-solarlux-telikertek" TargetMode="External"/><Relationship Id="rId49" Type="http://schemas.openxmlformats.org/officeDocument/2006/relationships/hyperlink" Target="https://www.facebook.com/profile.php?id=100067203443380" TargetMode="External"/><Relationship Id="rId114" Type="http://schemas.openxmlformats.org/officeDocument/2006/relationships/hyperlink" Target="https://www.leonidoualuminium.com/" TargetMode="External"/><Relationship Id="rId275" Type="http://schemas.openxmlformats.org/officeDocument/2006/relationships/hyperlink" Target="https://www.facebook.com/fereastraschuco.ro/" TargetMode="External"/><Relationship Id="rId296" Type="http://schemas.openxmlformats.org/officeDocument/2006/relationships/hyperlink" Target="https://fereastrapin.ro/" TargetMode="External"/><Relationship Id="rId300" Type="http://schemas.openxmlformats.org/officeDocument/2006/relationships/hyperlink" Target="https://fereastra-adf.ro/" TargetMode="External"/><Relationship Id="rId60" Type="http://schemas.openxmlformats.org/officeDocument/2006/relationships/hyperlink" Target="https://perfectviewwindows.nl/?utm_source=google&amp;utm_medium=mijn_bedrijf&amp;utm_campaign=websitelink" TargetMode="External"/><Relationship Id="rId81" Type="http://schemas.openxmlformats.org/officeDocument/2006/relationships/hyperlink" Target="http://www.alneelaluminium.com/" TargetMode="External"/><Relationship Id="rId135" Type="http://schemas.openxmlformats.org/officeDocument/2006/relationships/hyperlink" Target="http://www.alucon.com.cy/en/contact-us" TargetMode="External"/><Relationship Id="rId156" Type="http://schemas.openxmlformats.org/officeDocument/2006/relationships/hyperlink" Target="http://www.martinishpk.com/" TargetMode="External"/><Relationship Id="rId177" Type="http://schemas.openxmlformats.org/officeDocument/2006/relationships/hyperlink" Target="http://allwindows.eu/" TargetMode="External"/><Relationship Id="rId198" Type="http://schemas.openxmlformats.org/officeDocument/2006/relationships/hyperlink" Target="http://www.lokve.com/" TargetMode="External"/><Relationship Id="rId321" Type="http://schemas.openxmlformats.org/officeDocument/2006/relationships/hyperlink" Target="https://www.usi-ferestre-mirastar.ro/" TargetMode="External"/><Relationship Id="rId342" Type="http://schemas.openxmlformats.org/officeDocument/2006/relationships/hyperlink" Target="https://termopane-mures.com/" TargetMode="External"/><Relationship Id="rId363" Type="http://schemas.openxmlformats.org/officeDocument/2006/relationships/hyperlink" Target="http://alu-base.hu/" TargetMode="External"/><Relationship Id="rId384" Type="http://schemas.openxmlformats.org/officeDocument/2006/relationships/hyperlink" Target="https://www.ceginformacio.hu/cr9310034674" TargetMode="External"/><Relationship Id="rId419" Type="http://schemas.openxmlformats.org/officeDocument/2006/relationships/hyperlink" Target="http://www.ilmax.rs/" TargetMode="External"/><Relationship Id="rId202" Type="http://schemas.openxmlformats.org/officeDocument/2006/relationships/hyperlink" Target="https://www.gsa-metalgroup.com/" TargetMode="External"/><Relationship Id="rId223" Type="http://schemas.openxmlformats.org/officeDocument/2006/relationships/hyperlink" Target="http://www.profil-aluminiu.ro/ro/contact/" TargetMode="External"/><Relationship Id="rId244" Type="http://schemas.openxmlformats.org/officeDocument/2006/relationships/hyperlink" Target="https://www.etem.ro/" TargetMode="External"/><Relationship Id="rId430" Type="http://schemas.openxmlformats.org/officeDocument/2006/relationships/hyperlink" Target="http://www.plastal.rs/kontakt/" TargetMode="External"/><Relationship Id="rId18" Type="http://schemas.openxmlformats.org/officeDocument/2006/relationships/hyperlink" Target="http://alulux.hu/" TargetMode="External"/><Relationship Id="rId39" Type="http://schemas.openxmlformats.org/officeDocument/2006/relationships/hyperlink" Target="http://www.profalhusseini.com/" TargetMode="External"/><Relationship Id="rId265" Type="http://schemas.openxmlformats.org/officeDocument/2006/relationships/hyperlink" Target="https://rometale.ro/" TargetMode="External"/><Relationship Id="rId286" Type="http://schemas.openxmlformats.org/officeDocument/2006/relationships/hyperlink" Target="http://www.nokiplast.ro/" TargetMode="External"/><Relationship Id="rId451" Type="http://schemas.openxmlformats.org/officeDocument/2006/relationships/hyperlink" Target="http://www.ecoplast.md/" TargetMode="External"/><Relationship Id="rId50" Type="http://schemas.openxmlformats.org/officeDocument/2006/relationships/hyperlink" Target="https://www.facebook.com/Aluminium-Desing-314963089225772/?ref=page_internal" TargetMode="External"/><Relationship Id="rId104" Type="http://schemas.openxmlformats.org/officeDocument/2006/relationships/hyperlink" Target="https://mailamind.com/?page_id=67" TargetMode="External"/><Relationship Id="rId125" Type="http://schemas.openxmlformats.org/officeDocument/2006/relationships/hyperlink" Target="http://patsiasaluminium.com/" TargetMode="External"/><Relationship Id="rId146" Type="http://schemas.openxmlformats.org/officeDocument/2006/relationships/hyperlink" Target="http://www.ilikodomiki.com/" TargetMode="External"/><Relationship Id="rId167" Type="http://schemas.openxmlformats.org/officeDocument/2006/relationships/hyperlink" Target="https://www.sohelgazi.com/" TargetMode="External"/><Relationship Id="rId188" Type="http://schemas.openxmlformats.org/officeDocument/2006/relationships/hyperlink" Target="https://aluin.eu/" TargetMode="External"/><Relationship Id="rId311" Type="http://schemas.openxmlformats.org/officeDocument/2006/relationships/hyperlink" Target="https://fenexpert.ro/" TargetMode="External"/><Relationship Id="rId332" Type="http://schemas.openxmlformats.org/officeDocument/2006/relationships/hyperlink" Target="https://wdg-trading.com/" TargetMode="External"/><Relationship Id="rId353" Type="http://schemas.openxmlformats.org/officeDocument/2006/relationships/hyperlink" Target="http://www.termoplastcj.ro/" TargetMode="External"/><Relationship Id="rId374" Type="http://schemas.openxmlformats.org/officeDocument/2006/relationships/hyperlink" Target="http://nestortrade.hu/" TargetMode="External"/><Relationship Id="rId395" Type="http://schemas.openxmlformats.org/officeDocument/2006/relationships/hyperlink" Target="https://uvegterasz.hu/alkatreszek" TargetMode="External"/><Relationship Id="rId409" Type="http://schemas.openxmlformats.org/officeDocument/2006/relationships/hyperlink" Target="http://www.tq-alu.com/" TargetMode="External"/><Relationship Id="rId71" Type="http://schemas.openxmlformats.org/officeDocument/2006/relationships/hyperlink" Target="https://qatarupvc.com.qa/" TargetMode="External"/><Relationship Id="rId92" Type="http://schemas.openxmlformats.org/officeDocument/2006/relationships/hyperlink" Target="https://www.alucreations.ch/" TargetMode="External"/><Relationship Id="rId213" Type="http://schemas.openxmlformats.org/officeDocument/2006/relationships/hyperlink" Target="http://www.arcomglass.ro/" TargetMode="External"/><Relationship Id="rId234" Type="http://schemas.openxmlformats.org/officeDocument/2006/relationships/hyperlink" Target="http://www.akero.ro/wp-content/uploads/2020/under_construction.html" TargetMode="External"/><Relationship Id="rId420" Type="http://schemas.openxmlformats.org/officeDocument/2006/relationships/hyperlink" Target="http://www.al-sistem.com/" TargetMode="External"/><Relationship Id="rId2" Type="http://schemas.openxmlformats.org/officeDocument/2006/relationships/hyperlink" Target="https://www.feva-alu.hu/" TargetMode="External"/><Relationship Id="rId29" Type="http://schemas.openxmlformats.org/officeDocument/2006/relationships/hyperlink" Target="https://www.alugold.hu/" TargetMode="External"/><Relationship Id="rId255" Type="http://schemas.openxmlformats.org/officeDocument/2006/relationships/hyperlink" Target="https://fereastra-adf.ro/" TargetMode="External"/><Relationship Id="rId276" Type="http://schemas.openxmlformats.org/officeDocument/2006/relationships/hyperlink" Target="http://alprofsystems.ro/index.php/contact" TargetMode="External"/><Relationship Id="rId297" Type="http://schemas.openxmlformats.org/officeDocument/2006/relationships/hyperlink" Target="http://www.prodoor.ro/" TargetMode="External"/><Relationship Id="rId441" Type="http://schemas.openxmlformats.org/officeDocument/2006/relationships/hyperlink" Target="http://www.profiplast.rs/" TargetMode="External"/><Relationship Id="rId40" Type="http://schemas.openxmlformats.org/officeDocument/2006/relationships/hyperlink" Target="https://alu-mec.com/" TargetMode="External"/><Relationship Id="rId115" Type="http://schemas.openxmlformats.org/officeDocument/2006/relationships/hyperlink" Target="https://www.facebook.com/people/Atcoalu-europe/100078904332594/?paipv=0&amp;eav=AfZB3QVfnoC8hlWI7fbJofdQsJ5V48rYUFGgBazFzosL_0YSYwC6ly1cQJHJw64tK9M&amp;_rdr" TargetMode="External"/><Relationship Id="rId136" Type="http://schemas.openxmlformats.org/officeDocument/2006/relationships/hyperlink" Target="http://www.finestrecy.com/" TargetMode="External"/><Relationship Id="rId157" Type="http://schemas.openxmlformats.org/officeDocument/2006/relationships/hyperlink" Target="https://thermag.business.site/?utm_source=gmb&amp;utm_medium=referral" TargetMode="External"/><Relationship Id="rId178" Type="http://schemas.openxmlformats.org/officeDocument/2006/relationships/hyperlink" Target="https://dan-styl.szczecin.pl/" TargetMode="External"/><Relationship Id="rId301" Type="http://schemas.openxmlformats.org/officeDocument/2006/relationships/hyperlink" Target="http://ferestreadd.ro/" TargetMode="External"/><Relationship Id="rId322" Type="http://schemas.openxmlformats.org/officeDocument/2006/relationships/hyperlink" Target="https://termopanevalcea.ro/showroom-tamplarie-pvc-targu-jiu/" TargetMode="External"/><Relationship Id="rId343" Type="http://schemas.openxmlformats.org/officeDocument/2006/relationships/hyperlink" Target="https://ledtop.ro/" TargetMode="External"/><Relationship Id="rId364" Type="http://schemas.openxmlformats.org/officeDocument/2006/relationships/hyperlink" Target="https://www.helopal.hu/" TargetMode="External"/><Relationship Id="rId61" Type="http://schemas.openxmlformats.org/officeDocument/2006/relationships/hyperlink" Target="https://www.intal.nl/nl-nl" TargetMode="External"/><Relationship Id="rId82" Type="http://schemas.openxmlformats.org/officeDocument/2006/relationships/hyperlink" Target="https://faris-aluminium.business.site/?utm_source=gmb&amp;utm_medium=referral" TargetMode="External"/><Relationship Id="rId199" Type="http://schemas.openxmlformats.org/officeDocument/2006/relationships/hyperlink" Target="https://www.windor.hr/" TargetMode="External"/><Relationship Id="rId203" Type="http://schemas.openxmlformats.org/officeDocument/2006/relationships/hyperlink" Target="http://www.ilsad.hr/" TargetMode="External"/><Relationship Id="rId385" Type="http://schemas.openxmlformats.org/officeDocument/2006/relationships/hyperlink" Target="http://www.fenstercenter.hu/" TargetMode="External"/><Relationship Id="rId19" Type="http://schemas.openxmlformats.org/officeDocument/2006/relationships/hyperlink" Target="http://www.ablakmax.hu/index.php?option=com_contact&amp;view=contact&amp;id=1&amp;Itemid=59" TargetMode="External"/><Relationship Id="rId224" Type="http://schemas.openxmlformats.org/officeDocument/2006/relationships/hyperlink" Target="https://smart-aluminiu.ro/" TargetMode="External"/><Relationship Id="rId245" Type="http://schemas.openxmlformats.org/officeDocument/2006/relationships/hyperlink" Target="http://bucovrad.ro/contact/" TargetMode="External"/><Relationship Id="rId266" Type="http://schemas.openxmlformats.org/officeDocument/2006/relationships/hyperlink" Target="https://confal.ro/" TargetMode="External"/><Relationship Id="rId287" Type="http://schemas.openxmlformats.org/officeDocument/2006/relationships/hyperlink" Target="https://adamdesign.ro/contact/" TargetMode="External"/><Relationship Id="rId410" Type="http://schemas.openxmlformats.org/officeDocument/2006/relationships/hyperlink" Target="https://www.veranda.co.rs/" TargetMode="External"/><Relationship Id="rId431" Type="http://schemas.openxmlformats.org/officeDocument/2006/relationships/hyperlink" Target="http://www.al-per.co.rs/" TargetMode="External"/><Relationship Id="rId452" Type="http://schemas.openxmlformats.org/officeDocument/2006/relationships/hyperlink" Target="https://ecoferestre.md/" TargetMode="External"/><Relationship Id="rId30" Type="http://schemas.openxmlformats.org/officeDocument/2006/relationships/hyperlink" Target="https://m.facebook.com/Glasscom.online/?ref=bookmarks" TargetMode="External"/><Relationship Id="rId105" Type="http://schemas.openxmlformats.org/officeDocument/2006/relationships/hyperlink" Target="https://alicoalum.net/projects/" TargetMode="External"/><Relationship Id="rId126" Type="http://schemas.openxmlformats.org/officeDocument/2006/relationships/hyperlink" Target="https://rabel.com.cy/" TargetMode="External"/><Relationship Id="rId147" Type="http://schemas.openxmlformats.org/officeDocument/2006/relationships/hyperlink" Target="http://www.kticic.eu/" TargetMode="External"/><Relationship Id="rId168" Type="http://schemas.openxmlformats.org/officeDocument/2006/relationships/hyperlink" Target="https://altom-fabryka-okien-okna-drzwi-fasady.business.site/?utm_source=gmb&amp;utm_medium=referral" TargetMode="External"/><Relationship Id="rId312" Type="http://schemas.openxmlformats.org/officeDocument/2006/relationships/hyperlink" Target="https://barrier-buzau-orizont.business.site/?utm_source=gmb&amp;utm_medium=referral" TargetMode="External"/><Relationship Id="rId333" Type="http://schemas.openxmlformats.org/officeDocument/2006/relationships/hyperlink" Target="https://ferestresiusiarad.ro/" TargetMode="External"/><Relationship Id="rId354" Type="http://schemas.openxmlformats.org/officeDocument/2006/relationships/hyperlink" Target="http://www.terexconfort.ro/" TargetMode="External"/><Relationship Id="rId51" Type="http://schemas.openxmlformats.org/officeDocument/2006/relationships/hyperlink" Target="https://www.facebook.com/profile.php?id=100063880489283" TargetMode="External"/><Relationship Id="rId72" Type="http://schemas.openxmlformats.org/officeDocument/2006/relationships/hyperlink" Target="http://alkhinjigroup.com/" TargetMode="External"/><Relationship Id="rId93" Type="http://schemas.openxmlformats.org/officeDocument/2006/relationships/hyperlink" Target="https://zurbuchensa.ch/" TargetMode="External"/><Relationship Id="rId189" Type="http://schemas.openxmlformats.org/officeDocument/2006/relationships/hyperlink" Target="http://www.em3plast.com/" TargetMode="External"/><Relationship Id="rId375" Type="http://schemas.openxmlformats.org/officeDocument/2006/relationships/hyperlink" Target="https://ablakcsere.business.site/?utm_source=gmb&amp;utm_medium=referral" TargetMode="External"/><Relationship Id="rId396" Type="http://schemas.openxmlformats.org/officeDocument/2006/relationships/hyperlink" Target="http://www.fenythermo.hu/" TargetMode="External"/><Relationship Id="rId3" Type="http://schemas.openxmlformats.org/officeDocument/2006/relationships/hyperlink" Target="https://www.facebook.com/aluminuim.design" TargetMode="External"/><Relationship Id="rId214" Type="http://schemas.openxmlformats.org/officeDocument/2006/relationships/hyperlink" Target="https://www.maralglass.ro/" TargetMode="External"/><Relationship Id="rId235" Type="http://schemas.openxmlformats.org/officeDocument/2006/relationships/hyperlink" Target="https://vibor.ro/contact/" TargetMode="External"/><Relationship Id="rId256" Type="http://schemas.openxmlformats.org/officeDocument/2006/relationships/hyperlink" Target="https://www.topwindow.ro/" TargetMode="External"/><Relationship Id="rId277" Type="http://schemas.openxmlformats.org/officeDocument/2006/relationships/hyperlink" Target="https://www.alumil.com/" TargetMode="External"/><Relationship Id="rId298" Type="http://schemas.openxmlformats.org/officeDocument/2006/relationships/hyperlink" Target="https://www.smwoodprodcom.ro/" TargetMode="External"/><Relationship Id="rId400" Type="http://schemas.openxmlformats.org/officeDocument/2006/relationships/hyperlink" Target="http://halasablak.hu/" TargetMode="External"/><Relationship Id="rId421" Type="http://schemas.openxmlformats.org/officeDocument/2006/relationships/hyperlink" Target="http://www.proal.rs/" TargetMode="External"/><Relationship Id="rId442" Type="http://schemas.openxmlformats.org/officeDocument/2006/relationships/hyperlink" Target="http://www.mdsplast.rs/" TargetMode="External"/><Relationship Id="rId116" Type="http://schemas.openxmlformats.org/officeDocument/2006/relationships/hyperlink" Target="http://www.marselli.com.cy/" TargetMode="External"/><Relationship Id="rId137" Type="http://schemas.openxmlformats.org/officeDocument/2006/relationships/hyperlink" Target="http://www.geopetaluminium.com/" TargetMode="External"/><Relationship Id="rId158" Type="http://schemas.openxmlformats.org/officeDocument/2006/relationships/hyperlink" Target="https://www.weissprofil.bg/en" TargetMode="External"/><Relationship Id="rId302" Type="http://schemas.openxmlformats.org/officeDocument/2006/relationships/hyperlink" Target="https://www.rom-decor.ro/" TargetMode="External"/><Relationship Id="rId323" Type="http://schemas.openxmlformats.org/officeDocument/2006/relationships/hyperlink" Target="https://www.service-termopane.com/" TargetMode="External"/><Relationship Id="rId344" Type="http://schemas.openxmlformats.org/officeDocument/2006/relationships/hyperlink" Target="https://www.vitraq.ro/" TargetMode="External"/><Relationship Id="rId20" Type="http://schemas.openxmlformats.org/officeDocument/2006/relationships/hyperlink" Target="http://www.nyilaszaro-centrum.com/" TargetMode="External"/><Relationship Id="rId41" Type="http://schemas.openxmlformats.org/officeDocument/2006/relationships/hyperlink" Target="https://folda.com.lb/" TargetMode="External"/><Relationship Id="rId62" Type="http://schemas.openxmlformats.org/officeDocument/2006/relationships/hyperlink" Target="http://www.egveranda.nl/" TargetMode="External"/><Relationship Id="rId83" Type="http://schemas.openxmlformats.org/officeDocument/2006/relationships/hyperlink" Target="https://jelmmod-aluminium.business.site/" TargetMode="External"/><Relationship Id="rId179" Type="http://schemas.openxmlformats.org/officeDocument/2006/relationships/hyperlink" Target="http://www.alu-prestige.pl/" TargetMode="External"/><Relationship Id="rId365" Type="http://schemas.openxmlformats.org/officeDocument/2006/relationships/hyperlink" Target="https://ema.hu/" TargetMode="External"/><Relationship Id="rId386" Type="http://schemas.openxmlformats.org/officeDocument/2006/relationships/hyperlink" Target="http://primaredony.hu/adatkezelesi-tajekoztato" TargetMode="External"/><Relationship Id="rId190" Type="http://schemas.openxmlformats.org/officeDocument/2006/relationships/hyperlink" Target="http://www.aluminal.net/" TargetMode="External"/><Relationship Id="rId204" Type="http://schemas.openxmlformats.org/officeDocument/2006/relationships/hyperlink" Target="https://www.ze-ma.hr/hr/" TargetMode="External"/><Relationship Id="rId225" Type="http://schemas.openxmlformats.org/officeDocument/2006/relationships/hyperlink" Target="https://tehno-serv.business.site/?utm_source=gmb&amp;utm_medium=referral" TargetMode="External"/><Relationship Id="rId246" Type="http://schemas.openxmlformats.org/officeDocument/2006/relationships/hyperlink" Target="https://casanoastra.ro/contact/" TargetMode="External"/><Relationship Id="rId267" Type="http://schemas.openxmlformats.org/officeDocument/2006/relationships/hyperlink" Target="https://adeprim.ro/" TargetMode="External"/><Relationship Id="rId288" Type="http://schemas.openxmlformats.org/officeDocument/2006/relationships/hyperlink" Target="https://dumarandi-srl.business.site/" TargetMode="External"/><Relationship Id="rId411" Type="http://schemas.openxmlformats.org/officeDocument/2006/relationships/hyperlink" Target="http://www.asc.co.rs/" TargetMode="External"/><Relationship Id="rId432" Type="http://schemas.openxmlformats.org/officeDocument/2006/relationships/hyperlink" Target="http://www.jelen.ba/" TargetMode="External"/><Relationship Id="rId453" Type="http://schemas.openxmlformats.org/officeDocument/2006/relationships/hyperlink" Target="http://valent.md/" TargetMode="External"/><Relationship Id="rId106" Type="http://schemas.openxmlformats.org/officeDocument/2006/relationships/hyperlink" Target="http://www.alumkw.com/" TargetMode="External"/><Relationship Id="rId127" Type="http://schemas.openxmlformats.org/officeDocument/2006/relationships/hyperlink" Target="http://www.alouminorama.com/" TargetMode="External"/><Relationship Id="rId313" Type="http://schemas.openxmlformats.org/officeDocument/2006/relationships/hyperlink" Target="https://www.service-termopane.com/" TargetMode="External"/><Relationship Id="rId10" Type="http://schemas.openxmlformats.org/officeDocument/2006/relationships/hyperlink" Target="http://panoramawindows.net/" TargetMode="External"/><Relationship Id="rId31" Type="http://schemas.openxmlformats.org/officeDocument/2006/relationships/hyperlink" Target="http://www.proficogroup.com/" TargetMode="External"/><Relationship Id="rId52" Type="http://schemas.openxmlformats.org/officeDocument/2006/relationships/hyperlink" Target="https://www.facebook.com/profile.php?id=100067160030433" TargetMode="External"/><Relationship Id="rId73" Type="http://schemas.openxmlformats.org/officeDocument/2006/relationships/hyperlink" Target="https://kemcosasaluminium.com/contact.html" TargetMode="External"/><Relationship Id="rId94" Type="http://schemas.openxmlformats.org/officeDocument/2006/relationships/hyperlink" Target="https://www.theodoor.ch/" TargetMode="External"/><Relationship Id="rId148" Type="http://schemas.openxmlformats.org/officeDocument/2006/relationships/hyperlink" Target="http://www.shialismarbles.com/" TargetMode="External"/><Relationship Id="rId169" Type="http://schemas.openxmlformats.org/officeDocument/2006/relationships/hyperlink" Target="https://debesto.com/" TargetMode="External"/><Relationship Id="rId334" Type="http://schemas.openxmlformats.org/officeDocument/2006/relationships/hyperlink" Target="https://tamplarie-pvc-termopane-geamuri.business.site/?m=true" TargetMode="External"/><Relationship Id="rId355" Type="http://schemas.openxmlformats.org/officeDocument/2006/relationships/hyperlink" Target="https://oblonconfort.ro/" TargetMode="External"/><Relationship Id="rId376" Type="http://schemas.openxmlformats.org/officeDocument/2006/relationships/hyperlink" Target="http://www.aluflix.hu/" TargetMode="External"/><Relationship Id="rId397" Type="http://schemas.openxmlformats.org/officeDocument/2006/relationships/hyperlink" Target="https://ktablak.hu/" TargetMode="External"/><Relationship Id="rId4" Type="http://schemas.openxmlformats.org/officeDocument/2006/relationships/hyperlink" Target="http://www.hbsazzani.com/" TargetMode="External"/><Relationship Id="rId180" Type="http://schemas.openxmlformats.org/officeDocument/2006/relationships/hyperlink" Target="http://www.eurookno.pl/" TargetMode="External"/><Relationship Id="rId215" Type="http://schemas.openxmlformats.org/officeDocument/2006/relationships/hyperlink" Target="http://lamar.ro/" TargetMode="External"/><Relationship Id="rId236" Type="http://schemas.openxmlformats.org/officeDocument/2006/relationships/hyperlink" Target="http://www.klador.ro/" TargetMode="External"/><Relationship Id="rId257" Type="http://schemas.openxmlformats.org/officeDocument/2006/relationships/hyperlink" Target="http://x-tru.com/" TargetMode="External"/><Relationship Id="rId278" Type="http://schemas.openxmlformats.org/officeDocument/2006/relationships/hyperlink" Target="http://www.zaw-terase.ro/" TargetMode="External"/><Relationship Id="rId401" Type="http://schemas.openxmlformats.org/officeDocument/2006/relationships/hyperlink" Target="https://ajto-ablak.net/" TargetMode="External"/><Relationship Id="rId422" Type="http://schemas.openxmlformats.org/officeDocument/2006/relationships/hyperlink" Target="http://www.alproplus.rs/" TargetMode="External"/><Relationship Id="rId443" Type="http://schemas.openxmlformats.org/officeDocument/2006/relationships/hyperlink" Target="http://www.ideal.co.rs/" TargetMode="External"/><Relationship Id="rId303" Type="http://schemas.openxmlformats.org/officeDocument/2006/relationships/hyperlink" Target="https://fabrica-de-tamplarie.ro/" TargetMode="External"/><Relationship Id="rId42" Type="http://schemas.openxmlformats.org/officeDocument/2006/relationships/hyperlink" Target="https://www.facebook.com/chebabico11" TargetMode="External"/><Relationship Id="rId84" Type="http://schemas.openxmlformats.org/officeDocument/2006/relationships/hyperlink" Target="https://www.reynaers.bh/" TargetMode="External"/><Relationship Id="rId138" Type="http://schemas.openxmlformats.org/officeDocument/2006/relationships/hyperlink" Target="http://www.fixmor.com/" TargetMode="External"/><Relationship Id="rId345" Type="http://schemas.openxmlformats.org/officeDocument/2006/relationships/hyperlink" Target="https://www.atplast.ro/" TargetMode="External"/><Relationship Id="rId387" Type="http://schemas.openxmlformats.org/officeDocument/2006/relationships/hyperlink" Target="http://www.getax-ablak.hu/kapcsolat/" TargetMode="External"/><Relationship Id="rId191" Type="http://schemas.openxmlformats.org/officeDocument/2006/relationships/hyperlink" Target="http://www.everest.al/" TargetMode="External"/><Relationship Id="rId205" Type="http://schemas.openxmlformats.org/officeDocument/2006/relationships/hyperlink" Target="http://kajfa.hr/" TargetMode="External"/><Relationship Id="rId247" Type="http://schemas.openxmlformats.org/officeDocument/2006/relationships/hyperlink" Target="https://www.arian-glass.com/" TargetMode="External"/><Relationship Id="rId412" Type="http://schemas.openxmlformats.org/officeDocument/2006/relationships/hyperlink" Target="http://asc.co.rs/" TargetMode="External"/><Relationship Id="rId107" Type="http://schemas.openxmlformats.org/officeDocument/2006/relationships/hyperlink" Target="https://www.wincokw.com/" TargetMode="External"/><Relationship Id="rId289" Type="http://schemas.openxmlformats.org/officeDocument/2006/relationships/hyperlink" Target="https://siftrading.ro/" TargetMode="External"/><Relationship Id="rId454" Type="http://schemas.openxmlformats.org/officeDocument/2006/relationships/hyperlink" Target="https://valent.md/" TargetMode="External"/><Relationship Id="rId11" Type="http://schemas.openxmlformats.org/officeDocument/2006/relationships/hyperlink" Target="https://aat2016.com/" TargetMode="External"/><Relationship Id="rId53" Type="http://schemas.openxmlformats.org/officeDocument/2006/relationships/hyperlink" Target="https://www.facebook.com/DaherAluminium" TargetMode="External"/><Relationship Id="rId149" Type="http://schemas.openxmlformats.org/officeDocument/2006/relationships/hyperlink" Target="http://www.kalavazides.com/" TargetMode="External"/><Relationship Id="rId314" Type="http://schemas.openxmlformats.org/officeDocument/2006/relationships/hyperlink" Target="http://www.metglass.ro/" TargetMode="External"/><Relationship Id="rId356" Type="http://schemas.openxmlformats.org/officeDocument/2006/relationships/hyperlink" Target="https://www.lucagroup.ro/" TargetMode="External"/><Relationship Id="rId398" Type="http://schemas.openxmlformats.org/officeDocument/2006/relationships/hyperlink" Target="https://www.predex.hu/" TargetMode="External"/><Relationship Id="rId95" Type="http://schemas.openxmlformats.org/officeDocument/2006/relationships/hyperlink" Target="https://dafeplast.ch/?" TargetMode="External"/><Relationship Id="rId160" Type="http://schemas.openxmlformats.org/officeDocument/2006/relationships/hyperlink" Target="http://www.everest.al/" TargetMode="External"/><Relationship Id="rId216" Type="http://schemas.openxmlformats.org/officeDocument/2006/relationships/hyperlink" Target="https://ro.al-promt.com/?utm_source=GMB&amp;utm_medium=Site&amp;utm_campaign=Knowledge_Graph" TargetMode="External"/><Relationship Id="rId423" Type="http://schemas.openxmlformats.org/officeDocument/2006/relationships/hyperlink" Target="https://www.severplast.rs/" TargetMode="External"/><Relationship Id="rId258" Type="http://schemas.openxmlformats.org/officeDocument/2006/relationships/hyperlink" Target="https://eurodesign.info.ro/" TargetMode="External"/><Relationship Id="rId22" Type="http://schemas.openxmlformats.org/officeDocument/2006/relationships/hyperlink" Target="https://www.windok.hu/" TargetMode="External"/><Relationship Id="rId64" Type="http://schemas.openxmlformats.org/officeDocument/2006/relationships/hyperlink" Target="https://q-nap.com/contactuss" TargetMode="External"/><Relationship Id="rId118" Type="http://schemas.openxmlformats.org/officeDocument/2006/relationships/hyperlink" Target="https://muskita.com.cy/" TargetMode="External"/><Relationship Id="rId325" Type="http://schemas.openxmlformats.org/officeDocument/2006/relationships/hyperlink" Target="http://ferestreadd.ro/" TargetMode="External"/><Relationship Id="rId367" Type="http://schemas.openxmlformats.org/officeDocument/2006/relationships/hyperlink" Target="https://www.alukombi.hu/" TargetMode="External"/><Relationship Id="rId171" Type="http://schemas.openxmlformats.org/officeDocument/2006/relationships/hyperlink" Target="http://www.pro-fil.pl/" TargetMode="External"/><Relationship Id="rId227" Type="http://schemas.openxmlformats.org/officeDocument/2006/relationships/hyperlink" Target="https://www.mtcdana.ro/" TargetMode="External"/><Relationship Id="rId269" Type="http://schemas.openxmlformats.org/officeDocument/2006/relationships/hyperlink" Target="https://termopaneseverin.business.site/?utm_source=gmb&amp;utm_medium=referral" TargetMode="External"/><Relationship Id="rId434" Type="http://schemas.openxmlformats.org/officeDocument/2006/relationships/hyperlink" Target="http://www.ivipromet.com/" TargetMode="External"/><Relationship Id="rId33" Type="http://schemas.openxmlformats.org/officeDocument/2006/relationships/hyperlink" Target="https://manufacturer-23041.business.site/?utm_source=gmb&amp;utm_medium=referral" TargetMode="External"/><Relationship Id="rId129" Type="http://schemas.openxmlformats.org/officeDocument/2006/relationships/hyperlink" Target="http://www.voudaskas.com/" TargetMode="External"/><Relationship Id="rId280" Type="http://schemas.openxmlformats.org/officeDocument/2006/relationships/hyperlink" Target="https://www.mtcdana.ro/" TargetMode="External"/><Relationship Id="rId336" Type="http://schemas.openxmlformats.org/officeDocument/2006/relationships/hyperlink" Target="https://reparatii-termopan-bucuresti.ro/" TargetMode="External"/><Relationship Id="rId75" Type="http://schemas.openxmlformats.org/officeDocument/2006/relationships/hyperlink" Target="https://www.alhussainialuminium.qa/contact" TargetMode="External"/><Relationship Id="rId140" Type="http://schemas.openxmlformats.org/officeDocument/2006/relationships/hyperlink" Target="http://www.cyprusshadeandsails.com/" TargetMode="External"/><Relationship Id="rId182" Type="http://schemas.openxmlformats.org/officeDocument/2006/relationships/hyperlink" Target="https://profalaluminium.com/" TargetMode="External"/><Relationship Id="rId378" Type="http://schemas.openxmlformats.org/officeDocument/2006/relationships/hyperlink" Target="http://epkergep.hu/" TargetMode="External"/><Relationship Id="rId403" Type="http://schemas.openxmlformats.org/officeDocument/2006/relationships/hyperlink" Target="https://www.tofa.hu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ordfenster.com/" TargetMode="External"/><Relationship Id="rId299" Type="http://schemas.openxmlformats.org/officeDocument/2006/relationships/hyperlink" Target="https://www.ottawaqatar.com/" TargetMode="External"/><Relationship Id="rId21" Type="http://schemas.openxmlformats.org/officeDocument/2006/relationships/hyperlink" Target="http://www.alumkw.com/" TargetMode="External"/><Relationship Id="rId63" Type="http://schemas.openxmlformats.org/officeDocument/2006/relationships/hyperlink" Target="https://www.h-h-metalltechnik.de/" TargetMode="External"/><Relationship Id="rId159" Type="http://schemas.openxmlformats.org/officeDocument/2006/relationships/hyperlink" Target="http://www.id-fenster.de/" TargetMode="External"/><Relationship Id="rId324" Type="http://schemas.openxmlformats.org/officeDocument/2006/relationships/hyperlink" Target="http://www.hmeidani.com/" TargetMode="External"/><Relationship Id="rId366" Type="http://schemas.openxmlformats.org/officeDocument/2006/relationships/hyperlink" Target="https://elegant-windows-llc.business.site/?utm_source=gmb&amp;utm_medium=referral" TargetMode="External"/><Relationship Id="rId170" Type="http://schemas.openxmlformats.org/officeDocument/2006/relationships/hyperlink" Target="http://fenstergl&#252;ck.de/" TargetMode="External"/><Relationship Id="rId226" Type="http://schemas.openxmlformats.org/officeDocument/2006/relationships/hyperlink" Target="https://www.kaiser-gent.de/kontakt" TargetMode="External"/><Relationship Id="rId433" Type="http://schemas.openxmlformats.org/officeDocument/2006/relationships/hyperlink" Target="https://www.facebook.com/DaherAluminium" TargetMode="External"/><Relationship Id="rId268" Type="http://schemas.openxmlformats.org/officeDocument/2006/relationships/hyperlink" Target="http://rsg-fenster.de/" TargetMode="External"/><Relationship Id="rId32" Type="http://schemas.openxmlformats.org/officeDocument/2006/relationships/hyperlink" Target="https://arabicompany.net/index.php/local-branches" TargetMode="External"/><Relationship Id="rId74" Type="http://schemas.openxmlformats.org/officeDocument/2006/relationships/hyperlink" Target="http://www.kbk-kupferzell.de/" TargetMode="External"/><Relationship Id="rId128" Type="http://schemas.openxmlformats.org/officeDocument/2006/relationships/hyperlink" Target="http://www.metallbau-nowacki.de/" TargetMode="External"/><Relationship Id="rId335" Type="http://schemas.openxmlformats.org/officeDocument/2006/relationships/hyperlink" Target="http://www.bohmangroup.com/" TargetMode="External"/><Relationship Id="rId377" Type="http://schemas.openxmlformats.org/officeDocument/2006/relationships/hyperlink" Target="http://www.hilalgroup.com/" TargetMode="External"/><Relationship Id="rId5" Type="http://schemas.openxmlformats.org/officeDocument/2006/relationships/hyperlink" Target="https://www.facebook.com/people/Green-Ladder-Contracting-Co/100076164337345/" TargetMode="External"/><Relationship Id="rId181" Type="http://schemas.openxmlformats.org/officeDocument/2006/relationships/hyperlink" Target="http://www.kwk-fensterhandel.de/" TargetMode="External"/><Relationship Id="rId237" Type="http://schemas.openxmlformats.org/officeDocument/2006/relationships/hyperlink" Target="http://bauelementeseven.de/" TargetMode="External"/><Relationship Id="rId402" Type="http://schemas.openxmlformats.org/officeDocument/2006/relationships/hyperlink" Target="https://www.facebook.com/Avo.Dadoushian.Aluminium" TargetMode="External"/><Relationship Id="rId279" Type="http://schemas.openxmlformats.org/officeDocument/2006/relationships/hyperlink" Target="https://alusel.eu/" TargetMode="External"/><Relationship Id="rId444" Type="http://schemas.openxmlformats.org/officeDocument/2006/relationships/hyperlink" Target="https://www.aldoor.fi/etusivu" TargetMode="External"/><Relationship Id="rId43" Type="http://schemas.openxmlformats.org/officeDocument/2006/relationships/hyperlink" Target="https://www.facebook.com/profile.php?id=100048526004766" TargetMode="External"/><Relationship Id="rId139" Type="http://schemas.openxmlformats.org/officeDocument/2006/relationships/hyperlink" Target="http://www.saul-metallbau.de/" TargetMode="External"/><Relationship Id="rId290" Type="http://schemas.openxmlformats.org/officeDocument/2006/relationships/hyperlink" Target="https://onesourcewindows.com/" TargetMode="External"/><Relationship Id="rId304" Type="http://schemas.openxmlformats.org/officeDocument/2006/relationships/hyperlink" Target="https://www.facebook.com/people/Aluminum-Gulf-Ray/100080134308246/" TargetMode="External"/><Relationship Id="rId346" Type="http://schemas.openxmlformats.org/officeDocument/2006/relationships/hyperlink" Target="https://glassinum.com/" TargetMode="External"/><Relationship Id="rId388" Type="http://schemas.openxmlformats.org/officeDocument/2006/relationships/hyperlink" Target="https://www.shanfari.com/" TargetMode="External"/><Relationship Id="rId85" Type="http://schemas.openxmlformats.org/officeDocument/2006/relationships/hyperlink" Target="https://gauermann.de/" TargetMode="External"/><Relationship Id="rId150" Type="http://schemas.openxmlformats.org/officeDocument/2006/relationships/hyperlink" Target="http://preisg&#252;nstige-fenster.de/" TargetMode="External"/><Relationship Id="rId192" Type="http://schemas.openxmlformats.org/officeDocument/2006/relationships/hyperlink" Target="https://www.facebook.com/ArchlineEngineering1/" TargetMode="External"/><Relationship Id="rId206" Type="http://schemas.openxmlformats.org/officeDocument/2006/relationships/hyperlink" Target="https://www.aluglasbau.at/" TargetMode="External"/><Relationship Id="rId413" Type="http://schemas.openxmlformats.org/officeDocument/2006/relationships/hyperlink" Target="https://www.facebook.com/profile.php?id=100071192563161" TargetMode="External"/><Relationship Id="rId248" Type="http://schemas.openxmlformats.org/officeDocument/2006/relationships/hyperlink" Target="https://www.tischlerzentrum.koeln/" TargetMode="External"/><Relationship Id="rId12" Type="http://schemas.openxmlformats.org/officeDocument/2006/relationships/hyperlink" Target="https://www.weru.com/de/" TargetMode="External"/><Relationship Id="rId108" Type="http://schemas.openxmlformats.org/officeDocument/2006/relationships/hyperlink" Target="http://www.r2l-fenster.de/" TargetMode="External"/><Relationship Id="rId315" Type="http://schemas.openxmlformats.org/officeDocument/2006/relationships/hyperlink" Target="http://fenestra.co/" TargetMode="External"/><Relationship Id="rId357" Type="http://schemas.openxmlformats.org/officeDocument/2006/relationships/hyperlink" Target="https://glassinum.com/" TargetMode="External"/><Relationship Id="rId54" Type="http://schemas.openxmlformats.org/officeDocument/2006/relationships/hyperlink" Target="https://boehm-stahlbau.de/gelaender/" TargetMode="External"/><Relationship Id="rId75" Type="http://schemas.openxmlformats.org/officeDocument/2006/relationships/hyperlink" Target="https://www.fensterbau-becker.de/?utm_source=gmb&amp;utm_medium=organic&amp;utm_campaign=gmb" TargetMode="External"/><Relationship Id="rId96" Type="http://schemas.openxmlformats.org/officeDocument/2006/relationships/hyperlink" Target="http://www.stoll-fenstertechnik.de/" TargetMode="External"/><Relationship Id="rId140" Type="http://schemas.openxmlformats.org/officeDocument/2006/relationships/hyperlink" Target="https://boettcher-fenster.de/" TargetMode="External"/><Relationship Id="rId161" Type="http://schemas.openxmlformats.org/officeDocument/2006/relationships/hyperlink" Target="https://jehlen-fenster.de/" TargetMode="External"/><Relationship Id="rId182" Type="http://schemas.openxmlformats.org/officeDocument/2006/relationships/hyperlink" Target="https://www.baudiscount-fenster.de/" TargetMode="External"/><Relationship Id="rId217" Type="http://schemas.openxmlformats.org/officeDocument/2006/relationships/hyperlink" Target="https://www.rupo.co.at/" TargetMode="External"/><Relationship Id="rId378" Type="http://schemas.openxmlformats.org/officeDocument/2006/relationships/hyperlink" Target="https://aat2016.com/" TargetMode="External"/><Relationship Id="rId399" Type="http://schemas.openxmlformats.org/officeDocument/2006/relationships/hyperlink" Target="https://www.facebook.com/profile.php?id=100063531071645" TargetMode="External"/><Relationship Id="rId403" Type="http://schemas.openxmlformats.org/officeDocument/2006/relationships/hyperlink" Target="https://www.facebook.com/profile.php?id=100063880489283" TargetMode="External"/><Relationship Id="rId6" Type="http://schemas.openxmlformats.org/officeDocument/2006/relationships/hyperlink" Target="https://www.facebook.com/ToyoPanels/" TargetMode="External"/><Relationship Id="rId238" Type="http://schemas.openxmlformats.org/officeDocument/2006/relationships/hyperlink" Target="http://agakoeln.de/" TargetMode="External"/><Relationship Id="rId259" Type="http://schemas.openxmlformats.org/officeDocument/2006/relationships/hyperlink" Target="https://www.bauelemente-kluge.de/" TargetMode="External"/><Relationship Id="rId424" Type="http://schemas.openxmlformats.org/officeDocument/2006/relationships/hyperlink" Target="https://www.facebook.com/profile.php?id=100063736582540" TargetMode="External"/><Relationship Id="rId445" Type="http://schemas.openxmlformats.org/officeDocument/2006/relationships/hyperlink" Target="https://hrikkunat.fi/" TargetMode="External"/><Relationship Id="rId23" Type="http://schemas.openxmlformats.org/officeDocument/2006/relationships/hyperlink" Target="https://gulf-aluminium.com/" TargetMode="External"/><Relationship Id="rId119" Type="http://schemas.openxmlformats.org/officeDocument/2006/relationships/hyperlink" Target="https://bml-fenstertechnik.de/" TargetMode="External"/><Relationship Id="rId270" Type="http://schemas.openxmlformats.org/officeDocument/2006/relationships/hyperlink" Target="http://web.vensteregypt.com/contact.php" TargetMode="External"/><Relationship Id="rId291" Type="http://schemas.openxmlformats.org/officeDocument/2006/relationships/hyperlink" Target="https://onesourcewindows.com/" TargetMode="External"/><Relationship Id="rId305" Type="http://schemas.openxmlformats.org/officeDocument/2006/relationships/hyperlink" Target="http://www.alproaluminium.com/" TargetMode="External"/><Relationship Id="rId326" Type="http://schemas.openxmlformats.org/officeDocument/2006/relationships/hyperlink" Target="https://www.aluteklb.com/" TargetMode="External"/><Relationship Id="rId347" Type="http://schemas.openxmlformats.org/officeDocument/2006/relationships/hyperlink" Target="https://www.diaspora.com.lb/" TargetMode="External"/><Relationship Id="rId44" Type="http://schemas.openxmlformats.org/officeDocument/2006/relationships/hyperlink" Target="http://www.alghanah.com/" TargetMode="External"/><Relationship Id="rId65" Type="http://schemas.openxmlformats.org/officeDocument/2006/relationships/hyperlink" Target="https://www.ulco.de/" TargetMode="External"/><Relationship Id="rId86" Type="http://schemas.openxmlformats.org/officeDocument/2006/relationships/hyperlink" Target="http://www.fenster-striegel.de/" TargetMode="External"/><Relationship Id="rId130" Type="http://schemas.openxmlformats.org/officeDocument/2006/relationships/hyperlink" Target="https://www.balu-bauelemente.de/" TargetMode="External"/><Relationship Id="rId151" Type="http://schemas.openxmlformats.org/officeDocument/2006/relationships/hyperlink" Target="http://www.fensterfuchs-rotenburg.de/" TargetMode="External"/><Relationship Id="rId368" Type="http://schemas.openxmlformats.org/officeDocument/2006/relationships/hyperlink" Target="https://glassaluminiumworks.business.site/?utm_source=gmb&amp;utm_medium=referral" TargetMode="External"/><Relationship Id="rId389" Type="http://schemas.openxmlformats.org/officeDocument/2006/relationships/hyperlink" Target="http://www.hbsazzani.com/" TargetMode="External"/><Relationship Id="rId172" Type="http://schemas.openxmlformats.org/officeDocument/2006/relationships/hyperlink" Target="https://www.pollmann-renken.de/" TargetMode="External"/><Relationship Id="rId193" Type="http://schemas.openxmlformats.org/officeDocument/2006/relationships/hyperlink" Target="https://www.hakhverdyan.am/en/works" TargetMode="External"/><Relationship Id="rId207" Type="http://schemas.openxmlformats.org/officeDocument/2006/relationships/hyperlink" Target="http://www.hagtec.at/" TargetMode="External"/><Relationship Id="rId228" Type="http://schemas.openxmlformats.org/officeDocument/2006/relationships/hyperlink" Target="http://www.alusystems.com.sa/products/" TargetMode="External"/><Relationship Id="rId249" Type="http://schemas.openxmlformats.org/officeDocument/2006/relationships/hyperlink" Target="https://www.tischlerzentrum.koeln/" TargetMode="External"/><Relationship Id="rId414" Type="http://schemas.openxmlformats.org/officeDocument/2006/relationships/hyperlink" Target="https://www.facebook.com/profile.php?id=100065050808424" TargetMode="External"/><Relationship Id="rId435" Type="http://schemas.openxmlformats.org/officeDocument/2006/relationships/hyperlink" Target="https://www.facebook.com/AluminiumKejok" TargetMode="External"/><Relationship Id="rId13" Type="http://schemas.openxmlformats.org/officeDocument/2006/relationships/hyperlink" Target="https://www.hoefler-fenster.de/" TargetMode="External"/><Relationship Id="rId109" Type="http://schemas.openxmlformats.org/officeDocument/2006/relationships/hyperlink" Target="http://www.wds2000.de/" TargetMode="External"/><Relationship Id="rId260" Type="http://schemas.openxmlformats.org/officeDocument/2006/relationships/hyperlink" Target="https://www.rkbauelemente.de/" TargetMode="External"/><Relationship Id="rId281" Type="http://schemas.openxmlformats.org/officeDocument/2006/relationships/hyperlink" Target="http://com.tn/" TargetMode="External"/><Relationship Id="rId316" Type="http://schemas.openxmlformats.org/officeDocument/2006/relationships/hyperlink" Target="https://www.google.com/search?rlz=1C1CHZL_trTR938TR938&amp;tbs=lf:1,lf_ui:2&amp;tbm=lcl&amp;sxsrf=ALiCzsZFZJ4b6lWMsa16JfuCAFA4b1sRxQ:1669357551259&amp;q=aluminium+windows+lebanon&amp;rflfq=1&amp;num=10&amp;sa=X&amp;ved=2ahUKEwj76uG-2cj7AhVHQvEDHbK2D-sQjGp6BAgWEAE&amp;biw=1517&amp;bih=694&amp;dpr=0.9" TargetMode="External"/><Relationship Id="rId337" Type="http://schemas.openxmlformats.org/officeDocument/2006/relationships/hyperlink" Target="https://alu-mec.com/" TargetMode="External"/><Relationship Id="rId34" Type="http://schemas.openxmlformats.org/officeDocument/2006/relationships/hyperlink" Target="https://www.wincokw.com/" TargetMode="External"/><Relationship Id="rId55" Type="http://schemas.openxmlformats.org/officeDocument/2006/relationships/hyperlink" Target="https://www.fensterbau-cammerer.de/" TargetMode="External"/><Relationship Id="rId76" Type="http://schemas.openxmlformats.org/officeDocument/2006/relationships/hyperlink" Target="http://www.fenster-krazer.de/" TargetMode="External"/><Relationship Id="rId97" Type="http://schemas.openxmlformats.org/officeDocument/2006/relationships/hyperlink" Target="http://www.fenster-staudinger.de/" TargetMode="External"/><Relationship Id="rId120" Type="http://schemas.openxmlformats.org/officeDocument/2006/relationships/hyperlink" Target="http://www.elbdoerfer.com/" TargetMode="External"/><Relationship Id="rId141" Type="http://schemas.openxmlformats.org/officeDocument/2006/relationships/hyperlink" Target="http://adiga-fenster.de/" TargetMode="External"/><Relationship Id="rId358" Type="http://schemas.openxmlformats.org/officeDocument/2006/relationships/hyperlink" Target="https://ici-ent.com/" TargetMode="External"/><Relationship Id="rId379" Type="http://schemas.openxmlformats.org/officeDocument/2006/relationships/hyperlink" Target="http://panoramawindows.net/" TargetMode="External"/><Relationship Id="rId7" Type="http://schemas.openxmlformats.org/officeDocument/2006/relationships/hyperlink" Target="https://www.foppe.de/kontakt" TargetMode="External"/><Relationship Id="rId162" Type="http://schemas.openxmlformats.org/officeDocument/2006/relationships/hyperlink" Target="http://www.busche-bauelemente.de/" TargetMode="External"/><Relationship Id="rId183" Type="http://schemas.openxmlformats.org/officeDocument/2006/relationships/hyperlink" Target="https://fenster-komm.de/" TargetMode="External"/><Relationship Id="rId218" Type="http://schemas.openxmlformats.org/officeDocument/2006/relationships/hyperlink" Target="https://www.rupo.co.at/" TargetMode="External"/><Relationship Id="rId239" Type="http://schemas.openxmlformats.org/officeDocument/2006/relationships/hyperlink" Target="http://agakoeln.de/" TargetMode="External"/><Relationship Id="rId390" Type="http://schemas.openxmlformats.org/officeDocument/2006/relationships/hyperlink" Target="http://albarary.com/" TargetMode="External"/><Relationship Id="rId404" Type="http://schemas.openxmlformats.org/officeDocument/2006/relationships/hyperlink" Target="https://www.facebook.com/naderaluminium" TargetMode="External"/><Relationship Id="rId425" Type="http://schemas.openxmlformats.org/officeDocument/2006/relationships/hyperlink" Target="https://www.facebook.com/NahdaAluminium" TargetMode="External"/><Relationship Id="rId446" Type="http://schemas.openxmlformats.org/officeDocument/2006/relationships/hyperlink" Target="https://www.aluconst.fi/" TargetMode="External"/><Relationship Id="rId250" Type="http://schemas.openxmlformats.org/officeDocument/2006/relationships/hyperlink" Target="http://feanster-sonnenschutz.de/" TargetMode="External"/><Relationship Id="rId271" Type="http://schemas.openxmlformats.org/officeDocument/2006/relationships/hyperlink" Target="https://www.facebook.com/arpina.eg" TargetMode="External"/><Relationship Id="rId292" Type="http://schemas.openxmlformats.org/officeDocument/2006/relationships/hyperlink" Target="http://www.bakerindaluminum.com/" TargetMode="External"/><Relationship Id="rId306" Type="http://schemas.openxmlformats.org/officeDocument/2006/relationships/hyperlink" Target="https://www.africaaluminium.com/contact" TargetMode="External"/><Relationship Id="rId24" Type="http://schemas.openxmlformats.org/officeDocument/2006/relationships/hyperlink" Target="https://amkanint.com/contact-us/" TargetMode="External"/><Relationship Id="rId45" Type="http://schemas.openxmlformats.org/officeDocument/2006/relationships/hyperlink" Target="https://fenster-dolde.de/" TargetMode="External"/><Relationship Id="rId66" Type="http://schemas.openxmlformats.org/officeDocument/2006/relationships/hyperlink" Target="https://www.fensterling.de/?utm_source=gmb&amp;utm_medium=organic&amp;utm_campaign=gmb" TargetMode="External"/><Relationship Id="rId87" Type="http://schemas.openxmlformats.org/officeDocument/2006/relationships/hyperlink" Target="http://www.fenster-stempfle.de/" TargetMode="External"/><Relationship Id="rId110" Type="http://schemas.openxmlformats.org/officeDocument/2006/relationships/hyperlink" Target="https://www.alstertaler-hamburg.de/" TargetMode="External"/><Relationship Id="rId131" Type="http://schemas.openxmlformats.org/officeDocument/2006/relationships/hyperlink" Target="http://www.tueren-fenster-maslanka.de/" TargetMode="External"/><Relationship Id="rId327" Type="http://schemas.openxmlformats.org/officeDocument/2006/relationships/hyperlink" Target="https://www.d8metals.com/" TargetMode="External"/><Relationship Id="rId348" Type="http://schemas.openxmlformats.org/officeDocument/2006/relationships/hyperlink" Target="https://beydoun-lb.com/" TargetMode="External"/><Relationship Id="rId369" Type="http://schemas.openxmlformats.org/officeDocument/2006/relationships/hyperlink" Target="http://www.khalilprojects.com/" TargetMode="External"/><Relationship Id="rId152" Type="http://schemas.openxmlformats.org/officeDocument/2006/relationships/hyperlink" Target="https://s3-innova-fenster-verkleiden.de/" TargetMode="External"/><Relationship Id="rId173" Type="http://schemas.openxmlformats.org/officeDocument/2006/relationships/hyperlink" Target="http://www.fenster-tuerenbau-blanke.de/" TargetMode="External"/><Relationship Id="rId194" Type="http://schemas.openxmlformats.org/officeDocument/2006/relationships/hyperlink" Target="https://alp.am/" TargetMode="External"/><Relationship Id="rId208" Type="http://schemas.openxmlformats.org/officeDocument/2006/relationships/hyperlink" Target="https://alu-hagenauer.at/" TargetMode="External"/><Relationship Id="rId229" Type="http://schemas.openxmlformats.org/officeDocument/2006/relationships/hyperlink" Target="https://www.al-ghurair.com/en/contact-us" TargetMode="External"/><Relationship Id="rId380" Type="http://schemas.openxmlformats.org/officeDocument/2006/relationships/hyperlink" Target="https://astaroman.com/" TargetMode="External"/><Relationship Id="rId415" Type="http://schemas.openxmlformats.org/officeDocument/2006/relationships/hyperlink" Target="https://www.facebook.com/RajhaAluminium.since1990" TargetMode="External"/><Relationship Id="rId436" Type="http://schemas.openxmlformats.org/officeDocument/2006/relationships/hyperlink" Target="https://www.facebook.com/profile.php?id=100088144624930" TargetMode="External"/><Relationship Id="rId240" Type="http://schemas.openxmlformats.org/officeDocument/2006/relationships/hyperlink" Target="https://www.fensterbau-konzepte.de/" TargetMode="External"/><Relationship Id="rId261" Type="http://schemas.openxmlformats.org/officeDocument/2006/relationships/hyperlink" Target="mailto:service@interoba.de" TargetMode="External"/><Relationship Id="rId14" Type="http://schemas.openxmlformats.org/officeDocument/2006/relationships/hyperlink" Target="https://www.eurasianresources.lu/" TargetMode="External"/><Relationship Id="rId35" Type="http://schemas.openxmlformats.org/officeDocument/2006/relationships/hyperlink" Target="http://www.alkhalidgroup.com/al-khalid-aluminium/" TargetMode="External"/><Relationship Id="rId56" Type="http://schemas.openxmlformats.org/officeDocument/2006/relationships/hyperlink" Target="https://www.ingo-reissner.de/index.php/kontakt" TargetMode="External"/><Relationship Id="rId77" Type="http://schemas.openxmlformats.org/officeDocument/2006/relationships/hyperlink" Target="http://www.fensterbau-schlaich.de/" TargetMode="External"/><Relationship Id="rId100" Type="http://schemas.openxmlformats.org/officeDocument/2006/relationships/hyperlink" Target="http://www.bauelemente-tomasek.de/" TargetMode="External"/><Relationship Id="rId282" Type="http://schemas.openxmlformats.org/officeDocument/2006/relationships/hyperlink" Target="http://www.eastaluminium.net/" TargetMode="External"/><Relationship Id="rId317" Type="http://schemas.openxmlformats.org/officeDocument/2006/relationships/hyperlink" Target="https://www.alugex.com/contact.html" TargetMode="External"/><Relationship Id="rId338" Type="http://schemas.openxmlformats.org/officeDocument/2006/relationships/hyperlink" Target="https://www.e-i-t.eu/" TargetMode="External"/><Relationship Id="rId359" Type="http://schemas.openxmlformats.org/officeDocument/2006/relationships/hyperlink" Target="http://www.abgaluminium.com/?fbclid=IwAR3yb5TG8gpboDX9AgCJ9SivxCHnjZzKBMUop0yTD76z9ad4R1aEumu83sE" TargetMode="External"/><Relationship Id="rId8" Type="http://schemas.openxmlformats.org/officeDocument/2006/relationships/hyperlink" Target="https://alugp.com/contact/" TargetMode="External"/><Relationship Id="rId98" Type="http://schemas.openxmlformats.org/officeDocument/2006/relationships/hyperlink" Target="http://www.gmexclusive.de/" TargetMode="External"/><Relationship Id="rId121" Type="http://schemas.openxmlformats.org/officeDocument/2006/relationships/hyperlink" Target="https://elementar-braak.de/" TargetMode="External"/><Relationship Id="rId142" Type="http://schemas.openxmlformats.org/officeDocument/2006/relationships/hyperlink" Target="http://www.oki-bau.de/" TargetMode="External"/><Relationship Id="rId163" Type="http://schemas.openxmlformats.org/officeDocument/2006/relationships/hyperlink" Target="http://www.kamphoog.de/" TargetMode="External"/><Relationship Id="rId184" Type="http://schemas.openxmlformats.org/officeDocument/2006/relationships/hyperlink" Target="https://h-lex.de/" TargetMode="External"/><Relationship Id="rId219" Type="http://schemas.openxmlformats.org/officeDocument/2006/relationships/hyperlink" Target="https://tmpen.com/" TargetMode="External"/><Relationship Id="rId370" Type="http://schemas.openxmlformats.org/officeDocument/2006/relationships/hyperlink" Target="http://www.panoramawindows.net/" TargetMode="External"/><Relationship Id="rId391" Type="http://schemas.openxmlformats.org/officeDocument/2006/relationships/hyperlink" Target="https://tsscgroup.com/products-and-services/" TargetMode="External"/><Relationship Id="rId405" Type="http://schemas.openxmlformats.org/officeDocument/2006/relationships/hyperlink" Target="https://www.facebook.com/aluminiumyahya" TargetMode="External"/><Relationship Id="rId426" Type="http://schemas.openxmlformats.org/officeDocument/2006/relationships/hyperlink" Target="https://www.facebook.com/profile.php?id=100047221016003&amp;sk=about" TargetMode="External"/><Relationship Id="rId447" Type="http://schemas.openxmlformats.org/officeDocument/2006/relationships/hyperlink" Target="http://www.allstaraluminum.com/" TargetMode="External"/><Relationship Id="rId230" Type="http://schemas.openxmlformats.org/officeDocument/2006/relationships/hyperlink" Target="https://www.algurg.com/Contact-Us" TargetMode="External"/><Relationship Id="rId251" Type="http://schemas.openxmlformats.org/officeDocument/2006/relationships/hyperlink" Target="http://www.kalzip.com/" TargetMode="External"/><Relationship Id="rId25" Type="http://schemas.openxmlformats.org/officeDocument/2006/relationships/hyperlink" Target="https://aluprolb.com/" TargetMode="External"/><Relationship Id="rId46" Type="http://schemas.openxmlformats.org/officeDocument/2006/relationships/hyperlink" Target="https://www.be-metall.de/index.php?id=startseite" TargetMode="External"/><Relationship Id="rId67" Type="http://schemas.openxmlformats.org/officeDocument/2006/relationships/hyperlink" Target="http://www.fela-bauelemente.de/" TargetMode="External"/><Relationship Id="rId272" Type="http://schemas.openxmlformats.org/officeDocument/2006/relationships/hyperlink" Target="https://amanossystem.com/tr/iletisim/" TargetMode="External"/><Relationship Id="rId293" Type="http://schemas.openxmlformats.org/officeDocument/2006/relationships/hyperlink" Target="https://www.alhussainialuminium.qa/contact" TargetMode="External"/><Relationship Id="rId307" Type="http://schemas.openxmlformats.org/officeDocument/2006/relationships/hyperlink" Target="https://www.kingalu.com/" TargetMode="External"/><Relationship Id="rId328" Type="http://schemas.openxmlformats.org/officeDocument/2006/relationships/hyperlink" Target="https://manufacturer-23041.business.site/?utm_source=gmb&amp;utm_medium=referral" TargetMode="External"/><Relationship Id="rId349" Type="http://schemas.openxmlformats.org/officeDocument/2006/relationships/hyperlink" Target="http://www.alumcogroup.com/" TargetMode="External"/><Relationship Id="rId88" Type="http://schemas.openxmlformats.org/officeDocument/2006/relationships/hyperlink" Target="http://neu.einholz-fenster.de/" TargetMode="External"/><Relationship Id="rId111" Type="http://schemas.openxmlformats.org/officeDocument/2006/relationships/hyperlink" Target="https://alufusion-systems.de/" TargetMode="External"/><Relationship Id="rId132" Type="http://schemas.openxmlformats.org/officeDocument/2006/relationships/hyperlink" Target="https://fenster-haustueren-olafmeier.de/" TargetMode="External"/><Relationship Id="rId153" Type="http://schemas.openxmlformats.org/officeDocument/2006/relationships/hyperlink" Target="http://fenster24.de/" TargetMode="External"/><Relationship Id="rId174" Type="http://schemas.openxmlformats.org/officeDocument/2006/relationships/hyperlink" Target="http://www.c-kurre.de/" TargetMode="External"/><Relationship Id="rId195" Type="http://schemas.openxmlformats.org/officeDocument/2006/relationships/hyperlink" Target="http://housemaster.am/" TargetMode="External"/><Relationship Id="rId209" Type="http://schemas.openxmlformats.org/officeDocument/2006/relationships/hyperlink" Target="http://www.fentech.at/" TargetMode="External"/><Relationship Id="rId360" Type="http://schemas.openxmlformats.org/officeDocument/2006/relationships/hyperlink" Target="https://alumex-aluminum-window.business.site/?utm_source=gmb&amp;utm_medium=referral" TargetMode="External"/><Relationship Id="rId381" Type="http://schemas.openxmlformats.org/officeDocument/2006/relationships/hyperlink" Target="https://www.reliableintllc.com/" TargetMode="External"/><Relationship Id="rId416" Type="http://schemas.openxmlformats.org/officeDocument/2006/relationships/hyperlink" Target="https://www.facebook.com/Aluminium-Desing-314963089225772/?ref=page_internal" TargetMode="External"/><Relationship Id="rId220" Type="http://schemas.openxmlformats.org/officeDocument/2006/relationships/hyperlink" Target="http://www.panjur-tm.com/" TargetMode="External"/><Relationship Id="rId241" Type="http://schemas.openxmlformats.org/officeDocument/2006/relationships/hyperlink" Target="https://www.dewald-ohg.de/" TargetMode="External"/><Relationship Id="rId437" Type="http://schemas.openxmlformats.org/officeDocument/2006/relationships/hyperlink" Target="https://www.facebook.com/profile.php?id=100034992593185" TargetMode="External"/><Relationship Id="rId15" Type="http://schemas.openxmlformats.org/officeDocument/2006/relationships/hyperlink" Target="https://www.absltd.co.uk/" TargetMode="External"/><Relationship Id="rId36" Type="http://schemas.openxmlformats.org/officeDocument/2006/relationships/hyperlink" Target="https://altechgulf.com/contactus/" TargetMode="External"/><Relationship Id="rId57" Type="http://schemas.openxmlformats.org/officeDocument/2006/relationships/hyperlink" Target="https://www.motzer-fenster.de/kontakt.html" TargetMode="External"/><Relationship Id="rId262" Type="http://schemas.openxmlformats.org/officeDocument/2006/relationships/hyperlink" Target="https://interoba.de/" TargetMode="External"/><Relationship Id="rId283" Type="http://schemas.openxmlformats.org/officeDocument/2006/relationships/hyperlink" Target="https://ltc.lima-oman.com/" TargetMode="External"/><Relationship Id="rId318" Type="http://schemas.openxmlformats.org/officeDocument/2006/relationships/hyperlink" Target="http://www.atalium.com/" TargetMode="External"/><Relationship Id="rId339" Type="http://schemas.openxmlformats.org/officeDocument/2006/relationships/hyperlink" Target="http://hijazihtl.com/" TargetMode="External"/><Relationship Id="rId78" Type="http://schemas.openxmlformats.org/officeDocument/2006/relationships/hyperlink" Target="https://www.schreinerei-kastner.de/?utm_source=gmb&amp;utm_medium=organic&amp;utm_campaign=gmb" TargetMode="External"/><Relationship Id="rId99" Type="http://schemas.openxmlformats.org/officeDocument/2006/relationships/hyperlink" Target="http://fensterzeiten.de/" TargetMode="External"/><Relationship Id="rId101" Type="http://schemas.openxmlformats.org/officeDocument/2006/relationships/hyperlink" Target="https://www.hueber-fensterbau.de/" TargetMode="External"/><Relationship Id="rId122" Type="http://schemas.openxmlformats.org/officeDocument/2006/relationships/hyperlink" Target="http://www.biernatzki.de/" TargetMode="External"/><Relationship Id="rId143" Type="http://schemas.openxmlformats.org/officeDocument/2006/relationships/hyperlink" Target="http://www.solarlux.com/" TargetMode="External"/><Relationship Id="rId164" Type="http://schemas.openxmlformats.org/officeDocument/2006/relationships/hyperlink" Target="http://hasselberg-fenster.de/" TargetMode="External"/><Relationship Id="rId185" Type="http://schemas.openxmlformats.org/officeDocument/2006/relationships/hyperlink" Target="http://h-lex.de/" TargetMode="External"/><Relationship Id="rId350" Type="http://schemas.openxmlformats.org/officeDocument/2006/relationships/hyperlink" Target="http://www.glasslineindustries.com/" TargetMode="External"/><Relationship Id="rId371" Type="http://schemas.openxmlformats.org/officeDocument/2006/relationships/hyperlink" Target="https://www.alatonoman.com/" TargetMode="External"/><Relationship Id="rId406" Type="http://schemas.openxmlformats.org/officeDocument/2006/relationships/hyperlink" Target="https://www.facebook.com/rac.rizk" TargetMode="External"/><Relationship Id="rId9" Type="http://schemas.openxmlformats.org/officeDocument/2006/relationships/hyperlink" Target="https://www.wertbau.de/de/" TargetMode="External"/><Relationship Id="rId210" Type="http://schemas.openxmlformats.org/officeDocument/2006/relationships/hyperlink" Target="http://www.ak-zimmerei.com/" TargetMode="External"/><Relationship Id="rId392" Type="http://schemas.openxmlformats.org/officeDocument/2006/relationships/hyperlink" Target="https://www.google.com/search?tbs=lf:1,lf_ui:2&amp;tbm=lcl&amp;sxsrf=ALiCzsYz5tu5MxLsdEwBWMrFgXUWxfK-6Q:1669963834600&amp;q=%D8%A7%D9%84%D9%85%D9%86%D9%8A%D9%88%D9%85+libya&amp;rflfq=1&amp;num=10&amp;sa=X&amp;ved=2ahUKEwjPp5iJrNr7AhU-YPEDHTYQCwcQjGp6BAgQEAE&amp;biw=1517&amp;bih=694&amp;dpr=0.9" TargetMode="External"/><Relationship Id="rId427" Type="http://schemas.openxmlformats.org/officeDocument/2006/relationships/hyperlink" Target="https://www.facebook.com/profile.php?id=100063779034372" TargetMode="External"/><Relationship Id="rId448" Type="http://schemas.openxmlformats.org/officeDocument/2006/relationships/hyperlink" Target="http://fergusonwindows.com/" TargetMode="External"/><Relationship Id="rId26" Type="http://schemas.openxmlformats.org/officeDocument/2006/relationships/hyperlink" Target="https://smgroup-me.com/about-us/contact/" TargetMode="External"/><Relationship Id="rId231" Type="http://schemas.openxmlformats.org/officeDocument/2006/relationships/hyperlink" Target="https://alsahelcon.com/" TargetMode="External"/><Relationship Id="rId252" Type="http://schemas.openxmlformats.org/officeDocument/2006/relationships/hyperlink" Target="mailto:germany@kalzip.com" TargetMode="External"/><Relationship Id="rId273" Type="http://schemas.openxmlformats.org/officeDocument/2006/relationships/hyperlink" Target="mailto:mail@alicoegypt.com" TargetMode="External"/><Relationship Id="rId294" Type="http://schemas.openxmlformats.org/officeDocument/2006/relationships/hyperlink" Target="https://kemcosasaluminium.com/contact.html" TargetMode="External"/><Relationship Id="rId308" Type="http://schemas.openxmlformats.org/officeDocument/2006/relationships/hyperlink" Target="http://www.alu-maxnamibia.com/index.php/contact-us" TargetMode="External"/><Relationship Id="rId329" Type="http://schemas.openxmlformats.org/officeDocument/2006/relationships/hyperlink" Target="http://www.stal-me.com/" TargetMode="External"/><Relationship Id="rId47" Type="http://schemas.openxmlformats.org/officeDocument/2006/relationships/hyperlink" Target="http://lutz-fensterbau.de/" TargetMode="External"/><Relationship Id="rId68" Type="http://schemas.openxmlformats.org/officeDocument/2006/relationships/hyperlink" Target="http://winglas.de/" TargetMode="External"/><Relationship Id="rId89" Type="http://schemas.openxmlformats.org/officeDocument/2006/relationships/hyperlink" Target="http://www.gugelfuss.de/" TargetMode="External"/><Relationship Id="rId112" Type="http://schemas.openxmlformats.org/officeDocument/2006/relationships/hyperlink" Target="https://www.fensteraktuell24.de/" TargetMode="External"/><Relationship Id="rId133" Type="http://schemas.openxmlformats.org/officeDocument/2006/relationships/hyperlink" Target="http://www.bp-bauelemente.de/" TargetMode="External"/><Relationship Id="rId154" Type="http://schemas.openxmlformats.org/officeDocument/2006/relationships/hyperlink" Target="https://www.fenster24.de/?utm_source=Google-Business-Profile&amp;utm_medium=Branchen-und-Lieferantenkataloge&amp;utm_content=Textlink&amp;utm_campaign=Google-Business-Profile" TargetMode="External"/><Relationship Id="rId175" Type="http://schemas.openxmlformats.org/officeDocument/2006/relationships/hyperlink" Target="https://www.kh-segelken.de/" TargetMode="External"/><Relationship Id="rId340" Type="http://schemas.openxmlformats.org/officeDocument/2006/relationships/hyperlink" Target="https://folda.com.lb/" TargetMode="External"/><Relationship Id="rId361" Type="http://schemas.openxmlformats.org/officeDocument/2006/relationships/hyperlink" Target="http://www.shammas.me/" TargetMode="External"/><Relationship Id="rId196" Type="http://schemas.openxmlformats.org/officeDocument/2006/relationships/hyperlink" Target="https://www.facebook.com/LLC.ASEDL/" TargetMode="External"/><Relationship Id="rId200" Type="http://schemas.openxmlformats.org/officeDocument/2006/relationships/hyperlink" Target="http://www.aluminiumglass.ro/" TargetMode="External"/><Relationship Id="rId382" Type="http://schemas.openxmlformats.org/officeDocument/2006/relationships/hyperlink" Target="https://www.newsaray.com/" TargetMode="External"/><Relationship Id="rId417" Type="http://schemas.openxmlformats.org/officeDocument/2006/relationships/hyperlink" Target="https://www.facebook.com/AghnatiosAluminium" TargetMode="External"/><Relationship Id="rId438" Type="http://schemas.openxmlformats.org/officeDocument/2006/relationships/hyperlink" Target="https://www.facebook.com/walidziadmassry" TargetMode="External"/><Relationship Id="rId16" Type="http://schemas.openxmlformats.org/officeDocument/2006/relationships/hyperlink" Target="http://staraluminium.co.za/" TargetMode="External"/><Relationship Id="rId221" Type="http://schemas.openxmlformats.org/officeDocument/2006/relationships/hyperlink" Target="https://alutex.uz/" TargetMode="External"/><Relationship Id="rId242" Type="http://schemas.openxmlformats.org/officeDocument/2006/relationships/hyperlink" Target="https://fensterbau-bruehl.de/" TargetMode="External"/><Relationship Id="rId263" Type="http://schemas.openxmlformats.org/officeDocument/2006/relationships/hyperlink" Target="http://www.fensterkonzepte.de/" TargetMode="External"/><Relationship Id="rId284" Type="http://schemas.openxmlformats.org/officeDocument/2006/relationships/hyperlink" Target="http://www.modalserve.com/" TargetMode="External"/><Relationship Id="rId319" Type="http://schemas.openxmlformats.org/officeDocument/2006/relationships/hyperlink" Target="http://atcoalu.com/" TargetMode="External"/><Relationship Id="rId37" Type="http://schemas.openxmlformats.org/officeDocument/2006/relationships/hyperlink" Target="http://british-aluminium.com/" TargetMode="External"/><Relationship Id="rId58" Type="http://schemas.openxmlformats.org/officeDocument/2006/relationships/hyperlink" Target="https://www.iso-fenster.de/kontakt/" TargetMode="External"/><Relationship Id="rId79" Type="http://schemas.openxmlformats.org/officeDocument/2006/relationships/hyperlink" Target="https://www.emsa-bauelemente.de/" TargetMode="External"/><Relationship Id="rId102" Type="http://schemas.openxmlformats.org/officeDocument/2006/relationships/hyperlink" Target="https://www.sobauenprofis.de/" TargetMode="External"/><Relationship Id="rId123" Type="http://schemas.openxmlformats.org/officeDocument/2006/relationships/hyperlink" Target="http://www.glaserei-norderstedt.de/" TargetMode="External"/><Relationship Id="rId144" Type="http://schemas.openxmlformats.org/officeDocument/2006/relationships/hyperlink" Target="https://www.mein-neues-fenster.de/" TargetMode="External"/><Relationship Id="rId330" Type="http://schemas.openxmlformats.org/officeDocument/2006/relationships/hyperlink" Target="http://www.fenestra.co/" TargetMode="External"/><Relationship Id="rId90" Type="http://schemas.openxmlformats.org/officeDocument/2006/relationships/hyperlink" Target="http://www.duerei-fenster.de/" TargetMode="External"/><Relationship Id="rId165" Type="http://schemas.openxmlformats.org/officeDocument/2006/relationships/hyperlink" Target="https://kunststofffenster-pvc.de/" TargetMode="External"/><Relationship Id="rId186" Type="http://schemas.openxmlformats.org/officeDocument/2006/relationships/hyperlink" Target="https://www.facebook.com/TazhiiGroup/" TargetMode="External"/><Relationship Id="rId351" Type="http://schemas.openxmlformats.org/officeDocument/2006/relationships/hyperlink" Target="https://www.ama-lb.com/" TargetMode="External"/><Relationship Id="rId372" Type="http://schemas.openxmlformats.org/officeDocument/2006/relationships/hyperlink" Target="http://www.instagram.com/almimari.industries" TargetMode="External"/><Relationship Id="rId393" Type="http://schemas.openxmlformats.org/officeDocument/2006/relationships/hyperlink" Target="https://www.facebook.com/profile.php?id=100065307257114" TargetMode="External"/><Relationship Id="rId407" Type="http://schemas.openxmlformats.org/officeDocument/2006/relationships/hyperlink" Target="https://www.facebook.com/76453952-Aluminium-Ameen-1176428012375260/" TargetMode="External"/><Relationship Id="rId428" Type="http://schemas.openxmlformats.org/officeDocument/2006/relationships/hyperlink" Target="https://www.facebook.com/profile.php?id=100069622200894" TargetMode="External"/><Relationship Id="rId449" Type="http://schemas.openxmlformats.org/officeDocument/2006/relationships/hyperlink" Target="https://www.facebook.com/sccshanfool/" TargetMode="External"/><Relationship Id="rId211" Type="http://schemas.openxmlformats.org/officeDocument/2006/relationships/hyperlink" Target="https://www.lagerhaus-fenster.at/" TargetMode="External"/><Relationship Id="rId232" Type="http://schemas.openxmlformats.org/officeDocument/2006/relationships/hyperlink" Target="http://s3-innova-fenster-verkleiden.de/" TargetMode="External"/><Relationship Id="rId253" Type="http://schemas.openxmlformats.org/officeDocument/2006/relationships/hyperlink" Target="http://www.proal.de/" TargetMode="External"/><Relationship Id="rId274" Type="http://schemas.openxmlformats.org/officeDocument/2006/relationships/hyperlink" Target="http://albaniaalum.com/" TargetMode="External"/><Relationship Id="rId295" Type="http://schemas.openxmlformats.org/officeDocument/2006/relationships/hyperlink" Target="http://alkhinjigroup.com/" TargetMode="External"/><Relationship Id="rId309" Type="http://schemas.openxmlformats.org/officeDocument/2006/relationships/hyperlink" Target="http://www.alrajhi-z.com/en/al-rajhi-z-group/al-rajhi-aluminium" TargetMode="External"/><Relationship Id="rId27" Type="http://schemas.openxmlformats.org/officeDocument/2006/relationships/hyperlink" Target="https://smgroup-me.com/" TargetMode="External"/><Relationship Id="rId48" Type="http://schemas.openxmlformats.org/officeDocument/2006/relationships/hyperlink" Target="http://fensterversand.com/" TargetMode="External"/><Relationship Id="rId69" Type="http://schemas.openxmlformats.org/officeDocument/2006/relationships/hyperlink" Target="https://www.fenster-letzgus.de/" TargetMode="External"/><Relationship Id="rId113" Type="http://schemas.openxmlformats.org/officeDocument/2006/relationships/hyperlink" Target="http://www.ftb-hamburg.de/" TargetMode="External"/><Relationship Id="rId134" Type="http://schemas.openxmlformats.org/officeDocument/2006/relationships/hyperlink" Target="http://www.hansen-metallbau.com/" TargetMode="External"/><Relationship Id="rId320" Type="http://schemas.openxmlformats.org/officeDocument/2006/relationships/hyperlink" Target="http://isotop-group.com/" TargetMode="External"/><Relationship Id="rId80" Type="http://schemas.openxmlformats.org/officeDocument/2006/relationships/hyperlink" Target="http://www.fenster-dicht.de/" TargetMode="External"/><Relationship Id="rId155" Type="http://schemas.openxmlformats.org/officeDocument/2006/relationships/hyperlink" Target="http://www.bauelemente-seibert.de/" TargetMode="External"/><Relationship Id="rId176" Type="http://schemas.openxmlformats.org/officeDocument/2006/relationships/hyperlink" Target="https://www.tischlerei-dolhs.de/" TargetMode="External"/><Relationship Id="rId197" Type="http://schemas.openxmlformats.org/officeDocument/2006/relationships/hyperlink" Target="https://www.facebook.com/stekollc/" TargetMode="External"/><Relationship Id="rId341" Type="http://schemas.openxmlformats.org/officeDocument/2006/relationships/hyperlink" Target="https://www.facebook.com/chebabico11" TargetMode="External"/><Relationship Id="rId362" Type="http://schemas.openxmlformats.org/officeDocument/2006/relationships/hyperlink" Target="http://www.zada-co.com/" TargetMode="External"/><Relationship Id="rId383" Type="http://schemas.openxmlformats.org/officeDocument/2006/relationships/hyperlink" Target="http://www.modalserve.com/" TargetMode="External"/><Relationship Id="rId418" Type="http://schemas.openxmlformats.org/officeDocument/2006/relationships/hyperlink" Target="https://www.facebook.com/abouokdekitchensandsucerol" TargetMode="External"/><Relationship Id="rId439" Type="http://schemas.openxmlformats.org/officeDocument/2006/relationships/hyperlink" Target="https://www.facebook.com/profile.php?id=100067203443380" TargetMode="External"/><Relationship Id="rId201" Type="http://schemas.openxmlformats.org/officeDocument/2006/relationships/hyperlink" Target="http://www.arcomglass.ro/" TargetMode="External"/><Relationship Id="rId222" Type="http://schemas.openxmlformats.org/officeDocument/2006/relationships/hyperlink" Target="http://www.ashicoalum.com/" TargetMode="External"/><Relationship Id="rId243" Type="http://schemas.openxmlformats.org/officeDocument/2006/relationships/hyperlink" Target="http://www.weingarten-innenausbau.de/?utm_source=gmb&amp;utm_medium=organic&amp;utm_campaign=gmb" TargetMode="External"/><Relationship Id="rId264" Type="http://schemas.openxmlformats.org/officeDocument/2006/relationships/hyperlink" Target="https://www.facebook.com/Fiedler.Bauelemente.GmbH.Siegburg/" TargetMode="External"/><Relationship Id="rId285" Type="http://schemas.openxmlformats.org/officeDocument/2006/relationships/hyperlink" Target="https://alfanar.om/contact-3/" TargetMode="External"/><Relationship Id="rId17" Type="http://schemas.openxmlformats.org/officeDocument/2006/relationships/hyperlink" Target="https://www.jayceeglass.co.za/" TargetMode="External"/><Relationship Id="rId38" Type="http://schemas.openxmlformats.org/officeDocument/2006/relationships/hyperlink" Target="http://www.windoline.com/" TargetMode="External"/><Relationship Id="rId59" Type="http://schemas.openxmlformats.org/officeDocument/2006/relationships/hyperlink" Target="https://www.dengler-fensterbau.de/" TargetMode="External"/><Relationship Id="rId103" Type="http://schemas.openxmlformats.org/officeDocument/2006/relationships/hyperlink" Target="http://klausgath.de/" TargetMode="External"/><Relationship Id="rId124" Type="http://schemas.openxmlformats.org/officeDocument/2006/relationships/hyperlink" Target="http://fenster-pro.de/" TargetMode="External"/><Relationship Id="rId310" Type="http://schemas.openxmlformats.org/officeDocument/2006/relationships/hyperlink" Target="http://www.magcollc.com/gallery" TargetMode="External"/><Relationship Id="rId70" Type="http://schemas.openxmlformats.org/officeDocument/2006/relationships/hyperlink" Target="http://www.mueller-fensterfabrik.de/" TargetMode="External"/><Relationship Id="rId91" Type="http://schemas.openxmlformats.org/officeDocument/2006/relationships/hyperlink" Target="https://www.hr-fenstertechnik.de/" TargetMode="External"/><Relationship Id="rId145" Type="http://schemas.openxmlformats.org/officeDocument/2006/relationships/hyperlink" Target="http://mein-neues-fenster.de/" TargetMode="External"/><Relationship Id="rId166" Type="http://schemas.openxmlformats.org/officeDocument/2006/relationships/hyperlink" Target="http://atutpiaseczno.pl/" TargetMode="External"/><Relationship Id="rId187" Type="http://schemas.openxmlformats.org/officeDocument/2006/relationships/hyperlink" Target="https://www.facebook.com/euromodernhouse/" TargetMode="External"/><Relationship Id="rId331" Type="http://schemas.openxmlformats.org/officeDocument/2006/relationships/hyperlink" Target="http://robertkashouh.com/" TargetMode="External"/><Relationship Id="rId352" Type="http://schemas.openxmlformats.org/officeDocument/2006/relationships/hyperlink" Target="http://www.alexco.com.lb/" TargetMode="External"/><Relationship Id="rId373" Type="http://schemas.openxmlformats.org/officeDocument/2006/relationships/hyperlink" Target="https://atlanticoman.com/" TargetMode="External"/><Relationship Id="rId394" Type="http://schemas.openxmlformats.org/officeDocument/2006/relationships/hyperlink" Target="mailto:chamaa.aluminium.glass@gmail.com" TargetMode="External"/><Relationship Id="rId408" Type="http://schemas.openxmlformats.org/officeDocument/2006/relationships/hyperlink" Target="https://www.facebook.com/aluminuim.design" TargetMode="External"/><Relationship Id="rId429" Type="http://schemas.openxmlformats.org/officeDocument/2006/relationships/hyperlink" Target="https://www.facebook.com/kglass.sarl" TargetMode="External"/><Relationship Id="rId1" Type="http://schemas.openxmlformats.org/officeDocument/2006/relationships/hyperlink" Target="https://www.facebook.com/profile.php?id=100077425217883" TargetMode="External"/><Relationship Id="rId212" Type="http://schemas.openxmlformats.org/officeDocument/2006/relationships/hyperlink" Target="http://www.interrollgraz.com/" TargetMode="External"/><Relationship Id="rId233" Type="http://schemas.openxmlformats.org/officeDocument/2006/relationships/hyperlink" Target="https://www.fenster-fassbender.de/" TargetMode="External"/><Relationship Id="rId254" Type="http://schemas.openxmlformats.org/officeDocument/2006/relationships/hyperlink" Target="https://www.vinylit.de/" TargetMode="External"/><Relationship Id="rId440" Type="http://schemas.openxmlformats.org/officeDocument/2006/relationships/hyperlink" Target="https://www.facebook.com/profile.php?id=100069568687020" TargetMode="External"/><Relationship Id="rId28" Type="http://schemas.openxmlformats.org/officeDocument/2006/relationships/hyperlink" Target="http://safco-kuwait.com/" TargetMode="External"/><Relationship Id="rId49" Type="http://schemas.openxmlformats.org/officeDocument/2006/relationships/hyperlink" Target="https://www.sbv-stuttgart.de/kontakt" TargetMode="External"/><Relationship Id="rId114" Type="http://schemas.openxmlformats.org/officeDocument/2006/relationships/hyperlink" Target="https://sehlmann.de/" TargetMode="External"/><Relationship Id="rId275" Type="http://schemas.openxmlformats.org/officeDocument/2006/relationships/hyperlink" Target="https://www.tgac.net/" TargetMode="External"/><Relationship Id="rId296" Type="http://schemas.openxmlformats.org/officeDocument/2006/relationships/hyperlink" Target="https://brq2020.com/" TargetMode="External"/><Relationship Id="rId300" Type="http://schemas.openxmlformats.org/officeDocument/2006/relationships/hyperlink" Target="https://iba.com.qa/" TargetMode="External"/><Relationship Id="rId60" Type="http://schemas.openxmlformats.org/officeDocument/2006/relationships/hyperlink" Target="https://www.frank-sf.de/" TargetMode="External"/><Relationship Id="rId81" Type="http://schemas.openxmlformats.org/officeDocument/2006/relationships/hyperlink" Target="http://www.getto-kandel.de/" TargetMode="External"/><Relationship Id="rId135" Type="http://schemas.openxmlformats.org/officeDocument/2006/relationships/hyperlink" Target="http://www.fensterbau-24.de/" TargetMode="External"/><Relationship Id="rId156" Type="http://schemas.openxmlformats.org/officeDocument/2006/relationships/hyperlink" Target="http://www.bremer-fensterbau.de/" TargetMode="External"/><Relationship Id="rId177" Type="http://schemas.openxmlformats.org/officeDocument/2006/relationships/hyperlink" Target="https://www.zich-issa.de/?utm_source=gmb&amp;utm_medium=organic&amp;utm_campaign=gmb" TargetMode="External"/><Relationship Id="rId198" Type="http://schemas.openxmlformats.org/officeDocument/2006/relationships/hyperlink" Target="https://expert1.am/" TargetMode="External"/><Relationship Id="rId321" Type="http://schemas.openxmlformats.org/officeDocument/2006/relationships/hyperlink" Target="http://www.arcadia-sarl.com/" TargetMode="External"/><Relationship Id="rId342" Type="http://schemas.openxmlformats.org/officeDocument/2006/relationships/hyperlink" Target="http://www.alhayekgroup.com/" TargetMode="External"/><Relationship Id="rId363" Type="http://schemas.openxmlformats.org/officeDocument/2006/relationships/hyperlink" Target="https://aluminium-windows-doors.business.site/?utm_source=gmb&amp;utm_medium=referral" TargetMode="External"/><Relationship Id="rId384" Type="http://schemas.openxmlformats.org/officeDocument/2006/relationships/hyperlink" Target="http://www.elbeitoman.com/" TargetMode="External"/><Relationship Id="rId419" Type="http://schemas.openxmlformats.org/officeDocument/2006/relationships/hyperlink" Target="https://www.facebook.com/profile.php?id=100054230182017" TargetMode="External"/><Relationship Id="rId202" Type="http://schemas.openxmlformats.org/officeDocument/2006/relationships/hyperlink" Target="http://www.maralglass.ro/" TargetMode="External"/><Relationship Id="rId223" Type="http://schemas.openxmlformats.org/officeDocument/2006/relationships/hyperlink" Target="http://www.alzuhour.com.sa/" TargetMode="External"/><Relationship Id="rId244" Type="http://schemas.openxmlformats.org/officeDocument/2006/relationships/hyperlink" Target="https://www.hoffmann-handwerk.de/?utm_source=gmb&amp;utm_medium=organic&amp;utm_campaign=Profil" TargetMode="External"/><Relationship Id="rId430" Type="http://schemas.openxmlformats.org/officeDocument/2006/relationships/hyperlink" Target="https://www.facebook.com/jamaluminum" TargetMode="External"/><Relationship Id="rId18" Type="http://schemas.openxmlformats.org/officeDocument/2006/relationships/hyperlink" Target="http://www.alicokuwait.com/index.php/contact" TargetMode="External"/><Relationship Id="rId39" Type="http://schemas.openxmlformats.org/officeDocument/2006/relationships/hyperlink" Target="mailto:windoline@inbox.ru" TargetMode="External"/><Relationship Id="rId265" Type="http://schemas.openxmlformats.org/officeDocument/2006/relationships/hyperlink" Target="https://hengstwerth-bauelemente.business.site/" TargetMode="External"/><Relationship Id="rId286" Type="http://schemas.openxmlformats.org/officeDocument/2006/relationships/hyperlink" Target="https://www.multiscale.ae/contact.php" TargetMode="External"/><Relationship Id="rId50" Type="http://schemas.openxmlformats.org/officeDocument/2006/relationships/hyperlink" Target="https://www.facebook.com/plastik.cambalkon" TargetMode="External"/><Relationship Id="rId104" Type="http://schemas.openxmlformats.org/officeDocument/2006/relationships/hyperlink" Target="http://jstueren-gmbh.de/" TargetMode="External"/><Relationship Id="rId125" Type="http://schemas.openxmlformats.org/officeDocument/2006/relationships/hyperlink" Target="https://fenster-pro.de/" TargetMode="External"/><Relationship Id="rId146" Type="http://schemas.openxmlformats.org/officeDocument/2006/relationships/hyperlink" Target="http://www.meyer-fenster.de/" TargetMode="External"/><Relationship Id="rId167" Type="http://schemas.openxmlformats.org/officeDocument/2006/relationships/hyperlink" Target="https://okno-styl.net.pl/" TargetMode="External"/><Relationship Id="rId188" Type="http://schemas.openxmlformats.org/officeDocument/2006/relationships/hyperlink" Target="https://alu.ge/english/products" TargetMode="External"/><Relationship Id="rId311" Type="http://schemas.openxmlformats.org/officeDocument/2006/relationships/hyperlink" Target="https://www.kemflex.de/" TargetMode="External"/><Relationship Id="rId332" Type="http://schemas.openxmlformats.org/officeDocument/2006/relationships/hyperlink" Target="https://www.facebook.com/egcleb/" TargetMode="External"/><Relationship Id="rId353" Type="http://schemas.openxmlformats.org/officeDocument/2006/relationships/hyperlink" Target="http://bifem-paralu.com/" TargetMode="External"/><Relationship Id="rId374" Type="http://schemas.openxmlformats.org/officeDocument/2006/relationships/hyperlink" Target="https://www.google.com/search?rlz=1C1CHZL_trTR938TR938&amp;tbs=lf:1,lf_ui:2&amp;tbm=lcl&amp;sxsrf=ALiCzsbmoZg-hYi8Lw-NQbyxfvBqWWd_AA:1669460042667&amp;q=aluminium+windows+oman&amp;rflfq=1&amp;num=10&amp;sa=X&amp;sqi=2&amp;ved=2ahUKEwie9rym18v7AhXSuaQKHfGnA68QjGp6BAhEEAE&amp;biw=1366&amp;bih=625&amp;dpr=1" TargetMode="External"/><Relationship Id="rId395" Type="http://schemas.openxmlformats.org/officeDocument/2006/relationships/hyperlink" Target="https://www.facebook.com/profile.php?id=100054548525636" TargetMode="External"/><Relationship Id="rId409" Type="http://schemas.openxmlformats.org/officeDocument/2006/relationships/hyperlink" Target="https://www.facebook.com/BaydounAluminium" TargetMode="External"/><Relationship Id="rId71" Type="http://schemas.openxmlformats.org/officeDocument/2006/relationships/hyperlink" Target="http://www.eckert-bauelemente.de/" TargetMode="External"/><Relationship Id="rId92" Type="http://schemas.openxmlformats.org/officeDocument/2006/relationships/hyperlink" Target="https://www.renner-dienstleistungen.de/" TargetMode="External"/><Relationship Id="rId213" Type="http://schemas.openxmlformats.org/officeDocument/2006/relationships/hyperlink" Target="https://stemeseder.com/" TargetMode="External"/><Relationship Id="rId234" Type="http://schemas.openxmlformats.org/officeDocument/2006/relationships/hyperlink" Target="http://www.wallburger.de/" TargetMode="External"/><Relationship Id="rId420" Type="http://schemas.openxmlformats.org/officeDocument/2006/relationships/hyperlink" Target="https://www.facebook.com/profile.php?id=100066762451007" TargetMode="External"/><Relationship Id="rId2" Type="http://schemas.openxmlformats.org/officeDocument/2006/relationships/hyperlink" Target="https://www.facebook.com/CenturyGlass.ae/" TargetMode="External"/><Relationship Id="rId29" Type="http://schemas.openxmlformats.org/officeDocument/2006/relationships/hyperlink" Target="https://desertlinealuminium.com/" TargetMode="External"/><Relationship Id="rId255" Type="http://schemas.openxmlformats.org/officeDocument/2006/relationships/hyperlink" Target="https://www.haushaut.com/" TargetMode="External"/><Relationship Id="rId276" Type="http://schemas.openxmlformats.org/officeDocument/2006/relationships/hyperlink" Target="http://albarary.com/" TargetMode="External"/><Relationship Id="rId297" Type="http://schemas.openxmlformats.org/officeDocument/2006/relationships/hyperlink" Target="https://qatarupvc.com.qa/" TargetMode="External"/><Relationship Id="rId441" Type="http://schemas.openxmlformats.org/officeDocument/2006/relationships/hyperlink" Target="https://www.facebook.com/profile.php?id=100083436336434" TargetMode="External"/><Relationship Id="rId40" Type="http://schemas.openxmlformats.org/officeDocument/2006/relationships/hyperlink" Target="http://www.hautau.de/" TargetMode="External"/><Relationship Id="rId115" Type="http://schemas.openxmlformats.org/officeDocument/2006/relationships/hyperlink" Target="http://fenstermoeblierung.de/" TargetMode="External"/><Relationship Id="rId136" Type="http://schemas.openxmlformats.org/officeDocument/2006/relationships/hyperlink" Target="https://www.profenster.de/" TargetMode="External"/><Relationship Id="rId157" Type="http://schemas.openxmlformats.org/officeDocument/2006/relationships/hyperlink" Target="https://www.win-gu.de/" TargetMode="External"/><Relationship Id="rId178" Type="http://schemas.openxmlformats.org/officeDocument/2006/relationships/hyperlink" Target="https://www.meyer-wardenburg.de/" TargetMode="External"/><Relationship Id="rId301" Type="http://schemas.openxmlformats.org/officeDocument/2006/relationships/hyperlink" Target="https://foldaqatar.com/" TargetMode="External"/><Relationship Id="rId322" Type="http://schemas.openxmlformats.org/officeDocument/2006/relationships/hyperlink" Target="http://www.arcadia-sarl.com/" TargetMode="External"/><Relationship Id="rId343" Type="http://schemas.openxmlformats.org/officeDocument/2006/relationships/hyperlink" Target="https://www.e-i-t.eu/" TargetMode="External"/><Relationship Id="rId364" Type="http://schemas.openxmlformats.org/officeDocument/2006/relationships/hyperlink" Target="https://aistoman.com/" TargetMode="External"/><Relationship Id="rId61" Type="http://schemas.openxmlformats.org/officeDocument/2006/relationships/hyperlink" Target="http://www.keller-fensterbau.de/" TargetMode="External"/><Relationship Id="rId82" Type="http://schemas.openxmlformats.org/officeDocument/2006/relationships/hyperlink" Target="http://www.loeffelfenster.de/" TargetMode="External"/><Relationship Id="rId199" Type="http://schemas.openxmlformats.org/officeDocument/2006/relationships/hyperlink" Target="http://www.essealu.com/" TargetMode="External"/><Relationship Id="rId203" Type="http://schemas.openxmlformats.org/officeDocument/2006/relationships/hyperlink" Target="http://www.milglass.co/home-1/" TargetMode="External"/><Relationship Id="rId385" Type="http://schemas.openxmlformats.org/officeDocument/2006/relationships/hyperlink" Target="http://www.elbeitoman.com/" TargetMode="External"/><Relationship Id="rId19" Type="http://schemas.openxmlformats.org/officeDocument/2006/relationships/hyperlink" Target="https://mailamind.com/?page_id=67" TargetMode="External"/><Relationship Id="rId224" Type="http://schemas.openxmlformats.org/officeDocument/2006/relationships/hyperlink" Target="http://www.alusystems.com.sa/" TargetMode="External"/><Relationship Id="rId245" Type="http://schemas.openxmlformats.org/officeDocument/2006/relationships/hyperlink" Target="https://polenfenster.business.site/?utm_source=gmb&amp;utm_medium=referral" TargetMode="External"/><Relationship Id="rId266" Type="http://schemas.openxmlformats.org/officeDocument/2006/relationships/hyperlink" Target="https://www.facebook.com/ASS.Fensterbau/" TargetMode="External"/><Relationship Id="rId287" Type="http://schemas.openxmlformats.org/officeDocument/2006/relationships/hyperlink" Target="https://www.aluminiumbau-mohra.de/" TargetMode="External"/><Relationship Id="rId410" Type="http://schemas.openxmlformats.org/officeDocument/2006/relationships/hyperlink" Target="https://www.facebook.com/profile.php?id=100063641615727" TargetMode="External"/><Relationship Id="rId431" Type="http://schemas.openxmlformats.org/officeDocument/2006/relationships/hyperlink" Target="https://www.facebook.com/khalilhinawyAluminium" TargetMode="External"/><Relationship Id="rId30" Type="http://schemas.openxmlformats.org/officeDocument/2006/relationships/hyperlink" Target="https://q-nap.com/contactus" TargetMode="External"/><Relationship Id="rId105" Type="http://schemas.openxmlformats.org/officeDocument/2006/relationships/hyperlink" Target="https://www.al-hansefenster.de/?utm_source=local&amp;utm_medium=organic&amp;utm_campaign=gmb" TargetMode="External"/><Relationship Id="rId126" Type="http://schemas.openxmlformats.org/officeDocument/2006/relationships/hyperlink" Target="http://www.bebatherm.de/" TargetMode="External"/><Relationship Id="rId147" Type="http://schemas.openxmlformats.org/officeDocument/2006/relationships/hyperlink" Target="http://www.grado-fenster.de/" TargetMode="External"/><Relationship Id="rId168" Type="http://schemas.openxmlformats.org/officeDocument/2006/relationships/hyperlink" Target="http://systemyokienne.eu/" TargetMode="External"/><Relationship Id="rId312" Type="http://schemas.openxmlformats.org/officeDocument/2006/relationships/hyperlink" Target="http://www.al-fattah.com/" TargetMode="External"/><Relationship Id="rId333" Type="http://schemas.openxmlformats.org/officeDocument/2006/relationships/hyperlink" Target="http://alumtech-lb.com/" TargetMode="External"/><Relationship Id="rId354" Type="http://schemas.openxmlformats.org/officeDocument/2006/relationships/hyperlink" Target="http://www.fullcrom.com/" TargetMode="External"/><Relationship Id="rId51" Type="http://schemas.openxmlformats.org/officeDocument/2006/relationships/hyperlink" Target="https://www.facebook.com/profile.php?id=100077796273849" TargetMode="External"/><Relationship Id="rId72" Type="http://schemas.openxmlformats.org/officeDocument/2006/relationships/hyperlink" Target="https://www.ardefensterbaubadengbr.de/" TargetMode="External"/><Relationship Id="rId93" Type="http://schemas.openxmlformats.org/officeDocument/2006/relationships/hyperlink" Target="http://www.spektrum-bauelemente.de/" TargetMode="External"/><Relationship Id="rId189" Type="http://schemas.openxmlformats.org/officeDocument/2006/relationships/hyperlink" Target="https://www.facebook.com/BuildingCompanyREALPALACE/posts/2107034772774250/" TargetMode="External"/><Relationship Id="rId375" Type="http://schemas.openxmlformats.org/officeDocument/2006/relationships/hyperlink" Target="https://carpentry-aluminium-workshop.business.site/?utm_source=gmb&amp;utm_medium=referral" TargetMode="External"/><Relationship Id="rId396" Type="http://schemas.openxmlformats.org/officeDocument/2006/relationships/hyperlink" Target="https://www.facebook.com/profile.php?id=100063726963046" TargetMode="External"/><Relationship Id="rId3" Type="http://schemas.openxmlformats.org/officeDocument/2006/relationships/hyperlink" Target="https://www.facebook.com/Aluminum-and-Glass-works-980713025462562/" TargetMode="External"/><Relationship Id="rId214" Type="http://schemas.openxmlformats.org/officeDocument/2006/relationships/hyperlink" Target="https://www.fensterunion.at/" TargetMode="External"/><Relationship Id="rId235" Type="http://schemas.openxmlformats.org/officeDocument/2006/relationships/hyperlink" Target="http://www.pesotopola.pl/" TargetMode="External"/><Relationship Id="rId256" Type="http://schemas.openxmlformats.org/officeDocument/2006/relationships/hyperlink" Target="http://www.fshape.de/" TargetMode="External"/><Relationship Id="rId277" Type="http://schemas.openxmlformats.org/officeDocument/2006/relationships/hyperlink" Target="https://www.artdesignae.com/" TargetMode="External"/><Relationship Id="rId298" Type="http://schemas.openxmlformats.org/officeDocument/2006/relationships/hyperlink" Target="https://sq-upvc.com/" TargetMode="External"/><Relationship Id="rId400" Type="http://schemas.openxmlformats.org/officeDocument/2006/relationships/hyperlink" Target="https://www.facebook.com/Haddad.For.Aluminium.And.Hardware.SARL" TargetMode="External"/><Relationship Id="rId421" Type="http://schemas.openxmlformats.org/officeDocument/2006/relationships/hyperlink" Target="https://www.facebook.com/Mostafa-khalife-Aluminium-180193786235694" TargetMode="External"/><Relationship Id="rId442" Type="http://schemas.openxmlformats.org/officeDocument/2006/relationships/hyperlink" Target="https://www.facebook.com/profile.php?id=100082079022463" TargetMode="External"/><Relationship Id="rId116" Type="http://schemas.openxmlformats.org/officeDocument/2006/relationships/hyperlink" Target="http://www.akkurat-glas.de/" TargetMode="External"/><Relationship Id="rId137" Type="http://schemas.openxmlformats.org/officeDocument/2006/relationships/hyperlink" Target="http://fenstermax.de/" TargetMode="External"/><Relationship Id="rId158" Type="http://schemas.openxmlformats.org/officeDocument/2006/relationships/hyperlink" Target="https://www.hass-montagebetrieb.de/?utm_source=local&amp;utm_medium=organic&amp;utm_campaign=gmb" TargetMode="External"/><Relationship Id="rId302" Type="http://schemas.openxmlformats.org/officeDocument/2006/relationships/hyperlink" Target="https://www.profession-alu.com/contact-us" TargetMode="External"/><Relationship Id="rId323" Type="http://schemas.openxmlformats.org/officeDocument/2006/relationships/hyperlink" Target="https://m.facebook.com/Glasscom.online/?ref=bookmarks" TargetMode="External"/><Relationship Id="rId344" Type="http://schemas.openxmlformats.org/officeDocument/2006/relationships/hyperlink" Target="https://www.facebook.com/royalaluminum1/" TargetMode="External"/><Relationship Id="rId20" Type="http://schemas.openxmlformats.org/officeDocument/2006/relationships/hyperlink" Target="https://alicoalum.net/projects/" TargetMode="External"/><Relationship Id="rId41" Type="http://schemas.openxmlformats.org/officeDocument/2006/relationships/hyperlink" Target="http://www.hautau.de/" TargetMode="External"/><Relationship Id="rId62" Type="http://schemas.openxmlformats.org/officeDocument/2006/relationships/hyperlink" Target="https://www.h-h-metalltechnik.de/" TargetMode="External"/><Relationship Id="rId83" Type="http://schemas.openxmlformats.org/officeDocument/2006/relationships/hyperlink" Target="http://www.lebsack.de/" TargetMode="External"/><Relationship Id="rId179" Type="http://schemas.openxmlformats.org/officeDocument/2006/relationships/hyperlink" Target="http://www.roberts-fenster.de/" TargetMode="External"/><Relationship Id="rId365" Type="http://schemas.openxmlformats.org/officeDocument/2006/relationships/hyperlink" Target="https://al-maghderi-trading-aluminium-windows.business.site/?utm_source=gmb&amp;utm_medium=referral" TargetMode="External"/><Relationship Id="rId386" Type="http://schemas.openxmlformats.org/officeDocument/2006/relationships/hyperlink" Target="http://artwindowsoman.com/" TargetMode="External"/><Relationship Id="rId190" Type="http://schemas.openxmlformats.org/officeDocument/2006/relationships/hyperlink" Target="https://www.facebook.com/domusaluminium/about/?ref=page_internal" TargetMode="External"/><Relationship Id="rId204" Type="http://schemas.openxmlformats.org/officeDocument/2006/relationships/hyperlink" Target="http://www.fenster-haus.de/" TargetMode="External"/><Relationship Id="rId225" Type="http://schemas.openxmlformats.org/officeDocument/2006/relationships/hyperlink" Target="https://www.facebook.com/1980Gmaa/" TargetMode="External"/><Relationship Id="rId246" Type="http://schemas.openxmlformats.org/officeDocument/2006/relationships/hyperlink" Target="https://www.tischlerzentrum.koeln/" TargetMode="External"/><Relationship Id="rId267" Type="http://schemas.openxmlformats.org/officeDocument/2006/relationships/hyperlink" Target="http://www.arko-fenster.de/" TargetMode="External"/><Relationship Id="rId288" Type="http://schemas.openxmlformats.org/officeDocument/2006/relationships/hyperlink" Target="http://www.merk-aluminium.de/" TargetMode="External"/><Relationship Id="rId411" Type="http://schemas.openxmlformats.org/officeDocument/2006/relationships/hyperlink" Target="https://www.facebook.com/fauxplafon.aluminium" TargetMode="External"/><Relationship Id="rId432" Type="http://schemas.openxmlformats.org/officeDocument/2006/relationships/hyperlink" Target="https://www.facebook.com/profile.php?id=100063511092344" TargetMode="External"/><Relationship Id="rId106" Type="http://schemas.openxmlformats.org/officeDocument/2006/relationships/hyperlink" Target="https://fensterprofisdirekt.de/l/" TargetMode="External"/><Relationship Id="rId127" Type="http://schemas.openxmlformats.org/officeDocument/2006/relationships/hyperlink" Target="https://www.ege.de/de/fuer-haendler/vertrieb.html" TargetMode="External"/><Relationship Id="rId313" Type="http://schemas.openxmlformats.org/officeDocument/2006/relationships/hyperlink" Target="http://gtsaluminum.com/" TargetMode="External"/><Relationship Id="rId10" Type="http://schemas.openxmlformats.org/officeDocument/2006/relationships/hyperlink" Target="https://www.schweiker.de/kontakt/" TargetMode="External"/><Relationship Id="rId31" Type="http://schemas.openxmlformats.org/officeDocument/2006/relationships/hyperlink" Target="http://www.g4kw.com/" TargetMode="External"/><Relationship Id="rId52" Type="http://schemas.openxmlformats.org/officeDocument/2006/relationships/hyperlink" Target="https://www.facebook.com/guvenglass.az" TargetMode="External"/><Relationship Id="rId73" Type="http://schemas.openxmlformats.org/officeDocument/2006/relationships/hyperlink" Target="https://krauss-fenster.de/" TargetMode="External"/><Relationship Id="rId94" Type="http://schemas.openxmlformats.org/officeDocument/2006/relationships/hyperlink" Target="http://www.fensterbau-leopold.de/" TargetMode="External"/><Relationship Id="rId148" Type="http://schemas.openxmlformats.org/officeDocument/2006/relationships/hyperlink" Target="http://www.wmu-fenster.de/" TargetMode="External"/><Relationship Id="rId169" Type="http://schemas.openxmlformats.org/officeDocument/2006/relationships/hyperlink" Target="https://all-max-andrzej-pala.business.site/?utm_source=gmb&amp;utm_medium=referral" TargetMode="External"/><Relationship Id="rId334" Type="http://schemas.openxmlformats.org/officeDocument/2006/relationships/hyperlink" Target="http://www.husseinigroup.com/" TargetMode="External"/><Relationship Id="rId355" Type="http://schemas.openxmlformats.org/officeDocument/2006/relationships/hyperlink" Target="http://daaboulengineering.com/" TargetMode="External"/><Relationship Id="rId376" Type="http://schemas.openxmlformats.org/officeDocument/2006/relationships/hyperlink" Target="https://www.majanghm.com/" TargetMode="External"/><Relationship Id="rId397" Type="http://schemas.openxmlformats.org/officeDocument/2006/relationships/hyperlink" Target="https://www.facebook.com/profile.php?id=100067160030433" TargetMode="External"/><Relationship Id="rId4" Type="http://schemas.openxmlformats.org/officeDocument/2006/relationships/hyperlink" Target="https://www.facebook.com/Shams-alsaray-aluminum-steel-products-installation-107322602092336/" TargetMode="External"/><Relationship Id="rId180" Type="http://schemas.openxmlformats.org/officeDocument/2006/relationships/hyperlink" Target="https://www.tischlerei-construct-beschlaghandel.de/" TargetMode="External"/><Relationship Id="rId215" Type="http://schemas.openxmlformats.org/officeDocument/2006/relationships/hyperlink" Target="http://www.alu-solid.at/" TargetMode="External"/><Relationship Id="rId236" Type="http://schemas.openxmlformats.org/officeDocument/2006/relationships/hyperlink" Target="http://koeln.1a-fenstermontage.de/" TargetMode="External"/><Relationship Id="rId257" Type="http://schemas.openxmlformats.org/officeDocument/2006/relationships/hyperlink" Target="https://www.baufuchsonline.de/" TargetMode="External"/><Relationship Id="rId278" Type="http://schemas.openxmlformats.org/officeDocument/2006/relationships/hyperlink" Target="https://www.whitealuminium.ae/" TargetMode="External"/><Relationship Id="rId401" Type="http://schemas.openxmlformats.org/officeDocument/2006/relationships/hyperlink" Target="https://www.facebook.com/profile.php?id=100068043565295" TargetMode="External"/><Relationship Id="rId422" Type="http://schemas.openxmlformats.org/officeDocument/2006/relationships/hyperlink" Target="https://www.facebook.com/profile.php?id=100063748925049" TargetMode="External"/><Relationship Id="rId443" Type="http://schemas.openxmlformats.org/officeDocument/2006/relationships/hyperlink" Target="https://prismakwt.com/arabic/contact.php" TargetMode="External"/><Relationship Id="rId303" Type="http://schemas.openxmlformats.org/officeDocument/2006/relationships/hyperlink" Target="http://abcdecore.qa/contact-us.php" TargetMode="External"/><Relationship Id="rId42" Type="http://schemas.openxmlformats.org/officeDocument/2006/relationships/hyperlink" Target="https://focusaluminium.com/" TargetMode="External"/><Relationship Id="rId84" Type="http://schemas.openxmlformats.org/officeDocument/2006/relationships/hyperlink" Target="http://www.heka.de/" TargetMode="External"/><Relationship Id="rId138" Type="http://schemas.openxmlformats.org/officeDocument/2006/relationships/hyperlink" Target="https://www.profenster.de/" TargetMode="External"/><Relationship Id="rId345" Type="http://schemas.openxmlformats.org/officeDocument/2006/relationships/hyperlink" Target="https://www.khadraglass.com/en" TargetMode="External"/><Relationship Id="rId387" Type="http://schemas.openxmlformats.org/officeDocument/2006/relationships/hyperlink" Target="https://www.sohelgazi.com/" TargetMode="External"/><Relationship Id="rId191" Type="http://schemas.openxmlformats.org/officeDocument/2006/relationships/hyperlink" Target="https://www.facebook.com/garantigroup.ge/" TargetMode="External"/><Relationship Id="rId205" Type="http://schemas.openxmlformats.org/officeDocument/2006/relationships/hyperlink" Target="http://www.fenster-satler.at/geschaeftsstellen" TargetMode="External"/><Relationship Id="rId247" Type="http://schemas.openxmlformats.org/officeDocument/2006/relationships/hyperlink" Target="https://www.bauelemente-wierig.de/" TargetMode="External"/><Relationship Id="rId412" Type="http://schemas.openxmlformats.org/officeDocument/2006/relationships/hyperlink" Target="https://www.facebook.com/tonibattal" TargetMode="External"/><Relationship Id="rId107" Type="http://schemas.openxmlformats.org/officeDocument/2006/relationships/hyperlink" Target="https://www.fenster-az.de/" TargetMode="External"/><Relationship Id="rId289" Type="http://schemas.openxmlformats.org/officeDocument/2006/relationships/hyperlink" Target="http://www.merk-aluminium.de/" TargetMode="External"/><Relationship Id="rId11" Type="http://schemas.openxmlformats.org/officeDocument/2006/relationships/hyperlink" Target="https://www.veka.de/chDE/homepage/kontakt.html" TargetMode="External"/><Relationship Id="rId53" Type="http://schemas.openxmlformats.org/officeDocument/2006/relationships/hyperlink" Target="https://www.facebook.com/profile.php?id=100063840200295" TargetMode="External"/><Relationship Id="rId149" Type="http://schemas.openxmlformats.org/officeDocument/2006/relationships/hyperlink" Target="http://www.kruse-reger.de/" TargetMode="External"/><Relationship Id="rId314" Type="http://schemas.openxmlformats.org/officeDocument/2006/relationships/hyperlink" Target="https://safra-aluminium.business.site/" TargetMode="External"/><Relationship Id="rId356" Type="http://schemas.openxmlformats.org/officeDocument/2006/relationships/hyperlink" Target="http://www.alexco.com.lb/" TargetMode="External"/><Relationship Id="rId398" Type="http://schemas.openxmlformats.org/officeDocument/2006/relationships/hyperlink" Target="https://www.facebook.com/aluminium.Masa.class" TargetMode="External"/><Relationship Id="rId95" Type="http://schemas.openxmlformats.org/officeDocument/2006/relationships/hyperlink" Target="http://www.ruoff.de/" TargetMode="External"/><Relationship Id="rId160" Type="http://schemas.openxmlformats.org/officeDocument/2006/relationships/hyperlink" Target="http://www.montagedienst-baier.de/" TargetMode="External"/><Relationship Id="rId216" Type="http://schemas.openxmlformats.org/officeDocument/2006/relationships/hyperlink" Target="http://www.fenster.wien/" TargetMode="External"/><Relationship Id="rId423" Type="http://schemas.openxmlformats.org/officeDocument/2006/relationships/hyperlink" Target="https://www.facebook.com/Romance.cafe.lb" TargetMode="External"/><Relationship Id="rId258" Type="http://schemas.openxmlformats.org/officeDocument/2006/relationships/hyperlink" Target="https://www.fiedlerglas.de/" TargetMode="External"/><Relationship Id="rId22" Type="http://schemas.openxmlformats.org/officeDocument/2006/relationships/hyperlink" Target="https://www.alahlialuminium.com/contact.html" TargetMode="External"/><Relationship Id="rId64" Type="http://schemas.openxmlformats.org/officeDocument/2006/relationships/hyperlink" Target="http://www.baukotec.de/" TargetMode="External"/><Relationship Id="rId118" Type="http://schemas.openxmlformats.org/officeDocument/2006/relationships/hyperlink" Target="https://s3-innova-fenster-verkleiden.de/" TargetMode="External"/><Relationship Id="rId325" Type="http://schemas.openxmlformats.org/officeDocument/2006/relationships/hyperlink" Target="http://www.proficogroup.com/" TargetMode="External"/><Relationship Id="rId367" Type="http://schemas.openxmlformats.org/officeDocument/2006/relationships/hyperlink" Target="https://www.alatonoman.com/" TargetMode="External"/><Relationship Id="rId171" Type="http://schemas.openxmlformats.org/officeDocument/2006/relationships/hyperlink" Target="http://www.schmidt-visbek.de/" TargetMode="External"/><Relationship Id="rId227" Type="http://schemas.openxmlformats.org/officeDocument/2006/relationships/hyperlink" Target="http://jehlen-fenster.de/" TargetMode="External"/><Relationship Id="rId269" Type="http://schemas.openxmlformats.org/officeDocument/2006/relationships/hyperlink" Target="http://rsg-fenster.de/" TargetMode="External"/><Relationship Id="rId434" Type="http://schemas.openxmlformats.org/officeDocument/2006/relationships/hyperlink" Target="https://www.facebook.com/Abbas.Aluminium" TargetMode="External"/><Relationship Id="rId33" Type="http://schemas.openxmlformats.org/officeDocument/2006/relationships/hyperlink" Target="https://www.blk.com.kw/pages/contact-us" TargetMode="External"/><Relationship Id="rId129" Type="http://schemas.openxmlformats.org/officeDocument/2006/relationships/hyperlink" Target="https://www.glaserei-retzlaff.de/" TargetMode="External"/><Relationship Id="rId280" Type="http://schemas.openxmlformats.org/officeDocument/2006/relationships/hyperlink" Target="https://bmt-bauelemente.de/" TargetMode="External"/><Relationship Id="rId336" Type="http://schemas.openxmlformats.org/officeDocument/2006/relationships/hyperlink" Target="http://www.profalhussein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J1012"/>
  <sheetViews>
    <sheetView tabSelected="1" topLeftCell="B1" workbookViewId="0">
      <pane ySplit="2" topLeftCell="A3" activePane="bottomLeft" state="frozen"/>
      <selection pane="bottomLeft" activeCell="J3" sqref="J3"/>
    </sheetView>
  </sheetViews>
  <sheetFormatPr defaultColWidth="12.625" defaultRowHeight="15" customHeight="1"/>
  <cols>
    <col min="3" max="3" width="23.125" customWidth="1"/>
    <col min="4" max="4" width="17.125" customWidth="1"/>
    <col min="5" max="5" width="9.5" customWidth="1"/>
    <col min="6" max="6" width="8.375" customWidth="1"/>
    <col min="7" max="7" width="16.75" customWidth="1"/>
    <col min="8" max="8" width="21.75" customWidth="1"/>
    <col min="9" max="9" width="19" customWidth="1"/>
    <col min="11" max="11" width="13.625" customWidth="1"/>
    <col min="12" max="12" width="12.5" customWidth="1"/>
    <col min="14" max="14" width="10.5" customWidth="1"/>
    <col min="15" max="19" width="11.375" customWidth="1"/>
    <col min="20" max="20" width="14.875" customWidth="1"/>
    <col min="21" max="21" width="25.875" customWidth="1"/>
    <col min="22" max="27" width="11.375" customWidth="1"/>
    <col min="28" max="28" width="10.5" customWidth="1"/>
    <col min="29" max="34" width="11.375" customWidth="1"/>
    <col min="35" max="35" width="10.5" customWidth="1"/>
    <col min="36" max="41" width="11.375" customWidth="1"/>
    <col min="42" max="42" width="10.5" customWidth="1"/>
    <col min="43" max="48" width="11.375" customWidth="1"/>
    <col min="49" max="49" width="10.5" customWidth="1"/>
    <col min="50" max="62" width="11.375" customWidth="1"/>
    <col min="63" max="63" width="9" customWidth="1"/>
    <col min="64" max="64" width="8.125" customWidth="1"/>
    <col min="65" max="65" width="10.125" customWidth="1"/>
    <col min="66" max="66" width="8.625" customWidth="1"/>
    <col min="67" max="67" width="10.5" customWidth="1"/>
    <col min="70" max="70" width="19.625" customWidth="1"/>
    <col min="77" max="77" width="36.625" customWidth="1"/>
  </cols>
  <sheetData>
    <row r="1" spans="1:88" ht="40.5" customHeight="1">
      <c r="A1" s="218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  <c r="N1" s="1"/>
      <c r="O1" s="215"/>
      <c r="P1" s="216"/>
      <c r="Q1" s="216"/>
      <c r="R1" s="216"/>
      <c r="S1" s="216"/>
      <c r="T1" s="217"/>
      <c r="U1" s="1"/>
      <c r="V1" s="215"/>
      <c r="W1" s="216"/>
      <c r="X1" s="216"/>
      <c r="Y1" s="216"/>
      <c r="Z1" s="216"/>
      <c r="AA1" s="217"/>
      <c r="AB1" s="1"/>
      <c r="AC1" s="215"/>
      <c r="AD1" s="216"/>
      <c r="AE1" s="216"/>
      <c r="AF1" s="216"/>
      <c r="AG1" s="216"/>
      <c r="AH1" s="217"/>
      <c r="AI1" s="1"/>
      <c r="AJ1" s="215"/>
      <c r="AK1" s="216"/>
      <c r="AL1" s="216"/>
      <c r="AM1" s="216"/>
      <c r="AN1" s="216"/>
      <c r="AO1" s="217"/>
      <c r="AP1" s="1"/>
      <c r="AQ1" s="215"/>
      <c r="AR1" s="216"/>
      <c r="AS1" s="216"/>
      <c r="AT1" s="216"/>
      <c r="AU1" s="216"/>
      <c r="AV1" s="217"/>
      <c r="AW1" s="1"/>
      <c r="AX1" s="215"/>
      <c r="AY1" s="216"/>
      <c r="AZ1" s="216"/>
      <c r="BA1" s="216"/>
      <c r="BB1" s="216"/>
      <c r="BC1" s="217"/>
      <c r="BD1" s="215"/>
      <c r="BE1" s="216"/>
      <c r="BF1" s="216"/>
      <c r="BG1" s="216"/>
      <c r="BH1" s="216"/>
      <c r="BI1" s="217"/>
      <c r="BJ1" s="215"/>
      <c r="BK1" s="216"/>
      <c r="BL1" s="216"/>
      <c r="BM1" s="216"/>
      <c r="BN1" s="216"/>
      <c r="BO1" s="216"/>
      <c r="BP1" s="216"/>
      <c r="BQ1" s="216"/>
      <c r="BR1" s="216"/>
      <c r="BS1" s="216"/>
      <c r="BT1" s="216"/>
      <c r="BU1" s="216"/>
      <c r="BV1" s="216"/>
      <c r="BW1" s="216"/>
      <c r="BX1" s="216"/>
      <c r="BY1" s="217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</row>
    <row r="2" spans="1:88" ht="40.5" customHeigh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5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5" t="s">
        <v>13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5" t="s">
        <v>13</v>
      </c>
      <c r="AC2" s="7" t="s">
        <v>26</v>
      </c>
      <c r="AD2" s="7" t="s">
        <v>27</v>
      </c>
      <c r="AE2" s="7" t="s">
        <v>28</v>
      </c>
      <c r="AF2" s="7" t="s">
        <v>29</v>
      </c>
      <c r="AG2" s="7" t="s">
        <v>30</v>
      </c>
      <c r="AH2" s="6" t="s">
        <v>31</v>
      </c>
      <c r="AI2" s="5" t="s">
        <v>13</v>
      </c>
      <c r="AJ2" s="6" t="s">
        <v>32</v>
      </c>
      <c r="AK2" s="7" t="s">
        <v>33</v>
      </c>
      <c r="AL2" s="7" t="s">
        <v>34</v>
      </c>
      <c r="AM2" s="7" t="s">
        <v>35</v>
      </c>
      <c r="AN2" s="7" t="s">
        <v>36</v>
      </c>
      <c r="AO2" s="7" t="s">
        <v>37</v>
      </c>
      <c r="AP2" s="5" t="s">
        <v>13</v>
      </c>
      <c r="AQ2" s="7" t="s">
        <v>38</v>
      </c>
      <c r="AR2" s="7" t="s">
        <v>39</v>
      </c>
      <c r="AS2" s="7" t="s">
        <v>40</v>
      </c>
      <c r="AT2" s="7" t="s">
        <v>41</v>
      </c>
      <c r="AU2" s="7" t="s">
        <v>42</v>
      </c>
      <c r="AV2" s="7" t="s">
        <v>43</v>
      </c>
      <c r="AW2" s="5" t="s">
        <v>13</v>
      </c>
      <c r="AX2" s="6" t="s">
        <v>44</v>
      </c>
      <c r="AY2" s="7" t="s">
        <v>45</v>
      </c>
      <c r="AZ2" s="7" t="s">
        <v>46</v>
      </c>
      <c r="BA2" s="7" t="s">
        <v>47</v>
      </c>
      <c r="BB2" s="7" t="s">
        <v>48</v>
      </c>
      <c r="BC2" s="7" t="s">
        <v>49</v>
      </c>
      <c r="BD2" s="7" t="s">
        <v>50</v>
      </c>
      <c r="BE2" s="7" t="s">
        <v>51</v>
      </c>
      <c r="BF2" s="7" t="s">
        <v>52</v>
      </c>
      <c r="BG2" s="7" t="s">
        <v>53</v>
      </c>
      <c r="BH2" s="7" t="s">
        <v>54</v>
      </c>
      <c r="BI2" s="7" t="s">
        <v>55</v>
      </c>
      <c r="BJ2" s="6" t="s">
        <v>56</v>
      </c>
      <c r="BK2" s="6" t="s">
        <v>57</v>
      </c>
      <c r="BL2" s="6" t="s">
        <v>58</v>
      </c>
      <c r="BM2" s="6" t="s">
        <v>59</v>
      </c>
      <c r="BN2" s="6" t="s">
        <v>60</v>
      </c>
      <c r="BO2" s="6" t="s">
        <v>61</v>
      </c>
      <c r="BP2" s="8" t="s">
        <v>62</v>
      </c>
      <c r="BQ2" s="8" t="s">
        <v>63</v>
      </c>
      <c r="BR2" s="8" t="s">
        <v>64</v>
      </c>
      <c r="BS2" s="8" t="s">
        <v>65</v>
      </c>
      <c r="BT2" s="8" t="s">
        <v>66</v>
      </c>
      <c r="BU2" s="8" t="s">
        <v>67</v>
      </c>
      <c r="BV2" s="8" t="s">
        <v>68</v>
      </c>
      <c r="BW2" s="8" t="s">
        <v>69</v>
      </c>
      <c r="BX2" s="8" t="s">
        <v>70</v>
      </c>
      <c r="BY2" s="6" t="s">
        <v>71</v>
      </c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</row>
    <row r="3" spans="1:88" ht="40.5" customHeight="1">
      <c r="A3" s="9">
        <f t="shared" ref="A3:A322" si="0">IF(C3="","",ROW()-2)</f>
        <v>1</v>
      </c>
      <c r="B3" s="9" t="str">
        <f>IF(C3="","","MA")</f>
        <v>MA</v>
      </c>
      <c r="C3" s="9" t="s">
        <v>72</v>
      </c>
      <c r="D3" s="9" t="s">
        <v>73</v>
      </c>
      <c r="E3" s="9">
        <v>0</v>
      </c>
      <c r="F3" s="9">
        <v>0</v>
      </c>
      <c r="G3" s="9" t="s">
        <v>74</v>
      </c>
      <c r="H3" s="9" t="s">
        <v>75</v>
      </c>
      <c r="I3" s="10" t="s">
        <v>76</v>
      </c>
      <c r="J3" s="9"/>
      <c r="K3" s="11" t="s">
        <v>77</v>
      </c>
      <c r="L3" s="12"/>
      <c r="M3" s="12"/>
      <c r="N3" s="13" t="str">
        <f t="shared" ref="N3:N322" si="1">C3</f>
        <v xml:space="preserve">Kav Hungária Kft.
</v>
      </c>
      <c r="O3" s="9" t="s">
        <v>78</v>
      </c>
      <c r="P3" s="14" t="s">
        <v>79</v>
      </c>
      <c r="Q3" s="15" t="s">
        <v>80</v>
      </c>
      <c r="R3" s="14" t="s">
        <v>75</v>
      </c>
      <c r="S3" s="14" t="s">
        <v>75</v>
      </c>
      <c r="T3" s="16" t="s">
        <v>81</v>
      </c>
      <c r="U3" s="17" t="str">
        <f t="shared" ref="U3:U508" si="2">C3</f>
        <v xml:space="preserve">Kav Hungária Kft.
</v>
      </c>
      <c r="V3" s="9" t="s">
        <v>78</v>
      </c>
      <c r="W3" s="15" t="s">
        <v>82</v>
      </c>
      <c r="X3" s="15" t="s">
        <v>83</v>
      </c>
      <c r="Y3" s="16" t="s">
        <v>75</v>
      </c>
      <c r="Z3" s="15" t="s">
        <v>84</v>
      </c>
      <c r="AA3" s="16" t="s">
        <v>81</v>
      </c>
      <c r="AB3" s="18" t="str">
        <f t="shared" ref="AB3:AB322" si="3">C3</f>
        <v xml:space="preserve">Kav Hungária Kft.
</v>
      </c>
      <c r="AC3" s="19" t="s">
        <v>78</v>
      </c>
      <c r="AD3" s="19" t="s">
        <v>75</v>
      </c>
      <c r="AE3" s="20" t="s">
        <v>85</v>
      </c>
      <c r="AF3" s="19" t="s">
        <v>75</v>
      </c>
      <c r="AG3" s="20" t="s">
        <v>84</v>
      </c>
      <c r="AH3" s="16" t="s">
        <v>86</v>
      </c>
      <c r="AI3" s="18" t="str">
        <f>C3</f>
        <v xml:space="preserve">Kav Hungária Kft.
</v>
      </c>
      <c r="AJ3" s="16"/>
      <c r="AK3" s="19"/>
      <c r="AL3" s="19"/>
      <c r="AM3" s="19" t="s">
        <v>75</v>
      </c>
      <c r="AN3" s="19" t="s">
        <v>87</v>
      </c>
      <c r="AO3" s="19" t="s">
        <v>75</v>
      </c>
      <c r="AP3" s="18"/>
      <c r="AQ3" s="13"/>
      <c r="AR3" s="18"/>
      <c r="AS3" s="18"/>
      <c r="AT3" s="18"/>
      <c r="AU3" s="18"/>
      <c r="AV3" s="18"/>
      <c r="AW3" s="18" t="str">
        <f>C3</f>
        <v xml:space="preserve">Kav Hungária Kft.
</v>
      </c>
      <c r="AX3" s="13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2"/>
      <c r="BK3" s="12"/>
      <c r="BL3" s="12"/>
      <c r="BM3" s="9"/>
      <c r="BN3" s="9"/>
      <c r="BO3" s="9"/>
      <c r="BP3" s="12"/>
      <c r="BQ3" s="12"/>
      <c r="BR3" s="12"/>
      <c r="BS3" s="12"/>
      <c r="BT3" s="12"/>
      <c r="BU3" s="12"/>
      <c r="BV3" s="12"/>
      <c r="BW3" s="12"/>
      <c r="BX3" s="12"/>
      <c r="BY3" s="9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</row>
    <row r="4" spans="1:88" ht="40.5" customHeight="1">
      <c r="A4" s="9">
        <f t="shared" si="0"/>
        <v>2</v>
      </c>
      <c r="B4" s="9" t="str">
        <f t="shared" ref="B4:B98" si="4">IF(C4="","","MA
")</f>
        <v xml:space="preserve">MA
</v>
      </c>
      <c r="C4" s="9" t="s">
        <v>88</v>
      </c>
      <c r="D4" s="9" t="s">
        <v>73</v>
      </c>
      <c r="E4" s="9">
        <v>0</v>
      </c>
      <c r="F4" s="9">
        <v>0</v>
      </c>
      <c r="G4" s="9" t="s">
        <v>89</v>
      </c>
      <c r="H4" s="9" t="s">
        <v>90</v>
      </c>
      <c r="I4" s="10" t="s">
        <v>91</v>
      </c>
      <c r="J4" s="9" t="s">
        <v>79</v>
      </c>
      <c r="K4" s="22" t="s">
        <v>92</v>
      </c>
      <c r="L4" s="12"/>
      <c r="M4" s="12"/>
      <c r="N4" s="13" t="str">
        <f t="shared" si="1"/>
        <v>Feva-Aluszervíz Kft., aluminum doors and windows, winter garden, terrace installation, glass railing production</v>
      </c>
      <c r="O4" s="9" t="s">
        <v>78</v>
      </c>
      <c r="P4" s="14" t="s">
        <v>75</v>
      </c>
      <c r="Q4" s="15" t="s">
        <v>80</v>
      </c>
      <c r="R4" s="14" t="s">
        <v>75</v>
      </c>
      <c r="S4" s="23" t="s">
        <v>84</v>
      </c>
      <c r="T4" s="16" t="s">
        <v>81</v>
      </c>
      <c r="U4" s="17" t="str">
        <f t="shared" si="2"/>
        <v>Feva-Aluszervíz Kft., aluminum doors and windows, winter garden, terrace installation, glass railing production</v>
      </c>
      <c r="V4" s="9" t="s">
        <v>78</v>
      </c>
      <c r="W4" s="15" t="s">
        <v>93</v>
      </c>
      <c r="X4" s="15" t="s">
        <v>83</v>
      </c>
      <c r="Y4" s="16" t="s">
        <v>75</v>
      </c>
      <c r="Z4" s="15" t="s">
        <v>84</v>
      </c>
      <c r="AA4" s="16" t="s">
        <v>86</v>
      </c>
      <c r="AB4" s="18" t="str">
        <f t="shared" si="3"/>
        <v>Feva-Aluszervíz Kft., aluminum doors and windows, winter garden, terrace installation, glass railing production</v>
      </c>
      <c r="AC4" s="19" t="s">
        <v>78</v>
      </c>
      <c r="AD4" s="19" t="s">
        <v>75</v>
      </c>
      <c r="AE4" s="20" t="s">
        <v>85</v>
      </c>
      <c r="AF4" s="19" t="s">
        <v>75</v>
      </c>
      <c r="AG4" s="20" t="s">
        <v>84</v>
      </c>
      <c r="AH4" s="16" t="s">
        <v>86</v>
      </c>
      <c r="AI4" s="18"/>
      <c r="AJ4" s="13"/>
      <c r="AK4" s="18"/>
      <c r="AL4" s="18"/>
      <c r="AM4" s="18"/>
      <c r="AN4" s="18"/>
      <c r="AO4" s="18"/>
      <c r="AP4" s="18"/>
      <c r="AQ4" s="13"/>
      <c r="AR4" s="18"/>
      <c r="AS4" s="18"/>
      <c r="AT4" s="18"/>
      <c r="AU4" s="18"/>
      <c r="AV4" s="18"/>
      <c r="AW4" s="18"/>
      <c r="AX4" s="13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2"/>
      <c r="BK4" s="12"/>
      <c r="BL4" s="12"/>
      <c r="BM4" s="9"/>
      <c r="BN4" s="9"/>
      <c r="BO4" s="9"/>
      <c r="BP4" s="12"/>
      <c r="BQ4" s="12"/>
      <c r="BR4" s="12"/>
      <c r="BS4" s="12"/>
      <c r="BT4" s="12"/>
      <c r="BU4" s="12"/>
      <c r="BV4" s="12"/>
      <c r="BW4" s="12"/>
      <c r="BX4" s="12"/>
      <c r="BY4" s="9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</row>
    <row r="5" spans="1:88" ht="40.5" customHeight="1">
      <c r="A5" s="9">
        <f t="shared" si="0"/>
        <v>3</v>
      </c>
      <c r="B5" s="9" t="str">
        <f t="shared" si="4"/>
        <v xml:space="preserve">MA
</v>
      </c>
      <c r="C5" s="24" t="s">
        <v>94</v>
      </c>
      <c r="D5" s="9" t="s">
        <v>95</v>
      </c>
      <c r="E5" s="12">
        <v>0</v>
      </c>
      <c r="F5" s="12">
        <v>0</v>
      </c>
      <c r="G5" s="9" t="s">
        <v>89</v>
      </c>
      <c r="H5" s="12"/>
      <c r="I5" s="9" t="s">
        <v>96</v>
      </c>
      <c r="J5" s="12"/>
      <c r="K5" s="22" t="s">
        <v>97</v>
      </c>
      <c r="L5" s="12"/>
      <c r="M5" s="12"/>
      <c r="N5" s="13" t="str">
        <f t="shared" si="1"/>
        <v xml:space="preserve">New Aluminium
</v>
      </c>
      <c r="O5" s="9" t="s">
        <v>98</v>
      </c>
      <c r="P5" s="14">
        <v>3</v>
      </c>
      <c r="Q5" s="25">
        <v>44912</v>
      </c>
      <c r="R5" s="14">
        <v>2</v>
      </c>
      <c r="S5" s="26"/>
      <c r="T5" s="16" t="s">
        <v>99</v>
      </c>
      <c r="U5" s="17" t="str">
        <f t="shared" si="2"/>
        <v xml:space="preserve">New Aluminium
</v>
      </c>
      <c r="V5" s="9" t="s">
        <v>98</v>
      </c>
      <c r="W5" s="16">
        <v>1</v>
      </c>
      <c r="X5" s="25">
        <v>44925</v>
      </c>
      <c r="Y5" s="16">
        <v>1</v>
      </c>
      <c r="Z5" s="13"/>
      <c r="AA5" s="16" t="s">
        <v>99</v>
      </c>
      <c r="AB5" s="18" t="str">
        <f t="shared" si="3"/>
        <v xml:space="preserve">New Aluminium
</v>
      </c>
      <c r="AC5" s="19" t="s">
        <v>78</v>
      </c>
      <c r="AD5" s="19" t="s">
        <v>79</v>
      </c>
      <c r="AE5" s="20" t="s">
        <v>100</v>
      </c>
      <c r="AF5" s="19" t="s">
        <v>75</v>
      </c>
      <c r="AG5" s="19" t="s">
        <v>75</v>
      </c>
      <c r="AH5" s="16" t="s">
        <v>101</v>
      </c>
      <c r="AI5" s="18"/>
      <c r="AJ5" s="16" t="s">
        <v>78</v>
      </c>
      <c r="AK5" s="19" t="s">
        <v>79</v>
      </c>
      <c r="AL5" s="20" t="s">
        <v>102</v>
      </c>
      <c r="AM5" s="19" t="s">
        <v>75</v>
      </c>
      <c r="AN5" s="19" t="s">
        <v>75</v>
      </c>
      <c r="AO5" s="19" t="s">
        <v>101</v>
      </c>
      <c r="AP5" s="18"/>
      <c r="AQ5" s="13"/>
      <c r="AR5" s="18"/>
      <c r="AS5" s="18"/>
      <c r="AT5" s="18"/>
      <c r="AU5" s="18"/>
      <c r="AV5" s="18"/>
      <c r="AW5" s="18"/>
      <c r="AX5" s="13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2"/>
      <c r="BK5" s="12"/>
      <c r="BL5" s="12"/>
      <c r="BM5" s="9"/>
      <c r="BN5" s="9"/>
      <c r="BO5" s="9"/>
      <c r="BP5" s="12"/>
      <c r="BQ5" s="12"/>
      <c r="BR5" s="12"/>
      <c r="BS5" s="12"/>
      <c r="BT5" s="12"/>
      <c r="BU5" s="12"/>
      <c r="BV5" s="12"/>
      <c r="BW5" s="12"/>
      <c r="BX5" s="12"/>
      <c r="BY5" s="9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</row>
    <row r="6" spans="1:88" ht="40.5" customHeight="1">
      <c r="A6" s="9">
        <f t="shared" si="0"/>
        <v>4</v>
      </c>
      <c r="B6" s="9" t="str">
        <f t="shared" si="4"/>
        <v xml:space="preserve">MA
</v>
      </c>
      <c r="C6" s="9" t="s">
        <v>103</v>
      </c>
      <c r="D6" s="9" t="s">
        <v>104</v>
      </c>
      <c r="E6" s="12">
        <v>0</v>
      </c>
      <c r="F6" s="12">
        <v>0</v>
      </c>
      <c r="G6" s="9" t="s">
        <v>105</v>
      </c>
      <c r="H6" s="9" t="s">
        <v>75</v>
      </c>
      <c r="I6" s="10" t="s">
        <v>106</v>
      </c>
      <c r="J6" s="9" t="s">
        <v>107</v>
      </c>
      <c r="K6" s="9" t="s">
        <v>75</v>
      </c>
      <c r="L6" s="12"/>
      <c r="M6" s="12"/>
      <c r="N6" s="13" t="str">
        <f t="shared" si="1"/>
        <v>sama</v>
      </c>
      <c r="O6" s="16" t="s">
        <v>78</v>
      </c>
      <c r="P6" s="14">
        <v>2</v>
      </c>
      <c r="Q6" s="25">
        <v>44912</v>
      </c>
      <c r="R6" s="14">
        <v>3</v>
      </c>
      <c r="S6" s="26">
        <v>4.1666666666666664E-2</v>
      </c>
      <c r="T6" s="16" t="s">
        <v>108</v>
      </c>
      <c r="U6" s="17" t="str">
        <f t="shared" si="2"/>
        <v>sama</v>
      </c>
      <c r="V6" s="16" t="s">
        <v>98</v>
      </c>
      <c r="W6" s="16">
        <v>4</v>
      </c>
      <c r="X6" s="25">
        <v>44925</v>
      </c>
      <c r="Y6" s="16"/>
      <c r="Z6" s="13"/>
      <c r="AA6" s="16" t="s">
        <v>86</v>
      </c>
      <c r="AB6" s="18" t="str">
        <f t="shared" si="3"/>
        <v>sama</v>
      </c>
      <c r="AC6" s="19" t="s">
        <v>78</v>
      </c>
      <c r="AD6" s="19">
        <v>5</v>
      </c>
      <c r="AE6" s="27">
        <v>44933</v>
      </c>
      <c r="AF6" s="18"/>
      <c r="AG6" s="18"/>
      <c r="AH6" s="16" t="s">
        <v>101</v>
      </c>
      <c r="AI6" s="18"/>
      <c r="AJ6" s="13"/>
      <c r="AK6" s="18"/>
      <c r="AL6" s="18"/>
      <c r="AM6" s="18"/>
      <c r="AN6" s="18"/>
      <c r="AO6" s="18"/>
      <c r="AP6" s="18"/>
      <c r="AQ6" s="13"/>
      <c r="AR6" s="18"/>
      <c r="AS6" s="18"/>
      <c r="AT6" s="18"/>
      <c r="AU6" s="18"/>
      <c r="AV6" s="18"/>
      <c r="AW6" s="18"/>
      <c r="AX6" s="13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2"/>
      <c r="BK6" s="12"/>
      <c r="BL6" s="12"/>
      <c r="BM6" s="9"/>
      <c r="BN6" s="9"/>
      <c r="BO6" s="9"/>
      <c r="BP6" s="12"/>
      <c r="BQ6" s="12"/>
      <c r="BR6" s="12"/>
      <c r="BS6" s="12"/>
      <c r="BT6" s="12"/>
      <c r="BU6" s="12"/>
      <c r="BV6" s="12"/>
      <c r="BW6" s="12"/>
      <c r="BX6" s="12"/>
      <c r="BY6" s="9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</row>
    <row r="7" spans="1:88" ht="40.5" customHeight="1">
      <c r="A7" s="9">
        <f t="shared" si="0"/>
        <v>5</v>
      </c>
      <c r="B7" s="9" t="str">
        <f t="shared" si="4"/>
        <v xml:space="preserve">MA
</v>
      </c>
      <c r="C7" s="28" t="s">
        <v>109</v>
      </c>
      <c r="D7" s="9" t="s">
        <v>104</v>
      </c>
      <c r="E7" s="12">
        <v>0</v>
      </c>
      <c r="F7" s="12">
        <v>0</v>
      </c>
      <c r="G7" s="9" t="s">
        <v>89</v>
      </c>
      <c r="H7" s="12"/>
      <c r="I7" s="9" t="s">
        <v>110</v>
      </c>
      <c r="J7" s="12"/>
      <c r="K7" s="12"/>
      <c r="L7" s="12"/>
      <c r="M7" s="12"/>
      <c r="N7" s="13" t="str">
        <f t="shared" si="1"/>
        <v>شركة بابل</v>
      </c>
      <c r="O7" s="16" t="s">
        <v>78</v>
      </c>
      <c r="P7" s="14">
        <v>2</v>
      </c>
      <c r="Q7" s="25">
        <v>44912</v>
      </c>
      <c r="R7" s="14">
        <v>3</v>
      </c>
      <c r="S7" s="26">
        <v>7.4999999999999997E-2</v>
      </c>
      <c r="T7" s="16" t="s">
        <v>108</v>
      </c>
      <c r="U7" s="17" t="str">
        <f t="shared" si="2"/>
        <v>شركة بابل</v>
      </c>
      <c r="V7" s="16" t="s">
        <v>98</v>
      </c>
      <c r="W7" s="16">
        <v>4</v>
      </c>
      <c r="X7" s="25">
        <v>44925</v>
      </c>
      <c r="Y7" s="13"/>
      <c r="Z7" s="13"/>
      <c r="AA7" s="16" t="s">
        <v>86</v>
      </c>
      <c r="AB7" s="18" t="str">
        <f t="shared" si="3"/>
        <v>شركة بابل</v>
      </c>
      <c r="AC7" s="19" t="s">
        <v>78</v>
      </c>
      <c r="AD7" s="19">
        <v>5</v>
      </c>
      <c r="AE7" s="27">
        <v>44933</v>
      </c>
      <c r="AF7" s="18"/>
      <c r="AG7" s="18"/>
      <c r="AH7" s="16" t="s">
        <v>101</v>
      </c>
      <c r="AI7" s="18"/>
      <c r="AJ7" s="13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3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2"/>
      <c r="BK7" s="12"/>
      <c r="BL7" s="12"/>
      <c r="BM7" s="9"/>
      <c r="BN7" s="9"/>
      <c r="BO7" s="9"/>
      <c r="BP7" s="12"/>
      <c r="BQ7" s="12"/>
      <c r="BR7" s="12"/>
      <c r="BS7" s="12"/>
      <c r="BT7" s="12"/>
      <c r="BU7" s="12"/>
      <c r="BV7" s="12"/>
      <c r="BW7" s="12"/>
      <c r="BX7" s="12"/>
      <c r="BY7" s="9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</row>
    <row r="8" spans="1:88" ht="40.5" customHeight="1">
      <c r="A8" s="9">
        <f t="shared" si="0"/>
        <v>6</v>
      </c>
      <c r="B8" s="9" t="str">
        <f t="shared" si="4"/>
        <v xml:space="preserve">MA
</v>
      </c>
      <c r="C8" s="24" t="s">
        <v>111</v>
      </c>
      <c r="D8" s="9" t="s">
        <v>104</v>
      </c>
      <c r="E8" s="9">
        <v>1</v>
      </c>
      <c r="F8" s="12">
        <v>0</v>
      </c>
      <c r="G8" s="9" t="s">
        <v>89</v>
      </c>
      <c r="H8" s="12"/>
      <c r="I8" s="9" t="s">
        <v>112</v>
      </c>
      <c r="J8" s="12"/>
      <c r="K8" s="12"/>
      <c r="L8" s="12"/>
      <c r="M8" s="12"/>
      <c r="N8" s="13" t="str">
        <f t="shared" si="1"/>
        <v xml:space="preserve">al jser </v>
      </c>
      <c r="O8" s="16" t="s">
        <v>98</v>
      </c>
      <c r="P8" s="14">
        <v>2</v>
      </c>
      <c r="Q8" s="25">
        <v>44912</v>
      </c>
      <c r="R8" s="14">
        <v>1</v>
      </c>
      <c r="S8" s="17"/>
      <c r="T8" s="16" t="s">
        <v>86</v>
      </c>
      <c r="U8" s="17" t="str">
        <f t="shared" si="2"/>
        <v xml:space="preserve">al jser </v>
      </c>
      <c r="V8" s="16" t="s">
        <v>98</v>
      </c>
      <c r="W8" s="16">
        <v>3</v>
      </c>
      <c r="X8" s="25">
        <v>44925</v>
      </c>
      <c r="Y8" s="13"/>
      <c r="Z8" s="13"/>
      <c r="AA8" s="16" t="s">
        <v>4</v>
      </c>
      <c r="AB8" s="18" t="str">
        <f t="shared" si="3"/>
        <v xml:space="preserve">al jser </v>
      </c>
      <c r="AC8" s="18"/>
      <c r="AD8" s="18"/>
      <c r="AE8" s="18"/>
      <c r="AF8" s="18"/>
      <c r="AG8" s="18"/>
      <c r="AH8" s="13"/>
      <c r="AI8" s="18"/>
      <c r="AJ8" s="13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3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2"/>
      <c r="BK8" s="12"/>
      <c r="BL8" s="12"/>
      <c r="BM8" s="9"/>
      <c r="BN8" s="9"/>
      <c r="BO8" s="9"/>
      <c r="BP8" s="12"/>
      <c r="BQ8" s="12"/>
      <c r="BR8" s="12"/>
      <c r="BS8" s="12"/>
      <c r="BT8" s="12"/>
      <c r="BU8" s="12"/>
      <c r="BV8" s="12"/>
      <c r="BW8" s="12"/>
      <c r="BX8" s="12"/>
      <c r="BY8" s="9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</row>
    <row r="9" spans="1:88" ht="40.5" customHeight="1">
      <c r="A9" s="9">
        <f t="shared" si="0"/>
        <v>7</v>
      </c>
      <c r="B9" s="9" t="str">
        <f t="shared" si="4"/>
        <v xml:space="preserve">MA
</v>
      </c>
      <c r="C9" s="9" t="s">
        <v>113</v>
      </c>
      <c r="D9" s="9" t="s">
        <v>104</v>
      </c>
      <c r="E9" s="12">
        <v>0</v>
      </c>
      <c r="F9" s="12">
        <v>0</v>
      </c>
      <c r="G9" s="9" t="s">
        <v>89</v>
      </c>
      <c r="H9" s="12"/>
      <c r="I9" s="9" t="s">
        <v>114</v>
      </c>
      <c r="J9" s="12"/>
      <c r="K9" s="12"/>
      <c r="L9" s="12"/>
      <c r="M9" s="12"/>
      <c r="N9" s="13" t="str">
        <f t="shared" si="1"/>
        <v>Newbond</v>
      </c>
      <c r="O9" s="16" t="s">
        <v>78</v>
      </c>
      <c r="P9" s="14">
        <v>3</v>
      </c>
      <c r="Q9" s="25">
        <v>44912</v>
      </c>
      <c r="R9" s="14">
        <v>3</v>
      </c>
      <c r="S9" s="17" t="str">
        <f>IF(O9 &lt;&gt; "ARAMA","WP or EMAIL","")</f>
        <v/>
      </c>
      <c r="T9" s="16" t="s">
        <v>86</v>
      </c>
      <c r="U9" s="17" t="str">
        <f t="shared" si="2"/>
        <v>Newbond</v>
      </c>
      <c r="V9" s="16" t="s">
        <v>98</v>
      </c>
      <c r="W9" s="16">
        <v>4</v>
      </c>
      <c r="X9" s="25">
        <v>44925</v>
      </c>
      <c r="Y9" s="13"/>
      <c r="Z9" s="13"/>
      <c r="AA9" s="16" t="s">
        <v>86</v>
      </c>
      <c r="AB9" s="18" t="str">
        <f t="shared" si="3"/>
        <v>Newbond</v>
      </c>
      <c r="AC9" s="18"/>
      <c r="AD9" s="18"/>
      <c r="AE9" s="18"/>
      <c r="AF9" s="18"/>
      <c r="AG9" s="18"/>
      <c r="AH9" s="13"/>
      <c r="AI9" s="18"/>
      <c r="AJ9" s="13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3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2"/>
      <c r="BK9" s="12"/>
      <c r="BL9" s="12"/>
      <c r="BM9" s="9"/>
      <c r="BN9" s="9"/>
      <c r="BO9" s="9"/>
      <c r="BP9" s="12"/>
      <c r="BQ9" s="12"/>
      <c r="BR9" s="12"/>
      <c r="BS9" s="12"/>
      <c r="BT9" s="12"/>
      <c r="BU9" s="12"/>
      <c r="BV9" s="12"/>
      <c r="BW9" s="12"/>
      <c r="BX9" s="12"/>
      <c r="BY9" s="9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</row>
    <row r="10" spans="1:88" ht="40.5" customHeight="1">
      <c r="A10" s="9">
        <f t="shared" si="0"/>
        <v>8</v>
      </c>
      <c r="B10" s="9" t="str">
        <f t="shared" si="4"/>
        <v xml:space="preserve">MA
</v>
      </c>
      <c r="C10" s="9" t="s">
        <v>115</v>
      </c>
      <c r="D10" s="9" t="s">
        <v>104</v>
      </c>
      <c r="E10" s="12">
        <v>0</v>
      </c>
      <c r="F10" s="12">
        <v>0</v>
      </c>
      <c r="G10" s="9" t="s">
        <v>89</v>
      </c>
      <c r="H10" s="12"/>
      <c r="I10" s="9" t="s">
        <v>116</v>
      </c>
      <c r="J10" s="9" t="s">
        <v>117</v>
      </c>
      <c r="K10" s="12"/>
      <c r="L10" s="12"/>
      <c r="M10" s="12"/>
      <c r="N10" s="13" t="str">
        <f t="shared" si="1"/>
        <v>Alferrganı</v>
      </c>
      <c r="O10" s="16" t="s">
        <v>78</v>
      </c>
      <c r="P10" s="14">
        <v>2</v>
      </c>
      <c r="Q10" s="25">
        <v>44912</v>
      </c>
      <c r="R10" s="14">
        <v>4</v>
      </c>
      <c r="S10" s="26">
        <v>0.10416666666666667</v>
      </c>
      <c r="T10" s="13"/>
      <c r="U10" s="17" t="str">
        <f t="shared" si="2"/>
        <v>Alferrganı</v>
      </c>
      <c r="V10" s="16" t="s">
        <v>78</v>
      </c>
      <c r="W10" s="16">
        <v>3</v>
      </c>
      <c r="X10" s="25">
        <v>44914</v>
      </c>
      <c r="Y10" s="16">
        <v>4</v>
      </c>
      <c r="Z10" s="29">
        <v>0.15625</v>
      </c>
      <c r="AA10" s="16" t="s">
        <v>86</v>
      </c>
      <c r="AB10" s="18" t="str">
        <f t="shared" si="3"/>
        <v>Alferrganı</v>
      </c>
      <c r="AC10" s="18"/>
      <c r="AD10" s="18"/>
      <c r="AE10" s="18"/>
      <c r="AF10" s="18"/>
      <c r="AG10" s="18"/>
      <c r="AH10" s="13"/>
      <c r="AI10" s="18"/>
      <c r="AJ10" s="13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3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2"/>
      <c r="BK10" s="12"/>
      <c r="BL10" s="12"/>
      <c r="BM10" s="9"/>
      <c r="BN10" s="9"/>
      <c r="BO10" s="9"/>
      <c r="BP10" s="12"/>
      <c r="BQ10" s="12"/>
      <c r="BR10" s="12"/>
      <c r="BS10" s="12"/>
      <c r="BT10" s="12"/>
      <c r="BU10" s="12"/>
      <c r="BV10" s="12"/>
      <c r="BW10" s="12"/>
      <c r="BX10" s="12"/>
      <c r="BY10" s="9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</row>
    <row r="11" spans="1:88" ht="40.5" customHeight="1">
      <c r="A11" s="9">
        <f t="shared" si="0"/>
        <v>9</v>
      </c>
      <c r="B11" s="9" t="str">
        <f t="shared" si="4"/>
        <v xml:space="preserve">MA
</v>
      </c>
      <c r="C11" s="9" t="s">
        <v>118</v>
      </c>
      <c r="D11" s="9" t="s">
        <v>119</v>
      </c>
      <c r="E11" s="12">
        <v>0</v>
      </c>
      <c r="F11" s="9">
        <v>1</v>
      </c>
      <c r="G11" s="9" t="s">
        <v>89</v>
      </c>
      <c r="H11" s="9" t="s">
        <v>79</v>
      </c>
      <c r="I11" s="9" t="s">
        <v>120</v>
      </c>
      <c r="J11" s="9" t="s">
        <v>118</v>
      </c>
      <c r="K11" s="9" t="s">
        <v>79</v>
      </c>
      <c r="L11" s="12"/>
      <c r="M11" s="12"/>
      <c r="N11" s="13" t="str">
        <f t="shared" si="1"/>
        <v>Orhan bey</v>
      </c>
      <c r="O11" s="16" t="s">
        <v>98</v>
      </c>
      <c r="P11" s="14">
        <v>3</v>
      </c>
      <c r="Q11" s="25">
        <v>44914</v>
      </c>
      <c r="R11" s="14">
        <v>3</v>
      </c>
      <c r="S11" s="17"/>
      <c r="T11" s="16" t="s">
        <v>86</v>
      </c>
      <c r="U11" s="17" t="str">
        <f t="shared" si="2"/>
        <v>Orhan bey</v>
      </c>
      <c r="V11" s="16" t="s">
        <v>98</v>
      </c>
      <c r="W11" s="16">
        <v>4</v>
      </c>
      <c r="X11" s="25">
        <v>44925</v>
      </c>
      <c r="Y11" s="13"/>
      <c r="Z11" s="13"/>
      <c r="AA11" s="16" t="s">
        <v>86</v>
      </c>
      <c r="AB11" s="18" t="str">
        <f t="shared" si="3"/>
        <v>Orhan bey</v>
      </c>
      <c r="AC11" s="16" t="s">
        <v>98</v>
      </c>
      <c r="AD11" s="16">
        <v>5</v>
      </c>
      <c r="AE11" s="25">
        <v>44943</v>
      </c>
      <c r="AF11" s="13"/>
      <c r="AG11" s="13"/>
      <c r="AH11" s="16" t="s">
        <v>86</v>
      </c>
      <c r="AI11" s="18"/>
      <c r="AJ11" s="16" t="s">
        <v>78</v>
      </c>
      <c r="AK11" s="19">
        <v>6</v>
      </c>
      <c r="AL11" s="27">
        <v>44956</v>
      </c>
      <c r="AM11" s="18"/>
      <c r="AN11" s="18"/>
      <c r="AO11" s="19" t="s">
        <v>101</v>
      </c>
      <c r="AP11" s="18"/>
      <c r="AQ11" s="19" t="s">
        <v>78</v>
      </c>
      <c r="AR11" s="20" t="s">
        <v>121</v>
      </c>
      <c r="AS11" s="20" t="s">
        <v>122</v>
      </c>
      <c r="AT11" s="19" t="s">
        <v>75</v>
      </c>
      <c r="AU11" s="19" t="s">
        <v>75</v>
      </c>
      <c r="AV11" s="19" t="s">
        <v>101</v>
      </c>
      <c r="AW11" s="18"/>
      <c r="AX11" s="13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2"/>
      <c r="BK11" s="12"/>
      <c r="BL11" s="12"/>
      <c r="BM11" s="9"/>
      <c r="BN11" s="9"/>
      <c r="BO11" s="9"/>
      <c r="BP11" s="12"/>
      <c r="BQ11" s="12"/>
      <c r="BR11" s="12"/>
      <c r="BS11" s="12"/>
      <c r="BT11" s="12"/>
      <c r="BU11" s="12"/>
      <c r="BV11" s="12"/>
      <c r="BW11" s="12"/>
      <c r="BX11" s="12"/>
      <c r="BY11" s="9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</row>
    <row r="12" spans="1:88" ht="40.5" customHeight="1">
      <c r="A12" s="24">
        <f t="shared" si="0"/>
        <v>10</v>
      </c>
      <c r="B12" s="24" t="str">
        <f t="shared" si="4"/>
        <v xml:space="preserve">MA
</v>
      </c>
      <c r="C12" s="24" t="s">
        <v>123</v>
      </c>
      <c r="D12" s="24" t="s">
        <v>119</v>
      </c>
      <c r="E12" s="24">
        <v>1</v>
      </c>
      <c r="F12" s="30">
        <v>0</v>
      </c>
      <c r="G12" s="24" t="s">
        <v>74</v>
      </c>
      <c r="H12" s="24" t="s">
        <v>79</v>
      </c>
      <c r="I12" s="31" t="s">
        <v>124</v>
      </c>
      <c r="J12" s="24" t="s">
        <v>79</v>
      </c>
      <c r="K12" s="32" t="s">
        <v>125</v>
      </c>
      <c r="L12" s="30"/>
      <c r="M12" s="30"/>
      <c r="N12" s="33" t="str">
        <f t="shared" si="1"/>
        <v>HAMAD BIN SALEM ALAZZANI TRADING EST.</v>
      </c>
      <c r="O12" s="34" t="s">
        <v>78</v>
      </c>
      <c r="P12" s="35">
        <v>3</v>
      </c>
      <c r="Q12" s="36">
        <v>44914</v>
      </c>
      <c r="R12" s="35">
        <v>2</v>
      </c>
      <c r="S12" s="37">
        <v>0.05</v>
      </c>
      <c r="T12" s="34" t="s">
        <v>4</v>
      </c>
      <c r="U12" s="38" t="str">
        <f t="shared" si="2"/>
        <v>HAMAD BIN SALEM ALAZZANI TRADING EST.</v>
      </c>
      <c r="V12" s="33"/>
      <c r="W12" s="33"/>
      <c r="X12" s="36"/>
      <c r="Y12" s="33"/>
      <c r="Z12" s="33"/>
      <c r="AA12" s="33"/>
      <c r="AB12" s="39" t="str">
        <f t="shared" si="3"/>
        <v>HAMAD BIN SALEM ALAZZANI TRADING EST.</v>
      </c>
      <c r="AC12" s="33"/>
      <c r="AD12" s="33"/>
      <c r="AE12" s="33"/>
      <c r="AF12" s="33"/>
      <c r="AG12" s="33"/>
      <c r="AH12" s="33"/>
      <c r="AI12" s="39"/>
      <c r="AJ12" s="34" t="s">
        <v>78</v>
      </c>
      <c r="AK12" s="40">
        <v>5</v>
      </c>
      <c r="AL12" s="41">
        <v>44956</v>
      </c>
      <c r="AM12" s="39"/>
      <c r="AN12" s="39"/>
      <c r="AO12" s="40" t="s">
        <v>126</v>
      </c>
      <c r="AP12" s="39"/>
      <c r="AQ12" s="39"/>
      <c r="AR12" s="39"/>
      <c r="AS12" s="39"/>
      <c r="AT12" s="39"/>
      <c r="AU12" s="39"/>
      <c r="AV12" s="39"/>
      <c r="AW12" s="39"/>
      <c r="AX12" s="33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0"/>
      <c r="BK12" s="30"/>
      <c r="BL12" s="30"/>
      <c r="BM12" s="24"/>
      <c r="BN12" s="24"/>
      <c r="BO12" s="24"/>
      <c r="BP12" s="30"/>
      <c r="BQ12" s="30"/>
      <c r="BR12" s="30"/>
      <c r="BS12" s="30"/>
      <c r="BT12" s="30"/>
      <c r="BU12" s="30"/>
      <c r="BV12" s="30"/>
      <c r="BW12" s="30"/>
      <c r="BX12" s="30"/>
      <c r="BY12" s="24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</row>
    <row r="13" spans="1:88" ht="40.5" customHeight="1">
      <c r="A13" s="24">
        <f t="shared" si="0"/>
        <v>11</v>
      </c>
      <c r="B13" s="24" t="str">
        <f t="shared" si="4"/>
        <v xml:space="preserve">MA
</v>
      </c>
      <c r="C13" s="24" t="s">
        <v>127</v>
      </c>
      <c r="D13" s="24" t="s">
        <v>119</v>
      </c>
      <c r="E13" s="30">
        <v>0</v>
      </c>
      <c r="F13" s="30">
        <v>0</v>
      </c>
      <c r="G13" s="24" t="s">
        <v>89</v>
      </c>
      <c r="H13" s="30"/>
      <c r="I13" s="24" t="s">
        <v>128</v>
      </c>
      <c r="J13" s="24" t="s">
        <v>129</v>
      </c>
      <c r="K13" s="32" t="s">
        <v>130</v>
      </c>
      <c r="L13" s="30"/>
      <c r="M13" s="30"/>
      <c r="N13" s="33" t="str">
        <f t="shared" si="1"/>
        <v xml:space="preserve">Sohel gazi alduwalia
</v>
      </c>
      <c r="O13" s="34" t="s">
        <v>78</v>
      </c>
      <c r="P13" s="35">
        <v>3</v>
      </c>
      <c r="Q13" s="36">
        <v>44914</v>
      </c>
      <c r="R13" s="35">
        <v>4</v>
      </c>
      <c r="S13" s="37">
        <v>0.3215277777777778</v>
      </c>
      <c r="T13" s="34" t="s">
        <v>86</v>
      </c>
      <c r="U13" s="38" t="str">
        <f t="shared" si="2"/>
        <v xml:space="preserve">Sohel gazi alduwalia
</v>
      </c>
      <c r="V13" s="34" t="s">
        <v>98</v>
      </c>
      <c r="W13" s="34">
        <v>6</v>
      </c>
      <c r="X13" s="36">
        <v>44925</v>
      </c>
      <c r="Y13" s="34">
        <v>2</v>
      </c>
      <c r="Z13" s="33"/>
      <c r="AA13" s="34" t="s">
        <v>86</v>
      </c>
      <c r="AB13" s="39" t="str">
        <f t="shared" si="3"/>
        <v xml:space="preserve">Sohel gazi alduwalia
</v>
      </c>
      <c r="AC13" s="34" t="s">
        <v>78</v>
      </c>
      <c r="AD13" s="34">
        <v>7</v>
      </c>
      <c r="AE13" s="36">
        <v>44931</v>
      </c>
      <c r="AF13" s="34">
        <v>1</v>
      </c>
      <c r="AG13" s="43">
        <v>4.1666666666666664E-2</v>
      </c>
      <c r="AH13" s="34" t="s">
        <v>86</v>
      </c>
      <c r="AI13" s="39"/>
      <c r="AJ13" s="34" t="s">
        <v>78</v>
      </c>
      <c r="AK13" s="40">
        <v>8</v>
      </c>
      <c r="AL13" s="41">
        <v>44956</v>
      </c>
      <c r="AM13" s="39"/>
      <c r="AN13" s="44">
        <v>7.0833333333333331E-2</v>
      </c>
      <c r="AO13" s="40" t="s">
        <v>101</v>
      </c>
      <c r="AP13" s="39"/>
      <c r="AQ13" s="40" t="s">
        <v>78</v>
      </c>
      <c r="AR13" s="45" t="s">
        <v>131</v>
      </c>
      <c r="AS13" s="45" t="s">
        <v>122</v>
      </c>
      <c r="AT13" s="40" t="s">
        <v>75</v>
      </c>
      <c r="AU13" s="40" t="s">
        <v>75</v>
      </c>
      <c r="AV13" s="40" t="s">
        <v>101</v>
      </c>
      <c r="AW13" s="39"/>
      <c r="AX13" s="34" t="s">
        <v>78</v>
      </c>
      <c r="AY13" s="40" t="s">
        <v>79</v>
      </c>
      <c r="AZ13" s="45" t="s">
        <v>132</v>
      </c>
      <c r="BA13" s="40" t="s">
        <v>75</v>
      </c>
      <c r="BB13" s="40" t="s">
        <v>75</v>
      </c>
      <c r="BC13" s="40" t="s">
        <v>101</v>
      </c>
      <c r="BD13" s="40" t="s">
        <v>98</v>
      </c>
      <c r="BE13" s="40" t="s">
        <v>79</v>
      </c>
      <c r="BF13" s="45" t="s">
        <v>80</v>
      </c>
      <c r="BG13" s="40" t="s">
        <v>75</v>
      </c>
      <c r="BH13" s="40" t="s">
        <v>75</v>
      </c>
      <c r="BI13" s="40" t="s">
        <v>86</v>
      </c>
      <c r="BJ13" s="30"/>
      <c r="BK13" s="30"/>
      <c r="BL13" s="30"/>
      <c r="BM13" s="24"/>
      <c r="BN13" s="24"/>
      <c r="BO13" s="24"/>
      <c r="BP13" s="30"/>
      <c r="BQ13" s="30"/>
      <c r="BR13" s="30"/>
      <c r="BS13" s="30"/>
      <c r="BT13" s="30"/>
      <c r="BU13" s="30"/>
      <c r="BV13" s="30"/>
      <c r="BW13" s="30"/>
      <c r="BX13" s="30"/>
      <c r="BY13" s="24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</row>
    <row r="14" spans="1:88" ht="40.5" customHeight="1">
      <c r="A14" s="24">
        <f t="shared" si="0"/>
        <v>12</v>
      </c>
      <c r="B14" s="24" t="str">
        <f t="shared" si="4"/>
        <v xml:space="preserve">MA
</v>
      </c>
      <c r="C14" s="24" t="s">
        <v>133</v>
      </c>
      <c r="D14" s="24" t="s">
        <v>134</v>
      </c>
      <c r="E14" s="30">
        <v>0</v>
      </c>
      <c r="F14" s="30">
        <v>0</v>
      </c>
      <c r="G14" s="24" t="s">
        <v>89</v>
      </c>
      <c r="H14" s="24" t="s">
        <v>79</v>
      </c>
      <c r="I14" s="24" t="s">
        <v>135</v>
      </c>
      <c r="J14" s="24" t="s">
        <v>79</v>
      </c>
      <c r="K14" s="32" t="s">
        <v>136</v>
      </c>
      <c r="L14" s="30"/>
      <c r="M14" s="30"/>
      <c r="N14" s="33" t="str">
        <f t="shared" si="1"/>
        <v>Mitro-Plast Sh. P. K.</v>
      </c>
      <c r="O14" s="34" t="s">
        <v>78</v>
      </c>
      <c r="P14" s="35">
        <v>3</v>
      </c>
      <c r="Q14" s="36">
        <v>44914</v>
      </c>
      <c r="R14" s="38"/>
      <c r="S14" s="38"/>
      <c r="T14" s="34" t="s">
        <v>137</v>
      </c>
      <c r="U14" s="38" t="str">
        <f t="shared" si="2"/>
        <v>Mitro-Plast Sh. P. K.</v>
      </c>
      <c r="V14" s="34" t="s">
        <v>98</v>
      </c>
      <c r="W14" s="34">
        <v>4</v>
      </c>
      <c r="X14" s="36">
        <v>44925</v>
      </c>
      <c r="Y14" s="33"/>
      <c r="Z14" s="33"/>
      <c r="AA14" s="34" t="s">
        <v>86</v>
      </c>
      <c r="AB14" s="39" t="str">
        <f t="shared" si="3"/>
        <v>Mitro-Plast Sh. P. K.</v>
      </c>
      <c r="AC14" s="34" t="s">
        <v>78</v>
      </c>
      <c r="AD14" s="34">
        <v>5</v>
      </c>
      <c r="AE14" s="36">
        <v>44931</v>
      </c>
      <c r="AF14" s="34">
        <v>2</v>
      </c>
      <c r="AG14" s="43">
        <v>0.12708333333333333</v>
      </c>
      <c r="AH14" s="34" t="s">
        <v>4</v>
      </c>
      <c r="AI14" s="39"/>
      <c r="AJ14" s="34" t="s">
        <v>98</v>
      </c>
      <c r="AK14" s="40">
        <v>6</v>
      </c>
      <c r="AL14" s="41">
        <v>44956</v>
      </c>
      <c r="AM14" s="39"/>
      <c r="AN14" s="39"/>
      <c r="AO14" s="40" t="s">
        <v>86</v>
      </c>
      <c r="AP14" s="39"/>
      <c r="AQ14" s="40" t="s">
        <v>78</v>
      </c>
      <c r="AR14" s="45" t="s">
        <v>121</v>
      </c>
      <c r="AS14" s="45" t="s">
        <v>138</v>
      </c>
      <c r="AT14" s="40" t="s">
        <v>75</v>
      </c>
      <c r="AU14" s="40" t="s">
        <v>75</v>
      </c>
      <c r="AV14" s="40" t="s">
        <v>4</v>
      </c>
      <c r="AW14" s="39"/>
      <c r="AX14" s="34" t="s">
        <v>78</v>
      </c>
      <c r="AY14" s="45" t="s">
        <v>82</v>
      </c>
      <c r="AZ14" s="45" t="s">
        <v>139</v>
      </c>
      <c r="BA14" s="40" t="s">
        <v>75</v>
      </c>
      <c r="BB14" s="40" t="s">
        <v>75</v>
      </c>
      <c r="BC14" s="40" t="s">
        <v>86</v>
      </c>
      <c r="BD14" s="40" t="s">
        <v>98</v>
      </c>
      <c r="BE14" s="40" t="s">
        <v>79</v>
      </c>
      <c r="BF14" s="45" t="s">
        <v>140</v>
      </c>
      <c r="BG14" s="40" t="s">
        <v>75</v>
      </c>
      <c r="BH14" s="40" t="s">
        <v>75</v>
      </c>
      <c r="BI14" s="40" t="s">
        <v>86</v>
      </c>
      <c r="BJ14" s="30"/>
      <c r="BK14" s="30"/>
      <c r="BL14" s="30"/>
      <c r="BM14" s="24"/>
      <c r="BN14" s="24"/>
      <c r="BO14" s="24"/>
      <c r="BP14" s="30"/>
      <c r="BQ14" s="30"/>
      <c r="BR14" s="30"/>
      <c r="BS14" s="30"/>
      <c r="BT14" s="30"/>
      <c r="BU14" s="30"/>
      <c r="BV14" s="30"/>
      <c r="BW14" s="30"/>
      <c r="BX14" s="30"/>
      <c r="BY14" s="24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</row>
    <row r="15" spans="1:88" ht="40.5" customHeight="1">
      <c r="A15" s="9">
        <f t="shared" si="0"/>
        <v>13</v>
      </c>
      <c r="B15" s="9" t="str">
        <f t="shared" si="4"/>
        <v xml:space="preserve">MA
</v>
      </c>
      <c r="C15" s="9" t="s">
        <v>141</v>
      </c>
      <c r="D15" s="9" t="s">
        <v>119</v>
      </c>
      <c r="E15" s="12">
        <v>0</v>
      </c>
      <c r="F15" s="12">
        <v>0</v>
      </c>
      <c r="G15" s="9" t="s">
        <v>89</v>
      </c>
      <c r="H15" s="12"/>
      <c r="I15" s="9" t="s">
        <v>142</v>
      </c>
      <c r="J15" s="12"/>
      <c r="K15" s="22" t="s">
        <v>143</v>
      </c>
      <c r="L15" s="12"/>
      <c r="M15" s="12"/>
      <c r="N15" s="13" t="str">
        <f t="shared" si="1"/>
        <v xml:space="preserve">Modern Aluminium Services LLc.
</v>
      </c>
      <c r="O15" s="16" t="s">
        <v>78</v>
      </c>
      <c r="P15" s="14">
        <v>3</v>
      </c>
      <c r="Q15" s="25">
        <v>44914</v>
      </c>
      <c r="R15" s="17"/>
      <c r="S15" s="17"/>
      <c r="T15" s="16" t="s">
        <v>126</v>
      </c>
      <c r="U15" s="17" t="str">
        <f t="shared" si="2"/>
        <v xml:space="preserve">Modern Aluminium Services LLc.
</v>
      </c>
      <c r="V15" s="16" t="s">
        <v>78</v>
      </c>
      <c r="W15" s="16">
        <v>4</v>
      </c>
      <c r="X15" s="25">
        <v>44931</v>
      </c>
      <c r="Y15" s="13"/>
      <c r="Z15" s="13"/>
      <c r="AA15" s="16" t="s">
        <v>126</v>
      </c>
      <c r="AB15" s="18" t="str">
        <f t="shared" si="3"/>
        <v xml:space="preserve">Modern Aluminium Services LLc.
</v>
      </c>
      <c r="AC15" s="16" t="s">
        <v>7</v>
      </c>
      <c r="AD15" s="16">
        <v>5</v>
      </c>
      <c r="AE15" s="25">
        <v>44943</v>
      </c>
      <c r="AF15" s="13"/>
      <c r="AG15" s="13"/>
      <c r="AH15" s="16" t="s">
        <v>81</v>
      </c>
      <c r="AI15" s="18"/>
      <c r="AJ15" s="16" t="s">
        <v>98</v>
      </c>
      <c r="AK15" s="18"/>
      <c r="AL15" s="27">
        <v>44956</v>
      </c>
      <c r="AM15" s="18"/>
      <c r="AN15" s="18"/>
      <c r="AO15" s="19" t="s">
        <v>126</v>
      </c>
      <c r="AP15" s="18"/>
      <c r="AQ15" s="19" t="s">
        <v>78</v>
      </c>
      <c r="AR15" s="20" t="s">
        <v>144</v>
      </c>
      <c r="AS15" s="20" t="s">
        <v>122</v>
      </c>
      <c r="AT15" s="19" t="s">
        <v>75</v>
      </c>
      <c r="AU15" s="19" t="s">
        <v>75</v>
      </c>
      <c r="AV15" s="19" t="s">
        <v>145</v>
      </c>
      <c r="AW15" s="18"/>
      <c r="AX15" s="16" t="s">
        <v>78</v>
      </c>
      <c r="AY15" s="19" t="s">
        <v>79</v>
      </c>
      <c r="AZ15" s="20" t="s">
        <v>132</v>
      </c>
      <c r="BA15" s="19" t="s">
        <v>75</v>
      </c>
      <c r="BB15" s="19" t="s">
        <v>75</v>
      </c>
      <c r="BC15" s="19" t="s">
        <v>126</v>
      </c>
      <c r="BD15" s="18"/>
      <c r="BE15" s="18"/>
      <c r="BF15" s="18"/>
      <c r="BG15" s="18"/>
      <c r="BH15" s="18"/>
      <c r="BI15" s="18"/>
      <c r="BJ15" s="12"/>
      <c r="BK15" s="12"/>
      <c r="BL15" s="12"/>
      <c r="BM15" s="9"/>
      <c r="BN15" s="9"/>
      <c r="BO15" s="9"/>
      <c r="BP15" s="12"/>
      <c r="BQ15" s="12"/>
      <c r="BR15" s="12"/>
      <c r="BS15" s="12"/>
      <c r="BT15" s="12"/>
      <c r="BU15" s="12"/>
      <c r="BV15" s="12"/>
      <c r="BW15" s="12"/>
      <c r="BX15" s="12"/>
      <c r="BY15" s="9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</row>
    <row r="16" spans="1:88" ht="40.5" customHeight="1">
      <c r="A16" s="9">
        <f t="shared" si="0"/>
        <v>14</v>
      </c>
      <c r="B16" s="9" t="str">
        <f t="shared" si="4"/>
        <v xml:space="preserve">MA
</v>
      </c>
      <c r="C16" s="9" t="s">
        <v>146</v>
      </c>
      <c r="D16" s="9" t="s">
        <v>119</v>
      </c>
      <c r="E16" s="12">
        <v>0</v>
      </c>
      <c r="F16" s="12">
        <v>0</v>
      </c>
      <c r="G16" s="9" t="s">
        <v>89</v>
      </c>
      <c r="H16" s="12"/>
      <c r="I16" s="9" t="s">
        <v>147</v>
      </c>
      <c r="J16" s="12"/>
      <c r="K16" s="12"/>
      <c r="L16" s="12"/>
      <c r="M16" s="12"/>
      <c r="N16" s="13" t="str">
        <f t="shared" si="1"/>
        <v xml:space="preserve">GLASS TECH OMAN
</v>
      </c>
      <c r="O16" s="16" t="s">
        <v>78</v>
      </c>
      <c r="P16" s="14">
        <v>3</v>
      </c>
      <c r="Q16" s="25">
        <v>44914</v>
      </c>
      <c r="R16" s="17"/>
      <c r="S16" s="17"/>
      <c r="T16" s="16" t="s">
        <v>108</v>
      </c>
      <c r="U16" s="17" t="str">
        <f t="shared" si="2"/>
        <v xml:space="preserve">GLASS TECH OMAN
</v>
      </c>
      <c r="V16" s="16" t="s">
        <v>98</v>
      </c>
      <c r="W16" s="16">
        <v>4</v>
      </c>
      <c r="X16" s="25">
        <v>44925</v>
      </c>
      <c r="Y16" s="13"/>
      <c r="Z16" s="13"/>
      <c r="AA16" s="16" t="s">
        <v>86</v>
      </c>
      <c r="AB16" s="18" t="str">
        <f t="shared" si="3"/>
        <v xml:space="preserve">GLASS TECH OMAN
</v>
      </c>
      <c r="AC16" s="16" t="s">
        <v>78</v>
      </c>
      <c r="AD16" s="16">
        <v>5</v>
      </c>
      <c r="AE16" s="25">
        <v>44932</v>
      </c>
      <c r="AF16" s="13"/>
      <c r="AG16" s="13"/>
      <c r="AH16" s="16" t="s">
        <v>101</v>
      </c>
      <c r="AI16" s="18"/>
      <c r="AJ16" s="16" t="s">
        <v>78</v>
      </c>
      <c r="AK16" s="19">
        <v>6</v>
      </c>
      <c r="AL16" s="27">
        <v>44956</v>
      </c>
      <c r="AM16" s="18"/>
      <c r="AN16" s="18"/>
      <c r="AO16" s="19" t="s">
        <v>101</v>
      </c>
      <c r="AP16" s="18"/>
      <c r="AQ16" s="19" t="s">
        <v>78</v>
      </c>
      <c r="AR16" s="20" t="s">
        <v>121</v>
      </c>
      <c r="AS16" s="20" t="s">
        <v>122</v>
      </c>
      <c r="AT16" s="19" t="s">
        <v>75</v>
      </c>
      <c r="AU16" s="19" t="s">
        <v>75</v>
      </c>
      <c r="AV16" s="19" t="s">
        <v>101</v>
      </c>
      <c r="AW16" s="18"/>
      <c r="AX16" s="16" t="s">
        <v>78</v>
      </c>
      <c r="AY16" s="19" t="s">
        <v>79</v>
      </c>
      <c r="AZ16" s="20" t="s">
        <v>132</v>
      </c>
      <c r="BA16" s="19" t="s">
        <v>75</v>
      </c>
      <c r="BB16" s="19" t="s">
        <v>75</v>
      </c>
      <c r="BC16" s="19" t="s">
        <v>101</v>
      </c>
      <c r="BD16" s="18"/>
      <c r="BE16" s="18"/>
      <c r="BF16" s="18"/>
      <c r="BG16" s="18"/>
      <c r="BH16" s="18"/>
      <c r="BI16" s="18"/>
      <c r="BJ16" s="12"/>
      <c r="BK16" s="12"/>
      <c r="BL16" s="12"/>
      <c r="BM16" s="9"/>
      <c r="BN16" s="9"/>
      <c r="BO16" s="9"/>
      <c r="BP16" s="12"/>
      <c r="BQ16" s="12"/>
      <c r="BR16" s="12"/>
      <c r="BS16" s="12"/>
      <c r="BT16" s="12"/>
      <c r="BU16" s="12"/>
      <c r="BV16" s="12"/>
      <c r="BW16" s="12"/>
      <c r="BX16" s="12"/>
      <c r="BY16" s="9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</row>
    <row r="17" spans="1:88" ht="40.5" customHeight="1">
      <c r="A17" s="24">
        <f t="shared" si="0"/>
        <v>15</v>
      </c>
      <c r="B17" s="24" t="str">
        <f t="shared" si="4"/>
        <v xml:space="preserve">MA
</v>
      </c>
      <c r="C17" s="24" t="s">
        <v>148</v>
      </c>
      <c r="D17" s="24" t="s">
        <v>119</v>
      </c>
      <c r="E17" s="24">
        <v>1</v>
      </c>
      <c r="F17" s="30">
        <v>0</v>
      </c>
      <c r="G17" s="24" t="s">
        <v>89</v>
      </c>
      <c r="H17" s="30"/>
      <c r="I17" s="24" t="s">
        <v>149</v>
      </c>
      <c r="J17" s="30"/>
      <c r="K17" s="30"/>
      <c r="L17" s="30"/>
      <c r="M17" s="30"/>
      <c r="N17" s="33" t="str">
        <f t="shared" si="1"/>
        <v xml:space="preserve">Smart Windows
</v>
      </c>
      <c r="O17" s="34" t="s">
        <v>78</v>
      </c>
      <c r="P17" s="35">
        <v>3</v>
      </c>
      <c r="Q17" s="36">
        <v>44914</v>
      </c>
      <c r="R17" s="35">
        <v>2</v>
      </c>
      <c r="S17" s="37">
        <v>7.2222222222222215E-2</v>
      </c>
      <c r="T17" s="34" t="s">
        <v>108</v>
      </c>
      <c r="U17" s="38" t="str">
        <f t="shared" si="2"/>
        <v xml:space="preserve">Smart Windows
</v>
      </c>
      <c r="V17" s="33"/>
      <c r="W17" s="33"/>
      <c r="X17" s="33"/>
      <c r="Y17" s="33"/>
      <c r="Z17" s="33"/>
      <c r="AA17" s="33"/>
      <c r="AB17" s="39" t="str">
        <f t="shared" si="3"/>
        <v xml:space="preserve">Smart Windows
</v>
      </c>
      <c r="AC17" s="33"/>
      <c r="AD17" s="33"/>
      <c r="AE17" s="33"/>
      <c r="AF17" s="33"/>
      <c r="AG17" s="33"/>
      <c r="AH17" s="33"/>
      <c r="AI17" s="39"/>
      <c r="AJ17" s="34" t="s">
        <v>98</v>
      </c>
      <c r="AK17" s="40">
        <v>3</v>
      </c>
      <c r="AL17" s="41">
        <v>44956</v>
      </c>
      <c r="AM17" s="39"/>
      <c r="AN17" s="39"/>
      <c r="AO17" s="40" t="s">
        <v>86</v>
      </c>
      <c r="AP17" s="39"/>
      <c r="AQ17" s="39"/>
      <c r="AR17" s="39"/>
      <c r="AS17" s="39"/>
      <c r="AT17" s="39"/>
      <c r="AU17" s="39"/>
      <c r="AV17" s="39"/>
      <c r="AW17" s="39"/>
      <c r="AX17" s="33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0"/>
      <c r="BK17" s="30"/>
      <c r="BL17" s="30"/>
      <c r="BM17" s="24"/>
      <c r="BN17" s="24"/>
      <c r="BO17" s="24"/>
      <c r="BP17" s="30"/>
      <c r="BQ17" s="30"/>
      <c r="BR17" s="30"/>
      <c r="BS17" s="30"/>
      <c r="BT17" s="30"/>
      <c r="BU17" s="30"/>
      <c r="BV17" s="30"/>
      <c r="BW17" s="30"/>
      <c r="BX17" s="30"/>
      <c r="BY17" s="24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</row>
    <row r="18" spans="1:88" ht="40.5" customHeight="1">
      <c r="A18" s="9">
        <f t="shared" si="0"/>
        <v>16</v>
      </c>
      <c r="B18" s="9" t="str">
        <f t="shared" si="4"/>
        <v xml:space="preserve">MA
</v>
      </c>
      <c r="C18" s="9" t="s">
        <v>150</v>
      </c>
      <c r="D18" s="9" t="s">
        <v>119</v>
      </c>
      <c r="E18" s="12">
        <v>0</v>
      </c>
      <c r="F18" s="12">
        <v>0</v>
      </c>
      <c r="G18" s="9" t="s">
        <v>89</v>
      </c>
      <c r="H18" s="12"/>
      <c r="I18" s="9" t="s">
        <v>151</v>
      </c>
      <c r="J18" s="12"/>
      <c r="K18" s="12"/>
      <c r="L18" s="12"/>
      <c r="M18" s="12"/>
      <c r="N18" s="13" t="str">
        <f t="shared" si="1"/>
        <v xml:space="preserve">Modern Fort Enterprise
</v>
      </c>
      <c r="O18" s="16" t="s">
        <v>78</v>
      </c>
      <c r="P18" s="14">
        <v>3</v>
      </c>
      <c r="Q18" s="25">
        <v>44914</v>
      </c>
      <c r="R18" s="14">
        <v>1</v>
      </c>
      <c r="S18" s="14" t="s">
        <v>152</v>
      </c>
      <c r="T18" s="16" t="s">
        <v>126</v>
      </c>
      <c r="U18" s="17" t="str">
        <f t="shared" si="2"/>
        <v xml:space="preserve">Modern Fort Enterprise
</v>
      </c>
      <c r="V18" s="16" t="s">
        <v>78</v>
      </c>
      <c r="W18" s="16">
        <v>4</v>
      </c>
      <c r="X18" s="25">
        <v>44931</v>
      </c>
      <c r="Y18" s="16">
        <v>4</v>
      </c>
      <c r="Z18" s="29">
        <v>0.13263888888888889</v>
      </c>
      <c r="AA18" s="16" t="s">
        <v>108</v>
      </c>
      <c r="AB18" s="18" t="str">
        <f t="shared" si="3"/>
        <v xml:space="preserve">Modern Fort Enterprise
</v>
      </c>
      <c r="AC18" s="16" t="s">
        <v>98</v>
      </c>
      <c r="AD18" s="16">
        <v>5</v>
      </c>
      <c r="AE18" s="25">
        <v>44943</v>
      </c>
      <c r="AF18" s="13"/>
      <c r="AG18" s="13"/>
      <c r="AH18" s="16" t="s">
        <v>153</v>
      </c>
      <c r="AI18" s="18"/>
      <c r="AJ18" s="16" t="s">
        <v>78</v>
      </c>
      <c r="AK18" s="19">
        <v>6</v>
      </c>
      <c r="AL18" s="27">
        <v>44956</v>
      </c>
      <c r="AM18" s="18"/>
      <c r="AN18" s="18"/>
      <c r="AO18" s="19" t="s">
        <v>101</v>
      </c>
      <c r="AP18" s="18"/>
      <c r="AQ18" s="19" t="s">
        <v>78</v>
      </c>
      <c r="AR18" s="20" t="s">
        <v>121</v>
      </c>
      <c r="AS18" s="20" t="s">
        <v>122</v>
      </c>
      <c r="AT18" s="19" t="s">
        <v>75</v>
      </c>
      <c r="AU18" s="20" t="s">
        <v>154</v>
      </c>
      <c r="AV18" s="19" t="s">
        <v>86</v>
      </c>
      <c r="AW18" s="18"/>
      <c r="AX18" s="16" t="s">
        <v>98</v>
      </c>
      <c r="AY18" s="19" t="s">
        <v>79</v>
      </c>
      <c r="AZ18" s="20" t="s">
        <v>140</v>
      </c>
      <c r="BA18" s="19" t="s">
        <v>75</v>
      </c>
      <c r="BB18" s="19" t="s">
        <v>75</v>
      </c>
      <c r="BC18" s="19" t="s">
        <v>86</v>
      </c>
      <c r="BD18" s="19" t="s">
        <v>98</v>
      </c>
      <c r="BE18" s="19" t="s">
        <v>79</v>
      </c>
      <c r="BF18" s="20" t="s">
        <v>155</v>
      </c>
      <c r="BG18" s="19" t="s">
        <v>75</v>
      </c>
      <c r="BH18" s="19" t="s">
        <v>75</v>
      </c>
      <c r="BI18" s="19" t="s">
        <v>86</v>
      </c>
      <c r="BJ18" s="9" t="s">
        <v>98</v>
      </c>
      <c r="BK18" s="9" t="s">
        <v>79</v>
      </c>
      <c r="BL18" s="10" t="s">
        <v>80</v>
      </c>
      <c r="BM18" s="9" t="s">
        <v>75</v>
      </c>
      <c r="BN18" s="10" t="s">
        <v>84</v>
      </c>
      <c r="BO18" s="9" t="s">
        <v>86</v>
      </c>
      <c r="BP18" s="12"/>
      <c r="BQ18" s="12"/>
      <c r="BR18" s="12"/>
      <c r="BS18" s="12"/>
      <c r="BT18" s="12"/>
      <c r="BU18" s="12"/>
      <c r="BV18" s="12"/>
      <c r="BW18" s="12"/>
      <c r="BX18" s="12"/>
      <c r="BY18" s="9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</row>
    <row r="19" spans="1:88" ht="40.5" customHeight="1">
      <c r="A19" s="9">
        <f t="shared" si="0"/>
        <v>17</v>
      </c>
      <c r="B19" s="9" t="str">
        <f t="shared" si="4"/>
        <v xml:space="preserve">MA
</v>
      </c>
      <c r="C19" s="9" t="s">
        <v>156</v>
      </c>
      <c r="D19" s="9" t="s">
        <v>119</v>
      </c>
      <c r="E19" s="12">
        <v>0</v>
      </c>
      <c r="F19" s="12">
        <v>0</v>
      </c>
      <c r="G19" s="9" t="s">
        <v>89</v>
      </c>
      <c r="H19" s="12"/>
      <c r="I19" s="9" t="s">
        <v>157</v>
      </c>
      <c r="J19" s="12"/>
      <c r="K19" s="12"/>
      <c r="L19" s="12"/>
      <c r="M19" s="12"/>
      <c r="N19" s="13" t="str">
        <f t="shared" si="1"/>
        <v xml:space="preserve">Upvc windos door&amp;aluminium work 99157790
</v>
      </c>
      <c r="O19" s="16" t="s">
        <v>78</v>
      </c>
      <c r="P19" s="14">
        <v>3</v>
      </c>
      <c r="Q19" s="25">
        <v>44914</v>
      </c>
      <c r="R19" s="17"/>
      <c r="S19" s="17"/>
      <c r="T19" s="16" t="s">
        <v>137</v>
      </c>
      <c r="U19" s="17" t="str">
        <f t="shared" si="2"/>
        <v xml:space="preserve">Upvc windos door&amp;aluminium work 99157790
</v>
      </c>
      <c r="V19" s="16" t="s">
        <v>78</v>
      </c>
      <c r="W19" s="16">
        <v>4</v>
      </c>
      <c r="X19" s="25">
        <v>44931</v>
      </c>
      <c r="Y19" s="13"/>
      <c r="Z19" s="13"/>
      <c r="AA19" s="16" t="s">
        <v>101</v>
      </c>
      <c r="AB19" s="18" t="str">
        <f t="shared" si="3"/>
        <v xml:space="preserve">Upvc windos door&amp;aluminium work 99157790
</v>
      </c>
      <c r="AC19" s="16" t="s">
        <v>78</v>
      </c>
      <c r="AD19" s="16">
        <v>5</v>
      </c>
      <c r="AE19" s="25">
        <v>44943</v>
      </c>
      <c r="AF19" s="13"/>
      <c r="AG19" s="13"/>
      <c r="AH19" s="16" t="s">
        <v>101</v>
      </c>
      <c r="AI19" s="18"/>
      <c r="AJ19" s="16" t="s">
        <v>98</v>
      </c>
      <c r="AK19" s="19">
        <v>6</v>
      </c>
      <c r="AL19" s="27">
        <v>44956</v>
      </c>
      <c r="AM19" s="18"/>
      <c r="AN19" s="18"/>
      <c r="AO19" s="19" t="s">
        <v>86</v>
      </c>
      <c r="AP19" s="18"/>
      <c r="AQ19" s="19" t="s">
        <v>78</v>
      </c>
      <c r="AR19" s="20" t="s">
        <v>121</v>
      </c>
      <c r="AS19" s="20" t="s">
        <v>122</v>
      </c>
      <c r="AT19" s="19" t="s">
        <v>75</v>
      </c>
      <c r="AU19" s="20" t="s">
        <v>154</v>
      </c>
      <c r="AV19" s="19" t="s">
        <v>86</v>
      </c>
      <c r="AW19" s="18"/>
      <c r="AX19" s="16" t="s">
        <v>78</v>
      </c>
      <c r="AY19" s="19" t="s">
        <v>79</v>
      </c>
      <c r="AZ19" s="20" t="s">
        <v>132</v>
      </c>
      <c r="BA19" s="19" t="s">
        <v>75</v>
      </c>
      <c r="BB19" s="19" t="s">
        <v>75</v>
      </c>
      <c r="BC19" s="19" t="s">
        <v>101</v>
      </c>
      <c r="BD19" s="18"/>
      <c r="BE19" s="18"/>
      <c r="BF19" s="18"/>
      <c r="BG19" s="18"/>
      <c r="BH19" s="18"/>
      <c r="BI19" s="18"/>
      <c r="BJ19" s="12"/>
      <c r="BK19" s="12"/>
      <c r="BL19" s="12"/>
      <c r="BM19" s="9"/>
      <c r="BN19" s="9"/>
      <c r="BO19" s="9"/>
      <c r="BP19" s="12"/>
      <c r="BQ19" s="12"/>
      <c r="BR19" s="12"/>
      <c r="BS19" s="12"/>
      <c r="BT19" s="12"/>
      <c r="BU19" s="12"/>
      <c r="BV19" s="12"/>
      <c r="BW19" s="12"/>
      <c r="BX19" s="12"/>
      <c r="BY19" s="9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</row>
    <row r="20" spans="1:88" ht="40.5" customHeight="1">
      <c r="A20" s="9">
        <f t="shared" si="0"/>
        <v>18</v>
      </c>
      <c r="B20" s="9" t="str">
        <f t="shared" si="4"/>
        <v xml:space="preserve">MA
</v>
      </c>
      <c r="C20" s="9" t="s">
        <v>158</v>
      </c>
      <c r="D20" s="9" t="s">
        <v>119</v>
      </c>
      <c r="E20" s="12">
        <v>0</v>
      </c>
      <c r="F20" s="12">
        <v>0</v>
      </c>
      <c r="G20" s="9" t="s">
        <v>89</v>
      </c>
      <c r="H20" s="12"/>
      <c r="I20" s="9" t="s">
        <v>159</v>
      </c>
      <c r="J20" s="12"/>
      <c r="K20" s="12"/>
      <c r="L20" s="12"/>
      <c r="M20" s="12"/>
      <c r="N20" s="13" t="str">
        <f t="shared" si="1"/>
        <v xml:space="preserve">New Saraya store
</v>
      </c>
      <c r="O20" s="16" t="s">
        <v>78</v>
      </c>
      <c r="P20" s="14">
        <v>3</v>
      </c>
      <c r="Q20" s="25">
        <v>44914</v>
      </c>
      <c r="R20" s="17"/>
      <c r="S20" s="17"/>
      <c r="T20" s="16" t="s">
        <v>137</v>
      </c>
      <c r="U20" s="17" t="str">
        <f t="shared" si="2"/>
        <v xml:space="preserve">New Saraya store
</v>
      </c>
      <c r="V20" s="16" t="s">
        <v>78</v>
      </c>
      <c r="W20" s="16">
        <v>4</v>
      </c>
      <c r="X20" s="25">
        <v>44931</v>
      </c>
      <c r="Y20" s="13"/>
      <c r="Z20" s="13"/>
      <c r="AA20" s="16" t="s">
        <v>101</v>
      </c>
      <c r="AB20" s="18" t="str">
        <f t="shared" si="3"/>
        <v xml:space="preserve">New Saraya store
</v>
      </c>
      <c r="AC20" s="16" t="s">
        <v>78</v>
      </c>
      <c r="AD20" s="16">
        <v>5</v>
      </c>
      <c r="AE20" s="25">
        <v>44943</v>
      </c>
      <c r="AF20" s="13"/>
      <c r="AG20" s="13"/>
      <c r="AH20" s="16" t="s">
        <v>101</v>
      </c>
      <c r="AI20" s="18"/>
      <c r="AJ20" s="16" t="s">
        <v>98</v>
      </c>
      <c r="AK20" s="19">
        <v>6</v>
      </c>
      <c r="AL20" s="27">
        <v>44956</v>
      </c>
      <c r="AM20" s="18"/>
      <c r="AN20" s="18"/>
      <c r="AO20" s="19" t="s">
        <v>86</v>
      </c>
      <c r="AP20" s="18"/>
      <c r="AQ20" s="19" t="s">
        <v>78</v>
      </c>
      <c r="AR20" s="20" t="s">
        <v>121</v>
      </c>
      <c r="AS20" s="20" t="s">
        <v>122</v>
      </c>
      <c r="AT20" s="19" t="s">
        <v>75</v>
      </c>
      <c r="AU20" s="19" t="s">
        <v>75</v>
      </c>
      <c r="AV20" s="19" t="s">
        <v>101</v>
      </c>
      <c r="AW20" s="18"/>
      <c r="AX20" s="16" t="s">
        <v>98</v>
      </c>
      <c r="AY20" s="19" t="s">
        <v>79</v>
      </c>
      <c r="AZ20" s="20" t="s">
        <v>132</v>
      </c>
      <c r="BA20" s="19" t="s">
        <v>75</v>
      </c>
      <c r="BB20" s="19" t="s">
        <v>75</v>
      </c>
      <c r="BC20" s="19" t="s">
        <v>86</v>
      </c>
      <c r="BD20" s="18"/>
      <c r="BE20" s="18"/>
      <c r="BF20" s="18"/>
      <c r="BG20" s="18"/>
      <c r="BH20" s="18"/>
      <c r="BI20" s="18"/>
      <c r="BJ20" s="12"/>
      <c r="BK20" s="12"/>
      <c r="BL20" s="12"/>
      <c r="BM20" s="9"/>
      <c r="BN20" s="9"/>
      <c r="BO20" s="9"/>
      <c r="BP20" s="12"/>
      <c r="BQ20" s="12"/>
      <c r="BR20" s="12"/>
      <c r="BS20" s="12"/>
      <c r="BT20" s="12"/>
      <c r="BU20" s="12"/>
      <c r="BV20" s="12"/>
      <c r="BW20" s="12"/>
      <c r="BX20" s="12"/>
      <c r="BY20" s="9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</row>
    <row r="21" spans="1:88" ht="40.5" customHeight="1">
      <c r="A21" s="9">
        <f t="shared" si="0"/>
        <v>19</v>
      </c>
      <c r="B21" s="9" t="str">
        <f t="shared" si="4"/>
        <v xml:space="preserve">MA
</v>
      </c>
      <c r="C21" s="9" t="s">
        <v>160</v>
      </c>
      <c r="D21" s="9" t="s">
        <v>119</v>
      </c>
      <c r="E21" s="12">
        <v>0</v>
      </c>
      <c r="F21" s="12">
        <v>0</v>
      </c>
      <c r="G21" s="9" t="s">
        <v>89</v>
      </c>
      <c r="H21" s="9" t="s">
        <v>79</v>
      </c>
      <c r="I21" s="10" t="s">
        <v>161</v>
      </c>
      <c r="J21" s="9" t="s">
        <v>79</v>
      </c>
      <c r="K21" s="9" t="s">
        <v>79</v>
      </c>
      <c r="L21" s="12"/>
      <c r="M21" s="12"/>
      <c r="N21" s="13" t="str">
        <f t="shared" si="1"/>
        <v>Royal Glass</v>
      </c>
      <c r="O21" s="16" t="s">
        <v>78</v>
      </c>
      <c r="P21" s="14">
        <v>3</v>
      </c>
      <c r="Q21" s="25">
        <v>44914</v>
      </c>
      <c r="R21" s="17"/>
      <c r="S21" s="17"/>
      <c r="T21" s="16" t="s">
        <v>137</v>
      </c>
      <c r="U21" s="17" t="str">
        <f t="shared" si="2"/>
        <v>Royal Glass</v>
      </c>
      <c r="V21" s="16" t="s">
        <v>78</v>
      </c>
      <c r="W21" s="16">
        <v>4</v>
      </c>
      <c r="X21" s="25">
        <v>44931</v>
      </c>
      <c r="Y21" s="13"/>
      <c r="Z21" s="13"/>
      <c r="AA21" s="16" t="s">
        <v>101</v>
      </c>
      <c r="AB21" s="18" t="str">
        <f t="shared" si="3"/>
        <v>Royal Glass</v>
      </c>
      <c r="AC21" s="16" t="s">
        <v>78</v>
      </c>
      <c r="AD21" s="16">
        <v>5</v>
      </c>
      <c r="AE21" s="25">
        <v>44943</v>
      </c>
      <c r="AF21" s="13"/>
      <c r="AG21" s="13"/>
      <c r="AH21" s="16" t="s">
        <v>101</v>
      </c>
      <c r="AI21" s="18"/>
      <c r="AJ21" s="16" t="s">
        <v>78</v>
      </c>
      <c r="AK21" s="19">
        <v>6</v>
      </c>
      <c r="AL21" s="27">
        <v>44956</v>
      </c>
      <c r="AM21" s="18"/>
      <c r="AN21" s="18"/>
      <c r="AO21" s="19" t="s">
        <v>101</v>
      </c>
      <c r="AP21" s="18"/>
      <c r="AQ21" s="19" t="s">
        <v>78</v>
      </c>
      <c r="AR21" s="20" t="s">
        <v>121</v>
      </c>
      <c r="AS21" s="20" t="s">
        <v>122</v>
      </c>
      <c r="AT21" s="19" t="s">
        <v>75</v>
      </c>
      <c r="AU21" s="19" t="s">
        <v>75</v>
      </c>
      <c r="AV21" s="19" t="s">
        <v>101</v>
      </c>
      <c r="AW21" s="18"/>
      <c r="AX21" s="16" t="s">
        <v>78</v>
      </c>
      <c r="AY21" s="19" t="s">
        <v>79</v>
      </c>
      <c r="AZ21" s="20" t="s">
        <v>132</v>
      </c>
      <c r="BA21" s="19" t="s">
        <v>75</v>
      </c>
      <c r="BB21" s="19" t="s">
        <v>75</v>
      </c>
      <c r="BC21" s="19" t="s">
        <v>101</v>
      </c>
      <c r="BD21" s="18"/>
      <c r="BE21" s="18"/>
      <c r="BF21" s="18"/>
      <c r="BG21" s="18"/>
      <c r="BH21" s="18"/>
      <c r="BI21" s="18"/>
      <c r="BJ21" s="12"/>
      <c r="BK21" s="12"/>
      <c r="BL21" s="12"/>
      <c r="BM21" s="9"/>
      <c r="BN21" s="9"/>
      <c r="BO21" s="9"/>
      <c r="BP21" s="12"/>
      <c r="BQ21" s="12"/>
      <c r="BR21" s="12"/>
      <c r="BS21" s="12"/>
      <c r="BT21" s="12"/>
      <c r="BU21" s="12"/>
      <c r="BV21" s="12"/>
      <c r="BW21" s="12"/>
      <c r="BX21" s="12"/>
      <c r="BY21" s="9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</row>
    <row r="22" spans="1:88" ht="40.5" customHeight="1">
      <c r="A22" s="9">
        <f t="shared" si="0"/>
        <v>20</v>
      </c>
      <c r="B22" s="9" t="str">
        <f t="shared" si="4"/>
        <v xml:space="preserve">MA
</v>
      </c>
      <c r="C22" s="9" t="s">
        <v>162</v>
      </c>
      <c r="D22" s="9" t="s">
        <v>119</v>
      </c>
      <c r="E22" s="12">
        <v>0</v>
      </c>
      <c r="F22" s="12">
        <v>0</v>
      </c>
      <c r="G22" s="9" t="s">
        <v>89</v>
      </c>
      <c r="H22" s="9" t="s">
        <v>79</v>
      </c>
      <c r="I22" s="10" t="s">
        <v>163</v>
      </c>
      <c r="J22" s="9" t="s">
        <v>79</v>
      </c>
      <c r="K22" s="22" t="s">
        <v>164</v>
      </c>
      <c r="L22" s="12"/>
      <c r="M22" s="12"/>
      <c r="N22" s="13" t="str">
        <f t="shared" si="1"/>
        <v>Reliable International LLC الموثوق العالمية</v>
      </c>
      <c r="O22" s="16" t="s">
        <v>78</v>
      </c>
      <c r="P22" s="14">
        <v>3</v>
      </c>
      <c r="Q22" s="25">
        <v>44914</v>
      </c>
      <c r="R22" s="17"/>
      <c r="S22" s="17"/>
      <c r="T22" s="16" t="s">
        <v>137</v>
      </c>
      <c r="U22" s="17" t="str">
        <f t="shared" si="2"/>
        <v>Reliable International LLC الموثوق العالمية</v>
      </c>
      <c r="V22" s="16" t="s">
        <v>78</v>
      </c>
      <c r="W22" s="16">
        <v>4</v>
      </c>
      <c r="X22" s="25">
        <v>44931</v>
      </c>
      <c r="Y22" s="13"/>
      <c r="Z22" s="13"/>
      <c r="AA22" s="16" t="s">
        <v>101</v>
      </c>
      <c r="AB22" s="18" t="str">
        <f t="shared" si="3"/>
        <v>Reliable International LLC الموثوق العالمية</v>
      </c>
      <c r="AC22" s="16" t="s">
        <v>78</v>
      </c>
      <c r="AD22" s="16">
        <v>5</v>
      </c>
      <c r="AE22" s="25">
        <v>44943</v>
      </c>
      <c r="AF22" s="13"/>
      <c r="AG22" s="13"/>
      <c r="AH22" s="16" t="s">
        <v>101</v>
      </c>
      <c r="AI22" s="18"/>
      <c r="AJ22" s="16" t="s">
        <v>78</v>
      </c>
      <c r="AK22" s="19">
        <v>6</v>
      </c>
      <c r="AL22" s="27">
        <v>44956</v>
      </c>
      <c r="AM22" s="18"/>
      <c r="AN22" s="18"/>
      <c r="AO22" s="19" t="s">
        <v>101</v>
      </c>
      <c r="AP22" s="18"/>
      <c r="AQ22" s="19" t="s">
        <v>78</v>
      </c>
      <c r="AR22" s="20" t="s">
        <v>121</v>
      </c>
      <c r="AS22" s="20" t="s">
        <v>122</v>
      </c>
      <c r="AT22" s="19" t="s">
        <v>75</v>
      </c>
      <c r="AU22" s="20" t="s">
        <v>165</v>
      </c>
      <c r="AV22" s="19" t="s">
        <v>166</v>
      </c>
      <c r="AW22" s="18"/>
      <c r="AX22" s="16" t="s">
        <v>78</v>
      </c>
      <c r="AY22" s="19" t="s">
        <v>79</v>
      </c>
      <c r="AZ22" s="20" t="s">
        <v>132</v>
      </c>
      <c r="BA22" s="19" t="s">
        <v>75</v>
      </c>
      <c r="BB22" s="19" t="s">
        <v>75</v>
      </c>
      <c r="BC22" s="19" t="s">
        <v>86</v>
      </c>
      <c r="BD22" s="18"/>
      <c r="BE22" s="18"/>
      <c r="BF22" s="18"/>
      <c r="BG22" s="18"/>
      <c r="BH22" s="18"/>
      <c r="BI22" s="18"/>
      <c r="BJ22" s="12"/>
      <c r="BK22" s="12"/>
      <c r="BL22" s="12"/>
      <c r="BM22" s="9"/>
      <c r="BN22" s="9"/>
      <c r="BO22" s="9"/>
      <c r="BP22" s="12"/>
      <c r="BQ22" s="12"/>
      <c r="BR22" s="12"/>
      <c r="BS22" s="12"/>
      <c r="BT22" s="12"/>
      <c r="BU22" s="12"/>
      <c r="BV22" s="12"/>
      <c r="BW22" s="12"/>
      <c r="BX22" s="12"/>
      <c r="BY22" s="9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</row>
    <row r="23" spans="1:88" ht="40.5" customHeight="1">
      <c r="A23" s="9">
        <f t="shared" si="0"/>
        <v>21</v>
      </c>
      <c r="B23" s="9" t="str">
        <f t="shared" si="4"/>
        <v xml:space="preserve">MA
</v>
      </c>
      <c r="C23" s="9" t="s">
        <v>167</v>
      </c>
      <c r="D23" s="9" t="s">
        <v>119</v>
      </c>
      <c r="E23" s="12">
        <v>0</v>
      </c>
      <c r="F23" s="12">
        <v>0</v>
      </c>
      <c r="G23" s="9" t="s">
        <v>89</v>
      </c>
      <c r="H23" s="12"/>
      <c r="I23" s="9" t="s">
        <v>168</v>
      </c>
      <c r="J23" s="12"/>
      <c r="K23" s="22" t="s">
        <v>169</v>
      </c>
      <c r="L23" s="12"/>
      <c r="M23" s="12"/>
      <c r="N23" s="13" t="str">
        <f t="shared" si="1"/>
        <v xml:space="preserve">A STAR ALUMINYUM
</v>
      </c>
      <c r="O23" s="16" t="s">
        <v>78</v>
      </c>
      <c r="P23" s="14">
        <v>3</v>
      </c>
      <c r="Q23" s="25">
        <v>44914</v>
      </c>
      <c r="R23" s="14">
        <v>4</v>
      </c>
      <c r="S23" s="26">
        <v>6.25E-2</v>
      </c>
      <c r="T23" s="16" t="s">
        <v>86</v>
      </c>
      <c r="U23" s="17" t="str">
        <f t="shared" si="2"/>
        <v xml:space="preserve">A STAR ALUMINYUM
</v>
      </c>
      <c r="V23" s="16" t="s">
        <v>98</v>
      </c>
      <c r="W23" s="16">
        <v>4</v>
      </c>
      <c r="X23" s="25">
        <v>44925</v>
      </c>
      <c r="Y23" s="13"/>
      <c r="Z23" s="13"/>
      <c r="AA23" s="16" t="s">
        <v>86</v>
      </c>
      <c r="AB23" s="18" t="str">
        <f t="shared" si="3"/>
        <v xml:space="preserve">A STAR ALUMINYUM
</v>
      </c>
      <c r="AC23" s="16" t="s">
        <v>98</v>
      </c>
      <c r="AD23" s="16">
        <v>5</v>
      </c>
      <c r="AE23" s="25">
        <v>44943</v>
      </c>
      <c r="AF23" s="13"/>
      <c r="AG23" s="13"/>
      <c r="AH23" s="16" t="s">
        <v>86</v>
      </c>
      <c r="AI23" s="18"/>
      <c r="AJ23" s="16" t="s">
        <v>78</v>
      </c>
      <c r="AK23" s="19" t="s">
        <v>79</v>
      </c>
      <c r="AL23" s="20" t="s">
        <v>132</v>
      </c>
      <c r="AM23" s="19" t="s">
        <v>75</v>
      </c>
      <c r="AN23" s="19" t="s">
        <v>75</v>
      </c>
      <c r="AO23" s="19" t="s">
        <v>101</v>
      </c>
      <c r="AP23" s="18"/>
      <c r="AQ23" s="18"/>
      <c r="AR23" s="18"/>
      <c r="AS23" s="18"/>
      <c r="AT23" s="18"/>
      <c r="AU23" s="18"/>
      <c r="AV23" s="18"/>
      <c r="AW23" s="18"/>
      <c r="AX23" s="13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2"/>
      <c r="BK23" s="12"/>
      <c r="BL23" s="12"/>
      <c r="BM23" s="9"/>
      <c r="BN23" s="9"/>
      <c r="BO23" s="9"/>
      <c r="BP23" s="12"/>
      <c r="BQ23" s="12"/>
      <c r="BR23" s="12"/>
      <c r="BS23" s="12"/>
      <c r="BT23" s="12"/>
      <c r="BU23" s="12"/>
      <c r="BV23" s="12"/>
      <c r="BW23" s="12"/>
      <c r="BX23" s="12"/>
      <c r="BY23" s="9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</row>
    <row r="24" spans="1:88" ht="40.5" customHeight="1">
      <c r="A24" s="24">
        <f t="shared" si="0"/>
        <v>22</v>
      </c>
      <c r="B24" s="24" t="str">
        <f t="shared" si="4"/>
        <v xml:space="preserve">MA
</v>
      </c>
      <c r="C24" s="24" t="s">
        <v>170</v>
      </c>
      <c r="D24" s="24" t="s">
        <v>119</v>
      </c>
      <c r="E24" s="30">
        <v>0</v>
      </c>
      <c r="F24" s="30">
        <v>0</v>
      </c>
      <c r="G24" s="24" t="s">
        <v>89</v>
      </c>
      <c r="H24" s="30"/>
      <c r="I24" s="24" t="s">
        <v>171</v>
      </c>
      <c r="J24" s="30"/>
      <c r="K24" s="30"/>
      <c r="L24" s="30"/>
      <c r="M24" s="30"/>
      <c r="N24" s="33" t="str">
        <f t="shared" si="1"/>
        <v xml:space="preserve">Millennium Bright
</v>
      </c>
      <c r="O24" s="34" t="s">
        <v>78</v>
      </c>
      <c r="P24" s="35">
        <v>3</v>
      </c>
      <c r="Q24" s="36">
        <v>44914</v>
      </c>
      <c r="R24" s="38"/>
      <c r="S24" s="38"/>
      <c r="T24" s="34" t="s">
        <v>137</v>
      </c>
      <c r="U24" s="38" t="str">
        <f t="shared" si="2"/>
        <v xml:space="preserve">Millennium Bright
</v>
      </c>
      <c r="V24" s="34" t="s">
        <v>98</v>
      </c>
      <c r="W24" s="34">
        <v>4</v>
      </c>
      <c r="X24" s="36">
        <v>44925</v>
      </c>
      <c r="Y24" s="33"/>
      <c r="Z24" s="43">
        <v>0.2673611111111111</v>
      </c>
      <c r="AA24" s="34" t="s">
        <v>86</v>
      </c>
      <c r="AB24" s="39" t="str">
        <f t="shared" si="3"/>
        <v xml:space="preserve">Millennium Bright
</v>
      </c>
      <c r="AC24" s="34" t="s">
        <v>98</v>
      </c>
      <c r="AD24" s="34" t="s">
        <v>79</v>
      </c>
      <c r="AE24" s="46" t="s">
        <v>132</v>
      </c>
      <c r="AF24" s="34" t="s">
        <v>75</v>
      </c>
      <c r="AG24" s="34" t="s">
        <v>75</v>
      </c>
      <c r="AH24" s="34" t="s">
        <v>86</v>
      </c>
      <c r="AI24" s="39"/>
      <c r="AJ24" s="33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3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0"/>
      <c r="BK24" s="30"/>
      <c r="BL24" s="30"/>
      <c r="BM24" s="24"/>
      <c r="BN24" s="24"/>
      <c r="BO24" s="24"/>
      <c r="BP24" s="30"/>
      <c r="BQ24" s="30"/>
      <c r="BR24" s="30"/>
      <c r="BS24" s="30"/>
      <c r="BT24" s="30"/>
      <c r="BU24" s="30"/>
      <c r="BV24" s="30"/>
      <c r="BW24" s="30"/>
      <c r="BX24" s="30"/>
      <c r="BY24" s="24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</row>
    <row r="25" spans="1:88" ht="40.5" customHeight="1">
      <c r="A25" s="9">
        <f t="shared" si="0"/>
        <v>23</v>
      </c>
      <c r="B25" s="9" t="str">
        <f t="shared" si="4"/>
        <v xml:space="preserve">MA
</v>
      </c>
      <c r="C25" s="9" t="s">
        <v>172</v>
      </c>
      <c r="D25" s="9" t="s">
        <v>119</v>
      </c>
      <c r="E25" s="12">
        <v>0</v>
      </c>
      <c r="F25" s="12">
        <v>0</v>
      </c>
      <c r="G25" s="9" t="s">
        <v>89</v>
      </c>
      <c r="H25" s="9" t="s">
        <v>79</v>
      </c>
      <c r="I25" s="10" t="s">
        <v>173</v>
      </c>
      <c r="J25" s="9" t="s">
        <v>79</v>
      </c>
      <c r="K25" s="11" t="s">
        <v>174</v>
      </c>
      <c r="L25" s="12"/>
      <c r="M25" s="12"/>
      <c r="N25" s="13" t="str">
        <f t="shared" si="1"/>
        <v>Panorama Windows Co LLC</v>
      </c>
      <c r="O25" s="16" t="s">
        <v>78</v>
      </c>
      <c r="P25" s="14">
        <v>3</v>
      </c>
      <c r="Q25" s="25">
        <v>44914</v>
      </c>
      <c r="R25" s="17"/>
      <c r="S25" s="17"/>
      <c r="T25" s="16" t="s">
        <v>137</v>
      </c>
      <c r="U25" s="17" t="str">
        <f t="shared" si="2"/>
        <v>Panorama Windows Co LLC</v>
      </c>
      <c r="V25" s="16" t="s">
        <v>98</v>
      </c>
      <c r="W25" s="16">
        <v>4</v>
      </c>
      <c r="X25" s="25">
        <v>44925</v>
      </c>
      <c r="Y25" s="13"/>
      <c r="Z25" s="13"/>
      <c r="AA25" s="16" t="s">
        <v>86</v>
      </c>
      <c r="AB25" s="18" t="str">
        <f t="shared" si="3"/>
        <v>Panorama Windows Co LLC</v>
      </c>
      <c r="AC25" s="16" t="s">
        <v>78</v>
      </c>
      <c r="AD25" s="16">
        <v>5</v>
      </c>
      <c r="AE25" s="25">
        <v>44931</v>
      </c>
      <c r="AF25" s="13"/>
      <c r="AG25" s="13"/>
      <c r="AH25" s="16" t="s">
        <v>101</v>
      </c>
      <c r="AI25" s="18"/>
      <c r="AJ25" s="16" t="s">
        <v>78</v>
      </c>
      <c r="AK25" s="19">
        <v>6</v>
      </c>
      <c r="AL25" s="27">
        <v>44956</v>
      </c>
      <c r="AM25" s="18"/>
      <c r="AN25" s="18"/>
      <c r="AO25" s="19" t="s">
        <v>101</v>
      </c>
      <c r="AP25" s="18"/>
      <c r="AQ25" s="19" t="s">
        <v>78</v>
      </c>
      <c r="AR25" s="20" t="s">
        <v>121</v>
      </c>
      <c r="AS25" s="20" t="s">
        <v>122</v>
      </c>
      <c r="AT25" s="19" t="s">
        <v>75</v>
      </c>
      <c r="AU25" s="20" t="s">
        <v>175</v>
      </c>
      <c r="AV25" s="19" t="s">
        <v>166</v>
      </c>
      <c r="AW25" s="18"/>
      <c r="AX25" s="16" t="s">
        <v>78</v>
      </c>
      <c r="AY25" s="19" t="s">
        <v>79</v>
      </c>
      <c r="AZ25" s="20" t="s">
        <v>132</v>
      </c>
      <c r="BA25" s="19" t="s">
        <v>75</v>
      </c>
      <c r="BB25" s="19" t="s">
        <v>75</v>
      </c>
      <c r="BC25" s="19" t="s">
        <v>86</v>
      </c>
      <c r="BD25" s="18"/>
      <c r="BE25" s="18"/>
      <c r="BF25" s="18"/>
      <c r="BG25" s="18"/>
      <c r="BH25" s="18"/>
      <c r="BI25" s="18"/>
      <c r="BJ25" s="12"/>
      <c r="BK25" s="12"/>
      <c r="BL25" s="12"/>
      <c r="BM25" s="9"/>
      <c r="BN25" s="9"/>
      <c r="BO25" s="9"/>
      <c r="BP25" s="12"/>
      <c r="BQ25" s="12"/>
      <c r="BR25" s="12"/>
      <c r="BS25" s="12"/>
      <c r="BT25" s="12"/>
      <c r="BU25" s="12"/>
      <c r="BV25" s="12"/>
      <c r="BW25" s="12"/>
      <c r="BX25" s="12"/>
      <c r="BY25" s="9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</row>
    <row r="26" spans="1:88" ht="40.5" customHeight="1">
      <c r="A26" s="9">
        <f t="shared" si="0"/>
        <v>24</v>
      </c>
      <c r="B26" s="9" t="str">
        <f t="shared" si="4"/>
        <v xml:space="preserve">MA
</v>
      </c>
      <c r="C26" s="9" t="s">
        <v>176</v>
      </c>
      <c r="D26" s="9" t="s">
        <v>119</v>
      </c>
      <c r="E26" s="12">
        <v>0</v>
      </c>
      <c r="F26" s="12">
        <v>0</v>
      </c>
      <c r="G26" s="9" t="s">
        <v>89</v>
      </c>
      <c r="H26" s="12"/>
      <c r="I26" s="9" t="s">
        <v>177</v>
      </c>
      <c r="J26" s="12"/>
      <c r="K26" s="22" t="s">
        <v>178</v>
      </c>
      <c r="L26" s="12"/>
      <c r="M26" s="12"/>
      <c r="N26" s="13" t="str">
        <f t="shared" si="1"/>
        <v xml:space="preserve">UPVC &amp; ALUMINIUM - AAT COMPANY أضواء الأحتراف
</v>
      </c>
      <c r="O26" s="16" t="s">
        <v>78</v>
      </c>
      <c r="P26" s="14">
        <v>3</v>
      </c>
      <c r="Q26" s="25">
        <v>44914</v>
      </c>
      <c r="R26" s="17"/>
      <c r="S26" s="17"/>
      <c r="T26" s="16" t="s">
        <v>137</v>
      </c>
      <c r="U26" s="17" t="str">
        <f t="shared" si="2"/>
        <v xml:space="preserve">UPVC &amp; ALUMINIUM - AAT COMPANY أضواء الأحتراف
</v>
      </c>
      <c r="V26" s="16" t="s">
        <v>98</v>
      </c>
      <c r="W26" s="16">
        <v>4</v>
      </c>
      <c r="X26" s="25">
        <v>44925</v>
      </c>
      <c r="Y26" s="13"/>
      <c r="Z26" s="13"/>
      <c r="AA26" s="16" t="s">
        <v>86</v>
      </c>
      <c r="AB26" s="18" t="str">
        <f t="shared" si="3"/>
        <v xml:space="preserve">UPVC &amp; ALUMINIUM - AAT COMPANY أضواء الأحتراف
</v>
      </c>
      <c r="AC26" s="16" t="s">
        <v>78</v>
      </c>
      <c r="AD26" s="16">
        <v>5</v>
      </c>
      <c r="AE26" s="25">
        <v>44931</v>
      </c>
      <c r="AF26" s="13"/>
      <c r="AG26" s="13"/>
      <c r="AH26" s="16" t="s">
        <v>101</v>
      </c>
      <c r="AI26" s="18"/>
      <c r="AJ26" s="16" t="s">
        <v>98</v>
      </c>
      <c r="AK26" s="19">
        <v>6</v>
      </c>
      <c r="AL26" s="27">
        <v>44943</v>
      </c>
      <c r="AM26" s="18"/>
      <c r="AN26" s="47">
        <v>0.625</v>
      </c>
      <c r="AO26" s="19" t="s">
        <v>86</v>
      </c>
      <c r="AP26" s="18"/>
      <c r="AQ26" s="19" t="s">
        <v>98</v>
      </c>
      <c r="AR26" s="19">
        <v>7</v>
      </c>
      <c r="AS26" s="27">
        <v>44956</v>
      </c>
      <c r="AT26" s="18"/>
      <c r="AU26" s="18"/>
      <c r="AV26" s="19" t="s">
        <v>86</v>
      </c>
      <c r="AW26" s="18"/>
      <c r="AX26" s="16" t="s">
        <v>78</v>
      </c>
      <c r="AY26" s="19" t="s">
        <v>79</v>
      </c>
      <c r="AZ26" s="20" t="s">
        <v>132</v>
      </c>
      <c r="BA26" s="19" t="s">
        <v>75</v>
      </c>
      <c r="BB26" s="19" t="s">
        <v>75</v>
      </c>
      <c r="BC26" s="19" t="s">
        <v>86</v>
      </c>
      <c r="BD26" s="18"/>
      <c r="BE26" s="18"/>
      <c r="BF26" s="18"/>
      <c r="BG26" s="18"/>
      <c r="BH26" s="18"/>
      <c r="BI26" s="18"/>
      <c r="BJ26" s="12"/>
      <c r="BK26" s="12"/>
      <c r="BL26" s="12"/>
      <c r="BM26" s="9"/>
      <c r="BN26" s="9"/>
      <c r="BO26" s="9"/>
      <c r="BP26" s="12"/>
      <c r="BQ26" s="12"/>
      <c r="BR26" s="12"/>
      <c r="BS26" s="12"/>
      <c r="BT26" s="12"/>
      <c r="BU26" s="12"/>
      <c r="BV26" s="12"/>
      <c r="BW26" s="12"/>
      <c r="BX26" s="12"/>
      <c r="BY26" s="9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</row>
    <row r="27" spans="1:88" ht="40.5" customHeight="1">
      <c r="A27" s="9">
        <f t="shared" si="0"/>
        <v>25</v>
      </c>
      <c r="B27" s="9" t="str">
        <f t="shared" si="4"/>
        <v xml:space="preserve">MA
</v>
      </c>
      <c r="C27" s="48" t="s">
        <v>179</v>
      </c>
      <c r="D27" s="9" t="s">
        <v>119</v>
      </c>
      <c r="E27" s="12">
        <v>0</v>
      </c>
      <c r="F27" s="12">
        <v>0</v>
      </c>
      <c r="G27" s="9" t="s">
        <v>89</v>
      </c>
      <c r="H27" s="12"/>
      <c r="I27" s="9" t="s">
        <v>180</v>
      </c>
      <c r="J27" s="12"/>
      <c r="K27" s="9"/>
      <c r="L27" s="12"/>
      <c r="M27" s="12"/>
      <c r="N27" s="13" t="str">
        <f t="shared" si="1"/>
        <v>"Al-Kemyani Aluminum &amp; UPVC
"</v>
      </c>
      <c r="O27" s="16" t="s">
        <v>78</v>
      </c>
      <c r="P27" s="14">
        <v>3</v>
      </c>
      <c r="Q27" s="25">
        <v>44914</v>
      </c>
      <c r="R27" s="17"/>
      <c r="S27" s="17"/>
      <c r="T27" s="16" t="s">
        <v>137</v>
      </c>
      <c r="U27" s="17" t="str">
        <f t="shared" si="2"/>
        <v>"Al-Kemyani Aluminum &amp; UPVC
"</v>
      </c>
      <c r="V27" s="16" t="s">
        <v>78</v>
      </c>
      <c r="W27" s="16">
        <v>4</v>
      </c>
      <c r="X27" s="25">
        <v>44931</v>
      </c>
      <c r="Y27" s="13"/>
      <c r="Z27" s="13"/>
      <c r="AA27" s="16" t="s">
        <v>101</v>
      </c>
      <c r="AB27" s="18" t="str">
        <f t="shared" si="3"/>
        <v>"Al-Kemyani Aluminum &amp; UPVC
"</v>
      </c>
      <c r="AC27" s="16" t="s">
        <v>78</v>
      </c>
      <c r="AD27" s="16">
        <v>5</v>
      </c>
      <c r="AE27" s="25">
        <v>44943</v>
      </c>
      <c r="AF27" s="13"/>
      <c r="AG27" s="13"/>
      <c r="AH27" s="16" t="s">
        <v>99</v>
      </c>
      <c r="AI27" s="18"/>
      <c r="AJ27" s="16" t="s">
        <v>98</v>
      </c>
      <c r="AK27" s="19">
        <v>6</v>
      </c>
      <c r="AL27" s="27">
        <v>44956</v>
      </c>
      <c r="AM27" s="18"/>
      <c r="AN27" s="18"/>
      <c r="AO27" s="19" t="s">
        <v>86</v>
      </c>
      <c r="AP27" s="18"/>
      <c r="AQ27" s="19" t="s">
        <v>78</v>
      </c>
      <c r="AR27" s="20" t="s">
        <v>121</v>
      </c>
      <c r="AS27" s="20" t="s">
        <v>122</v>
      </c>
      <c r="AT27" s="19" t="s">
        <v>75</v>
      </c>
      <c r="AU27" s="20" t="s">
        <v>181</v>
      </c>
      <c r="AV27" s="19" t="s">
        <v>86</v>
      </c>
      <c r="AW27" s="18"/>
      <c r="AX27" s="16" t="s">
        <v>98</v>
      </c>
      <c r="AY27" s="19" t="s">
        <v>79</v>
      </c>
      <c r="AZ27" s="20" t="s">
        <v>132</v>
      </c>
      <c r="BA27" s="19" t="s">
        <v>75</v>
      </c>
      <c r="BB27" s="19" t="s">
        <v>75</v>
      </c>
      <c r="BC27" s="19" t="s">
        <v>86</v>
      </c>
      <c r="BD27" s="19" t="s">
        <v>98</v>
      </c>
      <c r="BE27" s="19" t="s">
        <v>79</v>
      </c>
      <c r="BF27" s="20" t="s">
        <v>80</v>
      </c>
      <c r="BG27" s="19" t="s">
        <v>75</v>
      </c>
      <c r="BH27" s="19" t="s">
        <v>75</v>
      </c>
      <c r="BI27" s="19" t="s">
        <v>86</v>
      </c>
      <c r="BJ27" s="12"/>
      <c r="BK27" s="12"/>
      <c r="BL27" s="12"/>
      <c r="BM27" s="9"/>
      <c r="BN27" s="9"/>
      <c r="BO27" s="9"/>
      <c r="BP27" s="12"/>
      <c r="BQ27" s="12"/>
      <c r="BR27" s="12"/>
      <c r="BS27" s="12"/>
      <c r="BT27" s="12"/>
      <c r="BU27" s="12"/>
      <c r="BV27" s="12"/>
      <c r="BW27" s="12"/>
      <c r="BX27" s="12"/>
      <c r="BY27" s="9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</row>
    <row r="28" spans="1:88" ht="40.5" customHeight="1">
      <c r="A28" s="24">
        <f t="shared" si="0"/>
        <v>26</v>
      </c>
      <c r="B28" s="24" t="str">
        <f t="shared" si="4"/>
        <v xml:space="preserve">MA
</v>
      </c>
      <c r="C28" s="24" t="s">
        <v>182</v>
      </c>
      <c r="D28" s="24" t="s">
        <v>119</v>
      </c>
      <c r="E28" s="30">
        <v>0</v>
      </c>
      <c r="F28" s="30">
        <v>0</v>
      </c>
      <c r="G28" s="24" t="s">
        <v>89</v>
      </c>
      <c r="H28" s="30"/>
      <c r="I28" s="24" t="s">
        <v>183</v>
      </c>
      <c r="J28" s="30"/>
      <c r="K28" s="30"/>
      <c r="L28" s="30"/>
      <c r="M28" s="30"/>
      <c r="N28" s="33" t="str">
        <f t="shared" si="1"/>
        <v xml:space="preserve">Winner International LLC Main Office
</v>
      </c>
      <c r="O28" s="34" t="s">
        <v>78</v>
      </c>
      <c r="P28" s="35">
        <v>3</v>
      </c>
      <c r="Q28" s="36">
        <v>44914</v>
      </c>
      <c r="R28" s="38"/>
      <c r="S28" s="38"/>
      <c r="T28" s="34" t="s">
        <v>126</v>
      </c>
      <c r="U28" s="38" t="str">
        <f t="shared" si="2"/>
        <v xml:space="preserve">Winner International LLC Main Office
</v>
      </c>
      <c r="V28" s="34" t="s">
        <v>78</v>
      </c>
      <c r="W28" s="34">
        <v>4</v>
      </c>
      <c r="X28" s="36">
        <v>44931</v>
      </c>
      <c r="Y28" s="33"/>
      <c r="Z28" s="33"/>
      <c r="AA28" s="34" t="s">
        <v>126</v>
      </c>
      <c r="AB28" s="39" t="str">
        <f t="shared" si="3"/>
        <v xml:space="preserve">Winner International LLC Main Office
</v>
      </c>
      <c r="AC28" s="34" t="s">
        <v>78</v>
      </c>
      <c r="AD28" s="34">
        <v>5</v>
      </c>
      <c r="AE28" s="36">
        <v>44943</v>
      </c>
      <c r="AF28" s="33"/>
      <c r="AG28" s="33"/>
      <c r="AH28" s="34" t="s">
        <v>4</v>
      </c>
      <c r="AI28" s="39"/>
      <c r="AJ28" s="34" t="s">
        <v>78</v>
      </c>
      <c r="AK28" s="40">
        <v>6</v>
      </c>
      <c r="AL28" s="41">
        <v>44956</v>
      </c>
      <c r="AM28" s="39"/>
      <c r="AN28" s="39"/>
      <c r="AO28" s="40" t="s">
        <v>101</v>
      </c>
      <c r="AP28" s="39"/>
      <c r="AQ28" s="39"/>
      <c r="AR28" s="39"/>
      <c r="AS28" s="39"/>
      <c r="AT28" s="39"/>
      <c r="AU28" s="39"/>
      <c r="AV28" s="39"/>
      <c r="AW28" s="39"/>
      <c r="AX28" s="33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0"/>
      <c r="BK28" s="30"/>
      <c r="BL28" s="30"/>
      <c r="BM28" s="24"/>
      <c r="BN28" s="24"/>
      <c r="BO28" s="24"/>
      <c r="BP28" s="30"/>
      <c r="BQ28" s="30"/>
      <c r="BR28" s="30"/>
      <c r="BS28" s="30"/>
      <c r="BT28" s="30"/>
      <c r="BU28" s="30"/>
      <c r="BV28" s="30"/>
      <c r="BW28" s="30"/>
      <c r="BX28" s="30"/>
      <c r="BY28" s="24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</row>
    <row r="29" spans="1:88" ht="40.5" customHeight="1">
      <c r="A29" s="24">
        <f t="shared" si="0"/>
        <v>27</v>
      </c>
      <c r="B29" s="24" t="str">
        <f t="shared" si="4"/>
        <v xml:space="preserve">MA
</v>
      </c>
      <c r="C29" s="49" t="s">
        <v>184</v>
      </c>
      <c r="D29" s="24" t="s">
        <v>119</v>
      </c>
      <c r="E29" s="30">
        <v>0</v>
      </c>
      <c r="F29" s="30">
        <v>0</v>
      </c>
      <c r="G29" s="24" t="s">
        <v>89</v>
      </c>
      <c r="H29" s="30"/>
      <c r="I29" s="24" t="s">
        <v>185</v>
      </c>
      <c r="J29" s="24" t="s">
        <v>186</v>
      </c>
      <c r="K29" s="30"/>
      <c r="L29" s="30"/>
      <c r="M29" s="30"/>
      <c r="N29" s="33" t="str">
        <f t="shared" si="1"/>
        <v xml:space="preserve">Aluminium workshop ورش الألمنيوم
</v>
      </c>
      <c r="O29" s="34" t="s">
        <v>78</v>
      </c>
      <c r="P29" s="35">
        <v>3</v>
      </c>
      <c r="Q29" s="36">
        <v>44914</v>
      </c>
      <c r="R29" s="35">
        <v>1</v>
      </c>
      <c r="S29" s="38"/>
      <c r="T29" s="34" t="s">
        <v>137</v>
      </c>
      <c r="U29" s="38" t="str">
        <f t="shared" si="2"/>
        <v xml:space="preserve">Aluminium workshop ورش الألمنيوم
</v>
      </c>
      <c r="V29" s="34" t="s">
        <v>98</v>
      </c>
      <c r="W29" s="34">
        <v>4</v>
      </c>
      <c r="X29" s="36">
        <v>44925</v>
      </c>
      <c r="Y29" s="33"/>
      <c r="Z29" s="33"/>
      <c r="AA29" s="34" t="s">
        <v>86</v>
      </c>
      <c r="AB29" s="39" t="str">
        <f t="shared" si="3"/>
        <v xml:space="preserve">Aluminium workshop ورش الألمنيوم
</v>
      </c>
      <c r="AC29" s="34" t="s">
        <v>78</v>
      </c>
      <c r="AD29" s="34">
        <v>5</v>
      </c>
      <c r="AE29" s="36">
        <v>44931</v>
      </c>
      <c r="AF29" s="34">
        <v>2</v>
      </c>
      <c r="AG29" s="43">
        <v>0.23749999999999999</v>
      </c>
      <c r="AH29" s="34" t="s">
        <v>99</v>
      </c>
      <c r="AI29" s="39"/>
      <c r="AJ29" s="34" t="s">
        <v>98</v>
      </c>
      <c r="AK29" s="40">
        <v>6</v>
      </c>
      <c r="AL29" s="41">
        <v>44956</v>
      </c>
      <c r="AM29" s="39"/>
      <c r="AN29" s="39"/>
      <c r="AO29" s="40" t="s">
        <v>86</v>
      </c>
      <c r="AP29" s="39"/>
      <c r="AQ29" s="40" t="s">
        <v>98</v>
      </c>
      <c r="AR29" s="40" t="s">
        <v>79</v>
      </c>
      <c r="AS29" s="45" t="s">
        <v>80</v>
      </c>
      <c r="AT29" s="40" t="s">
        <v>75</v>
      </c>
      <c r="AU29" s="40" t="s">
        <v>75</v>
      </c>
      <c r="AV29" s="40" t="s">
        <v>86</v>
      </c>
      <c r="AW29" s="39"/>
      <c r="AX29" s="33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0"/>
      <c r="BK29" s="30"/>
      <c r="BL29" s="30"/>
      <c r="BM29" s="24"/>
      <c r="BN29" s="24"/>
      <c r="BO29" s="24"/>
      <c r="BP29" s="30"/>
      <c r="BQ29" s="30"/>
      <c r="BR29" s="30"/>
      <c r="BS29" s="30"/>
      <c r="BT29" s="30"/>
      <c r="BU29" s="30"/>
      <c r="BV29" s="30"/>
      <c r="BW29" s="30"/>
      <c r="BX29" s="30"/>
      <c r="BY29" s="24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</row>
    <row r="30" spans="1:88" ht="40.5" customHeight="1">
      <c r="A30" s="9">
        <f t="shared" si="0"/>
        <v>28</v>
      </c>
      <c r="B30" s="9" t="str">
        <f t="shared" si="4"/>
        <v xml:space="preserve">MA
</v>
      </c>
      <c r="C30" s="9" t="s">
        <v>187</v>
      </c>
      <c r="D30" s="9" t="s">
        <v>119</v>
      </c>
      <c r="E30" s="12">
        <v>0</v>
      </c>
      <c r="F30" s="12">
        <v>0</v>
      </c>
      <c r="G30" s="9" t="s">
        <v>89</v>
      </c>
      <c r="H30" s="12"/>
      <c r="I30" s="9" t="s">
        <v>188</v>
      </c>
      <c r="J30" s="12"/>
      <c r="K30" s="11" t="s">
        <v>189</v>
      </c>
      <c r="L30" s="12"/>
      <c r="M30" s="12"/>
      <c r="N30" s="13" t="str">
        <f t="shared" si="1"/>
        <v xml:space="preserve">Muscat Windows
</v>
      </c>
      <c r="O30" s="16" t="s">
        <v>78</v>
      </c>
      <c r="P30" s="14">
        <v>2</v>
      </c>
      <c r="Q30" s="25">
        <v>44914</v>
      </c>
      <c r="R30" s="17"/>
      <c r="S30" s="17"/>
      <c r="T30" s="16" t="s">
        <v>137</v>
      </c>
      <c r="U30" s="17" t="str">
        <f t="shared" si="2"/>
        <v xml:space="preserve">Muscat Windows
</v>
      </c>
      <c r="V30" s="16" t="s">
        <v>78</v>
      </c>
      <c r="W30" s="16">
        <v>3</v>
      </c>
      <c r="X30" s="25">
        <v>44931</v>
      </c>
      <c r="Y30" s="13"/>
      <c r="Z30" s="13"/>
      <c r="AA30" s="16" t="s">
        <v>101</v>
      </c>
      <c r="AB30" s="18" t="str">
        <f t="shared" si="3"/>
        <v xml:space="preserve">Muscat Windows
</v>
      </c>
      <c r="AC30" s="16" t="s">
        <v>78</v>
      </c>
      <c r="AD30" s="16">
        <v>5</v>
      </c>
      <c r="AE30" s="25">
        <v>44943</v>
      </c>
      <c r="AF30" s="13"/>
      <c r="AG30" s="13"/>
      <c r="AH30" s="16" t="s">
        <v>101</v>
      </c>
      <c r="AI30" s="18"/>
      <c r="AJ30" s="16" t="s">
        <v>78</v>
      </c>
      <c r="AK30" s="19">
        <v>6</v>
      </c>
      <c r="AL30" s="27">
        <v>44956</v>
      </c>
      <c r="AM30" s="18"/>
      <c r="AN30" s="47">
        <v>0.24236111111111111</v>
      </c>
      <c r="AO30" s="19" t="s">
        <v>190</v>
      </c>
      <c r="AP30" s="18"/>
      <c r="AQ30" s="19" t="s">
        <v>98</v>
      </c>
      <c r="AR30" s="20" t="s">
        <v>121</v>
      </c>
      <c r="AS30" s="20" t="s">
        <v>122</v>
      </c>
      <c r="AT30" s="19" t="s">
        <v>75</v>
      </c>
      <c r="AU30" s="19" t="s">
        <v>75</v>
      </c>
      <c r="AV30" s="19" t="s">
        <v>86</v>
      </c>
      <c r="AW30" s="18"/>
      <c r="AX30" s="16" t="s">
        <v>98</v>
      </c>
      <c r="AY30" s="19" t="s">
        <v>79</v>
      </c>
      <c r="AZ30" s="20" t="s">
        <v>132</v>
      </c>
      <c r="BA30" s="19" t="s">
        <v>75</v>
      </c>
      <c r="BB30" s="19" t="s">
        <v>75</v>
      </c>
      <c r="BC30" s="19" t="s">
        <v>86</v>
      </c>
      <c r="BD30" s="19" t="s">
        <v>98</v>
      </c>
      <c r="BE30" s="19" t="s">
        <v>79</v>
      </c>
      <c r="BF30" s="20" t="s">
        <v>80</v>
      </c>
      <c r="BG30" s="19" t="s">
        <v>75</v>
      </c>
      <c r="BH30" s="19" t="s">
        <v>75</v>
      </c>
      <c r="BI30" s="19" t="s">
        <v>86</v>
      </c>
      <c r="BJ30" s="12"/>
      <c r="BK30" s="12"/>
      <c r="BL30" s="12"/>
      <c r="BM30" s="9"/>
      <c r="BN30" s="9"/>
      <c r="BO30" s="9"/>
      <c r="BP30" s="12"/>
      <c r="BQ30" s="12"/>
      <c r="BR30" s="12"/>
      <c r="BS30" s="12"/>
      <c r="BT30" s="12"/>
      <c r="BU30" s="12"/>
      <c r="BV30" s="12"/>
      <c r="BW30" s="12"/>
      <c r="BX30" s="12"/>
      <c r="BY30" s="9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</row>
    <row r="31" spans="1:88" ht="40.5" customHeight="1">
      <c r="A31" s="9">
        <f t="shared" si="0"/>
        <v>29</v>
      </c>
      <c r="B31" s="9" t="str">
        <f t="shared" si="4"/>
        <v xml:space="preserve">MA
</v>
      </c>
      <c r="C31" s="9" t="s">
        <v>191</v>
      </c>
      <c r="D31" s="9" t="s">
        <v>119</v>
      </c>
      <c r="E31" s="12">
        <v>0</v>
      </c>
      <c r="F31" s="12">
        <v>0</v>
      </c>
      <c r="G31" s="9" t="s">
        <v>89</v>
      </c>
      <c r="H31" s="12"/>
      <c r="I31" s="50" t="s">
        <v>192</v>
      </c>
      <c r="J31" s="9" t="s">
        <v>193</v>
      </c>
      <c r="K31" s="12"/>
      <c r="L31" s="12"/>
      <c r="M31" s="12"/>
      <c r="N31" s="13" t="str">
        <f t="shared" si="1"/>
        <v xml:space="preserve">MGE UPVC Door &amp; Window
</v>
      </c>
      <c r="O31" s="16" t="s">
        <v>78</v>
      </c>
      <c r="P31" s="14">
        <v>3</v>
      </c>
      <c r="Q31" s="25">
        <v>44914</v>
      </c>
      <c r="R31" s="17"/>
      <c r="S31" s="17"/>
      <c r="T31" s="16" t="s">
        <v>137</v>
      </c>
      <c r="U31" s="17" t="str">
        <f t="shared" si="2"/>
        <v xml:space="preserve">MGE UPVC Door &amp; Window
</v>
      </c>
      <c r="V31" s="16" t="s">
        <v>78</v>
      </c>
      <c r="W31" s="16">
        <v>4</v>
      </c>
      <c r="X31" s="25">
        <v>44931</v>
      </c>
      <c r="Y31" s="13"/>
      <c r="Z31" s="13"/>
      <c r="AA31" s="16" t="s">
        <v>86</v>
      </c>
      <c r="AB31" s="18" t="str">
        <f t="shared" si="3"/>
        <v xml:space="preserve">MGE UPVC Door &amp; Window
</v>
      </c>
      <c r="AC31" s="16" t="s">
        <v>78</v>
      </c>
      <c r="AD31" s="16">
        <v>5</v>
      </c>
      <c r="AE31" s="25">
        <v>44943</v>
      </c>
      <c r="AF31" s="13"/>
      <c r="AG31" s="13"/>
      <c r="AH31" s="16" t="s">
        <v>101</v>
      </c>
      <c r="AI31" s="18"/>
      <c r="AJ31" s="16" t="s">
        <v>78</v>
      </c>
      <c r="AK31" s="19">
        <v>6</v>
      </c>
      <c r="AL31" s="27">
        <v>44956</v>
      </c>
      <c r="AM31" s="18"/>
      <c r="AN31" s="18"/>
      <c r="AO31" s="19" t="s">
        <v>145</v>
      </c>
      <c r="AP31" s="18"/>
      <c r="AQ31" s="19" t="s">
        <v>78</v>
      </c>
      <c r="AR31" s="20" t="s">
        <v>121</v>
      </c>
      <c r="AS31" s="20" t="s">
        <v>122</v>
      </c>
      <c r="AT31" s="19" t="s">
        <v>75</v>
      </c>
      <c r="AU31" s="19" t="s">
        <v>75</v>
      </c>
      <c r="AV31" s="19" t="s">
        <v>101</v>
      </c>
      <c r="AW31" s="18"/>
      <c r="AX31" s="16" t="s">
        <v>78</v>
      </c>
      <c r="AY31" s="19" t="s">
        <v>79</v>
      </c>
      <c r="AZ31" s="20" t="s">
        <v>132</v>
      </c>
      <c r="BA31" s="19" t="s">
        <v>75</v>
      </c>
      <c r="BB31" s="19" t="s">
        <v>75</v>
      </c>
      <c r="BC31" s="19" t="s">
        <v>86</v>
      </c>
      <c r="BD31" s="19" t="s">
        <v>78</v>
      </c>
      <c r="BE31" s="19" t="s">
        <v>79</v>
      </c>
      <c r="BF31" s="20" t="s">
        <v>80</v>
      </c>
      <c r="BG31" s="19" t="s">
        <v>75</v>
      </c>
      <c r="BH31" s="19" t="s">
        <v>75</v>
      </c>
      <c r="BI31" s="19" t="s">
        <v>190</v>
      </c>
      <c r="BJ31" s="12"/>
      <c r="BK31" s="12"/>
      <c r="BL31" s="12"/>
      <c r="BM31" s="9"/>
      <c r="BN31" s="9"/>
      <c r="BO31" s="9"/>
      <c r="BP31" s="12"/>
      <c r="BQ31" s="12"/>
      <c r="BR31" s="12"/>
      <c r="BS31" s="12"/>
      <c r="BT31" s="12"/>
      <c r="BU31" s="12"/>
      <c r="BV31" s="12"/>
      <c r="BW31" s="12"/>
      <c r="BX31" s="12"/>
      <c r="BY31" s="9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</row>
    <row r="32" spans="1:88" ht="40.5" customHeight="1">
      <c r="A32" s="9">
        <f t="shared" si="0"/>
        <v>30</v>
      </c>
      <c r="B32" s="9" t="str">
        <f t="shared" si="4"/>
        <v xml:space="preserve">MA
</v>
      </c>
      <c r="C32" s="9" t="s">
        <v>194</v>
      </c>
      <c r="D32" s="9" t="s">
        <v>119</v>
      </c>
      <c r="E32" s="12">
        <v>0</v>
      </c>
      <c r="F32" s="12">
        <v>0</v>
      </c>
      <c r="G32" s="9" t="s">
        <v>89</v>
      </c>
      <c r="H32" s="12"/>
      <c r="I32" s="9" t="s">
        <v>195</v>
      </c>
      <c r="J32" s="12"/>
      <c r="K32" s="12"/>
      <c r="L32" s="12"/>
      <c r="M32" s="12"/>
      <c r="N32" s="13" t="str">
        <f t="shared" si="1"/>
        <v xml:space="preserve">Almersal al mutakamilah
</v>
      </c>
      <c r="O32" s="16" t="s">
        <v>78</v>
      </c>
      <c r="P32" s="14">
        <v>3</v>
      </c>
      <c r="Q32" s="25">
        <v>44931</v>
      </c>
      <c r="R32" s="14">
        <v>4</v>
      </c>
      <c r="S32" s="26">
        <v>0.1875</v>
      </c>
      <c r="T32" s="16" t="s">
        <v>190</v>
      </c>
      <c r="U32" s="17" t="str">
        <f t="shared" si="2"/>
        <v xml:space="preserve">Almersal al mutakamilah
</v>
      </c>
      <c r="V32" s="16" t="s">
        <v>98</v>
      </c>
      <c r="W32" s="16">
        <v>5</v>
      </c>
      <c r="X32" s="25">
        <v>44943</v>
      </c>
      <c r="Y32" s="13"/>
      <c r="Z32" s="13"/>
      <c r="AA32" s="16" t="s">
        <v>86</v>
      </c>
      <c r="AB32" s="18" t="str">
        <f t="shared" si="3"/>
        <v xml:space="preserve">Almersal al mutakamilah
</v>
      </c>
      <c r="AC32" s="16" t="s">
        <v>78</v>
      </c>
      <c r="AD32" s="15" t="s">
        <v>144</v>
      </c>
      <c r="AE32" s="15" t="s">
        <v>122</v>
      </c>
      <c r="AF32" s="16" t="s">
        <v>75</v>
      </c>
      <c r="AG32" s="16" t="s">
        <v>75</v>
      </c>
      <c r="AH32" s="16" t="s">
        <v>101</v>
      </c>
      <c r="AI32" s="18"/>
      <c r="AJ32" s="16" t="s">
        <v>98</v>
      </c>
      <c r="AK32" s="19">
        <v>7</v>
      </c>
      <c r="AL32" s="27">
        <v>44956</v>
      </c>
      <c r="AM32" s="18"/>
      <c r="AN32" s="18"/>
      <c r="AO32" s="19" t="s">
        <v>86</v>
      </c>
      <c r="AP32" s="18"/>
      <c r="AQ32" s="19" t="s">
        <v>78</v>
      </c>
      <c r="AR32" s="19" t="s">
        <v>79</v>
      </c>
      <c r="AS32" s="20" t="s">
        <v>132</v>
      </c>
      <c r="AT32" s="19" t="s">
        <v>75</v>
      </c>
      <c r="AU32" s="19" t="s">
        <v>75</v>
      </c>
      <c r="AV32" s="19" t="s">
        <v>101</v>
      </c>
      <c r="AW32" s="18"/>
      <c r="AX32" s="13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2"/>
      <c r="BK32" s="12"/>
      <c r="BL32" s="12"/>
      <c r="BM32" s="9"/>
      <c r="BN32" s="9"/>
      <c r="BO32" s="9"/>
      <c r="BP32" s="12"/>
      <c r="BQ32" s="12"/>
      <c r="BR32" s="12"/>
      <c r="BS32" s="12"/>
      <c r="BT32" s="12"/>
      <c r="BU32" s="12"/>
      <c r="BV32" s="12"/>
      <c r="BW32" s="12"/>
      <c r="BX32" s="12"/>
      <c r="BY32" s="9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</row>
    <row r="33" spans="1:88" ht="40.5" customHeight="1">
      <c r="A33" s="9">
        <f t="shared" si="0"/>
        <v>31</v>
      </c>
      <c r="B33" s="9" t="str">
        <f t="shared" si="4"/>
        <v xml:space="preserve">MA
</v>
      </c>
      <c r="C33" s="9" t="s">
        <v>196</v>
      </c>
      <c r="D33" s="9" t="s">
        <v>119</v>
      </c>
      <c r="E33" s="12">
        <v>0</v>
      </c>
      <c r="F33" s="12">
        <v>0</v>
      </c>
      <c r="G33" s="9" t="s">
        <v>89</v>
      </c>
      <c r="H33" s="12"/>
      <c r="I33" s="9" t="s">
        <v>197</v>
      </c>
      <c r="J33" s="12"/>
      <c r="K33" s="12"/>
      <c r="L33" s="12"/>
      <c r="M33" s="12"/>
      <c r="N33" s="13" t="str">
        <f t="shared" si="1"/>
        <v xml:space="preserve">Abu Nadil Trade.Service
</v>
      </c>
      <c r="O33" s="16" t="s">
        <v>78</v>
      </c>
      <c r="P33" s="14">
        <v>4</v>
      </c>
      <c r="Q33" s="25">
        <v>44914</v>
      </c>
      <c r="R33" s="17"/>
      <c r="S33" s="17"/>
      <c r="T33" s="16" t="s">
        <v>137</v>
      </c>
      <c r="U33" s="17" t="str">
        <f t="shared" si="2"/>
        <v xml:space="preserve">Abu Nadil Trade.Service
</v>
      </c>
      <c r="V33" s="16" t="s">
        <v>78</v>
      </c>
      <c r="W33" s="16">
        <v>5</v>
      </c>
      <c r="X33" s="25">
        <v>44931</v>
      </c>
      <c r="Y33" s="13"/>
      <c r="Z33" s="13"/>
      <c r="AA33" s="16" t="s">
        <v>153</v>
      </c>
      <c r="AB33" s="18" t="str">
        <f t="shared" si="3"/>
        <v xml:space="preserve">Abu Nadil Trade.Service
</v>
      </c>
      <c r="AC33" s="16" t="s">
        <v>78</v>
      </c>
      <c r="AD33" s="16">
        <v>6</v>
      </c>
      <c r="AE33" s="25">
        <v>44943</v>
      </c>
      <c r="AF33" s="13"/>
      <c r="AG33" s="13"/>
      <c r="AH33" s="16" t="s">
        <v>101</v>
      </c>
      <c r="AI33" s="18"/>
      <c r="AJ33" s="16" t="s">
        <v>98</v>
      </c>
      <c r="AK33" s="19">
        <v>7</v>
      </c>
      <c r="AL33" s="27">
        <v>44956</v>
      </c>
      <c r="AM33" s="18"/>
      <c r="AN33" s="18"/>
      <c r="AO33" s="19" t="s">
        <v>86</v>
      </c>
      <c r="AP33" s="18"/>
      <c r="AQ33" s="19" t="s">
        <v>78</v>
      </c>
      <c r="AR33" s="20" t="s">
        <v>198</v>
      </c>
      <c r="AS33" s="20" t="s">
        <v>122</v>
      </c>
      <c r="AT33" s="19" t="s">
        <v>75</v>
      </c>
      <c r="AU33" s="20" t="s">
        <v>199</v>
      </c>
      <c r="AV33" s="19" t="s">
        <v>86</v>
      </c>
      <c r="AW33" s="18"/>
      <c r="AX33" s="16" t="s">
        <v>98</v>
      </c>
      <c r="AY33" s="19" t="s">
        <v>79</v>
      </c>
      <c r="AZ33" s="20" t="s">
        <v>132</v>
      </c>
      <c r="BA33" s="19" t="s">
        <v>75</v>
      </c>
      <c r="BB33" s="19" t="s">
        <v>75</v>
      </c>
      <c r="BC33" s="19" t="s">
        <v>86</v>
      </c>
      <c r="BD33" s="19" t="s">
        <v>98</v>
      </c>
      <c r="BE33" s="19" t="s">
        <v>79</v>
      </c>
      <c r="BF33" s="20" t="s">
        <v>80</v>
      </c>
      <c r="BG33" s="19" t="s">
        <v>75</v>
      </c>
      <c r="BH33" s="19" t="s">
        <v>75</v>
      </c>
      <c r="BI33" s="19" t="s">
        <v>4</v>
      </c>
      <c r="BJ33" s="12"/>
      <c r="BK33" s="12"/>
      <c r="BL33" s="12"/>
      <c r="BM33" s="9"/>
      <c r="BN33" s="9"/>
      <c r="BO33" s="9"/>
      <c r="BP33" s="12"/>
      <c r="BQ33" s="12"/>
      <c r="BR33" s="12"/>
      <c r="BS33" s="12"/>
      <c r="BT33" s="12"/>
      <c r="BU33" s="12"/>
      <c r="BV33" s="12"/>
      <c r="BW33" s="12"/>
      <c r="BX33" s="12"/>
      <c r="BY33" s="9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</row>
    <row r="34" spans="1:88" ht="40.5" customHeight="1">
      <c r="A34" s="9">
        <f t="shared" si="0"/>
        <v>32</v>
      </c>
      <c r="B34" s="9" t="str">
        <f t="shared" si="4"/>
        <v xml:space="preserve">MA
</v>
      </c>
      <c r="C34" s="9" t="s">
        <v>200</v>
      </c>
      <c r="D34" s="9" t="s">
        <v>119</v>
      </c>
      <c r="E34" s="12">
        <v>0</v>
      </c>
      <c r="F34" s="12">
        <v>0</v>
      </c>
      <c r="G34" s="9" t="s">
        <v>89</v>
      </c>
      <c r="H34" s="12"/>
      <c r="I34" s="9" t="s">
        <v>201</v>
      </c>
      <c r="J34" s="12"/>
      <c r="K34" s="12"/>
      <c r="L34" s="12"/>
      <c r="M34" s="12"/>
      <c r="N34" s="13" t="str">
        <f t="shared" si="1"/>
        <v xml:space="preserve">Shomk al abda
</v>
      </c>
      <c r="O34" s="16" t="s">
        <v>78</v>
      </c>
      <c r="P34" s="14">
        <v>4</v>
      </c>
      <c r="Q34" s="25">
        <v>44914</v>
      </c>
      <c r="R34" s="17"/>
      <c r="S34" s="17"/>
      <c r="T34" s="16" t="s">
        <v>137</v>
      </c>
      <c r="U34" s="17" t="str">
        <f t="shared" si="2"/>
        <v xml:space="preserve">Shomk al abda
</v>
      </c>
      <c r="V34" s="16" t="s">
        <v>78</v>
      </c>
      <c r="W34" s="16">
        <v>5</v>
      </c>
      <c r="X34" s="25">
        <v>44931</v>
      </c>
      <c r="Y34" s="16">
        <v>3</v>
      </c>
      <c r="Z34" s="29">
        <v>3.3333333333333333E-2</v>
      </c>
      <c r="AA34" s="16" t="s">
        <v>86</v>
      </c>
      <c r="AB34" s="18" t="str">
        <f t="shared" si="3"/>
        <v xml:space="preserve">Shomk al abda
</v>
      </c>
      <c r="AC34" s="16" t="s">
        <v>78</v>
      </c>
      <c r="AD34" s="16">
        <v>6</v>
      </c>
      <c r="AE34" s="25">
        <v>44943</v>
      </c>
      <c r="AF34" s="13"/>
      <c r="AG34" s="13"/>
      <c r="AH34" s="16" t="s">
        <v>101</v>
      </c>
      <c r="AI34" s="18"/>
      <c r="AJ34" s="16" t="s">
        <v>78</v>
      </c>
      <c r="AK34" s="19">
        <v>8</v>
      </c>
      <c r="AL34" s="27">
        <v>44956</v>
      </c>
      <c r="AM34" s="18"/>
      <c r="AN34" s="18"/>
      <c r="AO34" s="19" t="s">
        <v>101</v>
      </c>
      <c r="AP34" s="18"/>
      <c r="AQ34" s="19" t="s">
        <v>78</v>
      </c>
      <c r="AR34" s="20" t="s">
        <v>131</v>
      </c>
      <c r="AS34" s="20" t="s">
        <v>122</v>
      </c>
      <c r="AT34" s="19" t="s">
        <v>75</v>
      </c>
      <c r="AU34" s="19" t="s">
        <v>75</v>
      </c>
      <c r="AV34" s="19" t="s">
        <v>86</v>
      </c>
      <c r="AW34" s="18"/>
      <c r="AX34" s="16" t="s">
        <v>78</v>
      </c>
      <c r="AY34" s="19" t="s">
        <v>79</v>
      </c>
      <c r="AZ34" s="20" t="s">
        <v>132</v>
      </c>
      <c r="BA34" s="19" t="s">
        <v>75</v>
      </c>
      <c r="BB34" s="19" t="s">
        <v>75</v>
      </c>
      <c r="BC34" s="19" t="s">
        <v>86</v>
      </c>
      <c r="BD34" s="19" t="s">
        <v>98</v>
      </c>
      <c r="BE34" s="19" t="s">
        <v>79</v>
      </c>
      <c r="BF34" s="20" t="s">
        <v>80</v>
      </c>
      <c r="BG34" s="19" t="s">
        <v>75</v>
      </c>
      <c r="BH34" s="19" t="s">
        <v>75</v>
      </c>
      <c r="BI34" s="19" t="s">
        <v>4</v>
      </c>
      <c r="BJ34" s="12"/>
      <c r="BK34" s="12"/>
      <c r="BL34" s="12"/>
      <c r="BM34" s="9"/>
      <c r="BN34" s="9"/>
      <c r="BO34" s="9"/>
      <c r="BP34" s="12"/>
      <c r="BQ34" s="12"/>
      <c r="BR34" s="12"/>
      <c r="BS34" s="12"/>
      <c r="BT34" s="12"/>
      <c r="BU34" s="12"/>
      <c r="BV34" s="12"/>
      <c r="BW34" s="12"/>
      <c r="BX34" s="12"/>
      <c r="BY34" s="9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</row>
    <row r="35" spans="1:88" ht="40.5" customHeight="1">
      <c r="A35" s="9">
        <f t="shared" si="0"/>
        <v>33</v>
      </c>
      <c r="B35" s="9" t="str">
        <f t="shared" si="4"/>
        <v xml:space="preserve">MA
</v>
      </c>
      <c r="C35" s="9" t="s">
        <v>202</v>
      </c>
      <c r="D35" s="9" t="s">
        <v>119</v>
      </c>
      <c r="E35" s="12">
        <v>0</v>
      </c>
      <c r="F35" s="12">
        <v>0</v>
      </c>
      <c r="G35" s="9" t="s">
        <v>89</v>
      </c>
      <c r="H35" s="12"/>
      <c r="I35" s="9" t="s">
        <v>203</v>
      </c>
      <c r="J35" s="12"/>
      <c r="K35" s="22" t="s">
        <v>204</v>
      </c>
      <c r="L35" s="12"/>
      <c r="M35" s="12"/>
      <c r="N35" s="13" t="str">
        <f t="shared" si="1"/>
        <v xml:space="preserve">Atlantic Aluminium Workshop Misfah
</v>
      </c>
      <c r="O35" s="16" t="s">
        <v>78</v>
      </c>
      <c r="P35" s="14">
        <v>4</v>
      </c>
      <c r="Q35" s="25">
        <v>44914</v>
      </c>
      <c r="R35" s="17"/>
      <c r="S35" s="17"/>
      <c r="T35" s="16" t="s">
        <v>126</v>
      </c>
      <c r="U35" s="17" t="str">
        <f t="shared" si="2"/>
        <v xml:space="preserve">Atlantic Aluminium Workshop Misfah
</v>
      </c>
      <c r="V35" s="16" t="s">
        <v>78</v>
      </c>
      <c r="W35" s="16">
        <v>5</v>
      </c>
      <c r="X35" s="25">
        <v>44931</v>
      </c>
      <c r="Y35" s="13"/>
      <c r="Z35" s="13"/>
      <c r="AA35" s="16" t="s">
        <v>101</v>
      </c>
      <c r="AB35" s="18" t="str">
        <f t="shared" si="3"/>
        <v xml:space="preserve">Atlantic Aluminium Workshop Misfah
</v>
      </c>
      <c r="AC35" s="16" t="s">
        <v>78</v>
      </c>
      <c r="AD35" s="16">
        <v>6</v>
      </c>
      <c r="AE35" s="25">
        <v>44943</v>
      </c>
      <c r="AF35" s="13"/>
      <c r="AG35" s="13"/>
      <c r="AH35" s="16" t="s">
        <v>101</v>
      </c>
      <c r="AI35" s="18"/>
      <c r="AJ35" s="16" t="s">
        <v>98</v>
      </c>
      <c r="AK35" s="19">
        <v>8</v>
      </c>
      <c r="AL35" s="27">
        <v>44956</v>
      </c>
      <c r="AM35" s="18"/>
      <c r="AN35" s="18"/>
      <c r="AO35" s="19" t="s">
        <v>86</v>
      </c>
      <c r="AP35" s="18"/>
      <c r="AQ35" s="19" t="s">
        <v>78</v>
      </c>
      <c r="AR35" s="20" t="s">
        <v>131</v>
      </c>
      <c r="AS35" s="20" t="s">
        <v>122</v>
      </c>
      <c r="AT35" s="19" t="s">
        <v>75</v>
      </c>
      <c r="AU35" s="19" t="s">
        <v>75</v>
      </c>
      <c r="AV35" s="19" t="s">
        <v>86</v>
      </c>
      <c r="AW35" s="18"/>
      <c r="AX35" s="16" t="s">
        <v>78</v>
      </c>
      <c r="AY35" s="19" t="s">
        <v>79</v>
      </c>
      <c r="AZ35" s="20" t="s">
        <v>132</v>
      </c>
      <c r="BA35" s="19" t="s">
        <v>75</v>
      </c>
      <c r="BB35" s="19" t="s">
        <v>75</v>
      </c>
      <c r="BC35" s="19" t="s">
        <v>86</v>
      </c>
      <c r="BD35" s="19" t="s">
        <v>98</v>
      </c>
      <c r="BE35" s="19" t="s">
        <v>79</v>
      </c>
      <c r="BF35" s="20" t="s">
        <v>80</v>
      </c>
      <c r="BG35" s="19" t="s">
        <v>75</v>
      </c>
      <c r="BH35" s="19" t="s">
        <v>75</v>
      </c>
      <c r="BI35" s="19" t="s">
        <v>4</v>
      </c>
      <c r="BJ35" s="12"/>
      <c r="BK35" s="12"/>
      <c r="BL35" s="12"/>
      <c r="BM35" s="9"/>
      <c r="BN35" s="9"/>
      <c r="BO35" s="9"/>
      <c r="BP35" s="12"/>
      <c r="BQ35" s="12"/>
      <c r="BR35" s="12"/>
      <c r="BS35" s="12"/>
      <c r="BT35" s="12"/>
      <c r="BU35" s="12"/>
      <c r="BV35" s="12"/>
      <c r="BW35" s="12"/>
      <c r="BX35" s="12"/>
      <c r="BY35" s="9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</row>
    <row r="36" spans="1:88" ht="40.5" customHeight="1">
      <c r="A36" s="9">
        <f t="shared" si="0"/>
        <v>34</v>
      </c>
      <c r="B36" s="9" t="str">
        <f t="shared" si="4"/>
        <v xml:space="preserve">MA
</v>
      </c>
      <c r="C36" s="9" t="s">
        <v>205</v>
      </c>
      <c r="D36" s="9" t="s">
        <v>119</v>
      </c>
      <c r="E36" s="12">
        <v>0</v>
      </c>
      <c r="F36" s="9">
        <v>1</v>
      </c>
      <c r="G36" s="9" t="s">
        <v>89</v>
      </c>
      <c r="H36" s="12"/>
      <c r="I36" s="9" t="s">
        <v>206</v>
      </c>
      <c r="J36" s="12"/>
      <c r="K36" s="11" t="s">
        <v>207</v>
      </c>
      <c r="L36" s="12"/>
      <c r="M36" s="12"/>
      <c r="N36" s="13" t="str">
        <f t="shared" si="1"/>
        <v xml:space="preserve">Al Mimari Industries
</v>
      </c>
      <c r="O36" s="16" t="s">
        <v>98</v>
      </c>
      <c r="P36" s="14">
        <v>5</v>
      </c>
      <c r="Q36" s="25">
        <v>44914</v>
      </c>
      <c r="R36" s="14">
        <v>4</v>
      </c>
      <c r="S36" s="17"/>
      <c r="T36" s="16" t="s">
        <v>86</v>
      </c>
      <c r="U36" s="17" t="str">
        <f t="shared" si="2"/>
        <v xml:space="preserve">Al Mimari Industries
</v>
      </c>
      <c r="V36" s="16" t="s">
        <v>98</v>
      </c>
      <c r="W36" s="16">
        <v>6</v>
      </c>
      <c r="X36" s="25">
        <v>44925</v>
      </c>
      <c r="Y36" s="13"/>
      <c r="Z36" s="13"/>
      <c r="AA36" s="16" t="s">
        <v>86</v>
      </c>
      <c r="AB36" s="18" t="str">
        <f t="shared" si="3"/>
        <v xml:space="preserve">Al Mimari Industries
</v>
      </c>
      <c r="AC36" s="16" t="s">
        <v>78</v>
      </c>
      <c r="AD36" s="16">
        <v>7</v>
      </c>
      <c r="AE36" s="25">
        <v>44942</v>
      </c>
      <c r="AF36" s="16">
        <v>4</v>
      </c>
      <c r="AG36" s="29">
        <v>8.3333333333333329E-2</v>
      </c>
      <c r="AH36" s="16" t="s">
        <v>86</v>
      </c>
      <c r="AI36" s="18"/>
      <c r="AJ36" s="16" t="s">
        <v>98</v>
      </c>
      <c r="AK36" s="19">
        <v>8</v>
      </c>
      <c r="AL36" s="27">
        <v>44956</v>
      </c>
      <c r="AM36" s="18"/>
      <c r="AN36" s="18"/>
      <c r="AO36" s="19" t="s">
        <v>86</v>
      </c>
      <c r="AP36" s="18"/>
      <c r="AQ36" s="19" t="s">
        <v>78</v>
      </c>
      <c r="AR36" s="19" t="s">
        <v>79</v>
      </c>
      <c r="AS36" s="20" t="s">
        <v>140</v>
      </c>
      <c r="AT36" s="19" t="s">
        <v>75</v>
      </c>
      <c r="AU36" s="19" t="s">
        <v>75</v>
      </c>
      <c r="AV36" s="19" t="s">
        <v>86</v>
      </c>
      <c r="AW36" s="18"/>
      <c r="AX36" s="16" t="s">
        <v>78</v>
      </c>
      <c r="AY36" s="19" t="s">
        <v>79</v>
      </c>
      <c r="AZ36" s="20" t="s">
        <v>155</v>
      </c>
      <c r="BA36" s="19" t="s">
        <v>75</v>
      </c>
      <c r="BB36" s="19" t="s">
        <v>75</v>
      </c>
      <c r="BC36" s="19" t="s">
        <v>101</v>
      </c>
      <c r="BD36" s="19" t="s">
        <v>98</v>
      </c>
      <c r="BE36" s="19" t="s">
        <v>79</v>
      </c>
      <c r="BF36" s="20" t="s">
        <v>132</v>
      </c>
      <c r="BG36" s="19" t="s">
        <v>75</v>
      </c>
      <c r="BH36" s="19" t="s">
        <v>75</v>
      </c>
      <c r="BI36" s="19" t="s">
        <v>86</v>
      </c>
      <c r="BJ36" s="9" t="s">
        <v>78</v>
      </c>
      <c r="BK36" s="9" t="s">
        <v>79</v>
      </c>
      <c r="BL36" s="10" t="s">
        <v>80</v>
      </c>
      <c r="BM36" s="9" t="s">
        <v>75</v>
      </c>
      <c r="BN36" s="10" t="s">
        <v>84</v>
      </c>
      <c r="BO36" s="9" t="s">
        <v>101</v>
      </c>
      <c r="BP36" s="12"/>
      <c r="BQ36" s="12"/>
      <c r="BR36" s="12"/>
      <c r="BS36" s="12"/>
      <c r="BT36" s="12"/>
      <c r="BU36" s="12"/>
      <c r="BV36" s="12"/>
      <c r="BW36" s="12"/>
      <c r="BX36" s="12"/>
      <c r="BY36" s="9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</row>
    <row r="37" spans="1:88" ht="40.5" customHeight="1">
      <c r="A37" s="9">
        <f t="shared" si="0"/>
        <v>35</v>
      </c>
      <c r="B37" s="9" t="str">
        <f t="shared" si="4"/>
        <v xml:space="preserve">MA
</v>
      </c>
      <c r="C37" s="9" t="s">
        <v>208</v>
      </c>
      <c r="D37" s="9" t="s">
        <v>119</v>
      </c>
      <c r="E37" s="12">
        <v>0</v>
      </c>
      <c r="F37" s="12">
        <v>0</v>
      </c>
      <c r="G37" s="9" t="s">
        <v>89</v>
      </c>
      <c r="H37" s="12"/>
      <c r="I37" s="9" t="s">
        <v>209</v>
      </c>
      <c r="J37" s="12"/>
      <c r="K37" s="12"/>
      <c r="L37" s="12"/>
      <c r="M37" s="12"/>
      <c r="N37" s="13" t="str">
        <f t="shared" si="1"/>
        <v xml:space="preserve">WINDOOR OMAN
</v>
      </c>
      <c r="O37" s="16" t="s">
        <v>78</v>
      </c>
      <c r="P37" s="14">
        <v>4</v>
      </c>
      <c r="Q37" s="25">
        <v>44914</v>
      </c>
      <c r="R37" s="17"/>
      <c r="S37" s="17"/>
      <c r="T37" s="16" t="s">
        <v>137</v>
      </c>
      <c r="U37" s="17" t="str">
        <f t="shared" si="2"/>
        <v xml:space="preserve">WINDOOR OMAN
</v>
      </c>
      <c r="V37" s="16" t="s">
        <v>78</v>
      </c>
      <c r="W37" s="16">
        <v>5</v>
      </c>
      <c r="X37" s="25">
        <v>44931</v>
      </c>
      <c r="Y37" s="13"/>
      <c r="Z37" s="13"/>
      <c r="AA37" s="16" t="s">
        <v>101</v>
      </c>
      <c r="AB37" s="18" t="str">
        <f t="shared" si="3"/>
        <v xml:space="preserve">WINDOOR OMAN
</v>
      </c>
      <c r="AC37" s="16" t="s">
        <v>78</v>
      </c>
      <c r="AD37" s="16">
        <v>6</v>
      </c>
      <c r="AE37" s="25">
        <v>44943</v>
      </c>
      <c r="AF37" s="13"/>
      <c r="AG37" s="13"/>
      <c r="AH37" s="16" t="s">
        <v>101</v>
      </c>
      <c r="AI37" s="18"/>
      <c r="AJ37" s="16" t="s">
        <v>98</v>
      </c>
      <c r="AK37" s="19">
        <v>7</v>
      </c>
      <c r="AL37" s="27">
        <v>44956</v>
      </c>
      <c r="AM37" s="18"/>
      <c r="AN37" s="18"/>
      <c r="AO37" s="19" t="s">
        <v>86</v>
      </c>
      <c r="AP37" s="18"/>
      <c r="AQ37" s="19" t="s">
        <v>78</v>
      </c>
      <c r="AR37" s="20" t="s">
        <v>198</v>
      </c>
      <c r="AS37" s="20" t="s">
        <v>122</v>
      </c>
      <c r="AT37" s="19" t="s">
        <v>75</v>
      </c>
      <c r="AU37" s="19" t="s">
        <v>75</v>
      </c>
      <c r="AV37" s="19" t="s">
        <v>101</v>
      </c>
      <c r="AW37" s="18"/>
      <c r="AX37" s="16" t="s">
        <v>78</v>
      </c>
      <c r="AY37" s="19" t="s">
        <v>79</v>
      </c>
      <c r="AZ37" s="20" t="s">
        <v>132</v>
      </c>
      <c r="BA37" s="19" t="s">
        <v>75</v>
      </c>
      <c r="BB37" s="19" t="s">
        <v>75</v>
      </c>
      <c r="BC37" s="19" t="s">
        <v>86</v>
      </c>
      <c r="BD37" s="18"/>
      <c r="BE37" s="18"/>
      <c r="BF37" s="18"/>
      <c r="BG37" s="18"/>
      <c r="BH37" s="18"/>
      <c r="BI37" s="18"/>
      <c r="BJ37" s="12"/>
      <c r="BK37" s="12"/>
      <c r="BL37" s="12"/>
      <c r="BM37" s="9"/>
      <c r="BN37" s="9"/>
      <c r="BO37" s="9"/>
      <c r="BP37" s="12"/>
      <c r="BQ37" s="12"/>
      <c r="BR37" s="12"/>
      <c r="BS37" s="12"/>
      <c r="BT37" s="12"/>
      <c r="BU37" s="12"/>
      <c r="BV37" s="12"/>
      <c r="BW37" s="12"/>
      <c r="BX37" s="12"/>
      <c r="BY37" s="9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</row>
    <row r="38" spans="1:88" ht="40.5" customHeight="1">
      <c r="A38" s="9">
        <f t="shared" si="0"/>
        <v>36</v>
      </c>
      <c r="B38" s="9" t="str">
        <f t="shared" si="4"/>
        <v xml:space="preserve">MA
</v>
      </c>
      <c r="C38" s="9" t="s">
        <v>210</v>
      </c>
      <c r="D38" s="9" t="s">
        <v>119</v>
      </c>
      <c r="E38" s="12">
        <v>0</v>
      </c>
      <c r="F38" s="12">
        <v>0</v>
      </c>
      <c r="G38" s="9" t="s">
        <v>89</v>
      </c>
      <c r="H38" s="12"/>
      <c r="I38" s="9" t="s">
        <v>211</v>
      </c>
      <c r="J38" s="12"/>
      <c r="K38" s="12"/>
      <c r="L38" s="12"/>
      <c r="M38" s="12"/>
      <c r="N38" s="13" t="str">
        <f t="shared" si="1"/>
        <v xml:space="preserve">MAHAWAR MAZOON UPVC PRODUCTS
</v>
      </c>
      <c r="O38" s="16" t="s">
        <v>78</v>
      </c>
      <c r="P38" s="14">
        <v>3</v>
      </c>
      <c r="Q38" s="25">
        <v>44914</v>
      </c>
      <c r="R38" s="14">
        <v>4</v>
      </c>
      <c r="S38" s="14" t="s">
        <v>212</v>
      </c>
      <c r="T38" s="16" t="s">
        <v>86</v>
      </c>
      <c r="U38" s="17" t="str">
        <f t="shared" si="2"/>
        <v xml:space="preserve">MAHAWAR MAZOON UPVC PRODUCTS
</v>
      </c>
      <c r="V38" s="16" t="s">
        <v>78</v>
      </c>
      <c r="W38" s="16">
        <v>5</v>
      </c>
      <c r="X38" s="25">
        <v>44931</v>
      </c>
      <c r="Y38" s="13"/>
      <c r="Z38" s="13"/>
      <c r="AA38" s="16" t="s">
        <v>153</v>
      </c>
      <c r="AB38" s="18" t="str">
        <f t="shared" si="3"/>
        <v xml:space="preserve">MAHAWAR MAZOON UPVC PRODUCTS
</v>
      </c>
      <c r="AC38" s="16" t="s">
        <v>78</v>
      </c>
      <c r="AD38" s="16">
        <v>6</v>
      </c>
      <c r="AE38" s="25">
        <v>44943</v>
      </c>
      <c r="AF38" s="13"/>
      <c r="AG38" s="13"/>
      <c r="AH38" s="16" t="s">
        <v>101</v>
      </c>
      <c r="AI38" s="18"/>
      <c r="AJ38" s="16" t="s">
        <v>78</v>
      </c>
      <c r="AK38" s="19">
        <v>8</v>
      </c>
      <c r="AL38" s="27">
        <v>44956</v>
      </c>
      <c r="AM38" s="18"/>
      <c r="AN38" s="18"/>
      <c r="AO38" s="19" t="s">
        <v>101</v>
      </c>
      <c r="AP38" s="18"/>
      <c r="AQ38" s="19" t="s">
        <v>78</v>
      </c>
      <c r="AR38" s="19" t="s">
        <v>79</v>
      </c>
      <c r="AS38" s="20" t="s">
        <v>122</v>
      </c>
      <c r="AT38" s="19" t="s">
        <v>75</v>
      </c>
      <c r="AU38" s="20" t="s">
        <v>213</v>
      </c>
      <c r="AV38" s="19" t="s">
        <v>166</v>
      </c>
      <c r="AW38" s="18"/>
      <c r="AX38" s="16" t="s">
        <v>98</v>
      </c>
      <c r="AY38" s="19" t="s">
        <v>79</v>
      </c>
      <c r="AZ38" s="20" t="s">
        <v>132</v>
      </c>
      <c r="BA38" s="19" t="s">
        <v>75</v>
      </c>
      <c r="BB38" s="19" t="s">
        <v>75</v>
      </c>
      <c r="BC38" s="19" t="s">
        <v>86</v>
      </c>
      <c r="BD38" s="18"/>
      <c r="BE38" s="18"/>
      <c r="BF38" s="18"/>
      <c r="BG38" s="18"/>
      <c r="BH38" s="18"/>
      <c r="BI38" s="18"/>
      <c r="BJ38" s="12"/>
      <c r="BK38" s="12"/>
      <c r="BL38" s="12"/>
      <c r="BM38" s="9"/>
      <c r="BN38" s="9"/>
      <c r="BO38" s="9"/>
      <c r="BP38" s="12"/>
      <c r="BQ38" s="12"/>
      <c r="BR38" s="12"/>
      <c r="BS38" s="12"/>
      <c r="BT38" s="12"/>
      <c r="BU38" s="12"/>
      <c r="BV38" s="12"/>
      <c r="BW38" s="12"/>
      <c r="BX38" s="12"/>
      <c r="BY38" s="9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</row>
    <row r="39" spans="1:88" ht="40.5" customHeight="1">
      <c r="A39" s="9">
        <f t="shared" si="0"/>
        <v>37</v>
      </c>
      <c r="B39" s="9" t="str">
        <f t="shared" si="4"/>
        <v xml:space="preserve">MA
</v>
      </c>
      <c r="C39" s="9" t="s">
        <v>214</v>
      </c>
      <c r="D39" s="9" t="s">
        <v>73</v>
      </c>
      <c r="E39" s="12">
        <v>0</v>
      </c>
      <c r="F39" s="12">
        <v>0</v>
      </c>
      <c r="G39" s="9" t="s">
        <v>89</v>
      </c>
      <c r="H39" s="9" t="s">
        <v>75</v>
      </c>
      <c r="I39" s="10" t="s">
        <v>215</v>
      </c>
      <c r="J39" s="9" t="s">
        <v>75</v>
      </c>
      <c r="K39" s="11" t="s">
        <v>216</v>
      </c>
      <c r="L39" s="12"/>
      <c r="M39" s="12"/>
      <c r="N39" s="13" t="str">
        <f t="shared" si="1"/>
        <v xml:space="preserve">GERITA Nyílászáró Kft.
</v>
      </c>
      <c r="O39" s="16" t="s">
        <v>78</v>
      </c>
      <c r="P39" s="23" t="s">
        <v>82</v>
      </c>
      <c r="Q39" s="15" t="s">
        <v>83</v>
      </c>
      <c r="R39" s="14" t="s">
        <v>75</v>
      </c>
      <c r="S39" s="23" t="s">
        <v>84</v>
      </c>
      <c r="T39" s="16" t="s">
        <v>126</v>
      </c>
      <c r="U39" s="17" t="str">
        <f t="shared" si="2"/>
        <v xml:space="preserve">GERITA Nyílászáró Kft.
</v>
      </c>
      <c r="V39" s="16" t="s">
        <v>78</v>
      </c>
      <c r="W39" s="15" t="s">
        <v>93</v>
      </c>
      <c r="X39" s="15" t="s">
        <v>85</v>
      </c>
      <c r="Y39" s="16" t="s">
        <v>75</v>
      </c>
      <c r="Z39" s="15" t="s">
        <v>84</v>
      </c>
      <c r="AA39" s="16" t="s">
        <v>126</v>
      </c>
      <c r="AB39" s="18" t="str">
        <f t="shared" si="3"/>
        <v xml:space="preserve">GERITA Nyílászáró Kft.
</v>
      </c>
      <c r="AC39" s="16" t="s">
        <v>78</v>
      </c>
      <c r="AD39" s="16">
        <v>5</v>
      </c>
      <c r="AE39" s="25">
        <v>44943</v>
      </c>
      <c r="AF39" s="13"/>
      <c r="AG39" s="13"/>
      <c r="AH39" s="16" t="s">
        <v>101</v>
      </c>
      <c r="AI39" s="18"/>
      <c r="AJ39" s="16" t="s">
        <v>98</v>
      </c>
      <c r="AK39" s="19">
        <v>8</v>
      </c>
      <c r="AL39" s="27">
        <v>44956</v>
      </c>
      <c r="AM39" s="18"/>
      <c r="AN39" s="18"/>
      <c r="AO39" s="19" t="s">
        <v>86</v>
      </c>
      <c r="AP39" s="18"/>
      <c r="AQ39" s="19" t="s">
        <v>78</v>
      </c>
      <c r="AR39" s="20" t="s">
        <v>131</v>
      </c>
      <c r="AS39" s="20" t="s">
        <v>122</v>
      </c>
      <c r="AT39" s="19" t="s">
        <v>75</v>
      </c>
      <c r="AU39" s="19" t="s">
        <v>75</v>
      </c>
      <c r="AV39" s="19" t="s">
        <v>101</v>
      </c>
      <c r="AW39" s="18"/>
      <c r="AX39" s="16" t="s">
        <v>78</v>
      </c>
      <c r="AY39" s="19" t="s">
        <v>79</v>
      </c>
      <c r="AZ39" s="20" t="s">
        <v>132</v>
      </c>
      <c r="BA39" s="19" t="s">
        <v>75</v>
      </c>
      <c r="BB39" s="19" t="s">
        <v>75</v>
      </c>
      <c r="BC39" s="19" t="s">
        <v>126</v>
      </c>
      <c r="BD39" s="19" t="s">
        <v>78</v>
      </c>
      <c r="BE39" s="19" t="s">
        <v>79</v>
      </c>
      <c r="BF39" s="20" t="s">
        <v>80</v>
      </c>
      <c r="BG39" s="19" t="s">
        <v>75</v>
      </c>
      <c r="BH39" s="19" t="s">
        <v>75</v>
      </c>
      <c r="BI39" s="19" t="s">
        <v>4</v>
      </c>
      <c r="BJ39" s="12"/>
      <c r="BK39" s="12"/>
      <c r="BL39" s="12"/>
      <c r="BM39" s="9"/>
      <c r="BN39" s="9"/>
      <c r="BO39" s="9"/>
      <c r="BP39" s="12"/>
      <c r="BQ39" s="12"/>
      <c r="BR39" s="12"/>
      <c r="BS39" s="12"/>
      <c r="BT39" s="12"/>
      <c r="BU39" s="12"/>
      <c r="BV39" s="12"/>
      <c r="BW39" s="12"/>
      <c r="BX39" s="12"/>
      <c r="BY39" s="9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</row>
    <row r="40" spans="1:88" ht="40.5" customHeight="1">
      <c r="A40" s="9">
        <f t="shared" si="0"/>
        <v>38</v>
      </c>
      <c r="B40" s="9" t="str">
        <f t="shared" si="4"/>
        <v xml:space="preserve">MA
</v>
      </c>
      <c r="C40" s="9" t="s">
        <v>217</v>
      </c>
      <c r="D40" s="9" t="s">
        <v>73</v>
      </c>
      <c r="E40" s="12">
        <v>0</v>
      </c>
      <c r="F40" s="9">
        <v>1</v>
      </c>
      <c r="G40" s="9" t="s">
        <v>89</v>
      </c>
      <c r="H40" s="9" t="s">
        <v>75</v>
      </c>
      <c r="I40" s="9" t="s">
        <v>218</v>
      </c>
      <c r="J40" s="9" t="s">
        <v>75</v>
      </c>
      <c r="K40" s="11" t="s">
        <v>219</v>
      </c>
      <c r="L40" s="12"/>
      <c r="M40" s="12"/>
      <c r="N40" s="13" t="str">
        <f t="shared" si="1"/>
        <v xml:space="preserve"> Future Doors Kft
</v>
      </c>
      <c r="O40" s="16" t="s">
        <v>78</v>
      </c>
      <c r="P40" s="14" t="s">
        <v>75</v>
      </c>
      <c r="Q40" s="15" t="s">
        <v>83</v>
      </c>
      <c r="R40" s="14" t="s">
        <v>75</v>
      </c>
      <c r="S40" s="23" t="s">
        <v>84</v>
      </c>
      <c r="T40" s="16" t="s">
        <v>101</v>
      </c>
      <c r="U40" s="17" t="str">
        <f t="shared" si="2"/>
        <v xml:space="preserve"> Future Doors Kft
</v>
      </c>
      <c r="V40" s="16" t="s">
        <v>78</v>
      </c>
      <c r="W40" s="15" t="s">
        <v>220</v>
      </c>
      <c r="X40" s="15" t="s">
        <v>85</v>
      </c>
      <c r="Y40" s="16" t="s">
        <v>75</v>
      </c>
      <c r="Z40" s="15" t="s">
        <v>84</v>
      </c>
      <c r="AA40" s="16" t="s">
        <v>101</v>
      </c>
      <c r="AB40" s="18" t="str">
        <f t="shared" si="3"/>
        <v xml:space="preserve"> Future Doors Kft
</v>
      </c>
      <c r="AC40" s="19" t="s">
        <v>78</v>
      </c>
      <c r="AD40" s="19">
        <v>7</v>
      </c>
      <c r="AE40" s="27">
        <v>44931</v>
      </c>
      <c r="AF40" s="18"/>
      <c r="AG40" s="18"/>
      <c r="AH40" s="16" t="s">
        <v>126</v>
      </c>
      <c r="AI40" s="18"/>
      <c r="AJ40" s="16" t="s">
        <v>78</v>
      </c>
      <c r="AK40" s="19">
        <v>9</v>
      </c>
      <c r="AL40" s="27">
        <v>44949</v>
      </c>
      <c r="AM40" s="18"/>
      <c r="AN40" s="47">
        <v>8.7499999999999994E-2</v>
      </c>
      <c r="AO40" s="19" t="s">
        <v>99</v>
      </c>
      <c r="AP40" s="18"/>
      <c r="AQ40" s="19" t="s">
        <v>7</v>
      </c>
      <c r="AR40" s="19">
        <v>9</v>
      </c>
      <c r="AS40" s="27">
        <v>44944</v>
      </c>
      <c r="AT40" s="18"/>
      <c r="AU40" s="18"/>
      <c r="AV40" s="19" t="s">
        <v>86</v>
      </c>
      <c r="AW40" s="18"/>
      <c r="AX40" s="16" t="s">
        <v>78</v>
      </c>
      <c r="AY40" s="19" t="s">
        <v>79</v>
      </c>
      <c r="AZ40" s="20" t="s">
        <v>221</v>
      </c>
      <c r="BA40" s="19" t="s">
        <v>75</v>
      </c>
      <c r="BB40" s="19" t="s">
        <v>75</v>
      </c>
      <c r="BC40" s="19" t="s">
        <v>101</v>
      </c>
      <c r="BD40" s="18"/>
      <c r="BE40" s="18"/>
      <c r="BF40" s="18"/>
      <c r="BG40" s="18"/>
      <c r="BH40" s="18"/>
      <c r="BI40" s="18"/>
      <c r="BJ40" s="12"/>
      <c r="BK40" s="12"/>
      <c r="BL40" s="12"/>
      <c r="BM40" s="9"/>
      <c r="BN40" s="9"/>
      <c r="BO40" s="9"/>
      <c r="BP40" s="12"/>
      <c r="BQ40" s="12"/>
      <c r="BR40" s="12"/>
      <c r="BS40" s="12"/>
      <c r="BT40" s="12"/>
      <c r="BU40" s="12"/>
      <c r="BV40" s="12"/>
      <c r="BW40" s="12"/>
      <c r="BX40" s="12"/>
      <c r="BY40" s="9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</row>
    <row r="41" spans="1:88" ht="40.5" customHeight="1">
      <c r="A41" s="9">
        <f t="shared" si="0"/>
        <v>39</v>
      </c>
      <c r="B41" s="9" t="str">
        <f t="shared" si="4"/>
        <v xml:space="preserve">MA
</v>
      </c>
      <c r="C41" s="9" t="s">
        <v>222</v>
      </c>
      <c r="D41" s="9" t="s">
        <v>73</v>
      </c>
      <c r="E41" s="12">
        <v>0</v>
      </c>
      <c r="F41" s="9">
        <v>1</v>
      </c>
      <c r="G41" s="9" t="s">
        <v>89</v>
      </c>
      <c r="H41" s="9" t="s">
        <v>75</v>
      </c>
      <c r="I41" s="9" t="s">
        <v>223</v>
      </c>
      <c r="J41" s="51" t="s">
        <v>75</v>
      </c>
      <c r="K41" s="22" t="s">
        <v>224</v>
      </c>
      <c r="L41" s="12"/>
      <c r="M41" s="12"/>
      <c r="N41" s="13" t="str">
        <f t="shared" si="1"/>
        <v xml:space="preserve"> Roltech-Ablak Kft.
</v>
      </c>
      <c r="O41" s="16" t="s">
        <v>78</v>
      </c>
      <c r="P41" s="14" t="s">
        <v>75</v>
      </c>
      <c r="Q41" s="15" t="s">
        <v>83</v>
      </c>
      <c r="R41" s="14" t="s">
        <v>75</v>
      </c>
      <c r="S41" s="23" t="s">
        <v>84</v>
      </c>
      <c r="T41" s="16" t="s">
        <v>145</v>
      </c>
      <c r="U41" s="17" t="str">
        <f t="shared" si="2"/>
        <v xml:space="preserve"> Roltech-Ablak Kft.
</v>
      </c>
      <c r="V41" s="16" t="s">
        <v>78</v>
      </c>
      <c r="W41" s="15" t="s">
        <v>220</v>
      </c>
      <c r="X41" s="15" t="s">
        <v>85</v>
      </c>
      <c r="Y41" s="16" t="s">
        <v>75</v>
      </c>
      <c r="Z41" s="15" t="s">
        <v>84</v>
      </c>
      <c r="AA41" s="16" t="s">
        <v>145</v>
      </c>
      <c r="AB41" s="18" t="str">
        <f t="shared" si="3"/>
        <v xml:space="preserve"> Roltech-Ablak Kft.
</v>
      </c>
      <c r="AC41" s="19" t="s">
        <v>78</v>
      </c>
      <c r="AD41" s="19">
        <v>7</v>
      </c>
      <c r="AE41" s="27">
        <v>44931</v>
      </c>
      <c r="AF41" s="18"/>
      <c r="AG41" s="18"/>
      <c r="AH41" s="16" t="s">
        <v>126</v>
      </c>
      <c r="AI41" s="18"/>
      <c r="AJ41" s="16" t="s">
        <v>78</v>
      </c>
      <c r="AK41" s="19">
        <v>10</v>
      </c>
      <c r="AL41" s="27">
        <v>44949</v>
      </c>
      <c r="AM41" s="18"/>
      <c r="AN41" s="18"/>
      <c r="AO41" s="19" t="s">
        <v>126</v>
      </c>
      <c r="AP41" s="18"/>
      <c r="AQ41" s="19" t="s">
        <v>78</v>
      </c>
      <c r="AR41" s="19" t="s">
        <v>79</v>
      </c>
      <c r="AS41" s="20" t="s">
        <v>100</v>
      </c>
      <c r="AT41" s="19" t="s">
        <v>75</v>
      </c>
      <c r="AU41" s="19" t="s">
        <v>75</v>
      </c>
      <c r="AV41" s="19" t="s">
        <v>101</v>
      </c>
      <c r="AW41" s="18"/>
      <c r="AX41" s="16" t="s">
        <v>78</v>
      </c>
      <c r="AY41" s="19" t="s">
        <v>79</v>
      </c>
      <c r="AZ41" s="20" t="s">
        <v>102</v>
      </c>
      <c r="BA41" s="19" t="s">
        <v>75</v>
      </c>
      <c r="BB41" s="19" t="s">
        <v>75</v>
      </c>
      <c r="BC41" s="19" t="s">
        <v>101</v>
      </c>
      <c r="BD41" s="18"/>
      <c r="BE41" s="18"/>
      <c r="BF41" s="18"/>
      <c r="BG41" s="18"/>
      <c r="BH41" s="18"/>
      <c r="BI41" s="18"/>
      <c r="BJ41" s="12"/>
      <c r="BK41" s="12"/>
      <c r="BL41" s="12"/>
      <c r="BM41" s="9"/>
      <c r="BN41" s="9"/>
      <c r="BO41" s="9"/>
      <c r="BP41" s="12"/>
      <c r="BQ41" s="12"/>
      <c r="BR41" s="12"/>
      <c r="BS41" s="12"/>
      <c r="BT41" s="12"/>
      <c r="BU41" s="12"/>
      <c r="BV41" s="12"/>
      <c r="BW41" s="12"/>
      <c r="BX41" s="12"/>
      <c r="BY41" s="9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</row>
    <row r="42" spans="1:88" ht="40.5" customHeight="1">
      <c r="A42" s="9">
        <f t="shared" si="0"/>
        <v>40</v>
      </c>
      <c r="B42" s="9" t="str">
        <f t="shared" si="4"/>
        <v xml:space="preserve">MA
</v>
      </c>
      <c r="C42" s="9" t="s">
        <v>225</v>
      </c>
      <c r="D42" s="9" t="s">
        <v>73</v>
      </c>
      <c r="E42" s="12">
        <v>0</v>
      </c>
      <c r="F42" s="9">
        <v>1</v>
      </c>
      <c r="G42" s="9" t="s">
        <v>89</v>
      </c>
      <c r="H42" s="9" t="s">
        <v>75</v>
      </c>
      <c r="I42" s="9" t="s">
        <v>226</v>
      </c>
      <c r="J42" s="9" t="s">
        <v>75</v>
      </c>
      <c r="K42" s="11" t="s">
        <v>227</v>
      </c>
      <c r="L42" s="12"/>
      <c r="M42" s="12"/>
      <c r="N42" s="13" t="str">
        <f t="shared" si="1"/>
        <v xml:space="preserve">ALULUX STÚDIÓ - Aludra Kft.
</v>
      </c>
      <c r="O42" s="16" t="s">
        <v>78</v>
      </c>
      <c r="P42" s="14" t="s">
        <v>75</v>
      </c>
      <c r="Q42" s="15" t="s">
        <v>83</v>
      </c>
      <c r="R42" s="14" t="s">
        <v>75</v>
      </c>
      <c r="S42" s="14" t="s">
        <v>75</v>
      </c>
      <c r="T42" s="16" t="s">
        <v>81</v>
      </c>
      <c r="U42" s="17" t="str">
        <f t="shared" si="2"/>
        <v xml:space="preserve">ALULUX STÚDIÓ - Aludra Kft.
</v>
      </c>
      <c r="V42" s="16" t="s">
        <v>78</v>
      </c>
      <c r="W42" s="15" t="s">
        <v>228</v>
      </c>
      <c r="X42" s="15" t="s">
        <v>85</v>
      </c>
      <c r="Y42" s="15" t="s">
        <v>228</v>
      </c>
      <c r="Z42" s="15" t="s">
        <v>84</v>
      </c>
      <c r="AA42" s="16" t="s">
        <v>81</v>
      </c>
      <c r="AB42" s="18" t="str">
        <f t="shared" si="3"/>
        <v xml:space="preserve">ALULUX STÚDIÓ - Aludra Kft.
</v>
      </c>
      <c r="AC42" s="19" t="s">
        <v>98</v>
      </c>
      <c r="AD42" s="19">
        <v>6</v>
      </c>
      <c r="AE42" s="27">
        <v>44939</v>
      </c>
      <c r="AF42" s="18"/>
      <c r="AG42" s="18"/>
      <c r="AH42" s="16" t="s">
        <v>86</v>
      </c>
      <c r="AI42" s="18"/>
      <c r="AJ42" s="13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3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2"/>
      <c r="BK42" s="12"/>
      <c r="BL42" s="12"/>
      <c r="BM42" s="9"/>
      <c r="BN42" s="9"/>
      <c r="BO42" s="9"/>
      <c r="BP42" s="12"/>
      <c r="BQ42" s="12"/>
      <c r="BR42" s="12"/>
      <c r="BS42" s="12"/>
      <c r="BT42" s="12"/>
      <c r="BU42" s="12"/>
      <c r="BV42" s="12"/>
      <c r="BW42" s="12"/>
      <c r="BX42" s="12"/>
      <c r="BY42" s="9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</row>
    <row r="43" spans="1:88" ht="40.5" customHeight="1">
      <c r="A43" s="9">
        <f t="shared" si="0"/>
        <v>41</v>
      </c>
      <c r="B43" s="9" t="str">
        <f t="shared" si="4"/>
        <v xml:space="preserve">MA
</v>
      </c>
      <c r="C43" s="48" t="s">
        <v>229</v>
      </c>
      <c r="D43" s="9" t="s">
        <v>73</v>
      </c>
      <c r="E43" s="12">
        <v>0</v>
      </c>
      <c r="F43" s="12">
        <v>0</v>
      </c>
      <c r="G43" s="9" t="s">
        <v>89</v>
      </c>
      <c r="H43" s="9" t="s">
        <v>75</v>
      </c>
      <c r="I43" s="9" t="s">
        <v>230</v>
      </c>
      <c r="J43" s="9" t="s">
        <v>75</v>
      </c>
      <c r="K43" s="11" t="s">
        <v>231</v>
      </c>
      <c r="L43" s="12"/>
      <c r="M43" s="12"/>
      <c r="N43" s="13" t="str">
        <f t="shared" si="1"/>
        <v xml:space="preserve">AblakMAX
</v>
      </c>
      <c r="O43" s="16" t="s">
        <v>78</v>
      </c>
      <c r="P43" s="14" t="s">
        <v>75</v>
      </c>
      <c r="Q43" s="15" t="s">
        <v>83</v>
      </c>
      <c r="R43" s="14" t="s">
        <v>75</v>
      </c>
      <c r="S43" s="14" t="s">
        <v>75</v>
      </c>
      <c r="T43" s="16" t="s">
        <v>101</v>
      </c>
      <c r="U43" s="17" t="str">
        <f t="shared" si="2"/>
        <v xml:space="preserve">AblakMAX
</v>
      </c>
      <c r="V43" s="16" t="s">
        <v>78</v>
      </c>
      <c r="W43" s="15" t="s">
        <v>93</v>
      </c>
      <c r="X43" s="15" t="s">
        <v>85</v>
      </c>
      <c r="Y43" s="15" t="s">
        <v>232</v>
      </c>
      <c r="Z43" s="15" t="s">
        <v>233</v>
      </c>
      <c r="AA43" s="16" t="s">
        <v>145</v>
      </c>
      <c r="AB43" s="18" t="str">
        <f t="shared" si="3"/>
        <v xml:space="preserve">AblakMAX
</v>
      </c>
      <c r="AC43" s="19" t="s">
        <v>78</v>
      </c>
      <c r="AD43" s="19" t="s">
        <v>79</v>
      </c>
      <c r="AE43" s="20" t="s">
        <v>100</v>
      </c>
      <c r="AF43" s="19" t="s">
        <v>75</v>
      </c>
      <c r="AG43" s="20" t="s">
        <v>234</v>
      </c>
      <c r="AH43" s="16" t="s">
        <v>86</v>
      </c>
      <c r="AI43" s="18"/>
      <c r="AJ43" s="16" t="s">
        <v>98</v>
      </c>
      <c r="AK43" s="19" t="s">
        <v>79</v>
      </c>
      <c r="AL43" s="20" t="s">
        <v>102</v>
      </c>
      <c r="AM43" s="19" t="s">
        <v>75</v>
      </c>
      <c r="AN43" s="19" t="s">
        <v>75</v>
      </c>
      <c r="AO43" s="19" t="s">
        <v>86</v>
      </c>
      <c r="AP43" s="18"/>
      <c r="AQ43" s="18"/>
      <c r="AR43" s="18"/>
      <c r="AS43" s="18"/>
      <c r="AT43" s="18"/>
      <c r="AU43" s="18"/>
      <c r="AV43" s="18"/>
      <c r="AW43" s="18"/>
      <c r="AX43" s="13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2"/>
      <c r="BK43" s="12"/>
      <c r="BL43" s="12"/>
      <c r="BM43" s="9"/>
      <c r="BN43" s="9"/>
      <c r="BO43" s="9"/>
      <c r="BP43" s="12"/>
      <c r="BQ43" s="12"/>
      <c r="BR43" s="12"/>
      <c r="BS43" s="12"/>
      <c r="BT43" s="12"/>
      <c r="BU43" s="12"/>
      <c r="BV43" s="12"/>
      <c r="BW43" s="12"/>
      <c r="BX43" s="12"/>
      <c r="BY43" s="9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</row>
    <row r="44" spans="1:88" ht="40.5" customHeight="1">
      <c r="A44" s="9">
        <f t="shared" si="0"/>
        <v>42</v>
      </c>
      <c r="B44" s="9" t="str">
        <f t="shared" si="4"/>
        <v xml:space="preserve">MA
</v>
      </c>
      <c r="C44" s="9" t="s">
        <v>235</v>
      </c>
      <c r="D44" s="9" t="s">
        <v>73</v>
      </c>
      <c r="E44" s="12">
        <v>0</v>
      </c>
      <c r="F44" s="12">
        <v>0</v>
      </c>
      <c r="G44" s="9" t="s">
        <v>89</v>
      </c>
      <c r="H44" s="9" t="s">
        <v>75</v>
      </c>
      <c r="I44" s="9" t="s">
        <v>236</v>
      </c>
      <c r="J44" s="9" t="s">
        <v>75</v>
      </c>
      <c r="K44" s="22" t="s">
        <v>237</v>
      </c>
      <c r="L44" s="12"/>
      <c r="M44" s="12"/>
      <c r="N44" s="13" t="str">
        <f t="shared" si="1"/>
        <v xml:space="preserve"> Nyílászáró Centrum
</v>
      </c>
      <c r="O44" s="16" t="s">
        <v>78</v>
      </c>
      <c r="P44" s="14" t="s">
        <v>75</v>
      </c>
      <c r="Q44" s="15" t="s">
        <v>83</v>
      </c>
      <c r="R44" s="14" t="s">
        <v>75</v>
      </c>
      <c r="S44" s="23" t="s">
        <v>84</v>
      </c>
      <c r="T44" s="16" t="s">
        <v>145</v>
      </c>
      <c r="U44" s="17" t="str">
        <f t="shared" si="2"/>
        <v xml:space="preserve"> Nyílászáró Centrum
</v>
      </c>
      <c r="V44" s="16" t="s">
        <v>78</v>
      </c>
      <c r="W44" s="15" t="s">
        <v>93</v>
      </c>
      <c r="X44" s="15" t="s">
        <v>85</v>
      </c>
      <c r="Y44" s="16" t="s">
        <v>75</v>
      </c>
      <c r="Z44" s="15" t="s">
        <v>84</v>
      </c>
      <c r="AA44" s="16" t="s">
        <v>4</v>
      </c>
      <c r="AB44" s="18" t="str">
        <f t="shared" si="3"/>
        <v xml:space="preserve"> Nyílászáró Centrum
</v>
      </c>
      <c r="AC44" s="19" t="s">
        <v>78</v>
      </c>
      <c r="AD44" s="19" t="s">
        <v>79</v>
      </c>
      <c r="AE44" s="20" t="s">
        <v>100</v>
      </c>
      <c r="AF44" s="19" t="s">
        <v>75</v>
      </c>
      <c r="AG44" s="19" t="s">
        <v>75</v>
      </c>
      <c r="AH44" s="16" t="s">
        <v>101</v>
      </c>
      <c r="AI44" s="18"/>
      <c r="AJ44" s="16" t="s">
        <v>98</v>
      </c>
      <c r="AK44" s="19" t="s">
        <v>79</v>
      </c>
      <c r="AL44" s="20" t="s">
        <v>102</v>
      </c>
      <c r="AM44" s="19" t="s">
        <v>75</v>
      </c>
      <c r="AN44" s="19" t="s">
        <v>75</v>
      </c>
      <c r="AO44" s="19" t="s">
        <v>4</v>
      </c>
      <c r="AP44" s="18"/>
      <c r="AQ44" s="18"/>
      <c r="AR44" s="18"/>
      <c r="AS44" s="18"/>
      <c r="AT44" s="18"/>
      <c r="AU44" s="18"/>
      <c r="AV44" s="18"/>
      <c r="AW44" s="18"/>
      <c r="AX44" s="13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2"/>
      <c r="BK44" s="12"/>
      <c r="BL44" s="12"/>
      <c r="BM44" s="9"/>
      <c r="BN44" s="9"/>
      <c r="BO44" s="9"/>
      <c r="BP44" s="12"/>
      <c r="BQ44" s="12"/>
      <c r="BR44" s="12"/>
      <c r="BS44" s="12"/>
      <c r="BT44" s="12"/>
      <c r="BU44" s="12"/>
      <c r="BV44" s="12"/>
      <c r="BW44" s="12"/>
      <c r="BX44" s="12"/>
      <c r="BY44" s="9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</row>
    <row r="45" spans="1:88" ht="40.5" customHeight="1">
      <c r="A45" s="9">
        <f t="shared" si="0"/>
        <v>43</v>
      </c>
      <c r="B45" s="9" t="str">
        <f t="shared" si="4"/>
        <v xml:space="preserve">MA
</v>
      </c>
      <c r="C45" s="48" t="s">
        <v>238</v>
      </c>
      <c r="D45" s="9" t="s">
        <v>73</v>
      </c>
      <c r="E45" s="12">
        <v>0</v>
      </c>
      <c r="F45" s="12">
        <v>0</v>
      </c>
      <c r="G45" s="9" t="s">
        <v>89</v>
      </c>
      <c r="H45" s="9" t="s">
        <v>75</v>
      </c>
      <c r="I45" s="9" t="s">
        <v>239</v>
      </c>
      <c r="J45" s="9" t="s">
        <v>75</v>
      </c>
      <c r="K45" s="11" t="s">
        <v>240</v>
      </c>
      <c r="L45" s="12"/>
      <c r="M45" s="12"/>
      <c r="N45" s="13" t="str">
        <f t="shared" si="1"/>
        <v xml:space="preserve"> Alba Lux Kft.
</v>
      </c>
      <c r="O45" s="16" t="s">
        <v>78</v>
      </c>
      <c r="P45" s="14" t="s">
        <v>75</v>
      </c>
      <c r="Q45" s="15" t="s">
        <v>83</v>
      </c>
      <c r="R45" s="14" t="s">
        <v>75</v>
      </c>
      <c r="S45" s="23" t="s">
        <v>241</v>
      </c>
      <c r="T45" s="16" t="s">
        <v>145</v>
      </c>
      <c r="U45" s="17" t="str">
        <f t="shared" si="2"/>
        <v xml:space="preserve"> Alba Lux Kft.
</v>
      </c>
      <c r="V45" s="16" t="s">
        <v>78</v>
      </c>
      <c r="W45" s="15" t="s">
        <v>93</v>
      </c>
      <c r="X45" s="15" t="s">
        <v>85</v>
      </c>
      <c r="Y45" s="15" t="s">
        <v>242</v>
      </c>
      <c r="Z45" s="15" t="s">
        <v>243</v>
      </c>
      <c r="AA45" s="16" t="s">
        <v>81</v>
      </c>
      <c r="AB45" s="18" t="str">
        <f t="shared" si="3"/>
        <v xml:space="preserve"> Alba Lux Kft.
</v>
      </c>
      <c r="AC45" s="19" t="s">
        <v>98</v>
      </c>
      <c r="AD45" s="19" t="s">
        <v>79</v>
      </c>
      <c r="AE45" s="20" t="s">
        <v>100</v>
      </c>
      <c r="AF45" s="19" t="s">
        <v>75</v>
      </c>
      <c r="AG45" s="19" t="s">
        <v>75</v>
      </c>
      <c r="AH45" s="16" t="s">
        <v>86</v>
      </c>
      <c r="AI45" s="18"/>
      <c r="AJ45" s="16" t="s">
        <v>98</v>
      </c>
      <c r="AK45" s="19" t="s">
        <v>79</v>
      </c>
      <c r="AL45" s="20" t="s">
        <v>102</v>
      </c>
      <c r="AM45" s="19" t="s">
        <v>75</v>
      </c>
      <c r="AN45" s="19" t="s">
        <v>75</v>
      </c>
      <c r="AO45" s="19" t="s">
        <v>86</v>
      </c>
      <c r="AP45" s="18"/>
      <c r="AQ45" s="18"/>
      <c r="AR45" s="18"/>
      <c r="AS45" s="18"/>
      <c r="AT45" s="18"/>
      <c r="AU45" s="18"/>
      <c r="AV45" s="18"/>
      <c r="AW45" s="18"/>
      <c r="AX45" s="13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2"/>
      <c r="BK45" s="12"/>
      <c r="BL45" s="12"/>
      <c r="BM45" s="9"/>
      <c r="BN45" s="9"/>
      <c r="BO45" s="9"/>
      <c r="BP45" s="12"/>
      <c r="BQ45" s="12"/>
      <c r="BR45" s="12"/>
      <c r="BS45" s="12"/>
      <c r="BT45" s="12"/>
      <c r="BU45" s="12"/>
      <c r="BV45" s="12"/>
      <c r="BW45" s="12"/>
      <c r="BX45" s="12"/>
      <c r="BY45" s="9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</row>
    <row r="46" spans="1:88" ht="40.5" customHeight="1">
      <c r="A46" s="9">
        <f t="shared" si="0"/>
        <v>44</v>
      </c>
      <c r="B46" s="9" t="str">
        <f t="shared" si="4"/>
        <v xml:space="preserve">MA
</v>
      </c>
      <c r="C46" s="9" t="s">
        <v>244</v>
      </c>
      <c r="D46" s="9" t="s">
        <v>73</v>
      </c>
      <c r="E46" s="12">
        <v>0</v>
      </c>
      <c r="F46" s="12">
        <v>0</v>
      </c>
      <c r="G46" s="9" t="s">
        <v>89</v>
      </c>
      <c r="H46" s="9" t="s">
        <v>75</v>
      </c>
      <c r="I46" s="9" t="s">
        <v>245</v>
      </c>
      <c r="J46" s="9" t="s">
        <v>75</v>
      </c>
      <c r="K46" s="11" t="s">
        <v>246</v>
      </c>
      <c r="L46" s="12"/>
      <c r="M46" s="12"/>
      <c r="N46" s="13" t="str">
        <f t="shared" si="1"/>
        <v xml:space="preserve"> Műanyag ablak
</v>
      </c>
      <c r="O46" s="16" t="s">
        <v>78</v>
      </c>
      <c r="P46" s="14" t="s">
        <v>75</v>
      </c>
      <c r="Q46" s="15" t="s">
        <v>83</v>
      </c>
      <c r="R46" s="23" t="s">
        <v>242</v>
      </c>
      <c r="S46" s="23" t="s">
        <v>84</v>
      </c>
      <c r="T46" s="16" t="s">
        <v>145</v>
      </c>
      <c r="U46" s="17" t="str">
        <f t="shared" si="2"/>
        <v xml:space="preserve"> Műanyag ablak
</v>
      </c>
      <c r="V46" s="16" t="s">
        <v>78</v>
      </c>
      <c r="W46" s="16">
        <v>4</v>
      </c>
      <c r="X46" s="25">
        <v>44931</v>
      </c>
      <c r="Y46" s="13"/>
      <c r="Z46" s="13"/>
      <c r="AA46" s="16" t="s">
        <v>126</v>
      </c>
      <c r="AB46" s="18" t="str">
        <f t="shared" si="3"/>
        <v xml:space="preserve"> Műanyag ablak
</v>
      </c>
      <c r="AC46" s="19" t="s">
        <v>78</v>
      </c>
      <c r="AD46" s="19" t="s">
        <v>79</v>
      </c>
      <c r="AE46" s="20" t="s">
        <v>100</v>
      </c>
      <c r="AF46" s="19" t="s">
        <v>75</v>
      </c>
      <c r="AG46" s="19" t="s">
        <v>75</v>
      </c>
      <c r="AH46" s="16" t="s">
        <v>145</v>
      </c>
      <c r="AI46" s="18"/>
      <c r="AJ46" s="16" t="s">
        <v>7</v>
      </c>
      <c r="AK46" s="19" t="s">
        <v>79</v>
      </c>
      <c r="AL46" s="20" t="s">
        <v>102</v>
      </c>
      <c r="AM46" s="19" t="s">
        <v>75</v>
      </c>
      <c r="AN46" s="20" t="s">
        <v>84</v>
      </c>
      <c r="AO46" s="19" t="s">
        <v>4</v>
      </c>
      <c r="AP46" s="18"/>
      <c r="AQ46" s="18"/>
      <c r="AR46" s="18"/>
      <c r="AS46" s="18"/>
      <c r="AT46" s="18"/>
      <c r="AU46" s="18"/>
      <c r="AV46" s="18"/>
      <c r="AW46" s="18"/>
      <c r="AX46" s="13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2"/>
      <c r="BK46" s="12"/>
      <c r="BL46" s="12"/>
      <c r="BM46" s="9"/>
      <c r="BN46" s="9"/>
      <c r="BO46" s="9"/>
      <c r="BP46" s="12"/>
      <c r="BQ46" s="12"/>
      <c r="BR46" s="12"/>
      <c r="BS46" s="12"/>
      <c r="BT46" s="12"/>
      <c r="BU46" s="12"/>
      <c r="BV46" s="12"/>
      <c r="BW46" s="12"/>
      <c r="BX46" s="12"/>
      <c r="BY46" s="9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</row>
    <row r="47" spans="1:88" ht="40.5" customHeight="1">
      <c r="A47" s="9">
        <f t="shared" si="0"/>
        <v>45</v>
      </c>
      <c r="B47" s="9" t="str">
        <f t="shared" si="4"/>
        <v xml:space="preserve">MA
</v>
      </c>
      <c r="C47" s="9" t="s">
        <v>247</v>
      </c>
      <c r="D47" s="9" t="s">
        <v>73</v>
      </c>
      <c r="E47" s="12">
        <v>0</v>
      </c>
      <c r="F47" s="12">
        <v>0</v>
      </c>
      <c r="G47" s="9" t="s">
        <v>89</v>
      </c>
      <c r="H47" s="9" t="s">
        <v>75</v>
      </c>
      <c r="I47" s="9" t="s">
        <v>248</v>
      </c>
      <c r="J47" s="9" t="s">
        <v>75</v>
      </c>
      <c r="K47" s="11" t="s">
        <v>249</v>
      </c>
      <c r="L47" s="12"/>
      <c r="M47" s="12"/>
      <c r="N47" s="13" t="str">
        <f t="shared" si="1"/>
        <v xml:space="preserve"> Xhénia Aluminum radiator manufacturing and construction Kft.
</v>
      </c>
      <c r="O47" s="16" t="s">
        <v>78</v>
      </c>
      <c r="P47" s="14" t="s">
        <v>75</v>
      </c>
      <c r="Q47" s="15" t="s">
        <v>83</v>
      </c>
      <c r="R47" s="14" t="s">
        <v>75</v>
      </c>
      <c r="S47" s="23" t="s">
        <v>84</v>
      </c>
      <c r="T47" s="16" t="s">
        <v>4</v>
      </c>
      <c r="U47" s="17" t="str">
        <f t="shared" si="2"/>
        <v xml:space="preserve"> Xhénia Aluminum radiator manufacturing and construction Kft.
</v>
      </c>
      <c r="V47" s="16" t="s">
        <v>78</v>
      </c>
      <c r="W47" s="16">
        <v>4</v>
      </c>
      <c r="X47" s="25">
        <v>44931</v>
      </c>
      <c r="Y47" s="13"/>
      <c r="Z47" s="13"/>
      <c r="AA47" s="16" t="s">
        <v>126</v>
      </c>
      <c r="AB47" s="18" t="str">
        <f t="shared" si="3"/>
        <v xml:space="preserve"> Xhénia Aluminum radiator manufacturing and construction Kft.
</v>
      </c>
      <c r="AC47" s="19" t="s">
        <v>78</v>
      </c>
      <c r="AD47" s="19" t="s">
        <v>79</v>
      </c>
      <c r="AE47" s="20" t="s">
        <v>100</v>
      </c>
      <c r="AF47" s="19" t="s">
        <v>75</v>
      </c>
      <c r="AG47" s="19" t="s">
        <v>75</v>
      </c>
      <c r="AH47" s="16" t="s">
        <v>145</v>
      </c>
      <c r="AI47" s="18"/>
      <c r="AJ47" s="13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3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2"/>
      <c r="BK47" s="12"/>
      <c r="BL47" s="12"/>
      <c r="BM47" s="9"/>
      <c r="BN47" s="9"/>
      <c r="BO47" s="9"/>
      <c r="BP47" s="12"/>
      <c r="BQ47" s="12"/>
      <c r="BR47" s="12"/>
      <c r="BS47" s="12"/>
      <c r="BT47" s="12"/>
      <c r="BU47" s="12"/>
      <c r="BV47" s="12"/>
      <c r="BW47" s="12"/>
      <c r="BX47" s="12"/>
      <c r="BY47" s="9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</row>
    <row r="48" spans="1:88" ht="40.5" customHeight="1">
      <c r="A48" s="9">
        <f t="shared" si="0"/>
        <v>46</v>
      </c>
      <c r="B48" s="9" t="str">
        <f t="shared" si="4"/>
        <v xml:space="preserve">MA
</v>
      </c>
      <c r="C48" s="9" t="s">
        <v>250</v>
      </c>
      <c r="D48" s="9" t="s">
        <v>73</v>
      </c>
      <c r="E48" s="12">
        <v>0</v>
      </c>
      <c r="F48" s="12">
        <v>0</v>
      </c>
      <c r="G48" s="9" t="s">
        <v>89</v>
      </c>
      <c r="H48" s="9" t="s">
        <v>75</v>
      </c>
      <c r="I48" s="9" t="s">
        <v>251</v>
      </c>
      <c r="J48" s="9" t="s">
        <v>75</v>
      </c>
      <c r="K48" s="11" t="s">
        <v>252</v>
      </c>
      <c r="L48" s="12"/>
      <c r="M48" s="12"/>
      <c r="N48" s="13" t="str">
        <f t="shared" si="1"/>
        <v xml:space="preserve"> Kivszer Kft.
</v>
      </c>
      <c r="O48" s="16" t="s">
        <v>78</v>
      </c>
      <c r="P48" s="14" t="s">
        <v>75</v>
      </c>
      <c r="Q48" s="15" t="s">
        <v>83</v>
      </c>
      <c r="R48" s="23" t="s">
        <v>93</v>
      </c>
      <c r="S48" s="14" t="s">
        <v>75</v>
      </c>
      <c r="T48" s="16" t="s">
        <v>4</v>
      </c>
      <c r="U48" s="17" t="str">
        <f t="shared" si="2"/>
        <v xml:space="preserve"> Kivszer Kft.
</v>
      </c>
      <c r="V48" s="16" t="s">
        <v>78</v>
      </c>
      <c r="W48" s="13"/>
      <c r="X48" s="13"/>
      <c r="Y48" s="13"/>
      <c r="Z48" s="13"/>
      <c r="AA48" s="13"/>
      <c r="AB48" s="18" t="str">
        <f t="shared" si="3"/>
        <v xml:space="preserve"> Kivszer Kft.
</v>
      </c>
      <c r="AC48" s="19" t="s">
        <v>78</v>
      </c>
      <c r="AD48" s="19" t="s">
        <v>79</v>
      </c>
      <c r="AE48" s="20" t="s">
        <v>100</v>
      </c>
      <c r="AF48" s="19" t="s">
        <v>75</v>
      </c>
      <c r="AG48" s="19" t="s">
        <v>75</v>
      </c>
      <c r="AH48" s="16" t="s">
        <v>101</v>
      </c>
      <c r="AI48" s="18"/>
      <c r="AJ48" s="16" t="s">
        <v>78</v>
      </c>
      <c r="AK48" s="19" t="s">
        <v>79</v>
      </c>
      <c r="AL48" s="20" t="s">
        <v>102</v>
      </c>
      <c r="AM48" s="19" t="s">
        <v>75</v>
      </c>
      <c r="AN48" s="19" t="s">
        <v>75</v>
      </c>
      <c r="AO48" s="19" t="s">
        <v>101</v>
      </c>
      <c r="AP48" s="18"/>
      <c r="AQ48" s="18"/>
      <c r="AR48" s="18"/>
      <c r="AS48" s="18"/>
      <c r="AT48" s="18"/>
      <c r="AU48" s="18"/>
      <c r="AV48" s="18"/>
      <c r="AW48" s="18"/>
      <c r="AX48" s="13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2"/>
      <c r="BK48" s="12"/>
      <c r="BL48" s="12"/>
      <c r="BM48" s="9"/>
      <c r="BN48" s="9"/>
      <c r="BO48" s="9"/>
      <c r="BP48" s="12"/>
      <c r="BQ48" s="12"/>
      <c r="BR48" s="12"/>
      <c r="BS48" s="12"/>
      <c r="BT48" s="12"/>
      <c r="BU48" s="12"/>
      <c r="BV48" s="12"/>
      <c r="BW48" s="12"/>
      <c r="BX48" s="12"/>
      <c r="BY48" s="9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</row>
    <row r="49" spans="1:88" ht="40.5" customHeight="1">
      <c r="A49" s="9">
        <f t="shared" si="0"/>
        <v>47</v>
      </c>
      <c r="B49" s="9" t="str">
        <f t="shared" si="4"/>
        <v xml:space="preserve">MA
</v>
      </c>
      <c r="C49" s="9" t="s">
        <v>244</v>
      </c>
      <c r="D49" s="9" t="s">
        <v>73</v>
      </c>
      <c r="E49" s="12">
        <v>0</v>
      </c>
      <c r="F49" s="12">
        <v>0</v>
      </c>
      <c r="G49" s="9" t="s">
        <v>89</v>
      </c>
      <c r="H49" s="9" t="s">
        <v>75</v>
      </c>
      <c r="I49" s="9" t="s">
        <v>253</v>
      </c>
      <c r="J49" s="9" t="s">
        <v>75</v>
      </c>
      <c r="K49" s="22" t="s">
        <v>254</v>
      </c>
      <c r="L49" s="12"/>
      <c r="M49" s="12"/>
      <c r="N49" s="13" t="str">
        <f t="shared" si="1"/>
        <v xml:space="preserve"> Műanyag ablak
</v>
      </c>
      <c r="O49" s="16" t="s">
        <v>78</v>
      </c>
      <c r="P49" s="23" t="s">
        <v>82</v>
      </c>
      <c r="Q49" s="15" t="s">
        <v>83</v>
      </c>
      <c r="R49" s="14" t="s">
        <v>75</v>
      </c>
      <c r="S49" s="23" t="s">
        <v>84</v>
      </c>
      <c r="T49" s="16" t="s">
        <v>145</v>
      </c>
      <c r="U49" s="17" t="str">
        <f t="shared" si="2"/>
        <v xml:space="preserve"> Műanyag ablak
</v>
      </c>
      <c r="V49" s="16" t="s">
        <v>78</v>
      </c>
      <c r="W49" s="16">
        <v>4</v>
      </c>
      <c r="X49" s="25">
        <v>44932</v>
      </c>
      <c r="Y49" s="13"/>
      <c r="Z49" s="13"/>
      <c r="AA49" s="16" t="s">
        <v>126</v>
      </c>
      <c r="AB49" s="18" t="str">
        <f t="shared" si="3"/>
        <v xml:space="preserve"> Műanyag ablak
</v>
      </c>
      <c r="AC49" s="19" t="s">
        <v>78</v>
      </c>
      <c r="AD49" s="19">
        <v>5</v>
      </c>
      <c r="AE49" s="27">
        <v>44939</v>
      </c>
      <c r="AF49" s="18"/>
      <c r="AG49" s="18"/>
      <c r="AH49" s="16" t="s">
        <v>101</v>
      </c>
      <c r="AI49" s="18"/>
      <c r="AJ49" s="16" t="s">
        <v>78</v>
      </c>
      <c r="AK49" s="19" t="s">
        <v>79</v>
      </c>
      <c r="AL49" s="20" t="s">
        <v>100</v>
      </c>
      <c r="AM49" s="19" t="s">
        <v>75</v>
      </c>
      <c r="AN49" s="19" t="s">
        <v>75</v>
      </c>
      <c r="AO49" s="19" t="s">
        <v>101</v>
      </c>
      <c r="AP49" s="18"/>
      <c r="AQ49" s="19" t="s">
        <v>78</v>
      </c>
      <c r="AR49" s="19" t="s">
        <v>79</v>
      </c>
      <c r="AS49" s="20" t="s">
        <v>102</v>
      </c>
      <c r="AT49" s="19" t="s">
        <v>75</v>
      </c>
      <c r="AU49" s="19" t="s">
        <v>75</v>
      </c>
      <c r="AV49" s="19" t="s">
        <v>101</v>
      </c>
      <c r="AW49" s="18"/>
      <c r="AX49" s="13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2"/>
      <c r="BK49" s="12"/>
      <c r="BL49" s="12"/>
      <c r="BM49" s="9"/>
      <c r="BN49" s="9"/>
      <c r="BO49" s="9"/>
      <c r="BP49" s="12"/>
      <c r="BQ49" s="12"/>
      <c r="BR49" s="12"/>
      <c r="BS49" s="12"/>
      <c r="BT49" s="12"/>
      <c r="BU49" s="12"/>
      <c r="BV49" s="12"/>
      <c r="BW49" s="12"/>
      <c r="BX49" s="12"/>
      <c r="BY49" s="9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</row>
    <row r="50" spans="1:88" ht="40.5" customHeight="1">
      <c r="A50" s="9">
        <f t="shared" si="0"/>
        <v>48</v>
      </c>
      <c r="B50" s="9" t="str">
        <f t="shared" si="4"/>
        <v xml:space="preserve">MA
</v>
      </c>
      <c r="C50" s="9" t="s">
        <v>255</v>
      </c>
      <c r="D50" s="9" t="s">
        <v>73</v>
      </c>
      <c r="E50" s="12">
        <v>0</v>
      </c>
      <c r="F50" s="12">
        <v>0</v>
      </c>
      <c r="G50" s="9" t="s">
        <v>89</v>
      </c>
      <c r="H50" s="9" t="s">
        <v>75</v>
      </c>
      <c r="I50" s="9" t="s">
        <v>256</v>
      </c>
      <c r="J50" s="9" t="s">
        <v>75</v>
      </c>
      <c r="K50" s="11" t="s">
        <v>257</v>
      </c>
      <c r="L50" s="12"/>
      <c r="M50" s="12"/>
      <c r="N50" s="13" t="str">
        <f t="shared" si="1"/>
        <v xml:space="preserve"> Fenster Türen Kft.
</v>
      </c>
      <c r="O50" s="16" t="s">
        <v>78</v>
      </c>
      <c r="P50" s="14">
        <v>3</v>
      </c>
      <c r="Q50" s="25">
        <v>44914</v>
      </c>
      <c r="R50" s="14">
        <v>3</v>
      </c>
      <c r="S50" s="26">
        <v>3.0555555555555555E-2</v>
      </c>
      <c r="T50" s="16" t="s">
        <v>86</v>
      </c>
      <c r="U50" s="17" t="str">
        <f t="shared" si="2"/>
        <v xml:space="preserve"> Fenster Türen Kft.
</v>
      </c>
      <c r="V50" s="16" t="s">
        <v>78</v>
      </c>
      <c r="W50" s="16">
        <v>4</v>
      </c>
      <c r="X50" s="25">
        <v>44932</v>
      </c>
      <c r="Y50" s="13"/>
      <c r="Z50" s="13"/>
      <c r="AA50" s="16" t="s">
        <v>126</v>
      </c>
      <c r="AB50" s="18" t="str">
        <f t="shared" si="3"/>
        <v xml:space="preserve"> Fenster Türen Kft.
</v>
      </c>
      <c r="AC50" s="19" t="s">
        <v>78</v>
      </c>
      <c r="AD50" s="19">
        <v>5</v>
      </c>
      <c r="AE50" s="27">
        <v>44939</v>
      </c>
      <c r="AF50" s="18"/>
      <c r="AG50" s="18"/>
      <c r="AH50" s="16" t="s">
        <v>101</v>
      </c>
      <c r="AI50" s="18"/>
      <c r="AJ50" s="16" t="s">
        <v>78</v>
      </c>
      <c r="AK50" s="19" t="s">
        <v>79</v>
      </c>
      <c r="AL50" s="20" t="s">
        <v>100</v>
      </c>
      <c r="AM50" s="19" t="s">
        <v>75</v>
      </c>
      <c r="AN50" s="19" t="s">
        <v>75</v>
      </c>
      <c r="AO50" s="19" t="s">
        <v>101</v>
      </c>
      <c r="AP50" s="18"/>
      <c r="AQ50" s="19" t="s">
        <v>78</v>
      </c>
      <c r="AR50" s="19" t="s">
        <v>79</v>
      </c>
      <c r="AS50" s="20" t="s">
        <v>102</v>
      </c>
      <c r="AT50" s="19" t="s">
        <v>75</v>
      </c>
      <c r="AU50" s="19" t="s">
        <v>75</v>
      </c>
      <c r="AV50" s="19" t="s">
        <v>101</v>
      </c>
      <c r="AW50" s="18"/>
      <c r="AX50" s="13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2"/>
      <c r="BK50" s="12"/>
      <c r="BL50" s="12"/>
      <c r="BM50" s="9"/>
      <c r="BN50" s="9"/>
      <c r="BO50" s="9"/>
      <c r="BP50" s="12"/>
      <c r="BQ50" s="12"/>
      <c r="BR50" s="12"/>
      <c r="BS50" s="12"/>
      <c r="BT50" s="12"/>
      <c r="BU50" s="12"/>
      <c r="BV50" s="12"/>
      <c r="BW50" s="12"/>
      <c r="BX50" s="12"/>
      <c r="BY50" s="9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</row>
    <row r="51" spans="1:88" ht="40.5" customHeight="1">
      <c r="A51" s="9">
        <f t="shared" si="0"/>
        <v>49</v>
      </c>
      <c r="B51" s="9" t="str">
        <f t="shared" si="4"/>
        <v xml:space="preserve">MA
</v>
      </c>
      <c r="C51" s="9" t="s">
        <v>258</v>
      </c>
      <c r="D51" s="9" t="s">
        <v>73</v>
      </c>
      <c r="E51" s="12">
        <v>0</v>
      </c>
      <c r="F51" s="12">
        <v>0</v>
      </c>
      <c r="G51" s="9" t="s">
        <v>89</v>
      </c>
      <c r="H51" s="9" t="s">
        <v>75</v>
      </c>
      <c r="I51" s="9" t="s">
        <v>259</v>
      </c>
      <c r="J51" s="9" t="s">
        <v>75</v>
      </c>
      <c r="K51" s="11" t="s">
        <v>260</v>
      </c>
      <c r="L51" s="12"/>
      <c r="M51" s="12"/>
      <c r="N51" s="13" t="str">
        <f t="shared" si="1"/>
        <v xml:space="preserve"> Ablaknet kft
</v>
      </c>
      <c r="O51" s="16" t="s">
        <v>78</v>
      </c>
      <c r="P51" s="23" t="s">
        <v>82</v>
      </c>
      <c r="Q51" s="15" t="s">
        <v>83</v>
      </c>
      <c r="R51" s="14" t="s">
        <v>75</v>
      </c>
      <c r="S51" s="23" t="s">
        <v>84</v>
      </c>
      <c r="T51" s="16" t="s">
        <v>145</v>
      </c>
      <c r="U51" s="17" t="str">
        <f t="shared" si="2"/>
        <v xml:space="preserve"> Ablaknet kft
</v>
      </c>
      <c r="V51" s="16" t="s">
        <v>78</v>
      </c>
      <c r="W51" s="16">
        <v>4</v>
      </c>
      <c r="X51" s="25">
        <v>44932</v>
      </c>
      <c r="Y51" s="16">
        <v>2</v>
      </c>
      <c r="Z51" s="29">
        <v>1.8749999999999999E-2</v>
      </c>
      <c r="AA51" s="16" t="s">
        <v>153</v>
      </c>
      <c r="AB51" s="18" t="str">
        <f t="shared" si="3"/>
        <v xml:space="preserve"> Ablaknet kft
</v>
      </c>
      <c r="AC51" s="19" t="s">
        <v>78</v>
      </c>
      <c r="AD51" s="19">
        <v>5</v>
      </c>
      <c r="AE51" s="27">
        <v>44939</v>
      </c>
      <c r="AF51" s="19">
        <v>1</v>
      </c>
      <c r="AG51" s="47">
        <v>1.3888888888888888E-2</v>
      </c>
      <c r="AH51" s="16" t="s">
        <v>153</v>
      </c>
      <c r="AI51" s="18"/>
      <c r="AJ51" s="16" t="s">
        <v>98</v>
      </c>
      <c r="AK51" s="19">
        <v>6</v>
      </c>
      <c r="AL51" s="27">
        <v>44953</v>
      </c>
      <c r="AM51" s="18"/>
      <c r="AN51" s="18"/>
      <c r="AO51" s="19" t="s">
        <v>86</v>
      </c>
      <c r="AP51" s="18"/>
      <c r="AQ51" s="19" t="s">
        <v>78</v>
      </c>
      <c r="AR51" s="19" t="s">
        <v>79</v>
      </c>
      <c r="AS51" s="20" t="s">
        <v>100</v>
      </c>
      <c r="AT51" s="19" t="s">
        <v>75</v>
      </c>
      <c r="AU51" s="19" t="s">
        <v>75</v>
      </c>
      <c r="AV51" s="19" t="s">
        <v>101</v>
      </c>
      <c r="AW51" s="18"/>
      <c r="AX51" s="16" t="s">
        <v>78</v>
      </c>
      <c r="AY51" s="19" t="s">
        <v>79</v>
      </c>
      <c r="AZ51" s="20" t="s">
        <v>102</v>
      </c>
      <c r="BA51" s="19" t="s">
        <v>75</v>
      </c>
      <c r="BB51" s="19" t="s">
        <v>75</v>
      </c>
      <c r="BC51" s="19" t="s">
        <v>86</v>
      </c>
      <c r="BD51" s="18"/>
      <c r="BE51" s="18"/>
      <c r="BF51" s="18"/>
      <c r="BG51" s="18"/>
      <c r="BH51" s="18"/>
      <c r="BI51" s="18"/>
      <c r="BJ51" s="12"/>
      <c r="BK51" s="12"/>
      <c r="BL51" s="12"/>
      <c r="BM51" s="9"/>
      <c r="BN51" s="9"/>
      <c r="BO51" s="9"/>
      <c r="BP51" s="12"/>
      <c r="BQ51" s="12"/>
      <c r="BR51" s="12"/>
      <c r="BS51" s="12"/>
      <c r="BT51" s="12"/>
      <c r="BU51" s="12"/>
      <c r="BV51" s="12"/>
      <c r="BW51" s="12"/>
      <c r="BX51" s="12"/>
      <c r="BY51" s="9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</row>
    <row r="52" spans="1:88" ht="40.5" customHeight="1">
      <c r="A52" s="9">
        <f t="shared" si="0"/>
        <v>50</v>
      </c>
      <c r="B52" s="9" t="str">
        <f t="shared" si="4"/>
        <v xml:space="preserve">MA
</v>
      </c>
      <c r="C52" s="48" t="s">
        <v>261</v>
      </c>
      <c r="D52" s="9" t="s">
        <v>73</v>
      </c>
      <c r="E52" s="12">
        <v>0</v>
      </c>
      <c r="F52" s="9">
        <v>1</v>
      </c>
      <c r="G52" s="9" t="s">
        <v>89</v>
      </c>
      <c r="H52" s="9" t="s">
        <v>75</v>
      </c>
      <c r="I52" s="9" t="s">
        <v>262</v>
      </c>
      <c r="J52" s="9" t="s">
        <v>75</v>
      </c>
      <c r="K52" s="11" t="s">
        <v>263</v>
      </c>
      <c r="L52" s="12"/>
      <c r="M52" s="12"/>
      <c r="N52" s="13" t="str">
        <f t="shared" si="1"/>
        <v xml:space="preserve"> Solarlux
</v>
      </c>
      <c r="O52" s="16" t="s">
        <v>78</v>
      </c>
      <c r="P52" s="14" t="s">
        <v>75</v>
      </c>
      <c r="Q52" s="15" t="s">
        <v>83</v>
      </c>
      <c r="R52" s="14" t="s">
        <v>75</v>
      </c>
      <c r="S52" s="23" t="s">
        <v>84</v>
      </c>
      <c r="T52" s="16" t="s">
        <v>145</v>
      </c>
      <c r="U52" s="17" t="str">
        <f t="shared" si="2"/>
        <v xml:space="preserve"> Solarlux
</v>
      </c>
      <c r="V52" s="16" t="s">
        <v>78</v>
      </c>
      <c r="W52" s="15" t="s">
        <v>228</v>
      </c>
      <c r="X52" s="15" t="s">
        <v>85</v>
      </c>
      <c r="Y52" s="15" t="s">
        <v>93</v>
      </c>
      <c r="Z52" s="15" t="s">
        <v>264</v>
      </c>
      <c r="AA52" s="16" t="s">
        <v>86</v>
      </c>
      <c r="AB52" s="18" t="str">
        <f t="shared" si="3"/>
        <v xml:space="preserve"> Solarlux
</v>
      </c>
      <c r="AC52" s="19" t="s">
        <v>78</v>
      </c>
      <c r="AD52" s="19">
        <v>6</v>
      </c>
      <c r="AE52" s="27">
        <v>44939</v>
      </c>
      <c r="AF52" s="19">
        <v>5</v>
      </c>
      <c r="AG52" s="47">
        <v>0.44444444444444442</v>
      </c>
      <c r="AH52" s="16" t="s">
        <v>265</v>
      </c>
      <c r="AI52" s="18"/>
      <c r="AJ52" s="16" t="s">
        <v>98</v>
      </c>
      <c r="AK52" s="19">
        <v>7</v>
      </c>
      <c r="AL52" s="27">
        <v>44953</v>
      </c>
      <c r="AM52" s="18"/>
      <c r="AN52" s="18"/>
      <c r="AO52" s="19" t="s">
        <v>86</v>
      </c>
      <c r="AP52" s="18"/>
      <c r="AQ52" s="19" t="s">
        <v>78</v>
      </c>
      <c r="AR52" s="19" t="s">
        <v>79</v>
      </c>
      <c r="AS52" s="20" t="s">
        <v>100</v>
      </c>
      <c r="AT52" s="19" t="s">
        <v>75</v>
      </c>
      <c r="AU52" s="19" t="s">
        <v>75</v>
      </c>
      <c r="AV52" s="19" t="s">
        <v>265</v>
      </c>
      <c r="AW52" s="18"/>
      <c r="AX52" s="16" t="s">
        <v>98</v>
      </c>
      <c r="AY52" s="19" t="s">
        <v>79</v>
      </c>
      <c r="AZ52" s="20" t="s">
        <v>155</v>
      </c>
      <c r="BA52" s="19" t="s">
        <v>75</v>
      </c>
      <c r="BB52" s="19" t="s">
        <v>75</v>
      </c>
      <c r="BC52" s="19" t="s">
        <v>86</v>
      </c>
      <c r="BD52" s="19" t="s">
        <v>98</v>
      </c>
      <c r="BE52" s="19" t="s">
        <v>79</v>
      </c>
      <c r="BF52" s="20" t="s">
        <v>102</v>
      </c>
      <c r="BG52" s="19" t="s">
        <v>75</v>
      </c>
      <c r="BH52" s="19" t="s">
        <v>75</v>
      </c>
      <c r="BI52" s="19" t="s">
        <v>86</v>
      </c>
      <c r="BJ52" s="12"/>
      <c r="BK52" s="12"/>
      <c r="BL52" s="12"/>
      <c r="BM52" s="9"/>
      <c r="BN52" s="9"/>
      <c r="BO52" s="9"/>
      <c r="BP52" s="12"/>
      <c r="BQ52" s="12"/>
      <c r="BR52" s="12"/>
      <c r="BS52" s="12"/>
      <c r="BT52" s="12"/>
      <c r="BU52" s="12"/>
      <c r="BV52" s="12"/>
      <c r="BW52" s="12"/>
      <c r="BX52" s="12"/>
      <c r="BY52" s="9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</row>
    <row r="53" spans="1:88" ht="40.5" customHeight="1">
      <c r="A53" s="9">
        <f t="shared" si="0"/>
        <v>51</v>
      </c>
      <c r="B53" s="9" t="str">
        <f t="shared" si="4"/>
        <v xml:space="preserve">MA
</v>
      </c>
      <c r="C53" s="48" t="s">
        <v>266</v>
      </c>
      <c r="D53" s="9" t="s">
        <v>73</v>
      </c>
      <c r="E53" s="12">
        <v>0</v>
      </c>
      <c r="F53" s="12">
        <v>0</v>
      </c>
      <c r="G53" s="9" t="s">
        <v>89</v>
      </c>
      <c r="H53" s="9" t="s">
        <v>75</v>
      </c>
      <c r="I53" s="10" t="s">
        <v>267</v>
      </c>
      <c r="J53" s="9" t="s">
        <v>75</v>
      </c>
      <c r="K53" s="11" t="s">
        <v>268</v>
      </c>
      <c r="L53" s="12"/>
      <c r="M53" s="12"/>
      <c r="N53" s="13" t="str">
        <f t="shared" si="1"/>
        <v xml:space="preserve">Alugold KFT
</v>
      </c>
      <c r="O53" s="16" t="s">
        <v>78</v>
      </c>
      <c r="P53" s="23" t="s">
        <v>82</v>
      </c>
      <c r="Q53" s="15" t="s">
        <v>83</v>
      </c>
      <c r="R53" s="23" t="s">
        <v>232</v>
      </c>
      <c r="S53" s="14" t="s">
        <v>75</v>
      </c>
      <c r="T53" s="16" t="s">
        <v>145</v>
      </c>
      <c r="U53" s="17" t="str">
        <f t="shared" si="2"/>
        <v xml:space="preserve">Alugold KFT
</v>
      </c>
      <c r="V53" s="16" t="s">
        <v>78</v>
      </c>
      <c r="W53" s="15" t="s">
        <v>93</v>
      </c>
      <c r="X53" s="15" t="s">
        <v>85</v>
      </c>
      <c r="Y53" s="16" t="s">
        <v>75</v>
      </c>
      <c r="Z53" s="15" t="s">
        <v>84</v>
      </c>
      <c r="AA53" s="16" t="s">
        <v>145</v>
      </c>
      <c r="AB53" s="18" t="str">
        <f t="shared" si="3"/>
        <v xml:space="preserve">Alugold KFT
</v>
      </c>
      <c r="AC53" s="19" t="s">
        <v>78</v>
      </c>
      <c r="AD53" s="19">
        <v>5</v>
      </c>
      <c r="AE53" s="27">
        <v>44939</v>
      </c>
      <c r="AF53" s="18"/>
      <c r="AG53" s="18"/>
      <c r="AH53" s="16" t="s">
        <v>101</v>
      </c>
      <c r="AI53" s="18"/>
      <c r="AJ53" s="16" t="s">
        <v>98</v>
      </c>
      <c r="AK53" s="19">
        <v>6</v>
      </c>
      <c r="AL53" s="27">
        <v>44953</v>
      </c>
      <c r="AM53" s="18"/>
      <c r="AN53" s="18"/>
      <c r="AO53" s="19" t="s">
        <v>86</v>
      </c>
      <c r="AP53" s="18"/>
      <c r="AQ53" s="19" t="s">
        <v>78</v>
      </c>
      <c r="AR53" s="19" t="s">
        <v>79</v>
      </c>
      <c r="AS53" s="20" t="s">
        <v>100</v>
      </c>
      <c r="AT53" s="19" t="s">
        <v>75</v>
      </c>
      <c r="AU53" s="19" t="s">
        <v>75</v>
      </c>
      <c r="AV53" s="19" t="s">
        <v>101</v>
      </c>
      <c r="AW53" s="18"/>
      <c r="AX53" s="16" t="s">
        <v>98</v>
      </c>
      <c r="AY53" s="19" t="s">
        <v>79</v>
      </c>
      <c r="AZ53" s="20" t="s">
        <v>102</v>
      </c>
      <c r="BA53" s="19" t="s">
        <v>75</v>
      </c>
      <c r="BB53" s="19" t="s">
        <v>75</v>
      </c>
      <c r="BC53" s="19" t="s">
        <v>86</v>
      </c>
      <c r="BD53" s="18"/>
      <c r="BE53" s="18"/>
      <c r="BF53" s="18"/>
      <c r="BG53" s="18"/>
      <c r="BH53" s="18"/>
      <c r="BI53" s="18"/>
      <c r="BJ53" s="12"/>
      <c r="BK53" s="12"/>
      <c r="BL53" s="12"/>
      <c r="BM53" s="9"/>
      <c r="BN53" s="9"/>
      <c r="BO53" s="9"/>
      <c r="BP53" s="12"/>
      <c r="BQ53" s="12"/>
      <c r="BR53" s="12"/>
      <c r="BS53" s="12"/>
      <c r="BT53" s="12"/>
      <c r="BU53" s="12"/>
      <c r="BV53" s="12"/>
      <c r="BW53" s="12"/>
      <c r="BX53" s="12"/>
      <c r="BY53" s="9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</row>
    <row r="54" spans="1:88" ht="40.5" customHeight="1">
      <c r="A54" s="9">
        <f t="shared" si="0"/>
        <v>52</v>
      </c>
      <c r="B54" s="9" t="str">
        <f t="shared" si="4"/>
        <v xml:space="preserve">MA
</v>
      </c>
      <c r="C54" s="9" t="s">
        <v>269</v>
      </c>
      <c r="D54" s="9" t="s">
        <v>95</v>
      </c>
      <c r="E54" s="12">
        <v>0</v>
      </c>
      <c r="F54" s="12">
        <v>0</v>
      </c>
      <c r="G54" s="9" t="s">
        <v>89</v>
      </c>
      <c r="H54" s="12"/>
      <c r="I54" s="9" t="s">
        <v>270</v>
      </c>
      <c r="J54" s="12"/>
      <c r="K54" s="11" t="s">
        <v>271</v>
      </c>
      <c r="L54" s="12"/>
      <c r="M54" s="12"/>
      <c r="N54" s="13" t="str">
        <f t="shared" si="1"/>
        <v xml:space="preserve">Glass com
</v>
      </c>
      <c r="O54" s="16" t="s">
        <v>78</v>
      </c>
      <c r="P54" s="14">
        <v>3</v>
      </c>
      <c r="Q54" s="25">
        <v>44915</v>
      </c>
      <c r="R54" s="17"/>
      <c r="S54" s="17"/>
      <c r="T54" s="16" t="s">
        <v>137</v>
      </c>
      <c r="U54" s="17" t="str">
        <f t="shared" si="2"/>
        <v xml:space="preserve">Glass com
</v>
      </c>
      <c r="V54" s="16" t="s">
        <v>78</v>
      </c>
      <c r="W54" s="16">
        <v>4</v>
      </c>
      <c r="X54" s="25">
        <v>44932</v>
      </c>
      <c r="Y54" s="13"/>
      <c r="Z54" s="13"/>
      <c r="AA54" s="16" t="s">
        <v>101</v>
      </c>
      <c r="AB54" s="18" t="str">
        <f t="shared" si="3"/>
        <v xml:space="preserve">Glass com
</v>
      </c>
      <c r="AC54" s="19" t="s">
        <v>78</v>
      </c>
      <c r="AD54" s="19">
        <v>5</v>
      </c>
      <c r="AE54" s="27">
        <v>44939</v>
      </c>
      <c r="AF54" s="18"/>
      <c r="AG54" s="18"/>
      <c r="AH54" s="16" t="s">
        <v>101</v>
      </c>
      <c r="AI54" s="18"/>
      <c r="AJ54" s="16" t="s">
        <v>98</v>
      </c>
      <c r="AK54" s="19">
        <v>6</v>
      </c>
      <c r="AL54" s="27">
        <v>44953</v>
      </c>
      <c r="AM54" s="18"/>
      <c r="AN54" s="18"/>
      <c r="AO54" s="19" t="s">
        <v>86</v>
      </c>
      <c r="AP54" s="18"/>
      <c r="AQ54" s="19" t="s">
        <v>78</v>
      </c>
      <c r="AR54" s="19" t="s">
        <v>79</v>
      </c>
      <c r="AS54" s="20" t="s">
        <v>100</v>
      </c>
      <c r="AT54" s="19" t="s">
        <v>75</v>
      </c>
      <c r="AU54" s="19" t="s">
        <v>75</v>
      </c>
      <c r="AV54" s="20" t="s">
        <v>272</v>
      </c>
      <c r="AW54" s="18"/>
      <c r="AX54" s="13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2"/>
      <c r="BK54" s="12"/>
      <c r="BL54" s="12"/>
      <c r="BM54" s="9"/>
      <c r="BN54" s="9"/>
      <c r="BO54" s="9"/>
      <c r="BP54" s="12"/>
      <c r="BQ54" s="12"/>
      <c r="BR54" s="12"/>
      <c r="BS54" s="12"/>
      <c r="BT54" s="12"/>
      <c r="BU54" s="12"/>
      <c r="BV54" s="12"/>
      <c r="BW54" s="12"/>
      <c r="BX54" s="12"/>
      <c r="BY54" s="9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</row>
    <row r="55" spans="1:88" ht="40.5" customHeight="1">
      <c r="A55" s="9">
        <f t="shared" si="0"/>
        <v>53</v>
      </c>
      <c r="B55" s="9" t="str">
        <f t="shared" si="4"/>
        <v xml:space="preserve">MA
</v>
      </c>
      <c r="C55" s="9" t="s">
        <v>273</v>
      </c>
      <c r="D55" s="9" t="s">
        <v>95</v>
      </c>
      <c r="E55" s="12">
        <v>0</v>
      </c>
      <c r="F55" s="12">
        <v>0</v>
      </c>
      <c r="G55" s="9" t="s">
        <v>89</v>
      </c>
      <c r="H55" s="12"/>
      <c r="I55" s="9" t="s">
        <v>274</v>
      </c>
      <c r="J55" s="9" t="s">
        <v>186</v>
      </c>
      <c r="K55" s="11" t="s">
        <v>275</v>
      </c>
      <c r="L55" s="12"/>
      <c r="M55" s="12"/>
      <c r="N55" s="13" t="str">
        <f t="shared" si="1"/>
        <v xml:space="preserve">Profico- Aluminum and Glass Experts- Aluminium in Lebanon, Glass in Lebanon, Aluminum in Lebanon
</v>
      </c>
      <c r="O55" s="16" t="s">
        <v>78</v>
      </c>
      <c r="P55" s="14">
        <v>3</v>
      </c>
      <c r="Q55" s="25">
        <v>44915</v>
      </c>
      <c r="R55" s="17"/>
      <c r="S55" s="17"/>
      <c r="T55" s="16" t="s">
        <v>137</v>
      </c>
      <c r="U55" s="17" t="str">
        <f t="shared" si="2"/>
        <v xml:space="preserve">Profico- Aluminum and Glass Experts- Aluminium in Lebanon, Glass in Lebanon, Aluminum in Lebanon
</v>
      </c>
      <c r="V55" s="16" t="s">
        <v>78</v>
      </c>
      <c r="W55" s="16">
        <v>4</v>
      </c>
      <c r="X55" s="25">
        <v>44932</v>
      </c>
      <c r="Y55" s="13"/>
      <c r="Z55" s="13"/>
      <c r="AA55" s="16" t="s">
        <v>101</v>
      </c>
      <c r="AB55" s="18" t="str">
        <f t="shared" si="3"/>
        <v xml:space="preserve">Profico- Aluminum and Glass Experts- Aluminium in Lebanon, Glass in Lebanon, Aluminum in Lebanon
</v>
      </c>
      <c r="AC55" s="19" t="s">
        <v>98</v>
      </c>
      <c r="AD55" s="19">
        <v>5</v>
      </c>
      <c r="AE55" s="27">
        <v>44942</v>
      </c>
      <c r="AF55" s="18"/>
      <c r="AG55" s="18"/>
      <c r="AH55" s="16" t="s">
        <v>108</v>
      </c>
      <c r="AI55" s="18"/>
      <c r="AJ55" s="16" t="s">
        <v>78</v>
      </c>
      <c r="AK55" s="19">
        <v>6</v>
      </c>
      <c r="AL55" s="27">
        <v>44939</v>
      </c>
      <c r="AM55" s="18"/>
      <c r="AN55" s="18"/>
      <c r="AO55" s="19" t="s">
        <v>101</v>
      </c>
      <c r="AP55" s="18"/>
      <c r="AQ55" s="19" t="s">
        <v>98</v>
      </c>
      <c r="AR55" s="19">
        <v>7</v>
      </c>
      <c r="AS55" s="27">
        <v>44953</v>
      </c>
      <c r="AT55" s="18"/>
      <c r="AU55" s="18"/>
      <c r="AV55" s="19" t="s">
        <v>86</v>
      </c>
      <c r="AW55" s="18"/>
      <c r="AX55" s="16" t="s">
        <v>78</v>
      </c>
      <c r="AY55" s="19" t="s">
        <v>79</v>
      </c>
      <c r="AZ55" s="20" t="s">
        <v>100</v>
      </c>
      <c r="BA55" s="19" t="s">
        <v>75</v>
      </c>
      <c r="BB55" s="19" t="s">
        <v>75</v>
      </c>
      <c r="BC55" s="19" t="s">
        <v>101</v>
      </c>
      <c r="BD55" s="19" t="s">
        <v>78</v>
      </c>
      <c r="BE55" s="19" t="s">
        <v>79</v>
      </c>
      <c r="BF55" s="20" t="s">
        <v>102</v>
      </c>
      <c r="BG55" s="19" t="s">
        <v>75</v>
      </c>
      <c r="BH55" s="19" t="s">
        <v>75</v>
      </c>
      <c r="BI55" s="19" t="s">
        <v>86</v>
      </c>
      <c r="BJ55" s="12"/>
      <c r="BK55" s="12"/>
      <c r="BL55" s="12"/>
      <c r="BM55" s="9"/>
      <c r="BN55" s="9"/>
      <c r="BO55" s="9"/>
      <c r="BP55" s="12"/>
      <c r="BQ55" s="12"/>
      <c r="BR55" s="12"/>
      <c r="BS55" s="12"/>
      <c r="BT55" s="12"/>
      <c r="BU55" s="12"/>
      <c r="BV55" s="12"/>
      <c r="BW55" s="12"/>
      <c r="BX55" s="12"/>
      <c r="BY55" s="9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</row>
    <row r="56" spans="1:88" ht="40.5" customHeight="1">
      <c r="A56" s="24">
        <f t="shared" si="0"/>
        <v>54</v>
      </c>
      <c r="B56" s="24" t="str">
        <f t="shared" si="4"/>
        <v xml:space="preserve">MA
</v>
      </c>
      <c r="C56" s="24" t="s">
        <v>276</v>
      </c>
      <c r="D56" s="24" t="s">
        <v>95</v>
      </c>
      <c r="E56" s="24">
        <v>1</v>
      </c>
      <c r="F56" s="30">
        <v>0</v>
      </c>
      <c r="G56" s="24" t="s">
        <v>89</v>
      </c>
      <c r="H56" s="30"/>
      <c r="I56" s="24" t="s">
        <v>277</v>
      </c>
      <c r="J56" s="30"/>
      <c r="K56" s="30"/>
      <c r="L56" s="30"/>
      <c r="M56" s="30"/>
      <c r="N56" s="33" t="str">
        <f t="shared" si="1"/>
        <v>"ISSA GROUPE CO.
"</v>
      </c>
      <c r="O56" s="34" t="s">
        <v>78</v>
      </c>
      <c r="P56" s="35">
        <v>3</v>
      </c>
      <c r="Q56" s="36">
        <v>44915</v>
      </c>
      <c r="R56" s="38"/>
      <c r="S56" s="38"/>
      <c r="T56" s="34" t="s">
        <v>126</v>
      </c>
      <c r="U56" s="38" t="str">
        <f t="shared" si="2"/>
        <v>"ISSA GROUPE CO.
"</v>
      </c>
      <c r="V56" s="34" t="s">
        <v>78</v>
      </c>
      <c r="W56" s="34">
        <v>4</v>
      </c>
      <c r="X56" s="36">
        <v>44932</v>
      </c>
      <c r="Y56" s="33"/>
      <c r="Z56" s="33"/>
      <c r="AA56" s="34" t="s">
        <v>101</v>
      </c>
      <c r="AB56" s="39" t="str">
        <f t="shared" si="3"/>
        <v>"ISSA GROUPE CO.
"</v>
      </c>
      <c r="AC56" s="40" t="s">
        <v>78</v>
      </c>
      <c r="AD56" s="40">
        <v>5</v>
      </c>
      <c r="AE56" s="41">
        <v>44939</v>
      </c>
      <c r="AF56" s="39"/>
      <c r="AG56" s="39"/>
      <c r="AH56" s="34" t="s">
        <v>126</v>
      </c>
      <c r="AI56" s="39"/>
      <c r="AJ56" s="33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3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0"/>
      <c r="BK56" s="30"/>
      <c r="BL56" s="30"/>
      <c r="BM56" s="24"/>
      <c r="BN56" s="24"/>
      <c r="BO56" s="24"/>
      <c r="BP56" s="30"/>
      <c r="BQ56" s="30"/>
      <c r="BR56" s="30"/>
      <c r="BS56" s="30"/>
      <c r="BT56" s="30"/>
      <c r="BU56" s="30"/>
      <c r="BV56" s="30"/>
      <c r="BW56" s="30"/>
      <c r="BX56" s="30"/>
      <c r="BY56" s="24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</row>
    <row r="57" spans="1:88" ht="40.5" customHeight="1">
      <c r="A57" s="24">
        <f t="shared" si="0"/>
        <v>55</v>
      </c>
      <c r="B57" s="24" t="str">
        <f t="shared" si="4"/>
        <v xml:space="preserve">MA
</v>
      </c>
      <c r="C57" s="24" t="s">
        <v>278</v>
      </c>
      <c r="D57" s="24" t="s">
        <v>95</v>
      </c>
      <c r="E57" s="24">
        <v>1</v>
      </c>
      <c r="F57" s="30">
        <v>0</v>
      </c>
      <c r="G57" s="24" t="s">
        <v>89</v>
      </c>
      <c r="H57" s="30"/>
      <c r="I57" s="24" t="s">
        <v>279</v>
      </c>
      <c r="J57" s="30"/>
      <c r="K57" s="30"/>
      <c r="L57" s="30"/>
      <c r="M57" s="30"/>
      <c r="N57" s="33" t="str">
        <f t="shared" si="1"/>
        <v xml:space="preserve">Mikati Manufacturing SARL
</v>
      </c>
      <c r="O57" s="34" t="s">
        <v>78</v>
      </c>
      <c r="P57" s="35">
        <v>3</v>
      </c>
      <c r="Q57" s="36">
        <v>44915</v>
      </c>
      <c r="R57" s="35">
        <v>1</v>
      </c>
      <c r="S57" s="38"/>
      <c r="T57" s="34" t="s">
        <v>126</v>
      </c>
      <c r="U57" s="38" t="str">
        <f t="shared" si="2"/>
        <v xml:space="preserve">Mikati Manufacturing SARL
</v>
      </c>
      <c r="V57" s="34" t="s">
        <v>78</v>
      </c>
      <c r="W57" s="34">
        <v>4</v>
      </c>
      <c r="X57" s="36">
        <v>44932</v>
      </c>
      <c r="Y57" s="33"/>
      <c r="Z57" s="33"/>
      <c r="AA57" s="34" t="s">
        <v>126</v>
      </c>
      <c r="AB57" s="39" t="str">
        <f t="shared" si="3"/>
        <v xml:space="preserve">Mikati Manufacturing SARL
</v>
      </c>
      <c r="AC57" s="40" t="s">
        <v>78</v>
      </c>
      <c r="AD57" s="40">
        <v>5</v>
      </c>
      <c r="AE57" s="41">
        <v>44939</v>
      </c>
      <c r="AF57" s="39"/>
      <c r="AG57" s="39"/>
      <c r="AH57" s="34" t="s">
        <v>126</v>
      </c>
      <c r="AI57" s="39"/>
      <c r="AJ57" s="33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3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0"/>
      <c r="BK57" s="30"/>
      <c r="BL57" s="30"/>
      <c r="BM57" s="24"/>
      <c r="BN57" s="24"/>
      <c r="BO57" s="24"/>
      <c r="BP57" s="30"/>
      <c r="BQ57" s="30"/>
      <c r="BR57" s="30"/>
      <c r="BS57" s="30"/>
      <c r="BT57" s="30"/>
      <c r="BU57" s="30"/>
      <c r="BV57" s="30"/>
      <c r="BW57" s="30"/>
      <c r="BX57" s="30"/>
      <c r="BY57" s="24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</row>
    <row r="58" spans="1:88" ht="40.5" customHeight="1">
      <c r="A58" s="9">
        <f t="shared" si="0"/>
        <v>56</v>
      </c>
      <c r="B58" s="9" t="str">
        <f t="shared" si="4"/>
        <v xml:space="preserve">MA
</v>
      </c>
      <c r="C58" s="9" t="s">
        <v>280</v>
      </c>
      <c r="D58" s="9" t="s">
        <v>95</v>
      </c>
      <c r="E58" s="12">
        <v>0</v>
      </c>
      <c r="F58" s="12">
        <v>0</v>
      </c>
      <c r="G58" s="9" t="s">
        <v>89</v>
      </c>
      <c r="H58" s="12"/>
      <c r="I58" s="9" t="s">
        <v>281</v>
      </c>
      <c r="J58" s="9" t="s">
        <v>282</v>
      </c>
      <c r="K58" s="22" t="s">
        <v>283</v>
      </c>
      <c r="L58" s="12"/>
      <c r="M58" s="12"/>
      <c r="N58" s="13" t="str">
        <f t="shared" si="1"/>
        <v xml:space="preserve">D8 Metals
</v>
      </c>
      <c r="O58" s="16" t="s">
        <v>78</v>
      </c>
      <c r="P58" s="14">
        <v>3</v>
      </c>
      <c r="Q58" s="25">
        <v>44915</v>
      </c>
      <c r="R58" s="14">
        <v>4</v>
      </c>
      <c r="S58" s="26">
        <v>0.1111111111111111</v>
      </c>
      <c r="T58" s="16" t="s">
        <v>108</v>
      </c>
      <c r="U58" s="17" t="str">
        <f t="shared" si="2"/>
        <v xml:space="preserve">D8 Metals
</v>
      </c>
      <c r="V58" s="16" t="s">
        <v>78</v>
      </c>
      <c r="W58" s="16">
        <v>5</v>
      </c>
      <c r="X58" s="25">
        <v>44932</v>
      </c>
      <c r="Y58" s="13"/>
      <c r="Z58" s="13"/>
      <c r="AA58" s="16" t="s">
        <v>101</v>
      </c>
      <c r="AB58" s="18" t="str">
        <f t="shared" si="3"/>
        <v xml:space="preserve">D8 Metals
</v>
      </c>
      <c r="AC58" s="19" t="s">
        <v>78</v>
      </c>
      <c r="AD58" s="19">
        <v>6</v>
      </c>
      <c r="AE58" s="27">
        <v>44939</v>
      </c>
      <c r="AF58" s="18"/>
      <c r="AG58" s="18"/>
      <c r="AH58" s="16" t="s">
        <v>101</v>
      </c>
      <c r="AI58" s="18"/>
      <c r="AJ58" s="16" t="s">
        <v>98</v>
      </c>
      <c r="AK58" s="19">
        <v>7</v>
      </c>
      <c r="AL58" s="27">
        <v>44953</v>
      </c>
      <c r="AM58" s="18"/>
      <c r="AN58" s="18"/>
      <c r="AO58" s="19" t="s">
        <v>86</v>
      </c>
      <c r="AP58" s="18"/>
      <c r="AQ58" s="19" t="s">
        <v>78</v>
      </c>
      <c r="AR58" s="19" t="s">
        <v>79</v>
      </c>
      <c r="AS58" s="20" t="s">
        <v>100</v>
      </c>
      <c r="AT58" s="19" t="s">
        <v>75</v>
      </c>
      <c r="AU58" s="20" t="s">
        <v>284</v>
      </c>
      <c r="AV58" s="19" t="s">
        <v>86</v>
      </c>
      <c r="AW58" s="18"/>
      <c r="AX58" s="16" t="s">
        <v>78</v>
      </c>
      <c r="AY58" s="19" t="s">
        <v>79</v>
      </c>
      <c r="AZ58" s="20" t="s">
        <v>102</v>
      </c>
      <c r="BA58" s="19" t="s">
        <v>75</v>
      </c>
      <c r="BB58" s="19" t="s">
        <v>75</v>
      </c>
      <c r="BC58" s="19" t="s">
        <v>101</v>
      </c>
      <c r="BD58" s="18"/>
      <c r="BE58" s="18"/>
      <c r="BF58" s="18"/>
      <c r="BG58" s="18"/>
      <c r="BH58" s="18"/>
      <c r="BI58" s="18"/>
      <c r="BJ58" s="12"/>
      <c r="BK58" s="12"/>
      <c r="BL58" s="12"/>
      <c r="BM58" s="9"/>
      <c r="BN58" s="9"/>
      <c r="BO58" s="9"/>
      <c r="BP58" s="12"/>
      <c r="BQ58" s="12"/>
      <c r="BR58" s="12"/>
      <c r="BS58" s="12"/>
      <c r="BT58" s="12"/>
      <c r="BU58" s="12"/>
      <c r="BV58" s="12"/>
      <c r="BW58" s="12"/>
      <c r="BX58" s="12"/>
      <c r="BY58" s="9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</row>
    <row r="59" spans="1:88" ht="40.5" customHeight="1">
      <c r="A59" s="9">
        <f t="shared" si="0"/>
        <v>57</v>
      </c>
      <c r="B59" s="9" t="str">
        <f t="shared" si="4"/>
        <v xml:space="preserve">MA
</v>
      </c>
      <c r="C59" s="9" t="s">
        <v>285</v>
      </c>
      <c r="D59" s="9" t="s">
        <v>95</v>
      </c>
      <c r="E59" s="12">
        <v>0</v>
      </c>
      <c r="F59" s="12">
        <v>0</v>
      </c>
      <c r="G59" s="9" t="s">
        <v>89</v>
      </c>
      <c r="H59" s="12"/>
      <c r="I59" s="9" t="s">
        <v>286</v>
      </c>
      <c r="J59" s="12"/>
      <c r="K59" s="11" t="s">
        <v>287</v>
      </c>
      <c r="L59" s="12"/>
      <c r="M59" s="12"/>
      <c r="N59" s="13" t="str">
        <f t="shared" si="1"/>
        <v xml:space="preserve">Dalbana Company Aluminum &amp; Glass
</v>
      </c>
      <c r="O59" s="16" t="s">
        <v>78</v>
      </c>
      <c r="P59" s="14">
        <v>3</v>
      </c>
      <c r="Q59" s="25">
        <v>44915</v>
      </c>
      <c r="R59" s="14">
        <v>3</v>
      </c>
      <c r="S59" s="17"/>
      <c r="T59" s="16" t="s">
        <v>137</v>
      </c>
      <c r="U59" s="17" t="str">
        <f t="shared" si="2"/>
        <v xml:space="preserve">Dalbana Company Aluminum &amp; Glass
</v>
      </c>
      <c r="V59" s="16" t="s">
        <v>78</v>
      </c>
      <c r="W59" s="16">
        <v>4</v>
      </c>
      <c r="X59" s="25">
        <v>44932</v>
      </c>
      <c r="Y59" s="13"/>
      <c r="Z59" s="13"/>
      <c r="AA59" s="16" t="s">
        <v>101</v>
      </c>
      <c r="AB59" s="18" t="str">
        <f t="shared" si="3"/>
        <v xml:space="preserve">Dalbana Company Aluminum &amp; Glass
</v>
      </c>
      <c r="AC59" s="19" t="s">
        <v>98</v>
      </c>
      <c r="AD59" s="19">
        <v>5</v>
      </c>
      <c r="AE59" s="27">
        <v>44933</v>
      </c>
      <c r="AF59" s="18"/>
      <c r="AG59" s="18"/>
      <c r="AH59" s="16" t="s">
        <v>153</v>
      </c>
      <c r="AI59" s="18"/>
      <c r="AJ59" s="16" t="s">
        <v>78</v>
      </c>
      <c r="AK59" s="19">
        <v>6</v>
      </c>
      <c r="AL59" s="27">
        <v>44939</v>
      </c>
      <c r="AM59" s="18"/>
      <c r="AN59" s="18"/>
      <c r="AO59" s="19" t="s">
        <v>101</v>
      </c>
      <c r="AP59" s="18"/>
      <c r="AQ59" s="19" t="s">
        <v>78</v>
      </c>
      <c r="AR59" s="19">
        <v>7</v>
      </c>
      <c r="AS59" s="27">
        <v>44953</v>
      </c>
      <c r="AT59" s="18"/>
      <c r="AU59" s="18"/>
      <c r="AV59" s="19" t="s">
        <v>101</v>
      </c>
      <c r="AW59" s="18"/>
      <c r="AX59" s="16" t="s">
        <v>78</v>
      </c>
      <c r="AY59" s="19" t="s">
        <v>79</v>
      </c>
      <c r="AZ59" s="20" t="s">
        <v>100</v>
      </c>
      <c r="BA59" s="19" t="s">
        <v>75</v>
      </c>
      <c r="BB59" s="20" t="s">
        <v>288</v>
      </c>
      <c r="BC59" s="19" t="s">
        <v>86</v>
      </c>
      <c r="BD59" s="19" t="s">
        <v>78</v>
      </c>
      <c r="BE59" s="19" t="s">
        <v>79</v>
      </c>
      <c r="BF59" s="20" t="s">
        <v>102</v>
      </c>
      <c r="BG59" s="19" t="s">
        <v>75</v>
      </c>
      <c r="BH59" s="20" t="s">
        <v>84</v>
      </c>
      <c r="BI59" s="19" t="s">
        <v>86</v>
      </c>
      <c r="BJ59" s="12"/>
      <c r="BK59" s="12"/>
      <c r="BL59" s="12"/>
      <c r="BM59" s="9"/>
      <c r="BN59" s="9"/>
      <c r="BO59" s="9"/>
      <c r="BP59" s="12"/>
      <c r="BQ59" s="12"/>
      <c r="BR59" s="12"/>
      <c r="BS59" s="12"/>
      <c r="BT59" s="12"/>
      <c r="BU59" s="12"/>
      <c r="BV59" s="12"/>
      <c r="BW59" s="12"/>
      <c r="BX59" s="12"/>
      <c r="BY59" s="9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</row>
    <row r="60" spans="1:88" ht="40.5" customHeight="1">
      <c r="A60" s="9">
        <f t="shared" si="0"/>
        <v>58</v>
      </c>
      <c r="B60" s="9" t="str">
        <f t="shared" si="4"/>
        <v xml:space="preserve">MA
</v>
      </c>
      <c r="C60" s="9" t="s">
        <v>289</v>
      </c>
      <c r="D60" s="9" t="s">
        <v>95</v>
      </c>
      <c r="E60" s="12">
        <v>0</v>
      </c>
      <c r="F60" s="12">
        <v>0</v>
      </c>
      <c r="G60" s="9" t="s">
        <v>89</v>
      </c>
      <c r="H60" s="12"/>
      <c r="I60" s="9" t="s">
        <v>290</v>
      </c>
      <c r="J60" s="12"/>
      <c r="K60" s="11" t="s">
        <v>291</v>
      </c>
      <c r="L60" s="12"/>
      <c r="M60" s="12"/>
      <c r="N60" s="13" t="str">
        <f t="shared" si="1"/>
        <v xml:space="preserve">STAL - Steel &amp; Aluminium Construction
</v>
      </c>
      <c r="O60" s="16" t="s">
        <v>78</v>
      </c>
      <c r="P60" s="14">
        <v>3</v>
      </c>
      <c r="Q60" s="25">
        <v>44915</v>
      </c>
      <c r="R60" s="14">
        <v>2</v>
      </c>
      <c r="S60" s="26">
        <v>7.2916666666666671E-2</v>
      </c>
      <c r="T60" s="16" t="s">
        <v>81</v>
      </c>
      <c r="U60" s="17" t="str">
        <f t="shared" si="2"/>
        <v xml:space="preserve">STAL - Steel &amp; Aluminium Construction
</v>
      </c>
      <c r="V60" s="16" t="s">
        <v>78</v>
      </c>
      <c r="W60" s="16">
        <v>4</v>
      </c>
      <c r="X60" s="25">
        <v>44932</v>
      </c>
      <c r="Y60" s="13"/>
      <c r="Z60" s="13"/>
      <c r="AA60" s="16" t="s">
        <v>101</v>
      </c>
      <c r="AB60" s="18" t="str">
        <f t="shared" si="3"/>
        <v xml:space="preserve">STAL - Steel &amp; Aluminium Construction
</v>
      </c>
      <c r="AC60" s="19" t="s">
        <v>78</v>
      </c>
      <c r="AD60" s="19">
        <v>5</v>
      </c>
      <c r="AE60" s="27">
        <v>44939</v>
      </c>
      <c r="AF60" s="18"/>
      <c r="AG60" s="47">
        <v>0.10416666666666667</v>
      </c>
      <c r="AH60" s="16" t="s">
        <v>108</v>
      </c>
      <c r="AI60" s="18"/>
      <c r="AJ60" s="16" t="s">
        <v>78</v>
      </c>
      <c r="AK60" s="19">
        <v>6</v>
      </c>
      <c r="AL60" s="27">
        <v>44953</v>
      </c>
      <c r="AM60" s="18"/>
      <c r="AN60" s="18"/>
      <c r="AO60" s="19" t="s">
        <v>101</v>
      </c>
      <c r="AP60" s="18"/>
      <c r="AQ60" s="19" t="s">
        <v>78</v>
      </c>
      <c r="AR60" s="19" t="s">
        <v>79</v>
      </c>
      <c r="AS60" s="20" t="s">
        <v>100</v>
      </c>
      <c r="AT60" s="19" t="s">
        <v>75</v>
      </c>
      <c r="AU60" s="20" t="s">
        <v>154</v>
      </c>
      <c r="AV60" s="19" t="s">
        <v>4</v>
      </c>
      <c r="AW60" s="18"/>
      <c r="AX60" s="13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2"/>
      <c r="BK60" s="12"/>
      <c r="BL60" s="12"/>
      <c r="BM60" s="9"/>
      <c r="BN60" s="9"/>
      <c r="BO60" s="9"/>
      <c r="BP60" s="12"/>
      <c r="BQ60" s="12"/>
      <c r="BR60" s="12"/>
      <c r="BS60" s="12"/>
      <c r="BT60" s="12"/>
      <c r="BU60" s="12"/>
      <c r="BV60" s="12"/>
      <c r="BW60" s="12"/>
      <c r="BX60" s="12"/>
      <c r="BY60" s="9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</row>
    <row r="61" spans="1:88" ht="40.5" customHeight="1">
      <c r="A61" s="9">
        <f t="shared" si="0"/>
        <v>59</v>
      </c>
      <c r="B61" s="9" t="str">
        <f t="shared" si="4"/>
        <v xml:space="preserve">MA
</v>
      </c>
      <c r="C61" s="9" t="s">
        <v>292</v>
      </c>
      <c r="D61" s="9" t="s">
        <v>95</v>
      </c>
      <c r="E61" s="12">
        <v>0</v>
      </c>
      <c r="F61" s="12">
        <v>0</v>
      </c>
      <c r="G61" s="9" t="s">
        <v>89</v>
      </c>
      <c r="H61" s="12"/>
      <c r="I61" s="9" t="s">
        <v>293</v>
      </c>
      <c r="J61" s="12"/>
      <c r="K61" s="11" t="s">
        <v>294</v>
      </c>
      <c r="L61" s="12"/>
      <c r="M61" s="12"/>
      <c r="N61" s="13" t="str">
        <f t="shared" si="1"/>
        <v xml:space="preserve">Robert Kashouh co.
</v>
      </c>
      <c r="O61" s="16" t="s">
        <v>78</v>
      </c>
      <c r="P61" s="14">
        <v>3</v>
      </c>
      <c r="Q61" s="25">
        <v>44915</v>
      </c>
      <c r="R61" s="14">
        <v>4</v>
      </c>
      <c r="S61" s="26">
        <v>0.28472222222222221</v>
      </c>
      <c r="T61" s="16" t="s">
        <v>108</v>
      </c>
      <c r="U61" s="17" t="str">
        <f t="shared" si="2"/>
        <v xml:space="preserve">Robert Kashouh co.
</v>
      </c>
      <c r="V61" s="16" t="s">
        <v>78</v>
      </c>
      <c r="W61" s="16">
        <v>3</v>
      </c>
      <c r="X61" s="25">
        <v>44918</v>
      </c>
      <c r="Y61" s="16">
        <v>4</v>
      </c>
      <c r="Z61" s="29">
        <v>5.1388888888888887E-2</v>
      </c>
      <c r="AA61" s="16" t="s">
        <v>153</v>
      </c>
      <c r="AB61" s="18" t="str">
        <f t="shared" si="3"/>
        <v xml:space="preserve">Robert Kashouh co.
</v>
      </c>
      <c r="AC61" s="19" t="s">
        <v>78</v>
      </c>
      <c r="AD61" s="19">
        <v>4</v>
      </c>
      <c r="AE61" s="27">
        <v>44932</v>
      </c>
      <c r="AF61" s="19">
        <v>5</v>
      </c>
      <c r="AG61" s="47">
        <v>0.23055555555555557</v>
      </c>
      <c r="AH61" s="16" t="s">
        <v>190</v>
      </c>
      <c r="AI61" s="18"/>
      <c r="AJ61" s="16" t="s">
        <v>98</v>
      </c>
      <c r="AK61" s="19">
        <v>7</v>
      </c>
      <c r="AL61" s="27">
        <v>44933</v>
      </c>
      <c r="AM61" s="18"/>
      <c r="AN61" s="18"/>
      <c r="AO61" s="19" t="s">
        <v>86</v>
      </c>
      <c r="AP61" s="18"/>
      <c r="AQ61" s="19" t="s">
        <v>78</v>
      </c>
      <c r="AR61" s="19">
        <v>8</v>
      </c>
      <c r="AS61" s="27">
        <v>44953</v>
      </c>
      <c r="AT61" s="18"/>
      <c r="AU61" s="18"/>
      <c r="AV61" s="19" t="s">
        <v>86</v>
      </c>
      <c r="AW61" s="18"/>
      <c r="AX61" s="16" t="s">
        <v>78</v>
      </c>
      <c r="AY61" s="19" t="s">
        <v>79</v>
      </c>
      <c r="AZ61" s="20" t="s">
        <v>100</v>
      </c>
      <c r="BA61" s="19" t="s">
        <v>75</v>
      </c>
      <c r="BB61" s="19" t="s">
        <v>75</v>
      </c>
      <c r="BC61" s="19" t="s">
        <v>101</v>
      </c>
      <c r="BD61" s="19" t="s">
        <v>78</v>
      </c>
      <c r="BE61" s="19" t="s">
        <v>79</v>
      </c>
      <c r="BF61" s="20" t="s">
        <v>102</v>
      </c>
      <c r="BG61" s="19" t="s">
        <v>75</v>
      </c>
      <c r="BH61" s="19" t="s">
        <v>75</v>
      </c>
      <c r="BI61" s="19" t="s">
        <v>86</v>
      </c>
      <c r="BJ61" s="12"/>
      <c r="BK61" s="12"/>
      <c r="BL61" s="12"/>
      <c r="BM61" s="9"/>
      <c r="BN61" s="9"/>
      <c r="BO61" s="9"/>
      <c r="BP61" s="12"/>
      <c r="BQ61" s="12"/>
      <c r="BR61" s="12"/>
      <c r="BS61" s="12"/>
      <c r="BT61" s="12"/>
      <c r="BU61" s="12"/>
      <c r="BV61" s="12"/>
      <c r="BW61" s="12"/>
      <c r="BX61" s="12"/>
      <c r="BY61" s="9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</row>
    <row r="62" spans="1:88" ht="40.5" customHeight="1">
      <c r="A62" s="9">
        <f t="shared" si="0"/>
        <v>60</v>
      </c>
      <c r="B62" s="9" t="str">
        <f t="shared" si="4"/>
        <v xml:space="preserve">MA
</v>
      </c>
      <c r="C62" s="9" t="s">
        <v>295</v>
      </c>
      <c r="D62" s="9" t="s">
        <v>95</v>
      </c>
      <c r="E62" s="12">
        <v>0</v>
      </c>
      <c r="F62" s="9">
        <v>1</v>
      </c>
      <c r="G62" s="9" t="s">
        <v>89</v>
      </c>
      <c r="H62" s="12"/>
      <c r="I62" s="9" t="s">
        <v>296</v>
      </c>
      <c r="J62" s="9" t="s">
        <v>297</v>
      </c>
      <c r="K62" s="52" t="s">
        <v>298</v>
      </c>
      <c r="L62" s="12"/>
      <c r="M62" s="12"/>
      <c r="N62" s="13" t="str">
        <f t="shared" si="1"/>
        <v xml:space="preserve">EGC Ezzeddine glass contracting
</v>
      </c>
      <c r="O62" s="16" t="s">
        <v>78</v>
      </c>
      <c r="P62" s="14">
        <v>3</v>
      </c>
      <c r="Q62" s="25">
        <v>44915</v>
      </c>
      <c r="R62" s="14">
        <v>5</v>
      </c>
      <c r="S62" s="26">
        <v>0.41666666666666669</v>
      </c>
      <c r="T62" s="16" t="s">
        <v>190</v>
      </c>
      <c r="U62" s="17" t="str">
        <f t="shared" si="2"/>
        <v xml:space="preserve">EGC Ezzeddine glass contracting
</v>
      </c>
      <c r="V62" s="16" t="s">
        <v>98</v>
      </c>
      <c r="W62" s="16">
        <v>5</v>
      </c>
      <c r="X62" s="25">
        <v>44925</v>
      </c>
      <c r="Y62" s="13"/>
      <c r="Z62" s="13"/>
      <c r="AA62" s="16" t="s">
        <v>190</v>
      </c>
      <c r="AB62" s="18" t="str">
        <f t="shared" si="3"/>
        <v xml:space="preserve">EGC Ezzeddine glass contracting
</v>
      </c>
      <c r="AC62" s="19" t="s">
        <v>78</v>
      </c>
      <c r="AD62" s="19">
        <v>6</v>
      </c>
      <c r="AE62" s="27">
        <v>44932</v>
      </c>
      <c r="AF62" s="18"/>
      <c r="AG62" s="18"/>
      <c r="AH62" s="16" t="s">
        <v>101</v>
      </c>
      <c r="AI62" s="18"/>
      <c r="AJ62" s="16" t="s">
        <v>98</v>
      </c>
      <c r="AK62" s="19">
        <v>7</v>
      </c>
      <c r="AL62" s="27">
        <v>44939</v>
      </c>
      <c r="AM62" s="18"/>
      <c r="AN62" s="18"/>
      <c r="AO62" s="19" t="s">
        <v>86</v>
      </c>
      <c r="AP62" s="18"/>
      <c r="AQ62" s="19" t="s">
        <v>78</v>
      </c>
      <c r="AR62" s="19">
        <v>8</v>
      </c>
      <c r="AS62" s="27">
        <v>44953</v>
      </c>
      <c r="AT62" s="18"/>
      <c r="AU62" s="47">
        <v>9.5138888888888884E-2</v>
      </c>
      <c r="AV62" s="19" t="s">
        <v>190</v>
      </c>
      <c r="AW62" s="18"/>
      <c r="AX62" s="16" t="s">
        <v>78</v>
      </c>
      <c r="AY62" s="19" t="s">
        <v>79</v>
      </c>
      <c r="AZ62" s="20" t="s">
        <v>100</v>
      </c>
      <c r="BA62" s="19" t="s">
        <v>75</v>
      </c>
      <c r="BB62" s="20" t="s">
        <v>154</v>
      </c>
      <c r="BC62" s="19" t="s">
        <v>86</v>
      </c>
      <c r="BD62" s="19" t="s">
        <v>78</v>
      </c>
      <c r="BE62" s="19" t="s">
        <v>79</v>
      </c>
      <c r="BF62" s="20" t="s">
        <v>102</v>
      </c>
      <c r="BG62" s="19" t="s">
        <v>75</v>
      </c>
      <c r="BH62" s="19" t="s">
        <v>75</v>
      </c>
      <c r="BI62" s="19" t="s">
        <v>86</v>
      </c>
      <c r="BJ62" s="12"/>
      <c r="BK62" s="12"/>
      <c r="BL62" s="12"/>
      <c r="BM62" s="9"/>
      <c r="BN62" s="9"/>
      <c r="BO62" s="9"/>
      <c r="BP62" s="12"/>
      <c r="BQ62" s="12"/>
      <c r="BR62" s="12"/>
      <c r="BS62" s="12"/>
      <c r="BT62" s="12"/>
      <c r="BU62" s="12"/>
      <c r="BV62" s="12"/>
      <c r="BW62" s="12"/>
      <c r="BX62" s="12"/>
      <c r="BY62" s="9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</row>
    <row r="63" spans="1:88" ht="40.5" customHeight="1">
      <c r="A63" s="9">
        <f t="shared" si="0"/>
        <v>61</v>
      </c>
      <c r="B63" s="9" t="str">
        <f t="shared" si="4"/>
        <v xml:space="preserve">MA
</v>
      </c>
      <c r="C63" s="9" t="s">
        <v>299</v>
      </c>
      <c r="D63" s="9" t="s">
        <v>95</v>
      </c>
      <c r="E63" s="12">
        <v>0</v>
      </c>
      <c r="F63" s="12">
        <v>0</v>
      </c>
      <c r="G63" s="9" t="s">
        <v>89</v>
      </c>
      <c r="H63" s="12"/>
      <c r="I63" s="9" t="s">
        <v>300</v>
      </c>
      <c r="J63" s="12"/>
      <c r="K63" s="53" t="s">
        <v>301</v>
      </c>
      <c r="L63" s="12"/>
      <c r="M63" s="12"/>
      <c r="N63" s="13" t="str">
        <f t="shared" si="1"/>
        <v xml:space="preserve">Alumtech
</v>
      </c>
      <c r="O63" s="16" t="s">
        <v>78</v>
      </c>
      <c r="P63" s="14">
        <v>3</v>
      </c>
      <c r="Q63" s="25">
        <v>44915</v>
      </c>
      <c r="R63" s="14">
        <v>1</v>
      </c>
      <c r="S63" s="17"/>
      <c r="T63" s="16" t="s">
        <v>126</v>
      </c>
      <c r="U63" s="17" t="str">
        <f t="shared" si="2"/>
        <v xml:space="preserve">Alumtech
</v>
      </c>
      <c r="V63" s="16" t="s">
        <v>78</v>
      </c>
      <c r="W63" s="16">
        <v>4</v>
      </c>
      <c r="X63" s="25">
        <v>44932</v>
      </c>
      <c r="Y63" s="13"/>
      <c r="Z63" s="13"/>
      <c r="AA63" s="16" t="s">
        <v>126</v>
      </c>
      <c r="AB63" s="18" t="str">
        <f t="shared" si="3"/>
        <v xml:space="preserve">Alumtech
</v>
      </c>
      <c r="AC63" s="19" t="s">
        <v>78</v>
      </c>
      <c r="AD63" s="19">
        <v>5</v>
      </c>
      <c r="AE63" s="27">
        <v>44939</v>
      </c>
      <c r="AF63" s="19">
        <v>5</v>
      </c>
      <c r="AG63" s="47">
        <v>0.10416666666666667</v>
      </c>
      <c r="AH63" s="16" t="s">
        <v>108</v>
      </c>
      <c r="AI63" s="18"/>
      <c r="AJ63" s="16" t="s">
        <v>78</v>
      </c>
      <c r="AK63" s="19">
        <v>6</v>
      </c>
      <c r="AL63" s="27">
        <v>44953</v>
      </c>
      <c r="AM63" s="18"/>
      <c r="AN63" s="18"/>
      <c r="AO63" s="19" t="s">
        <v>86</v>
      </c>
      <c r="AP63" s="18"/>
      <c r="AQ63" s="19" t="s">
        <v>78</v>
      </c>
      <c r="AR63" s="19" t="s">
        <v>79</v>
      </c>
      <c r="AS63" s="20" t="s">
        <v>100</v>
      </c>
      <c r="AT63" s="19" t="s">
        <v>75</v>
      </c>
      <c r="AU63" s="20" t="s">
        <v>175</v>
      </c>
      <c r="AV63" s="19" t="s">
        <v>86</v>
      </c>
      <c r="AW63" s="18"/>
      <c r="AX63" s="16" t="s">
        <v>78</v>
      </c>
      <c r="AY63" s="19" t="s">
        <v>79</v>
      </c>
      <c r="AZ63" s="20" t="s">
        <v>102</v>
      </c>
      <c r="BA63" s="19" t="s">
        <v>75</v>
      </c>
      <c r="BB63" s="19" t="s">
        <v>75</v>
      </c>
      <c r="BC63" s="19" t="s">
        <v>101</v>
      </c>
      <c r="BD63" s="18"/>
      <c r="BE63" s="18"/>
      <c r="BF63" s="18"/>
      <c r="BG63" s="18"/>
      <c r="BH63" s="18"/>
      <c r="BI63" s="18"/>
      <c r="BJ63" s="12"/>
      <c r="BK63" s="12"/>
      <c r="BL63" s="12"/>
      <c r="BM63" s="9"/>
      <c r="BN63" s="9"/>
      <c r="BO63" s="9"/>
      <c r="BP63" s="12"/>
      <c r="BQ63" s="12"/>
      <c r="BR63" s="12"/>
      <c r="BS63" s="12"/>
      <c r="BT63" s="12"/>
      <c r="BU63" s="12"/>
      <c r="BV63" s="12"/>
      <c r="BW63" s="12"/>
      <c r="BX63" s="12"/>
      <c r="BY63" s="9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</row>
    <row r="64" spans="1:88" ht="40.5" customHeight="1">
      <c r="A64" s="9">
        <f t="shared" si="0"/>
        <v>62</v>
      </c>
      <c r="B64" s="9" t="str">
        <f t="shared" si="4"/>
        <v xml:space="preserve">MA
</v>
      </c>
      <c r="C64" s="9" t="s">
        <v>302</v>
      </c>
      <c r="D64" s="9" t="s">
        <v>95</v>
      </c>
      <c r="E64" s="12">
        <v>0</v>
      </c>
      <c r="F64" s="12">
        <v>0</v>
      </c>
      <c r="G64" s="9" t="s">
        <v>89</v>
      </c>
      <c r="H64" s="12"/>
      <c r="I64" s="9" t="s">
        <v>303</v>
      </c>
      <c r="J64" s="12"/>
      <c r="K64" s="22" t="s">
        <v>304</v>
      </c>
      <c r="L64" s="12"/>
      <c r="M64" s="12"/>
      <c r="N64" s="13" t="str">
        <f t="shared" si="1"/>
        <v xml:space="preserve">ASNAF Husseini Group
</v>
      </c>
      <c r="O64" s="16" t="s">
        <v>78</v>
      </c>
      <c r="P64" s="14">
        <v>3</v>
      </c>
      <c r="Q64" s="25">
        <v>44915</v>
      </c>
      <c r="R64" s="17"/>
      <c r="S64" s="17"/>
      <c r="T64" s="16" t="s">
        <v>126</v>
      </c>
      <c r="U64" s="17" t="str">
        <f t="shared" si="2"/>
        <v xml:space="preserve">ASNAF Husseini Group
</v>
      </c>
      <c r="V64" s="16" t="s">
        <v>78</v>
      </c>
      <c r="W64" s="16">
        <v>4</v>
      </c>
      <c r="X64" s="25">
        <v>44932</v>
      </c>
      <c r="Y64" s="13"/>
      <c r="Z64" s="13"/>
      <c r="AA64" s="16" t="s">
        <v>126</v>
      </c>
      <c r="AB64" s="18" t="str">
        <f t="shared" si="3"/>
        <v xml:space="preserve">ASNAF Husseini Group
</v>
      </c>
      <c r="AC64" s="19" t="s">
        <v>78</v>
      </c>
      <c r="AD64" s="19">
        <v>5</v>
      </c>
      <c r="AE64" s="27">
        <v>44939</v>
      </c>
      <c r="AF64" s="18"/>
      <c r="AG64" s="18"/>
      <c r="AH64" s="16" t="s">
        <v>101</v>
      </c>
      <c r="AI64" s="18"/>
      <c r="AJ64" s="16" t="s">
        <v>78</v>
      </c>
      <c r="AK64" s="19" t="s">
        <v>79</v>
      </c>
      <c r="AL64" s="20" t="s">
        <v>100</v>
      </c>
      <c r="AM64" s="19" t="s">
        <v>75</v>
      </c>
      <c r="AN64" s="19" t="s">
        <v>75</v>
      </c>
      <c r="AO64" s="19" t="s">
        <v>86</v>
      </c>
      <c r="AP64" s="18"/>
      <c r="AQ64" s="19" t="s">
        <v>78</v>
      </c>
      <c r="AR64" s="19" t="s">
        <v>79</v>
      </c>
      <c r="AS64" s="20" t="s">
        <v>102</v>
      </c>
      <c r="AT64" s="19" t="s">
        <v>75</v>
      </c>
      <c r="AU64" s="19" t="s">
        <v>75</v>
      </c>
      <c r="AV64" s="19" t="s">
        <v>101</v>
      </c>
      <c r="AW64" s="18"/>
      <c r="AX64" s="13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2"/>
      <c r="BK64" s="12"/>
      <c r="BL64" s="12"/>
      <c r="BM64" s="9"/>
      <c r="BN64" s="9"/>
      <c r="BO64" s="9"/>
      <c r="BP64" s="12"/>
      <c r="BQ64" s="12"/>
      <c r="BR64" s="12"/>
      <c r="BS64" s="12"/>
      <c r="BT64" s="12"/>
      <c r="BU64" s="12"/>
      <c r="BV64" s="12"/>
      <c r="BW64" s="12"/>
      <c r="BX64" s="12"/>
      <c r="BY64" s="9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</row>
    <row r="65" spans="1:88" ht="40.5" customHeight="1">
      <c r="A65" s="9">
        <f t="shared" si="0"/>
        <v>63</v>
      </c>
      <c r="B65" s="9" t="str">
        <f t="shared" si="4"/>
        <v xml:space="preserve">MA
</v>
      </c>
      <c r="C65" s="9" t="s">
        <v>305</v>
      </c>
      <c r="D65" s="9" t="s">
        <v>95</v>
      </c>
      <c r="E65" s="12">
        <v>0</v>
      </c>
      <c r="F65" s="12">
        <v>0</v>
      </c>
      <c r="G65" s="9" t="s">
        <v>89</v>
      </c>
      <c r="H65" s="12"/>
      <c r="I65" s="9" t="s">
        <v>306</v>
      </c>
      <c r="J65" s="12"/>
      <c r="K65" s="12"/>
      <c r="L65" s="12"/>
      <c r="M65" s="12"/>
      <c r="N65" s="13" t="str">
        <f t="shared" si="1"/>
        <v xml:space="preserve">A.B.Z aluminium &amp; glass works
</v>
      </c>
      <c r="O65" s="16" t="s">
        <v>78</v>
      </c>
      <c r="P65" s="14">
        <v>3</v>
      </c>
      <c r="Q65" s="25">
        <v>44915</v>
      </c>
      <c r="R65" s="17"/>
      <c r="S65" s="17"/>
      <c r="T65" s="16" t="s">
        <v>137</v>
      </c>
      <c r="U65" s="17" t="str">
        <f t="shared" si="2"/>
        <v xml:space="preserve">A.B.Z aluminium &amp; glass works
</v>
      </c>
      <c r="V65" s="16" t="s">
        <v>78</v>
      </c>
      <c r="W65" s="16">
        <v>4</v>
      </c>
      <c r="X65" s="25">
        <v>44932</v>
      </c>
      <c r="Y65" s="13"/>
      <c r="Z65" s="13"/>
      <c r="AA65" s="16" t="s">
        <v>126</v>
      </c>
      <c r="AB65" s="18" t="str">
        <f t="shared" si="3"/>
        <v xml:space="preserve">A.B.Z aluminium &amp; glass works
</v>
      </c>
      <c r="AC65" s="19" t="s">
        <v>78</v>
      </c>
      <c r="AD65" s="19">
        <v>5</v>
      </c>
      <c r="AE65" s="27">
        <v>44939</v>
      </c>
      <c r="AF65" s="18"/>
      <c r="AG65" s="18"/>
      <c r="AH65" s="16" t="s">
        <v>101</v>
      </c>
      <c r="AI65" s="18"/>
      <c r="AJ65" s="16" t="s">
        <v>78</v>
      </c>
      <c r="AK65" s="19">
        <v>6</v>
      </c>
      <c r="AL65" s="27">
        <v>44953</v>
      </c>
      <c r="AM65" s="18"/>
      <c r="AN65" s="18"/>
      <c r="AO65" s="19" t="s">
        <v>101</v>
      </c>
      <c r="AP65" s="18"/>
      <c r="AQ65" s="19" t="s">
        <v>98</v>
      </c>
      <c r="AR65" s="19" t="s">
        <v>79</v>
      </c>
      <c r="AS65" s="20" t="s">
        <v>102</v>
      </c>
      <c r="AT65" s="19" t="s">
        <v>75</v>
      </c>
      <c r="AU65" s="19" t="s">
        <v>75</v>
      </c>
      <c r="AV65" s="19" t="s">
        <v>4</v>
      </c>
      <c r="AW65" s="18"/>
      <c r="AX65" s="13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2"/>
      <c r="BK65" s="12"/>
      <c r="BL65" s="12"/>
      <c r="BM65" s="9"/>
      <c r="BN65" s="9"/>
      <c r="BO65" s="9"/>
      <c r="BP65" s="12"/>
      <c r="BQ65" s="12"/>
      <c r="BR65" s="12"/>
      <c r="BS65" s="12"/>
      <c r="BT65" s="12"/>
      <c r="BU65" s="12"/>
      <c r="BV65" s="12"/>
      <c r="BW65" s="12"/>
      <c r="BX65" s="12"/>
      <c r="BY65" s="9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</row>
    <row r="66" spans="1:88" ht="40.5" customHeight="1">
      <c r="A66" s="9">
        <f t="shared" si="0"/>
        <v>64</v>
      </c>
      <c r="B66" s="9" t="str">
        <f t="shared" si="4"/>
        <v xml:space="preserve">MA
</v>
      </c>
      <c r="C66" s="48" t="s">
        <v>307</v>
      </c>
      <c r="D66" s="9" t="s">
        <v>95</v>
      </c>
      <c r="E66" s="12">
        <v>0</v>
      </c>
      <c r="F66" s="12">
        <v>0</v>
      </c>
      <c r="G66" s="9" t="s">
        <v>89</v>
      </c>
      <c r="H66" s="12"/>
      <c r="I66" s="9" t="s">
        <v>308</v>
      </c>
      <c r="J66" s="12"/>
      <c r="K66" s="12"/>
      <c r="L66" s="12"/>
      <c r="M66" s="12"/>
      <c r="N66" s="13" t="str">
        <f t="shared" si="1"/>
        <v xml:space="preserve">Cedar Group
</v>
      </c>
      <c r="O66" s="16" t="s">
        <v>78</v>
      </c>
      <c r="P66" s="14">
        <v>3</v>
      </c>
      <c r="Q66" s="25">
        <v>44915</v>
      </c>
      <c r="R66" s="14">
        <v>4</v>
      </c>
      <c r="S66" s="26">
        <v>0.125</v>
      </c>
      <c r="T66" s="16" t="s">
        <v>99</v>
      </c>
      <c r="U66" s="17" t="str">
        <f t="shared" si="2"/>
        <v xml:space="preserve">Cedar Group
</v>
      </c>
      <c r="V66" s="16" t="s">
        <v>78</v>
      </c>
      <c r="W66" s="16" t="s">
        <v>79</v>
      </c>
      <c r="X66" s="15" t="s">
        <v>102</v>
      </c>
      <c r="Y66" s="16" t="s">
        <v>75</v>
      </c>
      <c r="Z66" s="16" t="s">
        <v>75</v>
      </c>
      <c r="AA66" s="16" t="s">
        <v>86</v>
      </c>
      <c r="AB66" s="18" t="str">
        <f t="shared" si="3"/>
        <v xml:space="preserve">Cedar Group
</v>
      </c>
      <c r="AC66" s="18"/>
      <c r="AD66" s="18"/>
      <c r="AE66" s="18"/>
      <c r="AF66" s="18"/>
      <c r="AG66" s="18"/>
      <c r="AH66" s="13"/>
      <c r="AI66" s="18"/>
      <c r="AJ66" s="13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3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2"/>
      <c r="BK66" s="12"/>
      <c r="BL66" s="12"/>
      <c r="BM66" s="9"/>
      <c r="BN66" s="9"/>
      <c r="BO66" s="9"/>
      <c r="BP66" s="12"/>
      <c r="BQ66" s="12"/>
      <c r="BR66" s="12"/>
      <c r="BS66" s="12"/>
      <c r="BT66" s="12"/>
      <c r="BU66" s="12"/>
      <c r="BV66" s="12"/>
      <c r="BW66" s="12"/>
      <c r="BX66" s="12"/>
      <c r="BY66" s="9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</row>
    <row r="67" spans="1:88" ht="40.5" customHeight="1">
      <c r="A67" s="24">
        <f t="shared" si="0"/>
        <v>65</v>
      </c>
      <c r="B67" s="24" t="str">
        <f t="shared" si="4"/>
        <v xml:space="preserve">MA
</v>
      </c>
      <c r="C67" s="24" t="s">
        <v>309</v>
      </c>
      <c r="D67" s="24" t="s">
        <v>95</v>
      </c>
      <c r="E67" s="30">
        <v>0</v>
      </c>
      <c r="F67" s="30">
        <v>0</v>
      </c>
      <c r="G67" s="24" t="s">
        <v>89</v>
      </c>
      <c r="H67" s="30"/>
      <c r="I67" s="24" t="s">
        <v>310</v>
      </c>
      <c r="J67" s="30"/>
      <c r="K67" s="32" t="s">
        <v>311</v>
      </c>
      <c r="L67" s="30"/>
      <c r="M67" s="30"/>
      <c r="N67" s="33" t="str">
        <f t="shared" si="1"/>
        <v xml:space="preserve">Profal Husseini
</v>
      </c>
      <c r="O67" s="34" t="s">
        <v>78</v>
      </c>
      <c r="P67" s="35">
        <v>3</v>
      </c>
      <c r="Q67" s="36">
        <v>44915</v>
      </c>
      <c r="R67" s="35">
        <v>2</v>
      </c>
      <c r="S67" s="38"/>
      <c r="T67" s="34" t="s">
        <v>126</v>
      </c>
      <c r="U67" s="38" t="str">
        <f t="shared" si="2"/>
        <v xml:space="preserve">Profal Husseini
</v>
      </c>
      <c r="V67" s="34" t="s">
        <v>78</v>
      </c>
      <c r="W67" s="34">
        <v>3</v>
      </c>
      <c r="X67" s="36">
        <v>44932</v>
      </c>
      <c r="Y67" s="33"/>
      <c r="Z67" s="33"/>
      <c r="AA67" s="34" t="s">
        <v>126</v>
      </c>
      <c r="AB67" s="39" t="str">
        <f t="shared" si="3"/>
        <v xml:space="preserve">Profal Husseini
</v>
      </c>
      <c r="AC67" s="40" t="s">
        <v>78</v>
      </c>
      <c r="AD67" s="40">
        <v>4</v>
      </c>
      <c r="AE67" s="41">
        <v>44939</v>
      </c>
      <c r="AF67" s="39"/>
      <c r="AG67" s="39"/>
      <c r="AH67" s="34" t="s">
        <v>126</v>
      </c>
      <c r="AI67" s="39"/>
      <c r="AJ67" s="34" t="s">
        <v>78</v>
      </c>
      <c r="AK67" s="40">
        <v>5</v>
      </c>
      <c r="AL67" s="41">
        <v>44953</v>
      </c>
      <c r="AM67" s="39"/>
      <c r="AN67" s="39"/>
      <c r="AO67" s="40" t="s">
        <v>126</v>
      </c>
      <c r="AP67" s="39"/>
      <c r="AQ67" s="40" t="s">
        <v>78</v>
      </c>
      <c r="AR67" s="40" t="s">
        <v>79</v>
      </c>
      <c r="AS67" s="45" t="s">
        <v>100</v>
      </c>
      <c r="AT67" s="40" t="s">
        <v>75</v>
      </c>
      <c r="AU67" s="40" t="s">
        <v>75</v>
      </c>
      <c r="AV67" s="40" t="s">
        <v>126</v>
      </c>
      <c r="AW67" s="39"/>
      <c r="AX67" s="34" t="s">
        <v>78</v>
      </c>
      <c r="AY67" s="40" t="s">
        <v>79</v>
      </c>
      <c r="AZ67" s="45" t="s">
        <v>102</v>
      </c>
      <c r="BA67" s="40" t="s">
        <v>75</v>
      </c>
      <c r="BB67" s="40" t="s">
        <v>75</v>
      </c>
      <c r="BC67" s="40" t="s">
        <v>4</v>
      </c>
      <c r="BD67" s="39"/>
      <c r="BE67" s="39"/>
      <c r="BF67" s="39"/>
      <c r="BG67" s="39"/>
      <c r="BH67" s="39"/>
      <c r="BI67" s="39"/>
      <c r="BJ67" s="30"/>
      <c r="BK67" s="30"/>
      <c r="BL67" s="30"/>
      <c r="BM67" s="24"/>
      <c r="BN67" s="24"/>
      <c r="BO67" s="24"/>
      <c r="BP67" s="30"/>
      <c r="BQ67" s="30"/>
      <c r="BR67" s="30"/>
      <c r="BS67" s="30"/>
      <c r="BT67" s="30"/>
      <c r="BU67" s="30"/>
      <c r="BV67" s="30"/>
      <c r="BW67" s="30"/>
      <c r="BX67" s="30"/>
      <c r="BY67" s="24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</row>
    <row r="68" spans="1:88" ht="40.5" customHeight="1">
      <c r="A68" s="9">
        <f t="shared" si="0"/>
        <v>66</v>
      </c>
      <c r="B68" s="9" t="str">
        <f t="shared" si="4"/>
        <v xml:space="preserve">MA
</v>
      </c>
      <c r="C68" s="9" t="s">
        <v>312</v>
      </c>
      <c r="D68" s="9" t="s">
        <v>95</v>
      </c>
      <c r="E68" s="12">
        <v>0</v>
      </c>
      <c r="F68" s="12">
        <v>0</v>
      </c>
      <c r="G68" s="9" t="s">
        <v>89</v>
      </c>
      <c r="H68" s="54" t="s">
        <v>313</v>
      </c>
      <c r="I68" s="9" t="s">
        <v>314</v>
      </c>
      <c r="J68" s="12"/>
      <c r="K68" s="55" t="s">
        <v>315</v>
      </c>
      <c r="L68" s="12"/>
      <c r="M68" s="12"/>
      <c r="N68" s="13" t="str">
        <f t="shared" si="1"/>
        <v xml:space="preserve">ALUMEC
</v>
      </c>
      <c r="O68" s="16" t="s">
        <v>78</v>
      </c>
      <c r="P68" s="14">
        <v>3</v>
      </c>
      <c r="Q68" s="25">
        <v>44915</v>
      </c>
      <c r="R68" s="14">
        <v>3</v>
      </c>
      <c r="S68" s="26">
        <v>9.7222222222222224E-2</v>
      </c>
      <c r="T68" s="16" t="s">
        <v>81</v>
      </c>
      <c r="U68" s="17" t="str">
        <f t="shared" si="2"/>
        <v xml:space="preserve">ALUMEC
</v>
      </c>
      <c r="V68" s="16" t="s">
        <v>78</v>
      </c>
      <c r="W68" s="16">
        <v>4</v>
      </c>
      <c r="X68" s="25">
        <v>44932</v>
      </c>
      <c r="Y68" s="13"/>
      <c r="Z68" s="13"/>
      <c r="AA68" s="16" t="s">
        <v>126</v>
      </c>
      <c r="AB68" s="18" t="str">
        <f t="shared" si="3"/>
        <v xml:space="preserve">ALUMEC
</v>
      </c>
      <c r="AC68" s="19" t="s">
        <v>7</v>
      </c>
      <c r="AD68" s="19">
        <v>5</v>
      </c>
      <c r="AE68" s="27">
        <v>44939</v>
      </c>
      <c r="AF68" s="18"/>
      <c r="AG68" s="18"/>
      <c r="AH68" s="16" t="s">
        <v>86</v>
      </c>
      <c r="AI68" s="18"/>
      <c r="AJ68" s="16" t="s">
        <v>7</v>
      </c>
      <c r="AK68" s="19">
        <v>6</v>
      </c>
      <c r="AL68" s="27">
        <v>44953</v>
      </c>
      <c r="AM68" s="18"/>
      <c r="AN68" s="18"/>
      <c r="AO68" s="19" t="s">
        <v>86</v>
      </c>
      <c r="AP68" s="18"/>
      <c r="AQ68" s="19" t="s">
        <v>7</v>
      </c>
      <c r="AR68" s="19" t="s">
        <v>79</v>
      </c>
      <c r="AS68" s="20" t="s">
        <v>100</v>
      </c>
      <c r="AT68" s="19" t="s">
        <v>75</v>
      </c>
      <c r="AU68" s="19" t="s">
        <v>75</v>
      </c>
      <c r="AV68" s="19" t="s">
        <v>81</v>
      </c>
      <c r="AW68" s="18"/>
      <c r="AX68" s="16" t="s">
        <v>7</v>
      </c>
      <c r="AY68" s="19" t="s">
        <v>79</v>
      </c>
      <c r="AZ68" s="20" t="s">
        <v>102</v>
      </c>
      <c r="BA68" s="19" t="s">
        <v>75</v>
      </c>
      <c r="BB68" s="19" t="s">
        <v>75</v>
      </c>
      <c r="BC68" s="19" t="s">
        <v>86</v>
      </c>
      <c r="BD68" s="18"/>
      <c r="BE68" s="18"/>
      <c r="BF68" s="18"/>
      <c r="BG68" s="18"/>
      <c r="BH68" s="18"/>
      <c r="BI68" s="18"/>
      <c r="BJ68" s="12"/>
      <c r="BK68" s="12"/>
      <c r="BL68" s="12"/>
      <c r="BM68" s="9"/>
      <c r="BN68" s="9"/>
      <c r="BO68" s="9"/>
      <c r="BP68" s="12"/>
      <c r="BQ68" s="12"/>
      <c r="BR68" s="12"/>
      <c r="BS68" s="12"/>
      <c r="BT68" s="12"/>
      <c r="BU68" s="12"/>
      <c r="BV68" s="12"/>
      <c r="BW68" s="12"/>
      <c r="BX68" s="12"/>
      <c r="BY68" s="9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</row>
    <row r="69" spans="1:88" ht="40.5" customHeight="1">
      <c r="A69" s="9">
        <f t="shared" si="0"/>
        <v>67</v>
      </c>
      <c r="B69" s="9" t="str">
        <f t="shared" si="4"/>
        <v xml:space="preserve">MA
</v>
      </c>
      <c r="C69" s="48" t="s">
        <v>316</v>
      </c>
      <c r="D69" s="9" t="s">
        <v>95</v>
      </c>
      <c r="E69" s="12">
        <v>0</v>
      </c>
      <c r="F69" s="12">
        <v>0</v>
      </c>
      <c r="G69" s="9" t="s">
        <v>89</v>
      </c>
      <c r="H69" s="12"/>
      <c r="I69" s="9" t="s">
        <v>317</v>
      </c>
      <c r="J69" s="12"/>
      <c r="K69" s="12"/>
      <c r="L69" s="12"/>
      <c r="M69" s="12"/>
      <c r="N69" s="13" t="str">
        <f t="shared" si="1"/>
        <v xml:space="preserve">Abou Zeinab EST. for Aluminium &amp; Glass
</v>
      </c>
      <c r="O69" s="16" t="s">
        <v>78</v>
      </c>
      <c r="P69" s="14">
        <v>3</v>
      </c>
      <c r="Q69" s="25">
        <v>44915</v>
      </c>
      <c r="R69" s="14"/>
      <c r="S69" s="17"/>
      <c r="T69" s="16" t="s">
        <v>137</v>
      </c>
      <c r="U69" s="17" t="str">
        <f t="shared" si="2"/>
        <v xml:space="preserve">Abou Zeinab EST. for Aluminium &amp; Glass
</v>
      </c>
      <c r="V69" s="16" t="s">
        <v>78</v>
      </c>
      <c r="W69" s="16">
        <v>4</v>
      </c>
      <c r="X69" s="25">
        <v>44932</v>
      </c>
      <c r="Y69" s="16">
        <v>4</v>
      </c>
      <c r="Z69" s="13"/>
      <c r="AA69" s="16" t="s">
        <v>99</v>
      </c>
      <c r="AB69" s="18" t="str">
        <f t="shared" si="3"/>
        <v xml:space="preserve">Abou Zeinab EST. for Aluminium &amp; Glass
</v>
      </c>
      <c r="AC69" s="19" t="s">
        <v>78</v>
      </c>
      <c r="AD69" s="19">
        <v>5</v>
      </c>
      <c r="AE69" s="27">
        <v>44953</v>
      </c>
      <c r="AF69" s="19">
        <v>3</v>
      </c>
      <c r="AG69" s="47">
        <v>0.22569444444444445</v>
      </c>
      <c r="AH69" s="16" t="s">
        <v>86</v>
      </c>
      <c r="AI69" s="18"/>
      <c r="AJ69" s="16" t="s">
        <v>98</v>
      </c>
      <c r="AK69" s="19" t="s">
        <v>79</v>
      </c>
      <c r="AL69" s="20" t="s">
        <v>102</v>
      </c>
      <c r="AM69" s="19" t="s">
        <v>75</v>
      </c>
      <c r="AN69" s="19" t="s">
        <v>75</v>
      </c>
      <c r="AO69" s="19" t="s">
        <v>86</v>
      </c>
      <c r="AP69" s="18"/>
      <c r="AQ69" s="18"/>
      <c r="AR69" s="18"/>
      <c r="AS69" s="18"/>
      <c r="AT69" s="18"/>
      <c r="AU69" s="18"/>
      <c r="AV69" s="18"/>
      <c r="AW69" s="18"/>
      <c r="AX69" s="13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2"/>
      <c r="BK69" s="12"/>
      <c r="BL69" s="12"/>
      <c r="BM69" s="9"/>
      <c r="BN69" s="9"/>
      <c r="BO69" s="9"/>
      <c r="BP69" s="12"/>
      <c r="BQ69" s="12"/>
      <c r="BR69" s="12"/>
      <c r="BS69" s="12"/>
      <c r="BT69" s="12"/>
      <c r="BU69" s="12"/>
      <c r="BV69" s="12"/>
      <c r="BW69" s="12"/>
      <c r="BX69" s="12"/>
      <c r="BY69" s="9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</row>
    <row r="70" spans="1:88" ht="40.5" customHeight="1">
      <c r="A70" s="9">
        <f t="shared" si="0"/>
        <v>68</v>
      </c>
      <c r="B70" s="9" t="str">
        <f t="shared" si="4"/>
        <v xml:space="preserve">MA
</v>
      </c>
      <c r="C70" s="9" t="s">
        <v>318</v>
      </c>
      <c r="D70" s="9" t="s">
        <v>95</v>
      </c>
      <c r="E70" s="12">
        <v>0</v>
      </c>
      <c r="F70" s="12">
        <v>0</v>
      </c>
      <c r="G70" s="9" t="s">
        <v>89</v>
      </c>
      <c r="H70" s="12"/>
      <c r="I70" s="9" t="s">
        <v>319</v>
      </c>
      <c r="J70" s="12"/>
      <c r="K70" s="12"/>
      <c r="L70" s="12"/>
      <c r="M70" s="12"/>
      <c r="N70" s="13" t="str">
        <f t="shared" si="1"/>
        <v xml:space="preserve">Abboud Group Aluminium
</v>
      </c>
      <c r="O70" s="16" t="s">
        <v>78</v>
      </c>
      <c r="P70" s="14">
        <v>3</v>
      </c>
      <c r="Q70" s="25">
        <v>44915</v>
      </c>
      <c r="R70" s="17"/>
      <c r="S70" s="17"/>
      <c r="T70" s="16" t="s">
        <v>137</v>
      </c>
      <c r="U70" s="17" t="str">
        <f t="shared" si="2"/>
        <v xml:space="preserve">Abboud Group Aluminium
</v>
      </c>
      <c r="V70" s="16" t="s">
        <v>78</v>
      </c>
      <c r="W70" s="16">
        <v>4</v>
      </c>
      <c r="X70" s="25">
        <v>44932</v>
      </c>
      <c r="Y70" s="16">
        <v>4</v>
      </c>
      <c r="Z70" s="29">
        <v>9.7916666666666666E-2</v>
      </c>
      <c r="AA70" s="16" t="s">
        <v>190</v>
      </c>
      <c r="AB70" s="18" t="str">
        <f t="shared" si="3"/>
        <v xml:space="preserve">Abboud Group Aluminium
</v>
      </c>
      <c r="AC70" s="19" t="s">
        <v>78</v>
      </c>
      <c r="AD70" s="19">
        <v>5</v>
      </c>
      <c r="AE70" s="27">
        <v>44939</v>
      </c>
      <c r="AF70" s="18"/>
      <c r="AG70" s="18"/>
      <c r="AH70" s="16" t="s">
        <v>101</v>
      </c>
      <c r="AI70" s="18"/>
      <c r="AJ70" s="16" t="s">
        <v>78</v>
      </c>
      <c r="AK70" s="19">
        <v>6</v>
      </c>
      <c r="AL70" s="27">
        <v>44953</v>
      </c>
      <c r="AM70" s="18"/>
      <c r="AN70" s="18"/>
      <c r="AO70" s="19" t="s">
        <v>101</v>
      </c>
      <c r="AP70" s="18"/>
      <c r="AQ70" s="19" t="s">
        <v>98</v>
      </c>
      <c r="AR70" s="19" t="s">
        <v>79</v>
      </c>
      <c r="AS70" s="20" t="s">
        <v>102</v>
      </c>
      <c r="AT70" s="19" t="s">
        <v>75</v>
      </c>
      <c r="AU70" s="19" t="s">
        <v>75</v>
      </c>
      <c r="AV70" s="19" t="s">
        <v>86</v>
      </c>
      <c r="AW70" s="18"/>
      <c r="AX70" s="13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2"/>
      <c r="BK70" s="12"/>
      <c r="BL70" s="12"/>
      <c r="BM70" s="9"/>
      <c r="BN70" s="9"/>
      <c r="BO70" s="9"/>
      <c r="BP70" s="12"/>
      <c r="BQ70" s="12"/>
      <c r="BR70" s="12"/>
      <c r="BS70" s="12"/>
      <c r="BT70" s="12"/>
      <c r="BU70" s="12"/>
      <c r="BV70" s="12"/>
      <c r="BW70" s="12"/>
      <c r="BX70" s="12"/>
      <c r="BY70" s="9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</row>
    <row r="71" spans="1:88" ht="40.5" customHeight="1">
      <c r="A71" s="9">
        <f t="shared" si="0"/>
        <v>69</v>
      </c>
      <c r="B71" s="9" t="str">
        <f t="shared" si="4"/>
        <v xml:space="preserve">MA
</v>
      </c>
      <c r="C71" s="9" t="s">
        <v>320</v>
      </c>
      <c r="D71" s="9" t="s">
        <v>95</v>
      </c>
      <c r="E71" s="12">
        <v>0</v>
      </c>
      <c r="F71" s="12">
        <v>0</v>
      </c>
      <c r="G71" s="9" t="s">
        <v>89</v>
      </c>
      <c r="H71" s="12"/>
      <c r="I71" s="9" t="s">
        <v>321</v>
      </c>
      <c r="J71" s="12"/>
      <c r="K71" s="12"/>
      <c r="L71" s="12"/>
      <c r="M71" s="12"/>
      <c r="N71" s="13" t="str">
        <f t="shared" si="1"/>
        <v xml:space="preserve">GMP - General Metal Products
</v>
      </c>
      <c r="O71" s="16" t="s">
        <v>78</v>
      </c>
      <c r="P71" s="14">
        <v>3</v>
      </c>
      <c r="Q71" s="25">
        <v>44915</v>
      </c>
      <c r="R71" s="14"/>
      <c r="S71" s="17"/>
      <c r="T71" s="16" t="s">
        <v>126</v>
      </c>
      <c r="U71" s="17" t="str">
        <f t="shared" si="2"/>
        <v xml:space="preserve">GMP - General Metal Products
</v>
      </c>
      <c r="V71" s="16" t="s">
        <v>78</v>
      </c>
      <c r="W71" s="16">
        <v>4</v>
      </c>
      <c r="X71" s="25">
        <v>44932</v>
      </c>
      <c r="Y71" s="16"/>
      <c r="Z71" s="13"/>
      <c r="AA71" s="16" t="s">
        <v>126</v>
      </c>
      <c r="AB71" s="18" t="str">
        <f t="shared" si="3"/>
        <v xml:space="preserve">GMP - General Metal Products
</v>
      </c>
      <c r="AC71" s="19" t="s">
        <v>78</v>
      </c>
      <c r="AD71" s="19">
        <v>5</v>
      </c>
      <c r="AE71" s="27">
        <v>44939</v>
      </c>
      <c r="AF71" s="18"/>
      <c r="AG71" s="18"/>
      <c r="AH71" s="16" t="s">
        <v>126</v>
      </c>
      <c r="AI71" s="18"/>
      <c r="AJ71" s="16" t="s">
        <v>78</v>
      </c>
      <c r="AK71" s="19" t="s">
        <v>79</v>
      </c>
      <c r="AL71" s="20" t="s">
        <v>102</v>
      </c>
      <c r="AM71" s="19" t="s">
        <v>75</v>
      </c>
      <c r="AN71" s="19" t="s">
        <v>75</v>
      </c>
      <c r="AO71" s="19" t="s">
        <v>4</v>
      </c>
      <c r="AP71" s="18"/>
      <c r="AQ71" s="18"/>
      <c r="AR71" s="18"/>
      <c r="AS71" s="18"/>
      <c r="AT71" s="18"/>
      <c r="AU71" s="18"/>
      <c r="AV71" s="18"/>
      <c r="AW71" s="18"/>
      <c r="AX71" s="13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2"/>
      <c r="BK71" s="12"/>
      <c r="BL71" s="12"/>
      <c r="BM71" s="9"/>
      <c r="BN71" s="9"/>
      <c r="BO71" s="9"/>
      <c r="BP71" s="12"/>
      <c r="BQ71" s="12"/>
      <c r="BR71" s="12"/>
      <c r="BS71" s="12"/>
      <c r="BT71" s="12"/>
      <c r="BU71" s="12"/>
      <c r="BV71" s="12"/>
      <c r="BW71" s="12"/>
      <c r="BX71" s="12"/>
      <c r="BY71" s="9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</row>
    <row r="72" spans="1:88" ht="40.5" customHeight="1">
      <c r="A72" s="9">
        <f t="shared" si="0"/>
        <v>70</v>
      </c>
      <c r="B72" s="9" t="str">
        <f t="shared" si="4"/>
        <v xml:space="preserve">MA
</v>
      </c>
      <c r="C72" s="24" t="s">
        <v>322</v>
      </c>
      <c r="D72" s="9" t="s">
        <v>95</v>
      </c>
      <c r="E72" s="9">
        <v>1</v>
      </c>
      <c r="F72" s="12">
        <v>0</v>
      </c>
      <c r="G72" s="9" t="s">
        <v>89</v>
      </c>
      <c r="H72" s="12"/>
      <c r="I72" s="9" t="s">
        <v>323</v>
      </c>
      <c r="J72" s="12"/>
      <c r="K72" s="11" t="s">
        <v>324</v>
      </c>
      <c r="L72" s="12"/>
      <c r="M72" s="12"/>
      <c r="N72" s="13" t="str">
        <f t="shared" si="1"/>
        <v xml:space="preserve">FOLDA
</v>
      </c>
      <c r="O72" s="16" t="s">
        <v>78</v>
      </c>
      <c r="P72" s="14">
        <v>3</v>
      </c>
      <c r="Q72" s="25">
        <v>44915</v>
      </c>
      <c r="R72" s="14">
        <v>2</v>
      </c>
      <c r="S72" s="26">
        <v>0.20833333333333334</v>
      </c>
      <c r="T72" s="16" t="s">
        <v>4</v>
      </c>
      <c r="U72" s="17" t="str">
        <f t="shared" si="2"/>
        <v xml:space="preserve">FOLDA
</v>
      </c>
      <c r="V72" s="13"/>
      <c r="W72" s="13"/>
      <c r="X72" s="13"/>
      <c r="Y72" s="13"/>
      <c r="Z72" s="13"/>
      <c r="AA72" s="13"/>
      <c r="AB72" s="18" t="str">
        <f t="shared" si="3"/>
        <v xml:space="preserve">FOLDA
</v>
      </c>
      <c r="AC72" s="18"/>
      <c r="AD72" s="18"/>
      <c r="AE72" s="18"/>
      <c r="AF72" s="18"/>
      <c r="AG72" s="18"/>
      <c r="AH72" s="13"/>
      <c r="AI72" s="18"/>
      <c r="AJ72" s="13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3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2"/>
      <c r="BK72" s="12"/>
      <c r="BL72" s="12"/>
      <c r="BM72" s="9"/>
      <c r="BN72" s="9"/>
      <c r="BO72" s="9"/>
      <c r="BP72" s="12"/>
      <c r="BQ72" s="12"/>
      <c r="BR72" s="12"/>
      <c r="BS72" s="12"/>
      <c r="BT72" s="12"/>
      <c r="BU72" s="12"/>
      <c r="BV72" s="12"/>
      <c r="BW72" s="12"/>
      <c r="BX72" s="12"/>
      <c r="BY72" s="9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</row>
    <row r="73" spans="1:88" ht="40.5" customHeight="1">
      <c r="A73" s="9">
        <f t="shared" si="0"/>
        <v>71</v>
      </c>
      <c r="B73" s="9" t="str">
        <f t="shared" si="4"/>
        <v xml:space="preserve">MA
</v>
      </c>
      <c r="C73" s="48" t="s">
        <v>325</v>
      </c>
      <c r="D73" s="9" t="s">
        <v>95</v>
      </c>
      <c r="E73" s="12">
        <v>0</v>
      </c>
      <c r="F73" s="12">
        <v>0</v>
      </c>
      <c r="G73" s="9" t="s">
        <v>89</v>
      </c>
      <c r="H73" s="12"/>
      <c r="I73" s="9" t="s">
        <v>326</v>
      </c>
      <c r="J73" s="12"/>
      <c r="K73" s="22" t="s">
        <v>327</v>
      </c>
      <c r="L73" s="12"/>
      <c r="M73" s="12"/>
      <c r="N73" s="13" t="str">
        <f t="shared" si="1"/>
        <v xml:space="preserve">Ste chebabi for trading
</v>
      </c>
      <c r="O73" s="16" t="s">
        <v>78</v>
      </c>
      <c r="P73" s="14">
        <v>3</v>
      </c>
      <c r="Q73" s="25">
        <v>44915</v>
      </c>
      <c r="R73" s="14">
        <v>4</v>
      </c>
      <c r="S73" s="26">
        <v>4.1666666666666664E-2</v>
      </c>
      <c r="T73" s="16" t="s">
        <v>86</v>
      </c>
      <c r="U73" s="17" t="str">
        <f t="shared" si="2"/>
        <v xml:space="preserve">Ste chebabi for trading
</v>
      </c>
      <c r="V73" s="16" t="s">
        <v>78</v>
      </c>
      <c r="W73" s="16">
        <v>4</v>
      </c>
      <c r="X73" s="25">
        <v>44932</v>
      </c>
      <c r="Y73" s="16">
        <v>4</v>
      </c>
      <c r="Z73" s="29">
        <v>6.7361111111111108E-2</v>
      </c>
      <c r="AA73" s="16" t="s">
        <v>99</v>
      </c>
      <c r="AB73" s="18" t="str">
        <f t="shared" si="3"/>
        <v xml:space="preserve">Ste chebabi for trading
</v>
      </c>
      <c r="AC73" s="19" t="s">
        <v>98</v>
      </c>
      <c r="AD73" s="19">
        <v>5</v>
      </c>
      <c r="AE73" s="27">
        <v>44953</v>
      </c>
      <c r="AF73" s="18"/>
      <c r="AG73" s="18"/>
      <c r="AH73" s="16" t="s">
        <v>86</v>
      </c>
      <c r="AI73" s="18"/>
      <c r="AJ73" s="16" t="s">
        <v>98</v>
      </c>
      <c r="AK73" s="19" t="s">
        <v>79</v>
      </c>
      <c r="AL73" s="20" t="s">
        <v>102</v>
      </c>
      <c r="AM73" s="19" t="s">
        <v>75</v>
      </c>
      <c r="AN73" s="19" t="s">
        <v>75</v>
      </c>
      <c r="AO73" s="19" t="s">
        <v>86</v>
      </c>
      <c r="AP73" s="18"/>
      <c r="AQ73" s="18"/>
      <c r="AR73" s="18"/>
      <c r="AS73" s="18"/>
      <c r="AT73" s="18"/>
      <c r="AU73" s="18"/>
      <c r="AV73" s="18"/>
      <c r="AW73" s="18"/>
      <c r="AX73" s="13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2"/>
      <c r="BK73" s="12"/>
      <c r="BL73" s="12"/>
      <c r="BM73" s="9"/>
      <c r="BN73" s="9"/>
      <c r="BO73" s="9"/>
      <c r="BP73" s="12"/>
      <c r="BQ73" s="12"/>
      <c r="BR73" s="12"/>
      <c r="BS73" s="12"/>
      <c r="BT73" s="12"/>
      <c r="BU73" s="12"/>
      <c r="BV73" s="12"/>
      <c r="BW73" s="12"/>
      <c r="BX73" s="12"/>
      <c r="BY73" s="9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</row>
    <row r="74" spans="1:88" ht="40.5" customHeight="1">
      <c r="A74" s="24">
        <f t="shared" si="0"/>
        <v>72</v>
      </c>
      <c r="B74" s="24" t="str">
        <f t="shared" si="4"/>
        <v xml:space="preserve">MA
</v>
      </c>
      <c r="C74" s="24" t="s">
        <v>328</v>
      </c>
      <c r="D74" s="24" t="s">
        <v>95</v>
      </c>
      <c r="E74" s="30">
        <v>0</v>
      </c>
      <c r="F74" s="30">
        <v>0</v>
      </c>
      <c r="G74" s="24" t="s">
        <v>89</v>
      </c>
      <c r="H74" s="30"/>
      <c r="I74" s="24" t="s">
        <v>329</v>
      </c>
      <c r="J74" s="30"/>
      <c r="K74" s="32" t="s">
        <v>330</v>
      </c>
      <c r="L74" s="30"/>
      <c r="M74" s="30"/>
      <c r="N74" s="33" t="str">
        <f t="shared" si="1"/>
        <v xml:space="preserve">Windoors sarl uPVC Windows &amp; Doors Systems
</v>
      </c>
      <c r="O74" s="34" t="s">
        <v>78</v>
      </c>
      <c r="P74" s="35">
        <v>3</v>
      </c>
      <c r="Q74" s="36">
        <v>44915</v>
      </c>
      <c r="R74" s="38"/>
      <c r="S74" s="38"/>
      <c r="T74" s="34" t="s">
        <v>99</v>
      </c>
      <c r="U74" s="38" t="str">
        <f t="shared" si="2"/>
        <v xml:space="preserve">Windoors sarl uPVC Windows &amp; Doors Systems
</v>
      </c>
      <c r="V74" s="33"/>
      <c r="W74" s="33"/>
      <c r="X74" s="33"/>
      <c r="Y74" s="33"/>
      <c r="Z74" s="33"/>
      <c r="AA74" s="33"/>
      <c r="AB74" s="39" t="str">
        <f t="shared" si="3"/>
        <v xml:space="preserve">Windoors sarl uPVC Windows &amp; Doors Systems
</v>
      </c>
      <c r="AC74" s="39"/>
      <c r="AD74" s="39"/>
      <c r="AE74" s="39"/>
      <c r="AF74" s="39"/>
      <c r="AG74" s="39"/>
      <c r="AH74" s="33"/>
      <c r="AI74" s="39"/>
      <c r="AJ74" s="33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3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0"/>
      <c r="BK74" s="30"/>
      <c r="BL74" s="30"/>
      <c r="BM74" s="24"/>
      <c r="BN74" s="24"/>
      <c r="BO74" s="24"/>
      <c r="BP74" s="30"/>
      <c r="BQ74" s="30"/>
      <c r="BR74" s="30"/>
      <c r="BS74" s="30"/>
      <c r="BT74" s="30"/>
      <c r="BU74" s="30"/>
      <c r="BV74" s="30"/>
      <c r="BW74" s="30"/>
      <c r="BX74" s="30"/>
      <c r="BY74" s="24"/>
      <c r="BZ74" s="42"/>
      <c r="CA74" s="42"/>
      <c r="CB74" s="42"/>
      <c r="CC74" s="42"/>
      <c r="CD74" s="42"/>
      <c r="CE74" s="42"/>
      <c r="CF74" s="42"/>
      <c r="CG74" s="42"/>
      <c r="CH74" s="42"/>
      <c r="CI74" s="42"/>
      <c r="CJ74" s="42"/>
    </row>
    <row r="75" spans="1:88" ht="40.5" customHeight="1">
      <c r="A75" s="9">
        <f t="shared" si="0"/>
        <v>73</v>
      </c>
      <c r="B75" s="9" t="str">
        <f t="shared" si="4"/>
        <v xml:space="preserve">MA
</v>
      </c>
      <c r="C75" s="9" t="s">
        <v>331</v>
      </c>
      <c r="D75" s="9" t="s">
        <v>95</v>
      </c>
      <c r="E75" s="12">
        <v>0</v>
      </c>
      <c r="F75" s="12">
        <v>0</v>
      </c>
      <c r="G75" s="9" t="s">
        <v>89</v>
      </c>
      <c r="H75" s="12"/>
      <c r="I75" s="9" t="s">
        <v>279</v>
      </c>
      <c r="J75" s="12"/>
      <c r="K75" s="22" t="s">
        <v>332</v>
      </c>
      <c r="L75" s="12"/>
      <c r="M75" s="12"/>
      <c r="N75" s="13" t="str">
        <f t="shared" si="1"/>
        <v xml:space="preserve">EIT - European Industrial Traders sarl - Factory
</v>
      </c>
      <c r="O75" s="16" t="s">
        <v>78</v>
      </c>
      <c r="P75" s="14">
        <v>3</v>
      </c>
      <c r="Q75" s="25">
        <v>44915</v>
      </c>
      <c r="R75" s="17"/>
      <c r="S75" s="17"/>
      <c r="T75" s="16" t="s">
        <v>126</v>
      </c>
      <c r="U75" s="17" t="str">
        <f t="shared" si="2"/>
        <v xml:space="preserve">EIT - European Industrial Traders sarl - Factory
</v>
      </c>
      <c r="V75" s="16" t="s">
        <v>78</v>
      </c>
      <c r="W75" s="16">
        <v>4</v>
      </c>
      <c r="X75" s="25">
        <v>44932</v>
      </c>
      <c r="Y75" s="13"/>
      <c r="Z75" s="13"/>
      <c r="AA75" s="16" t="s">
        <v>126</v>
      </c>
      <c r="AB75" s="18" t="str">
        <f t="shared" si="3"/>
        <v xml:space="preserve">EIT - European Industrial Traders sarl - Factory
</v>
      </c>
      <c r="AC75" s="19" t="s">
        <v>78</v>
      </c>
      <c r="AD75" s="19">
        <v>5</v>
      </c>
      <c r="AE75" s="27">
        <v>44939</v>
      </c>
      <c r="AF75" s="18"/>
      <c r="AG75" s="18"/>
      <c r="AH75" s="16" t="s">
        <v>126</v>
      </c>
      <c r="AI75" s="18"/>
      <c r="AJ75" s="13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3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2"/>
      <c r="BK75" s="12"/>
      <c r="BL75" s="12"/>
      <c r="BM75" s="9"/>
      <c r="BN75" s="9"/>
      <c r="BO75" s="9"/>
      <c r="BP75" s="12"/>
      <c r="BQ75" s="12"/>
      <c r="BR75" s="12"/>
      <c r="BS75" s="12"/>
      <c r="BT75" s="12"/>
      <c r="BU75" s="12"/>
      <c r="BV75" s="12"/>
      <c r="BW75" s="12"/>
      <c r="BX75" s="12"/>
      <c r="BY75" s="9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</row>
    <row r="76" spans="1:88" ht="40.5" customHeight="1">
      <c r="A76" s="9">
        <f t="shared" si="0"/>
        <v>74</v>
      </c>
      <c r="B76" s="9" t="str">
        <f t="shared" si="4"/>
        <v xml:space="preserve">MA
</v>
      </c>
      <c r="C76" s="48" t="s">
        <v>333</v>
      </c>
      <c r="D76" s="9" t="s">
        <v>95</v>
      </c>
      <c r="E76" s="12">
        <v>0</v>
      </c>
      <c r="F76" s="12">
        <v>0</v>
      </c>
      <c r="G76" s="9" t="s">
        <v>89</v>
      </c>
      <c r="H76" s="12"/>
      <c r="I76" s="9" t="s">
        <v>334</v>
      </c>
      <c r="J76" s="9" t="s">
        <v>335</v>
      </c>
      <c r="K76" s="12"/>
      <c r="L76" s="12"/>
      <c r="M76" s="12"/>
      <c r="N76" s="13" t="str">
        <f t="shared" si="1"/>
        <v xml:space="preserve">Alusystem Jounieh
</v>
      </c>
      <c r="O76" s="16" t="s">
        <v>78</v>
      </c>
      <c r="P76" s="14">
        <v>3</v>
      </c>
      <c r="Q76" s="25">
        <v>44915</v>
      </c>
      <c r="R76" s="17"/>
      <c r="S76" s="17"/>
      <c r="T76" s="16" t="s">
        <v>101</v>
      </c>
      <c r="U76" s="17" t="str">
        <f t="shared" si="2"/>
        <v xml:space="preserve">Alusystem Jounieh
</v>
      </c>
      <c r="V76" s="16" t="s">
        <v>78</v>
      </c>
      <c r="W76" s="16">
        <v>4</v>
      </c>
      <c r="X76" s="25">
        <v>44932</v>
      </c>
      <c r="Y76" s="16">
        <v>4</v>
      </c>
      <c r="Z76" s="29">
        <v>0.27083333333333331</v>
      </c>
      <c r="AA76" s="16" t="s">
        <v>99</v>
      </c>
      <c r="AB76" s="18" t="str">
        <f t="shared" si="3"/>
        <v xml:space="preserve">Alusystem Jounieh
</v>
      </c>
      <c r="AC76" s="19" t="s">
        <v>98</v>
      </c>
      <c r="AD76" s="19">
        <v>5</v>
      </c>
      <c r="AE76" s="27">
        <v>44939</v>
      </c>
      <c r="AF76" s="18"/>
      <c r="AG76" s="18"/>
      <c r="AH76" s="16" t="s">
        <v>86</v>
      </c>
      <c r="AI76" s="18"/>
      <c r="AJ76" s="16" t="s">
        <v>98</v>
      </c>
      <c r="AK76" s="19">
        <v>6</v>
      </c>
      <c r="AL76" s="27">
        <v>44953</v>
      </c>
      <c r="AM76" s="18"/>
      <c r="AN76" s="18"/>
      <c r="AO76" s="19" t="s">
        <v>86</v>
      </c>
      <c r="AP76" s="18"/>
      <c r="AQ76" s="18"/>
      <c r="AR76" s="18"/>
      <c r="AS76" s="18"/>
      <c r="AT76" s="18"/>
      <c r="AU76" s="18"/>
      <c r="AV76" s="18"/>
      <c r="AW76" s="18"/>
      <c r="AX76" s="13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2"/>
      <c r="BK76" s="12"/>
      <c r="BL76" s="12"/>
      <c r="BM76" s="9"/>
      <c r="BN76" s="9"/>
      <c r="BO76" s="9"/>
      <c r="BP76" s="12"/>
      <c r="BQ76" s="12"/>
      <c r="BR76" s="12"/>
      <c r="BS76" s="12"/>
      <c r="BT76" s="12"/>
      <c r="BU76" s="12"/>
      <c r="BV76" s="12"/>
      <c r="BW76" s="12"/>
      <c r="BX76" s="12"/>
      <c r="BY76" s="9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</row>
    <row r="77" spans="1:88" ht="40.5" customHeight="1">
      <c r="A77" s="9">
        <f t="shared" si="0"/>
        <v>75</v>
      </c>
      <c r="B77" s="9" t="str">
        <f t="shared" si="4"/>
        <v xml:space="preserve">MA
</v>
      </c>
      <c r="C77" s="9" t="s">
        <v>336</v>
      </c>
      <c r="D77" s="9" t="s">
        <v>95</v>
      </c>
      <c r="E77" s="12">
        <v>0</v>
      </c>
      <c r="F77" s="12">
        <v>0</v>
      </c>
      <c r="G77" s="9" t="s">
        <v>89</v>
      </c>
      <c r="H77" s="12"/>
      <c r="I77" s="9" t="s">
        <v>337</v>
      </c>
      <c r="J77" s="12"/>
      <c r="K77" s="56" t="s">
        <v>338</v>
      </c>
      <c r="L77" s="12"/>
      <c r="M77" s="12"/>
      <c r="N77" s="13" t="str">
        <f t="shared" si="1"/>
        <v xml:space="preserve">Royal aluminum
</v>
      </c>
      <c r="O77" s="16" t="s">
        <v>78</v>
      </c>
      <c r="P77" s="14">
        <v>3</v>
      </c>
      <c r="Q77" s="25">
        <v>44915</v>
      </c>
      <c r="R77" s="17"/>
      <c r="S77" s="17"/>
      <c r="T77" s="16" t="s">
        <v>101</v>
      </c>
      <c r="U77" s="17" t="str">
        <f t="shared" si="2"/>
        <v xml:space="preserve">Royal aluminum
</v>
      </c>
      <c r="V77" s="16" t="s">
        <v>78</v>
      </c>
      <c r="W77" s="16">
        <v>4</v>
      </c>
      <c r="X77" s="25">
        <v>44932</v>
      </c>
      <c r="Y77" s="13"/>
      <c r="Z77" s="13"/>
      <c r="AA77" s="16" t="s">
        <v>101</v>
      </c>
      <c r="AB77" s="18" t="str">
        <f t="shared" si="3"/>
        <v xml:space="preserve">Royal aluminum
</v>
      </c>
      <c r="AC77" s="19" t="s">
        <v>78</v>
      </c>
      <c r="AD77" s="19">
        <v>5</v>
      </c>
      <c r="AE77" s="27">
        <v>44939</v>
      </c>
      <c r="AF77" s="18"/>
      <c r="AG77" s="18"/>
      <c r="AH77" s="16" t="s">
        <v>101</v>
      </c>
      <c r="AI77" s="18"/>
      <c r="AJ77" s="16" t="s">
        <v>98</v>
      </c>
      <c r="AK77" s="19">
        <v>6</v>
      </c>
      <c r="AL77" s="27">
        <v>44953</v>
      </c>
      <c r="AM77" s="18"/>
      <c r="AN77" s="18"/>
      <c r="AO77" s="19" t="s">
        <v>86</v>
      </c>
      <c r="AP77" s="18"/>
      <c r="AQ77" s="18"/>
      <c r="AR77" s="18"/>
      <c r="AS77" s="18"/>
      <c r="AT77" s="18"/>
      <c r="AU77" s="18"/>
      <c r="AV77" s="18"/>
      <c r="AW77" s="18"/>
      <c r="AX77" s="13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2"/>
      <c r="BK77" s="12"/>
      <c r="BL77" s="12"/>
      <c r="BM77" s="9"/>
      <c r="BN77" s="9"/>
      <c r="BO77" s="9"/>
      <c r="BP77" s="12"/>
      <c r="BQ77" s="12"/>
      <c r="BR77" s="12"/>
      <c r="BS77" s="12"/>
      <c r="BT77" s="12"/>
      <c r="BU77" s="12"/>
      <c r="BV77" s="12"/>
      <c r="BW77" s="12"/>
      <c r="BX77" s="12"/>
      <c r="BY77" s="9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</row>
    <row r="78" spans="1:88" ht="40.5" customHeight="1">
      <c r="A78" s="9">
        <f t="shared" si="0"/>
        <v>76</v>
      </c>
      <c r="B78" s="9" t="str">
        <f t="shared" si="4"/>
        <v xml:space="preserve">MA
</v>
      </c>
      <c r="C78" s="9" t="s">
        <v>339</v>
      </c>
      <c r="D78" s="9" t="s">
        <v>95</v>
      </c>
      <c r="E78" s="12">
        <v>0</v>
      </c>
      <c r="F78" s="12">
        <v>0</v>
      </c>
      <c r="G78" s="9" t="s">
        <v>89</v>
      </c>
      <c r="H78" s="12"/>
      <c r="I78" s="9" t="s">
        <v>340</v>
      </c>
      <c r="J78" s="12"/>
      <c r="K78" s="22" t="s">
        <v>341</v>
      </c>
      <c r="L78" s="12"/>
      <c r="M78" s="12"/>
      <c r="N78" s="13" t="str">
        <f t="shared" si="1"/>
        <v xml:space="preserve">Khadra Safety Glass co
</v>
      </c>
      <c r="O78" s="16" t="s">
        <v>78</v>
      </c>
      <c r="P78" s="14">
        <v>3</v>
      </c>
      <c r="Q78" s="25">
        <v>44915</v>
      </c>
      <c r="R78" s="17"/>
      <c r="S78" s="17"/>
      <c r="T78" s="16" t="s">
        <v>126</v>
      </c>
      <c r="U78" s="17" t="str">
        <f t="shared" si="2"/>
        <v xml:space="preserve">Khadra Safety Glass co
</v>
      </c>
      <c r="V78" s="16" t="s">
        <v>78</v>
      </c>
      <c r="W78" s="16">
        <v>4</v>
      </c>
      <c r="X78" s="25">
        <v>44932</v>
      </c>
      <c r="Y78" s="16">
        <v>4</v>
      </c>
      <c r="Z78" s="29">
        <v>9.0972222222222218E-2</v>
      </c>
      <c r="AA78" s="16" t="s">
        <v>153</v>
      </c>
      <c r="AB78" s="18" t="str">
        <f t="shared" si="3"/>
        <v xml:space="preserve">Khadra Safety Glass co
</v>
      </c>
      <c r="AC78" s="19" t="s">
        <v>78</v>
      </c>
      <c r="AD78" s="19">
        <v>5</v>
      </c>
      <c r="AE78" s="27">
        <v>44939</v>
      </c>
      <c r="AF78" s="18"/>
      <c r="AG78" s="18"/>
      <c r="AH78" s="16" t="s">
        <v>126</v>
      </c>
      <c r="AI78" s="18"/>
      <c r="AJ78" s="16" t="s">
        <v>78</v>
      </c>
      <c r="AK78" s="19">
        <v>6</v>
      </c>
      <c r="AL78" s="27">
        <v>44953</v>
      </c>
      <c r="AM78" s="19">
        <v>4</v>
      </c>
      <c r="AN78" s="47">
        <v>0.27083333333333331</v>
      </c>
      <c r="AO78" s="19" t="s">
        <v>81</v>
      </c>
      <c r="AP78" s="18"/>
      <c r="AQ78" s="18"/>
      <c r="AR78" s="18"/>
      <c r="AS78" s="18"/>
      <c r="AT78" s="18"/>
      <c r="AU78" s="18"/>
      <c r="AV78" s="18"/>
      <c r="AW78" s="18"/>
      <c r="AX78" s="13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2"/>
      <c r="BK78" s="12"/>
      <c r="BL78" s="12"/>
      <c r="BM78" s="9"/>
      <c r="BN78" s="9"/>
      <c r="BO78" s="9"/>
      <c r="BP78" s="12"/>
      <c r="BQ78" s="12"/>
      <c r="BR78" s="12"/>
      <c r="BS78" s="12"/>
      <c r="BT78" s="12"/>
      <c r="BU78" s="12"/>
      <c r="BV78" s="12"/>
      <c r="BW78" s="12"/>
      <c r="BX78" s="12"/>
      <c r="BY78" s="9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</row>
    <row r="79" spans="1:88" ht="40.5" customHeight="1">
      <c r="A79" s="9">
        <f t="shared" si="0"/>
        <v>77</v>
      </c>
      <c r="B79" s="9" t="str">
        <f t="shared" si="4"/>
        <v xml:space="preserve">MA
</v>
      </c>
      <c r="C79" s="9" t="s">
        <v>342</v>
      </c>
      <c r="D79" s="9" t="s">
        <v>95</v>
      </c>
      <c r="E79" s="12">
        <v>0</v>
      </c>
      <c r="F79" s="12">
        <v>0</v>
      </c>
      <c r="G79" s="9" t="s">
        <v>89</v>
      </c>
      <c r="H79" s="12"/>
      <c r="I79" s="9" t="s">
        <v>343</v>
      </c>
      <c r="J79" s="12"/>
      <c r="K79" s="12"/>
      <c r="L79" s="12"/>
      <c r="M79" s="12"/>
      <c r="N79" s="13" t="str">
        <f t="shared" si="1"/>
        <v xml:space="preserve">technical Aluminium and Glass
</v>
      </c>
      <c r="O79" s="16" t="s">
        <v>78</v>
      </c>
      <c r="P79" s="14">
        <v>3</v>
      </c>
      <c r="Q79" s="25">
        <v>44915</v>
      </c>
      <c r="R79" s="17"/>
      <c r="S79" s="17"/>
      <c r="T79" s="16" t="s">
        <v>126</v>
      </c>
      <c r="U79" s="17" t="str">
        <f t="shared" si="2"/>
        <v xml:space="preserve">technical Aluminium and Glass
</v>
      </c>
      <c r="V79" s="16" t="s">
        <v>78</v>
      </c>
      <c r="W79" s="16">
        <v>4</v>
      </c>
      <c r="X79" s="25">
        <v>44932</v>
      </c>
      <c r="Y79" s="13"/>
      <c r="Z79" s="13"/>
      <c r="AA79" s="16" t="s">
        <v>126</v>
      </c>
      <c r="AB79" s="18" t="str">
        <f t="shared" si="3"/>
        <v xml:space="preserve">technical Aluminium and Glass
</v>
      </c>
      <c r="AC79" s="19" t="s">
        <v>78</v>
      </c>
      <c r="AD79" s="19">
        <v>5</v>
      </c>
      <c r="AE79" s="27">
        <v>44939</v>
      </c>
      <c r="AF79" s="18"/>
      <c r="AG79" s="18"/>
      <c r="AH79" s="16" t="s">
        <v>126</v>
      </c>
      <c r="AI79" s="18"/>
      <c r="AJ79" s="16" t="s">
        <v>78</v>
      </c>
      <c r="AK79" s="19">
        <v>6</v>
      </c>
      <c r="AL79" s="27">
        <v>44953</v>
      </c>
      <c r="AM79" s="19">
        <v>4</v>
      </c>
      <c r="AN79" s="47">
        <v>0.1875</v>
      </c>
      <c r="AO79" s="19" t="s">
        <v>81</v>
      </c>
      <c r="AP79" s="18"/>
      <c r="AQ79" s="19" t="s">
        <v>78</v>
      </c>
      <c r="AR79" s="19" t="s">
        <v>79</v>
      </c>
      <c r="AS79" s="20" t="s">
        <v>100</v>
      </c>
      <c r="AT79" s="19" t="s">
        <v>75</v>
      </c>
      <c r="AU79" s="20" t="s">
        <v>344</v>
      </c>
      <c r="AV79" s="19" t="s">
        <v>86</v>
      </c>
      <c r="AW79" s="18"/>
      <c r="AX79" s="13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2"/>
      <c r="BK79" s="12"/>
      <c r="BL79" s="12"/>
      <c r="BM79" s="9"/>
      <c r="BN79" s="9"/>
      <c r="BO79" s="9"/>
      <c r="BP79" s="12"/>
      <c r="BQ79" s="12"/>
      <c r="BR79" s="12"/>
      <c r="BS79" s="12"/>
      <c r="BT79" s="12"/>
      <c r="BU79" s="12"/>
      <c r="BV79" s="12"/>
      <c r="BW79" s="12"/>
      <c r="BX79" s="12"/>
      <c r="BY79" s="9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</row>
    <row r="80" spans="1:88" ht="40.5" customHeight="1">
      <c r="A80" s="9">
        <f t="shared" si="0"/>
        <v>78</v>
      </c>
      <c r="B80" s="9" t="str">
        <f t="shared" si="4"/>
        <v xml:space="preserve">MA
</v>
      </c>
      <c r="C80" s="9" t="s">
        <v>345</v>
      </c>
      <c r="D80" s="9" t="s">
        <v>119</v>
      </c>
      <c r="E80" s="12">
        <v>0</v>
      </c>
      <c r="F80" s="12">
        <v>0</v>
      </c>
      <c r="G80" s="9" t="s">
        <v>89</v>
      </c>
      <c r="H80" s="12"/>
      <c r="I80" s="12">
        <f>96896765276</f>
        <v>96896765276</v>
      </c>
      <c r="J80" s="12"/>
      <c r="K80" s="12"/>
      <c r="L80" s="12"/>
      <c r="M80" s="12"/>
      <c r="N80" s="13" t="str">
        <f t="shared" si="1"/>
        <v>SHS Aluminium Windows &amp; Doors, Kitchen Cabinets, Temper Glass &amp; UPVC Works</v>
      </c>
      <c r="O80" s="16" t="s">
        <v>78</v>
      </c>
      <c r="P80" s="14">
        <v>4</v>
      </c>
      <c r="Q80" s="25">
        <v>44915</v>
      </c>
      <c r="R80" s="17"/>
      <c r="S80" s="17"/>
      <c r="T80" s="16" t="s">
        <v>101</v>
      </c>
      <c r="U80" s="17" t="str">
        <f t="shared" si="2"/>
        <v>SHS Aluminium Windows &amp; Doors, Kitchen Cabinets, Temper Glass &amp; UPVC Works</v>
      </c>
      <c r="V80" s="16" t="s">
        <v>78</v>
      </c>
      <c r="W80" s="16">
        <v>5</v>
      </c>
      <c r="X80" s="25">
        <v>44922</v>
      </c>
      <c r="Y80" s="13"/>
      <c r="Z80" s="13"/>
      <c r="AA80" s="16" t="s">
        <v>101</v>
      </c>
      <c r="AB80" s="18" t="str">
        <f t="shared" si="3"/>
        <v>SHS Aluminium Windows &amp; Doors, Kitchen Cabinets, Temper Glass &amp; UPVC Works</v>
      </c>
      <c r="AC80" s="16" t="s">
        <v>78</v>
      </c>
      <c r="AD80" s="16">
        <v>6</v>
      </c>
      <c r="AE80" s="25">
        <v>44931</v>
      </c>
      <c r="AF80" s="13"/>
      <c r="AG80" s="13"/>
      <c r="AH80" s="16" t="s">
        <v>101</v>
      </c>
      <c r="AI80" s="18"/>
      <c r="AJ80" s="16" t="s">
        <v>98</v>
      </c>
      <c r="AK80" s="19">
        <v>8</v>
      </c>
      <c r="AL80" s="27">
        <v>44956</v>
      </c>
      <c r="AM80" s="18"/>
      <c r="AN80" s="18"/>
      <c r="AO80" s="19" t="s">
        <v>86</v>
      </c>
      <c r="AP80" s="18"/>
      <c r="AQ80" s="19" t="s">
        <v>78</v>
      </c>
      <c r="AR80" s="20" t="s">
        <v>131</v>
      </c>
      <c r="AS80" s="20" t="s">
        <v>122</v>
      </c>
      <c r="AT80" s="19" t="s">
        <v>75</v>
      </c>
      <c r="AU80" s="19" t="s">
        <v>75</v>
      </c>
      <c r="AV80" s="19" t="s">
        <v>101</v>
      </c>
      <c r="AW80" s="18"/>
      <c r="AX80" s="16" t="s">
        <v>98</v>
      </c>
      <c r="AY80" s="19" t="s">
        <v>79</v>
      </c>
      <c r="AZ80" s="20" t="s">
        <v>132</v>
      </c>
      <c r="BA80" s="19" t="s">
        <v>75</v>
      </c>
      <c r="BB80" s="19" t="s">
        <v>75</v>
      </c>
      <c r="BC80" s="19" t="s">
        <v>126</v>
      </c>
      <c r="BD80" s="19" t="s">
        <v>98</v>
      </c>
      <c r="BE80" s="19" t="s">
        <v>79</v>
      </c>
      <c r="BF80" s="20" t="s">
        <v>80</v>
      </c>
      <c r="BG80" s="19" t="s">
        <v>75</v>
      </c>
      <c r="BH80" s="19" t="s">
        <v>75</v>
      </c>
      <c r="BI80" s="19" t="s">
        <v>4</v>
      </c>
      <c r="BJ80" s="12"/>
      <c r="BK80" s="12"/>
      <c r="BL80" s="12"/>
      <c r="BM80" s="9"/>
      <c r="BN80" s="9"/>
      <c r="BO80" s="9"/>
      <c r="BP80" s="12"/>
      <c r="BQ80" s="12"/>
      <c r="BR80" s="12"/>
      <c r="BS80" s="12"/>
      <c r="BT80" s="12"/>
      <c r="BU80" s="12"/>
      <c r="BV80" s="12"/>
      <c r="BW80" s="12"/>
      <c r="BX80" s="12"/>
      <c r="BY80" s="9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</row>
    <row r="81" spans="1:88" ht="40.5" customHeight="1">
      <c r="A81" s="9">
        <f t="shared" si="0"/>
        <v>79</v>
      </c>
      <c r="B81" s="9" t="str">
        <f t="shared" si="4"/>
        <v xml:space="preserve">MA
</v>
      </c>
      <c r="C81" s="9" t="s">
        <v>346</v>
      </c>
      <c r="D81" s="9" t="s">
        <v>119</v>
      </c>
      <c r="E81" s="12">
        <v>0</v>
      </c>
      <c r="F81" s="12">
        <v>0</v>
      </c>
      <c r="G81" s="9" t="s">
        <v>89</v>
      </c>
      <c r="H81" s="12"/>
      <c r="I81" s="9" t="s">
        <v>347</v>
      </c>
      <c r="J81" s="12"/>
      <c r="K81" s="12"/>
      <c r="L81" s="12"/>
      <c r="M81" s="12"/>
      <c r="N81" s="13" t="str">
        <f t="shared" si="1"/>
        <v>BAWADI</v>
      </c>
      <c r="O81" s="16" t="s">
        <v>78</v>
      </c>
      <c r="P81" s="14">
        <v>4</v>
      </c>
      <c r="Q81" s="25">
        <v>44931</v>
      </c>
      <c r="R81" s="17"/>
      <c r="S81" s="17"/>
      <c r="T81" s="16" t="s">
        <v>101</v>
      </c>
      <c r="U81" s="17" t="str">
        <f t="shared" si="2"/>
        <v>BAWADI</v>
      </c>
      <c r="V81" s="16" t="s">
        <v>78</v>
      </c>
      <c r="W81" s="16">
        <v>5</v>
      </c>
      <c r="X81" s="25">
        <v>44943</v>
      </c>
      <c r="Y81" s="13"/>
      <c r="Z81" s="13"/>
      <c r="AA81" s="16" t="s">
        <v>86</v>
      </c>
      <c r="AB81" s="18" t="str">
        <f t="shared" si="3"/>
        <v>BAWADI</v>
      </c>
      <c r="AC81" s="16" t="s">
        <v>78</v>
      </c>
      <c r="AD81" s="15" t="s">
        <v>121</v>
      </c>
      <c r="AE81" s="15" t="s">
        <v>122</v>
      </c>
      <c r="AF81" s="16" t="s">
        <v>75</v>
      </c>
      <c r="AG81" s="16" t="s">
        <v>75</v>
      </c>
      <c r="AH81" s="16" t="s">
        <v>101</v>
      </c>
      <c r="AI81" s="18"/>
      <c r="AJ81" s="16" t="s">
        <v>98</v>
      </c>
      <c r="AK81" s="20" t="s">
        <v>348</v>
      </c>
      <c r="AL81" s="20" t="s">
        <v>349</v>
      </c>
      <c r="AM81" s="19" t="s">
        <v>75</v>
      </c>
      <c r="AN81" s="20" t="s">
        <v>84</v>
      </c>
      <c r="AO81" s="19" t="s">
        <v>265</v>
      </c>
      <c r="AP81" s="18"/>
      <c r="AQ81" s="19" t="s">
        <v>98</v>
      </c>
      <c r="AR81" s="19" t="s">
        <v>79</v>
      </c>
      <c r="AS81" s="20" t="s">
        <v>132</v>
      </c>
      <c r="AT81" s="19" t="s">
        <v>75</v>
      </c>
      <c r="AU81" s="19" t="s">
        <v>75</v>
      </c>
      <c r="AV81" s="19" t="s">
        <v>265</v>
      </c>
      <c r="AW81" s="18"/>
      <c r="AX81" s="16" t="s">
        <v>98</v>
      </c>
      <c r="AY81" s="19" t="s">
        <v>79</v>
      </c>
      <c r="AZ81" s="20" t="s">
        <v>80</v>
      </c>
      <c r="BA81" s="19" t="s">
        <v>75</v>
      </c>
      <c r="BB81" s="19" t="s">
        <v>75</v>
      </c>
      <c r="BC81" s="19" t="s">
        <v>86</v>
      </c>
      <c r="BD81" s="18"/>
      <c r="BE81" s="18"/>
      <c r="BF81" s="18"/>
      <c r="BG81" s="18"/>
      <c r="BH81" s="18"/>
      <c r="BI81" s="18"/>
      <c r="BJ81" s="12"/>
      <c r="BK81" s="12"/>
      <c r="BL81" s="12"/>
      <c r="BM81" s="9"/>
      <c r="BN81" s="9"/>
      <c r="BO81" s="9"/>
      <c r="BP81" s="12"/>
      <c r="BQ81" s="12"/>
      <c r="BR81" s="12"/>
      <c r="BS81" s="12"/>
      <c r="BT81" s="12"/>
      <c r="BU81" s="12"/>
      <c r="BV81" s="12"/>
      <c r="BW81" s="12"/>
      <c r="BX81" s="12"/>
      <c r="BY81" s="9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</row>
    <row r="82" spans="1:88" ht="40.5" customHeight="1">
      <c r="A82" s="9">
        <f t="shared" si="0"/>
        <v>80</v>
      </c>
      <c r="B82" s="9" t="str">
        <f t="shared" si="4"/>
        <v xml:space="preserve">MA
</v>
      </c>
      <c r="C82" s="9" t="s">
        <v>350</v>
      </c>
      <c r="D82" s="9" t="s">
        <v>119</v>
      </c>
      <c r="E82" s="12">
        <v>0</v>
      </c>
      <c r="F82" s="12">
        <v>0</v>
      </c>
      <c r="G82" s="9" t="s">
        <v>89</v>
      </c>
      <c r="H82" s="12"/>
      <c r="I82" s="9" t="s">
        <v>351</v>
      </c>
      <c r="J82" s="12"/>
      <c r="K82" s="12"/>
      <c r="L82" s="12"/>
      <c r="M82" s="12"/>
      <c r="N82" s="13" t="str">
        <f t="shared" si="1"/>
        <v>Abu nooh Talib hadi</v>
      </c>
      <c r="O82" s="16" t="s">
        <v>78</v>
      </c>
      <c r="P82" s="14">
        <v>5</v>
      </c>
      <c r="Q82" s="25">
        <v>44915</v>
      </c>
      <c r="R82" s="14">
        <v>3</v>
      </c>
      <c r="S82" s="17"/>
      <c r="T82" s="16" t="s">
        <v>101</v>
      </c>
      <c r="U82" s="17" t="str">
        <f t="shared" si="2"/>
        <v>Abu nooh Talib hadi</v>
      </c>
      <c r="V82" s="16" t="s">
        <v>78</v>
      </c>
      <c r="W82" s="16">
        <v>6</v>
      </c>
      <c r="X82" s="25">
        <v>44931</v>
      </c>
      <c r="Y82" s="16">
        <v>4</v>
      </c>
      <c r="Z82" s="29">
        <v>0.19305555555555556</v>
      </c>
      <c r="AA82" s="16" t="s">
        <v>190</v>
      </c>
      <c r="AB82" s="18" t="str">
        <f t="shared" si="3"/>
        <v>Abu nooh Talib hadi</v>
      </c>
      <c r="AC82" s="16" t="s">
        <v>78</v>
      </c>
      <c r="AD82" s="16">
        <v>7</v>
      </c>
      <c r="AE82" s="25">
        <v>44943</v>
      </c>
      <c r="AF82" s="13"/>
      <c r="AG82" s="13"/>
      <c r="AH82" s="16" t="s">
        <v>86</v>
      </c>
      <c r="AI82" s="18"/>
      <c r="AJ82" s="16" t="s">
        <v>98</v>
      </c>
      <c r="AK82" s="19">
        <v>8</v>
      </c>
      <c r="AL82" s="27">
        <v>44956</v>
      </c>
      <c r="AM82" s="18"/>
      <c r="AN82" s="18"/>
      <c r="AO82" s="19" t="s">
        <v>86</v>
      </c>
      <c r="AP82" s="18"/>
      <c r="AQ82" s="19" t="s">
        <v>78</v>
      </c>
      <c r="AR82" s="20" t="s">
        <v>131</v>
      </c>
      <c r="AS82" s="20" t="s">
        <v>122</v>
      </c>
      <c r="AT82" s="19" t="s">
        <v>75</v>
      </c>
      <c r="AU82" s="20" t="s">
        <v>234</v>
      </c>
      <c r="AV82" s="19" t="s">
        <v>86</v>
      </c>
      <c r="AW82" s="18"/>
      <c r="AX82" s="16" t="s">
        <v>98</v>
      </c>
      <c r="AY82" s="19" t="s">
        <v>79</v>
      </c>
      <c r="AZ82" s="20" t="s">
        <v>132</v>
      </c>
      <c r="BA82" s="19" t="s">
        <v>75</v>
      </c>
      <c r="BB82" s="19" t="s">
        <v>75</v>
      </c>
      <c r="BC82" s="19" t="s">
        <v>86</v>
      </c>
      <c r="BD82" s="18"/>
      <c r="BE82" s="18"/>
      <c r="BF82" s="18"/>
      <c r="BG82" s="18"/>
      <c r="BH82" s="18"/>
      <c r="BI82" s="18"/>
      <c r="BJ82" s="12"/>
      <c r="BK82" s="12"/>
      <c r="BL82" s="12"/>
      <c r="BM82" s="9"/>
      <c r="BN82" s="9"/>
      <c r="BO82" s="9"/>
      <c r="BP82" s="12"/>
      <c r="BQ82" s="12"/>
      <c r="BR82" s="12"/>
      <c r="BS82" s="12"/>
      <c r="BT82" s="12"/>
      <c r="BU82" s="12"/>
      <c r="BV82" s="12"/>
      <c r="BW82" s="12"/>
      <c r="BX82" s="12"/>
      <c r="BY82" s="9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</row>
    <row r="83" spans="1:88" ht="40.5" customHeight="1">
      <c r="A83" s="9">
        <f t="shared" si="0"/>
        <v>81</v>
      </c>
      <c r="B83" s="9" t="str">
        <f t="shared" si="4"/>
        <v xml:space="preserve">MA
</v>
      </c>
      <c r="C83" s="9" t="s">
        <v>352</v>
      </c>
      <c r="D83" s="9" t="s">
        <v>119</v>
      </c>
      <c r="E83" s="12">
        <v>0</v>
      </c>
      <c r="F83" s="12">
        <v>0</v>
      </c>
      <c r="G83" s="9" t="s">
        <v>89</v>
      </c>
      <c r="H83" s="12"/>
      <c r="I83" s="9" t="s">
        <v>353</v>
      </c>
      <c r="J83" s="12"/>
      <c r="K83" s="12"/>
      <c r="L83" s="12"/>
      <c r="M83" s="12"/>
      <c r="N83" s="13" t="str">
        <f t="shared" si="1"/>
        <v>Majan WINDOWS</v>
      </c>
      <c r="O83" s="16" t="s">
        <v>78</v>
      </c>
      <c r="P83" s="14">
        <v>5</v>
      </c>
      <c r="Q83" s="25">
        <v>44915</v>
      </c>
      <c r="R83" s="17"/>
      <c r="S83" s="17"/>
      <c r="T83" s="16" t="s">
        <v>101</v>
      </c>
      <c r="U83" s="17" t="str">
        <f t="shared" si="2"/>
        <v>Majan WINDOWS</v>
      </c>
      <c r="V83" s="16" t="s">
        <v>78</v>
      </c>
      <c r="W83" s="16">
        <v>6</v>
      </c>
      <c r="X83" s="25">
        <v>44931</v>
      </c>
      <c r="Y83" s="13"/>
      <c r="Z83" s="13"/>
      <c r="AA83" s="16" t="s">
        <v>101</v>
      </c>
      <c r="AB83" s="18" t="str">
        <f t="shared" si="3"/>
        <v>Majan WINDOWS</v>
      </c>
      <c r="AC83" s="16" t="s">
        <v>78</v>
      </c>
      <c r="AD83" s="16">
        <v>7</v>
      </c>
      <c r="AE83" s="25">
        <v>44943</v>
      </c>
      <c r="AF83" s="13"/>
      <c r="AG83" s="29">
        <v>0.18472222222222223</v>
      </c>
      <c r="AH83" s="16" t="s">
        <v>354</v>
      </c>
      <c r="AI83" s="18"/>
      <c r="AJ83" s="16" t="s">
        <v>78</v>
      </c>
      <c r="AK83" s="19">
        <v>8</v>
      </c>
      <c r="AL83" s="27">
        <v>44956</v>
      </c>
      <c r="AM83" s="18"/>
      <c r="AN83" s="18"/>
      <c r="AO83" s="19" t="s">
        <v>101</v>
      </c>
      <c r="AP83" s="18"/>
      <c r="AQ83" s="19" t="s">
        <v>98</v>
      </c>
      <c r="AR83" s="20" t="s">
        <v>131</v>
      </c>
      <c r="AS83" s="20" t="s">
        <v>122</v>
      </c>
      <c r="AT83" s="19" t="s">
        <v>75</v>
      </c>
      <c r="AU83" s="19" t="s">
        <v>75</v>
      </c>
      <c r="AV83" s="19" t="s">
        <v>86</v>
      </c>
      <c r="AW83" s="18"/>
      <c r="AX83" s="16" t="s">
        <v>98</v>
      </c>
      <c r="AY83" s="19" t="s">
        <v>79</v>
      </c>
      <c r="AZ83" s="20" t="s">
        <v>80</v>
      </c>
      <c r="BA83" s="19" t="s">
        <v>75</v>
      </c>
      <c r="BB83" s="19" t="s">
        <v>75</v>
      </c>
      <c r="BC83" s="19" t="s">
        <v>4</v>
      </c>
      <c r="BD83" s="18"/>
      <c r="BE83" s="18"/>
      <c r="BF83" s="18"/>
      <c r="BG83" s="18"/>
      <c r="BH83" s="18"/>
      <c r="BI83" s="18"/>
      <c r="BJ83" s="12"/>
      <c r="BK83" s="12"/>
      <c r="BL83" s="12"/>
      <c r="BM83" s="9"/>
      <c r="BN83" s="9"/>
      <c r="BO83" s="9"/>
      <c r="BP83" s="12"/>
      <c r="BQ83" s="12"/>
      <c r="BR83" s="12"/>
      <c r="BS83" s="12"/>
      <c r="BT83" s="12"/>
      <c r="BU83" s="12"/>
      <c r="BV83" s="12"/>
      <c r="BW83" s="12"/>
      <c r="BX83" s="12"/>
      <c r="BY83" s="9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</row>
    <row r="84" spans="1:88" ht="40.5" customHeight="1">
      <c r="A84" s="9">
        <f t="shared" si="0"/>
        <v>82</v>
      </c>
      <c r="B84" s="9" t="str">
        <f t="shared" si="4"/>
        <v xml:space="preserve">MA
</v>
      </c>
      <c r="C84" s="9" t="s">
        <v>355</v>
      </c>
      <c r="D84" s="9" t="s">
        <v>119</v>
      </c>
      <c r="E84" s="12">
        <v>0</v>
      </c>
      <c r="F84" s="12">
        <v>0</v>
      </c>
      <c r="G84" s="9" t="s">
        <v>89</v>
      </c>
      <c r="H84" s="12"/>
      <c r="I84" s="9" t="s">
        <v>356</v>
      </c>
      <c r="J84" s="12"/>
      <c r="K84" s="12"/>
      <c r="L84" s="12"/>
      <c r="M84" s="12"/>
      <c r="N84" s="13" t="str">
        <f t="shared" si="1"/>
        <v>Aluminum Watad</v>
      </c>
      <c r="O84" s="16" t="s">
        <v>78</v>
      </c>
      <c r="P84" s="14">
        <v>5</v>
      </c>
      <c r="Q84" s="25">
        <v>44915</v>
      </c>
      <c r="R84" s="17"/>
      <c r="S84" s="17"/>
      <c r="T84" s="16" t="s">
        <v>101</v>
      </c>
      <c r="U84" s="17" t="str">
        <f t="shared" si="2"/>
        <v>Aluminum Watad</v>
      </c>
      <c r="V84" s="16" t="s">
        <v>78</v>
      </c>
      <c r="W84" s="16">
        <v>6</v>
      </c>
      <c r="X84" s="25">
        <v>44931</v>
      </c>
      <c r="Y84" s="13"/>
      <c r="Z84" s="13"/>
      <c r="AA84" s="16" t="s">
        <v>101</v>
      </c>
      <c r="AB84" s="18" t="str">
        <f t="shared" si="3"/>
        <v>Aluminum Watad</v>
      </c>
      <c r="AC84" s="16" t="s">
        <v>98</v>
      </c>
      <c r="AD84" s="16">
        <v>7</v>
      </c>
      <c r="AE84" s="25">
        <v>44943</v>
      </c>
      <c r="AF84" s="13"/>
      <c r="AG84" s="13"/>
      <c r="AH84" s="16" t="s">
        <v>86</v>
      </c>
      <c r="AI84" s="18"/>
      <c r="AJ84" s="16" t="s">
        <v>78</v>
      </c>
      <c r="AK84" s="19">
        <v>8</v>
      </c>
      <c r="AL84" s="27">
        <v>44956</v>
      </c>
      <c r="AM84" s="18"/>
      <c r="AN84" s="47">
        <v>0.14097222222222222</v>
      </c>
      <c r="AO84" s="19" t="s">
        <v>265</v>
      </c>
      <c r="AP84" s="18"/>
      <c r="AQ84" s="19" t="s">
        <v>78</v>
      </c>
      <c r="AR84" s="20" t="s">
        <v>131</v>
      </c>
      <c r="AS84" s="20" t="s">
        <v>122</v>
      </c>
      <c r="AT84" s="19" t="s">
        <v>75</v>
      </c>
      <c r="AU84" s="19" t="s">
        <v>75</v>
      </c>
      <c r="AV84" s="19" t="s">
        <v>101</v>
      </c>
      <c r="AW84" s="18"/>
      <c r="AX84" s="16" t="s">
        <v>98</v>
      </c>
      <c r="AY84" s="19" t="s">
        <v>79</v>
      </c>
      <c r="AZ84" s="20" t="s">
        <v>132</v>
      </c>
      <c r="BA84" s="19" t="s">
        <v>75</v>
      </c>
      <c r="BB84" s="19" t="s">
        <v>75</v>
      </c>
      <c r="BC84" s="19" t="s">
        <v>86</v>
      </c>
      <c r="BD84" s="19" t="s">
        <v>78</v>
      </c>
      <c r="BE84" s="19" t="s">
        <v>79</v>
      </c>
      <c r="BF84" s="20" t="s">
        <v>80</v>
      </c>
      <c r="BG84" s="19" t="s">
        <v>75</v>
      </c>
      <c r="BH84" s="19" t="s">
        <v>75</v>
      </c>
      <c r="BI84" s="19" t="s">
        <v>101</v>
      </c>
      <c r="BJ84" s="9" t="s">
        <v>78</v>
      </c>
      <c r="BK84" s="9" t="s">
        <v>79</v>
      </c>
      <c r="BL84" s="10" t="s">
        <v>83</v>
      </c>
      <c r="BM84" s="9" t="s">
        <v>75</v>
      </c>
      <c r="BN84" s="9" t="s">
        <v>75</v>
      </c>
      <c r="BO84" s="9" t="s">
        <v>101</v>
      </c>
      <c r="BP84" s="12"/>
      <c r="BQ84" s="12"/>
      <c r="BR84" s="12"/>
      <c r="BS84" s="12"/>
      <c r="BT84" s="12"/>
      <c r="BU84" s="12"/>
      <c r="BV84" s="12"/>
      <c r="BW84" s="12"/>
      <c r="BX84" s="12"/>
      <c r="BY84" s="9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</row>
    <row r="85" spans="1:88" ht="40.5" customHeight="1">
      <c r="A85" s="24">
        <f t="shared" si="0"/>
        <v>83</v>
      </c>
      <c r="B85" s="24" t="str">
        <f t="shared" si="4"/>
        <v xml:space="preserve">MA
</v>
      </c>
      <c r="C85" s="24" t="s">
        <v>357</v>
      </c>
      <c r="D85" s="24" t="s">
        <v>119</v>
      </c>
      <c r="E85" s="30">
        <v>0</v>
      </c>
      <c r="F85" s="30">
        <v>0</v>
      </c>
      <c r="G85" s="24" t="s">
        <v>89</v>
      </c>
      <c r="H85" s="24" t="s">
        <v>358</v>
      </c>
      <c r="I85" s="24" t="s">
        <v>142</v>
      </c>
      <c r="J85" s="30"/>
      <c r="K85" s="32" t="s">
        <v>143</v>
      </c>
      <c r="L85" s="30"/>
      <c r="M85" s="30"/>
      <c r="N85" s="33" t="str">
        <f t="shared" si="1"/>
        <v xml:space="preserve">Modern Aluminium Services LLc.
</v>
      </c>
      <c r="O85" s="34" t="s">
        <v>78</v>
      </c>
      <c r="P85" s="35">
        <v>5</v>
      </c>
      <c r="Q85" s="36">
        <v>44915</v>
      </c>
      <c r="R85" s="35">
        <v>3</v>
      </c>
      <c r="S85" s="37">
        <v>0.20833333333333334</v>
      </c>
      <c r="T85" s="34" t="s">
        <v>108</v>
      </c>
      <c r="U85" s="38" t="str">
        <f t="shared" si="2"/>
        <v xml:space="preserve">Modern Aluminium Services LLc.
</v>
      </c>
      <c r="V85" s="34" t="s">
        <v>78</v>
      </c>
      <c r="W85" s="46" t="s">
        <v>359</v>
      </c>
      <c r="X85" s="46" t="s">
        <v>122</v>
      </c>
      <c r="Y85" s="34" t="s">
        <v>75</v>
      </c>
      <c r="Z85" s="34" t="s">
        <v>75</v>
      </c>
      <c r="AA85" s="34" t="s">
        <v>145</v>
      </c>
      <c r="AB85" s="39" t="str">
        <f t="shared" si="3"/>
        <v xml:space="preserve">Modern Aluminium Services LLc.
</v>
      </c>
      <c r="AC85" s="34" t="s">
        <v>78</v>
      </c>
      <c r="AD85" s="34" t="s">
        <v>79</v>
      </c>
      <c r="AE85" s="46" t="s">
        <v>132</v>
      </c>
      <c r="AF85" s="34" t="s">
        <v>75</v>
      </c>
      <c r="AG85" s="34" t="s">
        <v>75</v>
      </c>
      <c r="AH85" s="34" t="s">
        <v>126</v>
      </c>
      <c r="AI85" s="39"/>
      <c r="AJ85" s="33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3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0"/>
      <c r="BK85" s="30"/>
      <c r="BL85" s="30"/>
      <c r="BM85" s="24"/>
      <c r="BN85" s="24"/>
      <c r="BO85" s="24"/>
      <c r="BP85" s="30"/>
      <c r="BQ85" s="30"/>
      <c r="BR85" s="30"/>
      <c r="BS85" s="30"/>
      <c r="BT85" s="30"/>
      <c r="BU85" s="30"/>
      <c r="BV85" s="30"/>
      <c r="BW85" s="30"/>
      <c r="BX85" s="30"/>
      <c r="BY85" s="24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</row>
    <row r="86" spans="1:88" ht="40.5" customHeight="1">
      <c r="A86" s="9">
        <f t="shared" si="0"/>
        <v>84</v>
      </c>
      <c r="B86" s="9" t="str">
        <f t="shared" si="4"/>
        <v xml:space="preserve">MA
</v>
      </c>
      <c r="C86" s="9" t="s">
        <v>360</v>
      </c>
      <c r="D86" s="9" t="s">
        <v>119</v>
      </c>
      <c r="E86" s="12">
        <v>0</v>
      </c>
      <c r="F86" s="12">
        <v>0</v>
      </c>
      <c r="G86" s="9" t="s">
        <v>89</v>
      </c>
      <c r="H86" s="12"/>
      <c r="I86" s="9" t="s">
        <v>361</v>
      </c>
      <c r="J86" s="12"/>
      <c r="K86" s="12"/>
      <c r="L86" s="12"/>
      <c r="M86" s="12"/>
      <c r="N86" s="13" t="str">
        <f t="shared" si="1"/>
        <v xml:space="preserve">SUNRISE WINDOWS
</v>
      </c>
      <c r="O86" s="16" t="s">
        <v>78</v>
      </c>
      <c r="P86" s="14">
        <v>4</v>
      </c>
      <c r="Q86" s="25">
        <v>44915</v>
      </c>
      <c r="R86" s="17"/>
      <c r="S86" s="17"/>
      <c r="T86" s="16" t="s">
        <v>101</v>
      </c>
      <c r="U86" s="17" t="str">
        <f t="shared" si="2"/>
        <v xml:space="preserve">SUNRISE WINDOWS
</v>
      </c>
      <c r="V86" s="16" t="s">
        <v>78</v>
      </c>
      <c r="W86" s="16">
        <v>5</v>
      </c>
      <c r="X86" s="25">
        <v>44931</v>
      </c>
      <c r="Y86" s="13"/>
      <c r="Z86" s="13"/>
      <c r="AA86" s="16" t="s">
        <v>101</v>
      </c>
      <c r="AB86" s="18" t="str">
        <f t="shared" si="3"/>
        <v xml:space="preserve">SUNRISE WINDOWS
</v>
      </c>
      <c r="AC86" s="16" t="s">
        <v>78</v>
      </c>
      <c r="AD86" s="16">
        <v>6</v>
      </c>
      <c r="AE86" s="25">
        <v>44943</v>
      </c>
      <c r="AF86" s="13"/>
      <c r="AG86" s="13"/>
      <c r="AH86" s="16" t="s">
        <v>101</v>
      </c>
      <c r="AI86" s="18"/>
      <c r="AJ86" s="16" t="s">
        <v>98</v>
      </c>
      <c r="AK86" s="19">
        <v>7</v>
      </c>
      <c r="AL86" s="27">
        <v>44956</v>
      </c>
      <c r="AM86" s="18"/>
      <c r="AN86" s="18"/>
      <c r="AO86" s="19" t="s">
        <v>86</v>
      </c>
      <c r="AP86" s="18"/>
      <c r="AQ86" s="19" t="s">
        <v>78</v>
      </c>
      <c r="AR86" s="19" t="s">
        <v>79</v>
      </c>
      <c r="AS86" s="20" t="s">
        <v>122</v>
      </c>
      <c r="AT86" s="19" t="s">
        <v>75</v>
      </c>
      <c r="AU86" s="20" t="s">
        <v>154</v>
      </c>
      <c r="AV86" s="19" t="s">
        <v>86</v>
      </c>
      <c r="AW86" s="18"/>
      <c r="AX86" s="16" t="s">
        <v>98</v>
      </c>
      <c r="AY86" s="19" t="s">
        <v>79</v>
      </c>
      <c r="AZ86" s="20" t="s">
        <v>132</v>
      </c>
      <c r="BA86" s="19" t="s">
        <v>75</v>
      </c>
      <c r="BB86" s="19" t="s">
        <v>75</v>
      </c>
      <c r="BC86" s="19" t="s">
        <v>86</v>
      </c>
      <c r="BD86" s="18"/>
      <c r="BE86" s="18"/>
      <c r="BF86" s="18"/>
      <c r="BG86" s="18"/>
      <c r="BH86" s="18"/>
      <c r="BI86" s="18"/>
      <c r="BJ86" s="12"/>
      <c r="BK86" s="12"/>
      <c r="BL86" s="12"/>
      <c r="BM86" s="9"/>
      <c r="BN86" s="9"/>
      <c r="BO86" s="9"/>
      <c r="BP86" s="12"/>
      <c r="BQ86" s="12"/>
      <c r="BR86" s="12"/>
      <c r="BS86" s="12"/>
      <c r="BT86" s="12"/>
      <c r="BU86" s="12"/>
      <c r="BV86" s="12"/>
      <c r="BW86" s="12"/>
      <c r="BX86" s="12"/>
      <c r="BY86" s="9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</row>
    <row r="87" spans="1:88" ht="40.5" customHeight="1">
      <c r="A87" s="9">
        <f t="shared" si="0"/>
        <v>85</v>
      </c>
      <c r="B87" s="9" t="str">
        <f t="shared" si="4"/>
        <v xml:space="preserve">MA
</v>
      </c>
      <c r="C87" s="9" t="s">
        <v>362</v>
      </c>
      <c r="D87" s="9" t="s">
        <v>119</v>
      </c>
      <c r="E87" s="12">
        <v>0</v>
      </c>
      <c r="F87" s="12">
        <v>0</v>
      </c>
      <c r="G87" s="9" t="s">
        <v>89</v>
      </c>
      <c r="H87" s="12"/>
      <c r="I87" s="9" t="s">
        <v>363</v>
      </c>
      <c r="J87" s="9" t="s">
        <v>364</v>
      </c>
      <c r="K87" s="12"/>
      <c r="L87" s="12"/>
      <c r="M87" s="12"/>
      <c r="N87" s="13" t="str">
        <f t="shared" si="1"/>
        <v xml:space="preserve">Elegant Windows
</v>
      </c>
      <c r="O87" s="16" t="s">
        <v>78</v>
      </c>
      <c r="P87" s="14">
        <v>4</v>
      </c>
      <c r="Q87" s="25">
        <v>44915</v>
      </c>
      <c r="R87" s="17"/>
      <c r="S87" s="17"/>
      <c r="T87" s="16" t="s">
        <v>153</v>
      </c>
      <c r="U87" s="17" t="str">
        <f t="shared" si="2"/>
        <v xml:space="preserve">Elegant Windows
</v>
      </c>
      <c r="V87" s="16" t="s">
        <v>78</v>
      </c>
      <c r="W87" s="16">
        <v>5</v>
      </c>
      <c r="X87" s="25">
        <v>44931</v>
      </c>
      <c r="Y87" s="13"/>
      <c r="Z87" s="13"/>
      <c r="AA87" s="16" t="s">
        <v>101</v>
      </c>
      <c r="AB87" s="18" t="str">
        <f t="shared" si="3"/>
        <v xml:space="preserve">Elegant Windows
</v>
      </c>
      <c r="AC87" s="16" t="s">
        <v>78</v>
      </c>
      <c r="AD87" s="16">
        <v>6</v>
      </c>
      <c r="AE87" s="25">
        <v>44943</v>
      </c>
      <c r="AF87" s="13"/>
      <c r="AG87" s="29">
        <v>0.15972222222222221</v>
      </c>
      <c r="AH87" s="16" t="s">
        <v>190</v>
      </c>
      <c r="AI87" s="18"/>
      <c r="AJ87" s="16" t="s">
        <v>98</v>
      </c>
      <c r="AK87" s="19">
        <v>7</v>
      </c>
      <c r="AL87" s="27">
        <v>44956</v>
      </c>
      <c r="AM87" s="18"/>
      <c r="AN87" s="18"/>
      <c r="AO87" s="19" t="s">
        <v>86</v>
      </c>
      <c r="AP87" s="18"/>
      <c r="AQ87" s="19" t="s">
        <v>78</v>
      </c>
      <c r="AR87" s="20" t="s">
        <v>198</v>
      </c>
      <c r="AS87" s="20" t="s">
        <v>122</v>
      </c>
      <c r="AT87" s="19" t="s">
        <v>75</v>
      </c>
      <c r="AU87" s="20" t="s">
        <v>365</v>
      </c>
      <c r="AV87" s="19" t="s">
        <v>265</v>
      </c>
      <c r="AW87" s="18"/>
      <c r="AX87" s="13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2"/>
      <c r="BK87" s="12"/>
      <c r="BL87" s="12"/>
      <c r="BM87" s="9"/>
      <c r="BN87" s="9"/>
      <c r="BO87" s="9"/>
      <c r="BP87" s="12"/>
      <c r="BQ87" s="12"/>
      <c r="BR87" s="12"/>
      <c r="BS87" s="12"/>
      <c r="BT87" s="12"/>
      <c r="BU87" s="12"/>
      <c r="BV87" s="12"/>
      <c r="BW87" s="12"/>
      <c r="BX87" s="12"/>
      <c r="BY87" s="9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</row>
    <row r="88" spans="1:88" ht="40.5" customHeight="1">
      <c r="A88" s="9">
        <f t="shared" si="0"/>
        <v>86</v>
      </c>
      <c r="B88" s="9" t="str">
        <f t="shared" si="4"/>
        <v xml:space="preserve">MA
</v>
      </c>
      <c r="C88" s="9" t="s">
        <v>366</v>
      </c>
      <c r="D88" s="9" t="s">
        <v>119</v>
      </c>
      <c r="E88" s="12">
        <v>0</v>
      </c>
      <c r="F88" s="12">
        <v>0</v>
      </c>
      <c r="G88" s="9" t="s">
        <v>89</v>
      </c>
      <c r="H88" s="12"/>
      <c r="I88" s="9" t="s">
        <v>367</v>
      </c>
      <c r="J88" s="12"/>
      <c r="K88" s="22" t="s">
        <v>368</v>
      </c>
      <c r="L88" s="12"/>
      <c r="M88" s="12"/>
      <c r="N88" s="13" t="str">
        <f t="shared" si="1"/>
        <v xml:space="preserve">Aluminum Windows &amp; Glass works
</v>
      </c>
      <c r="O88" s="16" t="s">
        <v>78</v>
      </c>
      <c r="P88" s="14">
        <v>4</v>
      </c>
      <c r="Q88" s="25">
        <v>44931</v>
      </c>
      <c r="R88" s="17"/>
      <c r="S88" s="17"/>
      <c r="T88" s="16" t="s">
        <v>101</v>
      </c>
      <c r="U88" s="17" t="str">
        <f t="shared" si="2"/>
        <v xml:space="preserve">Aluminum Windows &amp; Glass works
</v>
      </c>
      <c r="V88" s="16" t="s">
        <v>78</v>
      </c>
      <c r="W88" s="16">
        <v>5</v>
      </c>
      <c r="X88" s="25">
        <v>44943</v>
      </c>
      <c r="Y88" s="13"/>
      <c r="Z88" s="13"/>
      <c r="AA88" s="16" t="s">
        <v>101</v>
      </c>
      <c r="AB88" s="18" t="str">
        <f t="shared" si="3"/>
        <v xml:space="preserve">Aluminum Windows &amp; Glass works
</v>
      </c>
      <c r="AC88" s="16" t="s">
        <v>78</v>
      </c>
      <c r="AD88" s="16">
        <v>6</v>
      </c>
      <c r="AE88" s="25">
        <v>44957</v>
      </c>
      <c r="AF88" s="13"/>
      <c r="AG88" s="13"/>
      <c r="AH88" s="16" t="s">
        <v>101</v>
      </c>
      <c r="AI88" s="18"/>
      <c r="AJ88" s="16" t="s">
        <v>78</v>
      </c>
      <c r="AK88" s="20" t="s">
        <v>121</v>
      </c>
      <c r="AL88" s="20" t="s">
        <v>122</v>
      </c>
      <c r="AM88" s="19" t="s">
        <v>75</v>
      </c>
      <c r="AN88" s="19" t="s">
        <v>75</v>
      </c>
      <c r="AO88" s="19" t="s">
        <v>101</v>
      </c>
      <c r="AP88" s="18"/>
      <c r="AQ88" s="19" t="s">
        <v>78</v>
      </c>
      <c r="AR88" s="19" t="s">
        <v>79</v>
      </c>
      <c r="AS88" s="20" t="s">
        <v>80</v>
      </c>
      <c r="AT88" s="19" t="s">
        <v>75</v>
      </c>
      <c r="AU88" s="19" t="s">
        <v>75</v>
      </c>
      <c r="AV88" s="19" t="s">
        <v>4</v>
      </c>
      <c r="AW88" s="18"/>
      <c r="AX88" s="13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2"/>
      <c r="BK88" s="12"/>
      <c r="BL88" s="12"/>
      <c r="BM88" s="9"/>
      <c r="BN88" s="9"/>
      <c r="BO88" s="9"/>
      <c r="BP88" s="12"/>
      <c r="BQ88" s="12"/>
      <c r="BR88" s="12"/>
      <c r="BS88" s="12"/>
      <c r="BT88" s="12"/>
      <c r="BU88" s="12"/>
      <c r="BV88" s="12"/>
      <c r="BW88" s="12"/>
      <c r="BX88" s="12"/>
      <c r="BY88" s="9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</row>
    <row r="89" spans="1:88" ht="40.5" customHeight="1">
      <c r="A89" s="9">
        <f t="shared" si="0"/>
        <v>87</v>
      </c>
      <c r="B89" s="9" t="str">
        <f t="shared" si="4"/>
        <v xml:space="preserve">MA
</v>
      </c>
      <c r="C89" s="9" t="s">
        <v>369</v>
      </c>
      <c r="D89" s="9" t="s">
        <v>370</v>
      </c>
      <c r="E89" s="12">
        <v>0</v>
      </c>
      <c r="F89" s="12">
        <v>0</v>
      </c>
      <c r="G89" s="9" t="s">
        <v>89</v>
      </c>
      <c r="H89" s="9" t="s">
        <v>371</v>
      </c>
      <c r="I89" s="9" t="s">
        <v>372</v>
      </c>
      <c r="J89" s="9" t="s">
        <v>373</v>
      </c>
      <c r="K89" s="12"/>
      <c r="L89" s="12"/>
      <c r="M89" s="12"/>
      <c r="N89" s="13" t="str">
        <f t="shared" si="1"/>
        <v xml:space="preserve">Ismail bin Ali Aluminium
</v>
      </c>
      <c r="O89" s="16" t="s">
        <v>78</v>
      </c>
      <c r="P89" s="14">
        <v>2</v>
      </c>
      <c r="Q89" s="25">
        <v>44921</v>
      </c>
      <c r="R89" s="14">
        <v>4</v>
      </c>
      <c r="S89" s="26">
        <v>0.2076388888888889</v>
      </c>
      <c r="T89" s="16" t="s">
        <v>81</v>
      </c>
      <c r="U89" s="17" t="str">
        <f t="shared" si="2"/>
        <v xml:space="preserve">Ismail bin Ali Aluminium
</v>
      </c>
      <c r="V89" s="16" t="s">
        <v>78</v>
      </c>
      <c r="W89" s="16">
        <v>3</v>
      </c>
      <c r="X89" s="25">
        <v>44935</v>
      </c>
      <c r="Y89" s="16">
        <v>4</v>
      </c>
      <c r="Z89" s="29">
        <v>0.15763888888888888</v>
      </c>
      <c r="AA89" s="16" t="s">
        <v>81</v>
      </c>
      <c r="AB89" s="18" t="str">
        <f t="shared" si="3"/>
        <v xml:space="preserve">Ismail bin Ali Aluminium
</v>
      </c>
      <c r="AC89" s="19" t="s">
        <v>7</v>
      </c>
      <c r="AD89" s="19" t="s">
        <v>79</v>
      </c>
      <c r="AE89" s="20" t="s">
        <v>80</v>
      </c>
      <c r="AF89" s="19" t="s">
        <v>75</v>
      </c>
      <c r="AG89" s="19" t="s">
        <v>75</v>
      </c>
      <c r="AH89" s="16" t="s">
        <v>86</v>
      </c>
      <c r="AI89" s="18"/>
      <c r="AJ89" s="13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3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2"/>
      <c r="BK89" s="12"/>
      <c r="BL89" s="12"/>
      <c r="BM89" s="9"/>
      <c r="BN89" s="9"/>
      <c r="BO89" s="9"/>
      <c r="BP89" s="12"/>
      <c r="BQ89" s="12"/>
      <c r="BR89" s="12"/>
      <c r="BS89" s="12"/>
      <c r="BT89" s="12"/>
      <c r="BU89" s="12"/>
      <c r="BV89" s="12"/>
      <c r="BW89" s="12"/>
      <c r="BX89" s="12"/>
      <c r="BY89" s="9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</row>
    <row r="90" spans="1:88" ht="40.5" customHeight="1">
      <c r="A90" s="9">
        <f t="shared" si="0"/>
        <v>88</v>
      </c>
      <c r="B90" s="9" t="str">
        <f t="shared" si="4"/>
        <v xml:space="preserve">MA
</v>
      </c>
      <c r="C90" s="9" t="s">
        <v>374</v>
      </c>
      <c r="D90" s="9" t="s">
        <v>95</v>
      </c>
      <c r="E90" s="12">
        <v>0</v>
      </c>
      <c r="F90" s="12">
        <v>0</v>
      </c>
      <c r="G90" s="9" t="s">
        <v>375</v>
      </c>
      <c r="H90" s="12"/>
      <c r="I90" s="9" t="s">
        <v>376</v>
      </c>
      <c r="J90" s="12"/>
      <c r="K90" s="12"/>
      <c r="L90" s="12"/>
      <c r="M90" s="12"/>
      <c r="N90" s="13" t="str">
        <f t="shared" si="1"/>
        <v>Imad Jaafar Darwiche</v>
      </c>
      <c r="O90" s="16" t="s">
        <v>98</v>
      </c>
      <c r="P90" s="14">
        <v>2</v>
      </c>
      <c r="Q90" s="25">
        <v>44918</v>
      </c>
      <c r="R90" s="17"/>
      <c r="S90" s="17"/>
      <c r="T90" s="16" t="s">
        <v>86</v>
      </c>
      <c r="U90" s="17" t="str">
        <f t="shared" si="2"/>
        <v>Imad Jaafar Darwiche</v>
      </c>
      <c r="V90" s="13"/>
      <c r="W90" s="13"/>
      <c r="X90" s="13"/>
      <c r="Y90" s="13"/>
      <c r="Z90" s="13"/>
      <c r="AA90" s="13"/>
      <c r="AB90" s="18" t="str">
        <f t="shared" si="3"/>
        <v>Imad Jaafar Darwiche</v>
      </c>
      <c r="AC90" s="18"/>
      <c r="AD90" s="18"/>
      <c r="AE90" s="18"/>
      <c r="AF90" s="18"/>
      <c r="AG90" s="18"/>
      <c r="AH90" s="13"/>
      <c r="AI90" s="18"/>
      <c r="AJ90" s="13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3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2"/>
      <c r="BK90" s="12"/>
      <c r="BL90" s="12"/>
      <c r="BM90" s="9"/>
      <c r="BN90" s="9"/>
      <c r="BO90" s="9"/>
      <c r="BP90" s="12"/>
      <c r="BQ90" s="12"/>
      <c r="BR90" s="12"/>
      <c r="BS90" s="12"/>
      <c r="BT90" s="12"/>
      <c r="BU90" s="12"/>
      <c r="BV90" s="12"/>
      <c r="BW90" s="12"/>
      <c r="BX90" s="12"/>
      <c r="BY90" s="9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</row>
    <row r="91" spans="1:88" ht="40.5" customHeight="1">
      <c r="A91" s="9">
        <f t="shared" si="0"/>
        <v>89</v>
      </c>
      <c r="B91" s="9" t="str">
        <f t="shared" si="4"/>
        <v xml:space="preserve">MA
</v>
      </c>
      <c r="C91" s="9" t="s">
        <v>377</v>
      </c>
      <c r="D91" s="9" t="s">
        <v>95</v>
      </c>
      <c r="E91" s="12">
        <v>0</v>
      </c>
      <c r="F91" s="12">
        <v>0</v>
      </c>
      <c r="G91" s="9" t="s">
        <v>89</v>
      </c>
      <c r="H91" s="12"/>
      <c r="I91" s="9" t="s">
        <v>378</v>
      </c>
      <c r="J91" s="12"/>
      <c r="K91" s="11" t="s">
        <v>379</v>
      </c>
      <c r="L91" s="12"/>
      <c r="M91" s="12"/>
      <c r="N91" s="13" t="str">
        <f t="shared" si="1"/>
        <v>El Sarma</v>
      </c>
      <c r="O91" s="16" t="s">
        <v>78</v>
      </c>
      <c r="P91" s="14">
        <v>3</v>
      </c>
      <c r="Q91" s="25">
        <v>44918</v>
      </c>
      <c r="R91" s="14">
        <v>4</v>
      </c>
      <c r="S91" s="26">
        <v>0.1986111111111111</v>
      </c>
      <c r="T91" s="16" t="s">
        <v>86</v>
      </c>
      <c r="U91" s="17" t="str">
        <f t="shared" si="2"/>
        <v>El Sarma</v>
      </c>
      <c r="V91" s="16" t="s">
        <v>78</v>
      </c>
      <c r="W91" s="16">
        <v>5</v>
      </c>
      <c r="X91" s="25">
        <v>44932</v>
      </c>
      <c r="Y91" s="13"/>
      <c r="Z91" s="13"/>
      <c r="AA91" s="16" t="s">
        <v>101</v>
      </c>
      <c r="AB91" s="18" t="str">
        <f t="shared" si="3"/>
        <v>El Sarma</v>
      </c>
      <c r="AC91" s="19" t="s">
        <v>98</v>
      </c>
      <c r="AD91" s="19">
        <v>6</v>
      </c>
      <c r="AE91" s="27">
        <v>44933</v>
      </c>
      <c r="AF91" s="18"/>
      <c r="AG91" s="18"/>
      <c r="AH91" s="16" t="s">
        <v>86</v>
      </c>
      <c r="AI91" s="18"/>
      <c r="AJ91" s="16" t="s">
        <v>78</v>
      </c>
      <c r="AK91" s="19">
        <v>7</v>
      </c>
      <c r="AL91" s="27">
        <v>44939</v>
      </c>
      <c r="AM91" s="18"/>
      <c r="AN91" s="18"/>
      <c r="AO91" s="19" t="s">
        <v>126</v>
      </c>
      <c r="AP91" s="18"/>
      <c r="AQ91" s="19" t="s">
        <v>98</v>
      </c>
      <c r="AR91" s="19">
        <v>8</v>
      </c>
      <c r="AS91" s="27">
        <v>44953</v>
      </c>
      <c r="AT91" s="18"/>
      <c r="AU91" s="18"/>
      <c r="AV91" s="19" t="s">
        <v>86</v>
      </c>
      <c r="AW91" s="18"/>
      <c r="AX91" s="16" t="s">
        <v>98</v>
      </c>
      <c r="AY91" s="19" t="s">
        <v>79</v>
      </c>
      <c r="AZ91" s="20" t="s">
        <v>100</v>
      </c>
      <c r="BA91" s="19" t="s">
        <v>75</v>
      </c>
      <c r="BB91" s="19" t="s">
        <v>75</v>
      </c>
      <c r="BC91" s="19" t="s">
        <v>86</v>
      </c>
      <c r="BD91" s="19" t="s">
        <v>78</v>
      </c>
      <c r="BE91" s="19" t="s">
        <v>79</v>
      </c>
      <c r="BF91" s="20" t="s">
        <v>102</v>
      </c>
      <c r="BG91" s="19" t="s">
        <v>75</v>
      </c>
      <c r="BH91" s="19" t="s">
        <v>75</v>
      </c>
      <c r="BI91" s="19" t="s">
        <v>101</v>
      </c>
      <c r="BJ91" s="12"/>
      <c r="BK91" s="12"/>
      <c r="BL91" s="12"/>
      <c r="BM91" s="9"/>
      <c r="BN91" s="9"/>
      <c r="BO91" s="9"/>
      <c r="BP91" s="12"/>
      <c r="BQ91" s="12"/>
      <c r="BR91" s="12"/>
      <c r="BS91" s="12"/>
      <c r="BT91" s="12"/>
      <c r="BU91" s="12"/>
      <c r="BV91" s="12"/>
      <c r="BW91" s="12"/>
      <c r="BX91" s="12"/>
      <c r="BY91" s="9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</row>
    <row r="92" spans="1:88" ht="40.5" customHeight="1">
      <c r="A92" s="9">
        <f t="shared" si="0"/>
        <v>90</v>
      </c>
      <c r="B92" s="9" t="str">
        <f t="shared" si="4"/>
        <v xml:space="preserve">MA
</v>
      </c>
      <c r="C92" s="9" t="s">
        <v>380</v>
      </c>
      <c r="D92" s="9" t="s">
        <v>95</v>
      </c>
      <c r="E92" s="12">
        <v>0</v>
      </c>
      <c r="F92" s="12">
        <v>0</v>
      </c>
      <c r="G92" s="9" t="s">
        <v>89</v>
      </c>
      <c r="H92" s="12"/>
      <c r="I92" s="9" t="s">
        <v>381</v>
      </c>
      <c r="J92" s="12"/>
      <c r="K92" s="22" t="s">
        <v>382</v>
      </c>
      <c r="L92" s="12"/>
      <c r="M92" s="12"/>
      <c r="N92" s="13" t="str">
        <f t="shared" si="1"/>
        <v>Aluminium Desing</v>
      </c>
      <c r="O92" s="16" t="s">
        <v>78</v>
      </c>
      <c r="P92" s="14">
        <v>3</v>
      </c>
      <c r="Q92" s="25">
        <v>44918</v>
      </c>
      <c r="R92" s="17"/>
      <c r="S92" s="17"/>
      <c r="T92" s="16" t="s">
        <v>101</v>
      </c>
      <c r="U92" s="17" t="str">
        <f t="shared" si="2"/>
        <v>Aluminium Desing</v>
      </c>
      <c r="V92" s="16" t="s">
        <v>78</v>
      </c>
      <c r="W92" s="16">
        <v>4</v>
      </c>
      <c r="X92" s="25">
        <v>44932</v>
      </c>
      <c r="Y92" s="13"/>
      <c r="Z92" s="13"/>
      <c r="AA92" s="16" t="s">
        <v>101</v>
      </c>
      <c r="AB92" s="18" t="str">
        <f t="shared" si="3"/>
        <v>Aluminium Desing</v>
      </c>
      <c r="AC92" s="19" t="s">
        <v>78</v>
      </c>
      <c r="AD92" s="19">
        <v>5</v>
      </c>
      <c r="AE92" s="27">
        <v>44939</v>
      </c>
      <c r="AF92" s="18"/>
      <c r="AG92" s="18"/>
      <c r="AH92" s="16" t="s">
        <v>153</v>
      </c>
      <c r="AI92" s="18"/>
      <c r="AJ92" s="16" t="s">
        <v>78</v>
      </c>
      <c r="AK92" s="19">
        <v>6</v>
      </c>
      <c r="AL92" s="27">
        <v>44953</v>
      </c>
      <c r="AM92" s="18"/>
      <c r="AN92" s="18"/>
      <c r="AO92" s="19" t="s">
        <v>86</v>
      </c>
      <c r="AP92" s="18"/>
      <c r="AQ92" s="19" t="s">
        <v>78</v>
      </c>
      <c r="AR92" s="19" t="s">
        <v>79</v>
      </c>
      <c r="AS92" s="20" t="s">
        <v>100</v>
      </c>
      <c r="AT92" s="19" t="s">
        <v>75</v>
      </c>
      <c r="AU92" s="20" t="s">
        <v>383</v>
      </c>
      <c r="AV92" s="19" t="s">
        <v>86</v>
      </c>
      <c r="AW92" s="18"/>
      <c r="AX92" s="16" t="s">
        <v>78</v>
      </c>
      <c r="AY92" s="19" t="s">
        <v>79</v>
      </c>
      <c r="AZ92" s="20" t="s">
        <v>384</v>
      </c>
      <c r="BA92" s="19" t="s">
        <v>75</v>
      </c>
      <c r="BB92" s="19" t="s">
        <v>75</v>
      </c>
      <c r="BC92" s="19" t="s">
        <v>101</v>
      </c>
      <c r="BD92" s="18"/>
      <c r="BE92" s="18"/>
      <c r="BF92" s="18"/>
      <c r="BG92" s="18"/>
      <c r="BH92" s="18"/>
      <c r="BI92" s="18"/>
      <c r="BJ92" s="12"/>
      <c r="BK92" s="12"/>
      <c r="BL92" s="12"/>
      <c r="BM92" s="9"/>
      <c r="BN92" s="9"/>
      <c r="BO92" s="9"/>
      <c r="BP92" s="12"/>
      <c r="BQ92" s="12"/>
      <c r="BR92" s="12"/>
      <c r="BS92" s="12"/>
      <c r="BT92" s="12"/>
      <c r="BU92" s="12"/>
      <c r="BV92" s="12"/>
      <c r="BW92" s="12"/>
      <c r="BX92" s="12"/>
      <c r="BY92" s="9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</row>
    <row r="93" spans="1:88" ht="40.5" customHeight="1">
      <c r="A93" s="9">
        <f t="shared" si="0"/>
        <v>91</v>
      </c>
      <c r="B93" s="9" t="str">
        <f t="shared" si="4"/>
        <v xml:space="preserve">MA
</v>
      </c>
      <c r="C93" s="9" t="s">
        <v>385</v>
      </c>
      <c r="D93" s="9" t="s">
        <v>95</v>
      </c>
      <c r="E93" s="12">
        <v>0</v>
      </c>
      <c r="F93" s="12">
        <v>0</v>
      </c>
      <c r="G93" s="9" t="s">
        <v>105</v>
      </c>
      <c r="H93" s="12"/>
      <c r="I93" s="9" t="s">
        <v>386</v>
      </c>
      <c r="J93" s="12"/>
      <c r="K93" s="11" t="s">
        <v>387</v>
      </c>
      <c r="L93" s="12"/>
      <c r="M93" s="12"/>
      <c r="N93" s="13" t="str">
        <f t="shared" si="1"/>
        <v xml:space="preserve">M.J.M Aluminium &amp; Glass
</v>
      </c>
      <c r="O93" s="16" t="s">
        <v>78</v>
      </c>
      <c r="P93" s="14">
        <v>4</v>
      </c>
      <c r="Q93" s="25">
        <v>44918</v>
      </c>
      <c r="R93" s="17"/>
      <c r="S93" s="17"/>
      <c r="T93" s="16" t="s">
        <v>101</v>
      </c>
      <c r="U93" s="17" t="str">
        <f t="shared" si="2"/>
        <v xml:space="preserve">M.J.M Aluminium &amp; Glass
</v>
      </c>
      <c r="V93" s="16" t="s">
        <v>78</v>
      </c>
      <c r="W93" s="16">
        <v>5</v>
      </c>
      <c r="X93" s="25">
        <v>44922</v>
      </c>
      <c r="Y93" s="13"/>
      <c r="Z93" s="13"/>
      <c r="AA93" s="16" t="s">
        <v>101</v>
      </c>
      <c r="AB93" s="18" t="str">
        <f t="shared" si="3"/>
        <v xml:space="preserve">M.J.M Aluminium &amp; Glass
</v>
      </c>
      <c r="AC93" s="19" t="s">
        <v>78</v>
      </c>
      <c r="AD93" s="19">
        <v>7</v>
      </c>
      <c r="AE93" s="27">
        <v>44925</v>
      </c>
      <c r="AF93" s="18"/>
      <c r="AG93" s="18"/>
      <c r="AH93" s="16" t="s">
        <v>190</v>
      </c>
      <c r="AI93" s="18"/>
      <c r="AJ93" s="16" t="s">
        <v>98</v>
      </c>
      <c r="AK93" s="19">
        <v>9</v>
      </c>
      <c r="AL93" s="27">
        <v>44939</v>
      </c>
      <c r="AM93" s="18"/>
      <c r="AN93" s="18"/>
      <c r="AO93" s="19" t="s">
        <v>86</v>
      </c>
      <c r="AP93" s="18"/>
      <c r="AQ93" s="19" t="s">
        <v>98</v>
      </c>
      <c r="AR93" s="19" t="s">
        <v>79</v>
      </c>
      <c r="AS93" s="20" t="s">
        <v>100</v>
      </c>
      <c r="AT93" s="19" t="s">
        <v>75</v>
      </c>
      <c r="AU93" s="19" t="s">
        <v>75</v>
      </c>
      <c r="AV93" s="19" t="s">
        <v>86</v>
      </c>
      <c r="AW93" s="18"/>
      <c r="AX93" s="16" t="s">
        <v>78</v>
      </c>
      <c r="AY93" s="19" t="s">
        <v>79</v>
      </c>
      <c r="AZ93" s="20" t="s">
        <v>102</v>
      </c>
      <c r="BA93" s="19" t="s">
        <v>75</v>
      </c>
      <c r="BB93" s="19" t="s">
        <v>75</v>
      </c>
      <c r="BC93" s="19" t="s">
        <v>101</v>
      </c>
      <c r="BD93" s="18"/>
      <c r="BE93" s="18"/>
      <c r="BF93" s="18"/>
      <c r="BG93" s="18"/>
      <c r="BH93" s="18"/>
      <c r="BI93" s="18"/>
      <c r="BJ93" s="12"/>
      <c r="BK93" s="12"/>
      <c r="BL93" s="12"/>
      <c r="BM93" s="9"/>
      <c r="BN93" s="9"/>
      <c r="BO93" s="9"/>
      <c r="BP93" s="12"/>
      <c r="BQ93" s="12"/>
      <c r="BR93" s="12"/>
      <c r="BS93" s="12"/>
      <c r="BT93" s="12"/>
      <c r="BU93" s="12"/>
      <c r="BV93" s="12"/>
      <c r="BW93" s="12"/>
      <c r="BX93" s="12"/>
      <c r="BY93" s="9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</row>
    <row r="94" spans="1:88" ht="40.5" customHeight="1">
      <c r="A94" s="9">
        <f t="shared" si="0"/>
        <v>92</v>
      </c>
      <c r="B94" s="9" t="str">
        <f t="shared" si="4"/>
        <v xml:space="preserve">MA
</v>
      </c>
      <c r="C94" s="9" t="s">
        <v>388</v>
      </c>
      <c r="D94" s="9" t="s">
        <v>95</v>
      </c>
      <c r="E94" s="12">
        <v>0</v>
      </c>
      <c r="F94" s="12">
        <v>0</v>
      </c>
      <c r="G94" s="9" t="s">
        <v>89</v>
      </c>
      <c r="H94" s="57"/>
      <c r="I94" s="9" t="s">
        <v>389</v>
      </c>
      <c r="J94" s="12"/>
      <c r="K94" s="53" t="s">
        <v>390</v>
      </c>
      <c r="L94" s="12"/>
      <c r="M94" s="12"/>
      <c r="N94" s="13" t="str">
        <f t="shared" si="1"/>
        <v>Aluminium design (By Ibrahim Kassem)</v>
      </c>
      <c r="O94" s="16" t="s">
        <v>78</v>
      </c>
      <c r="P94" s="14">
        <v>3</v>
      </c>
      <c r="Q94" s="25">
        <v>44918</v>
      </c>
      <c r="R94" s="17"/>
      <c r="S94" s="17"/>
      <c r="T94" s="16" t="s">
        <v>101</v>
      </c>
      <c r="U94" s="17" t="str">
        <f t="shared" si="2"/>
        <v>Aluminium design (By Ibrahim Kassem)</v>
      </c>
      <c r="V94" s="16" t="s">
        <v>78</v>
      </c>
      <c r="W94" s="16">
        <v>4</v>
      </c>
      <c r="X94" s="25">
        <v>44932</v>
      </c>
      <c r="Y94" s="13"/>
      <c r="Z94" s="13"/>
      <c r="AA94" s="16" t="s">
        <v>101</v>
      </c>
      <c r="AB94" s="18" t="str">
        <f t="shared" si="3"/>
        <v>Aluminium design (By Ibrahim Kassem)</v>
      </c>
      <c r="AC94" s="19" t="s">
        <v>78</v>
      </c>
      <c r="AD94" s="19">
        <v>5</v>
      </c>
      <c r="AE94" s="27">
        <v>44939</v>
      </c>
      <c r="AF94" s="18"/>
      <c r="AG94" s="18"/>
      <c r="AH94" s="16" t="s">
        <v>101</v>
      </c>
      <c r="AI94" s="18"/>
      <c r="AJ94" s="16" t="s">
        <v>98</v>
      </c>
      <c r="AK94" s="19">
        <v>6</v>
      </c>
      <c r="AL94" s="27">
        <v>44953</v>
      </c>
      <c r="AM94" s="18"/>
      <c r="AN94" s="18"/>
      <c r="AO94" s="19" t="s">
        <v>86</v>
      </c>
      <c r="AP94" s="18"/>
      <c r="AQ94" s="19" t="s">
        <v>98</v>
      </c>
      <c r="AR94" s="19" t="s">
        <v>79</v>
      </c>
      <c r="AS94" s="20" t="s">
        <v>100</v>
      </c>
      <c r="AT94" s="19" t="s">
        <v>75</v>
      </c>
      <c r="AU94" s="19" t="s">
        <v>75</v>
      </c>
      <c r="AV94" s="19" t="s">
        <v>86</v>
      </c>
      <c r="AW94" s="18"/>
      <c r="AX94" s="13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2"/>
      <c r="BK94" s="12"/>
      <c r="BL94" s="12"/>
      <c r="BM94" s="9"/>
      <c r="BN94" s="9"/>
      <c r="BO94" s="9"/>
      <c r="BP94" s="12"/>
      <c r="BQ94" s="12"/>
      <c r="BR94" s="12"/>
      <c r="BS94" s="12"/>
      <c r="BT94" s="12"/>
      <c r="BU94" s="12"/>
      <c r="BV94" s="12"/>
      <c r="BW94" s="12"/>
      <c r="BX94" s="12"/>
      <c r="BY94" s="9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</row>
    <row r="95" spans="1:88" ht="40.5" customHeight="1">
      <c r="A95" s="9">
        <f t="shared" si="0"/>
        <v>93</v>
      </c>
      <c r="B95" s="9" t="str">
        <f t="shared" si="4"/>
        <v xml:space="preserve">MA
</v>
      </c>
      <c r="C95" s="9" t="s">
        <v>391</v>
      </c>
      <c r="D95" s="9" t="s">
        <v>95</v>
      </c>
      <c r="E95" s="12">
        <v>0</v>
      </c>
      <c r="F95" s="12">
        <v>0</v>
      </c>
      <c r="G95" s="9" t="s">
        <v>89</v>
      </c>
      <c r="H95" s="12"/>
      <c r="I95" s="9" t="s">
        <v>392</v>
      </c>
      <c r="J95" s="12"/>
      <c r="K95" s="22" t="s">
        <v>393</v>
      </c>
      <c r="L95" s="12"/>
      <c r="M95" s="12"/>
      <c r="N95" s="13" t="str">
        <f t="shared" si="1"/>
        <v xml:space="preserve">Daher aluminium
</v>
      </c>
      <c r="O95" s="16" t="s">
        <v>78</v>
      </c>
      <c r="P95" s="14">
        <v>3</v>
      </c>
      <c r="Q95" s="25">
        <v>44918</v>
      </c>
      <c r="R95" s="17"/>
      <c r="S95" s="17"/>
      <c r="T95" s="16" t="s">
        <v>101</v>
      </c>
      <c r="U95" s="17" t="str">
        <f t="shared" si="2"/>
        <v xml:space="preserve">Daher aluminium
</v>
      </c>
      <c r="V95" s="16" t="s">
        <v>78</v>
      </c>
      <c r="W95" s="16">
        <v>4</v>
      </c>
      <c r="X95" s="25">
        <v>44932</v>
      </c>
      <c r="Y95" s="13"/>
      <c r="Z95" s="13"/>
      <c r="AA95" s="16" t="s">
        <v>101</v>
      </c>
      <c r="AB95" s="18" t="str">
        <f t="shared" si="3"/>
        <v xml:space="preserve">Daher aluminium
</v>
      </c>
      <c r="AC95" s="19" t="s">
        <v>78</v>
      </c>
      <c r="AD95" s="19">
        <v>5</v>
      </c>
      <c r="AE95" s="27">
        <v>44939</v>
      </c>
      <c r="AF95" s="18"/>
      <c r="AG95" s="18"/>
      <c r="AH95" s="16" t="s">
        <v>101</v>
      </c>
      <c r="AI95" s="18"/>
      <c r="AJ95" s="13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3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2"/>
      <c r="BK95" s="12"/>
      <c r="BL95" s="12"/>
      <c r="BM95" s="9"/>
      <c r="BN95" s="9"/>
      <c r="BO95" s="9"/>
      <c r="BP95" s="12"/>
      <c r="BQ95" s="12"/>
      <c r="BR95" s="12"/>
      <c r="BS95" s="12"/>
      <c r="BT95" s="12"/>
      <c r="BU95" s="12"/>
      <c r="BV95" s="12"/>
      <c r="BW95" s="12"/>
      <c r="BX95" s="12"/>
      <c r="BY95" s="9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</row>
    <row r="96" spans="1:88" ht="40.5" customHeight="1">
      <c r="A96" s="9">
        <f t="shared" si="0"/>
        <v>94</v>
      </c>
      <c r="B96" s="9" t="str">
        <f t="shared" si="4"/>
        <v xml:space="preserve">MA
</v>
      </c>
      <c r="C96" s="48" t="s">
        <v>307</v>
      </c>
      <c r="D96" s="9" t="s">
        <v>95</v>
      </c>
      <c r="E96" s="12">
        <v>0</v>
      </c>
      <c r="F96" s="12">
        <v>0</v>
      </c>
      <c r="G96" s="9" t="s">
        <v>89</v>
      </c>
      <c r="H96" s="12"/>
      <c r="I96" s="9" t="s">
        <v>308</v>
      </c>
      <c r="J96" s="12"/>
      <c r="K96" s="12"/>
      <c r="L96" s="12"/>
      <c r="M96" s="12"/>
      <c r="N96" s="13" t="str">
        <f t="shared" si="1"/>
        <v xml:space="preserve">Cedar Group
</v>
      </c>
      <c r="O96" s="16" t="s">
        <v>78</v>
      </c>
      <c r="P96" s="14">
        <v>4</v>
      </c>
      <c r="Q96" s="25">
        <v>44918</v>
      </c>
      <c r="R96" s="17"/>
      <c r="S96" s="26">
        <v>7.7083333333333337E-2</v>
      </c>
      <c r="T96" s="16" t="s">
        <v>86</v>
      </c>
      <c r="U96" s="17" t="str">
        <f t="shared" si="2"/>
        <v xml:space="preserve">Cedar Group
</v>
      </c>
      <c r="V96" s="16" t="s">
        <v>78</v>
      </c>
      <c r="W96" s="16" t="s">
        <v>79</v>
      </c>
      <c r="X96" s="15" t="s">
        <v>100</v>
      </c>
      <c r="Y96" s="16" t="s">
        <v>75</v>
      </c>
      <c r="Z96" s="15" t="s">
        <v>181</v>
      </c>
      <c r="AA96" s="16" t="s">
        <v>86</v>
      </c>
      <c r="AB96" s="18" t="str">
        <f t="shared" si="3"/>
        <v xml:space="preserve">Cedar Group
</v>
      </c>
      <c r="AC96" s="18"/>
      <c r="AD96" s="18"/>
      <c r="AE96" s="18"/>
      <c r="AF96" s="18"/>
      <c r="AG96" s="18"/>
      <c r="AH96" s="13"/>
      <c r="AI96" s="18"/>
      <c r="AJ96" s="13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3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2"/>
      <c r="BK96" s="12"/>
      <c r="BL96" s="12"/>
      <c r="BM96" s="9"/>
      <c r="BN96" s="9"/>
      <c r="BO96" s="9"/>
      <c r="BP96" s="12"/>
      <c r="BQ96" s="12"/>
      <c r="BR96" s="12"/>
      <c r="BS96" s="12"/>
      <c r="BT96" s="12"/>
      <c r="BU96" s="12"/>
      <c r="BV96" s="12"/>
      <c r="BW96" s="12"/>
      <c r="BX96" s="12"/>
      <c r="BY96" s="9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</row>
    <row r="97" spans="1:88" ht="40.5" customHeight="1">
      <c r="A97" s="9">
        <f t="shared" si="0"/>
        <v>95</v>
      </c>
      <c r="B97" s="9" t="str">
        <f t="shared" si="4"/>
        <v xml:space="preserve">MA
</v>
      </c>
      <c r="C97" s="9" t="s">
        <v>394</v>
      </c>
      <c r="D97" s="9" t="s">
        <v>95</v>
      </c>
      <c r="E97" s="12">
        <v>0</v>
      </c>
      <c r="F97" s="12">
        <v>0</v>
      </c>
      <c r="G97" s="9" t="s">
        <v>89</v>
      </c>
      <c r="H97" s="12"/>
      <c r="I97" s="9" t="s">
        <v>395</v>
      </c>
      <c r="J97" s="12"/>
      <c r="K97" s="12"/>
      <c r="L97" s="12"/>
      <c r="M97" s="12"/>
      <c r="N97" s="13" t="str">
        <f t="shared" si="1"/>
        <v>massriforaluminium</v>
      </c>
      <c r="O97" s="16" t="s">
        <v>78</v>
      </c>
      <c r="P97" s="14">
        <v>4</v>
      </c>
      <c r="Q97" s="25">
        <v>44918</v>
      </c>
      <c r="R97" s="17"/>
      <c r="S97" s="17"/>
      <c r="T97" s="16" t="s">
        <v>101</v>
      </c>
      <c r="U97" s="17" t="str">
        <f t="shared" si="2"/>
        <v>massriforaluminium</v>
      </c>
      <c r="V97" s="16" t="s">
        <v>98</v>
      </c>
      <c r="W97" s="16">
        <v>5</v>
      </c>
      <c r="X97" s="25">
        <v>44939</v>
      </c>
      <c r="Y97" s="13"/>
      <c r="Z97" s="13"/>
      <c r="AA97" s="16" t="s">
        <v>86</v>
      </c>
      <c r="AB97" s="18" t="str">
        <f t="shared" si="3"/>
        <v>massriforaluminium</v>
      </c>
      <c r="AC97" s="19" t="s">
        <v>98</v>
      </c>
      <c r="AD97" s="19">
        <v>6</v>
      </c>
      <c r="AE97" s="27">
        <v>44953</v>
      </c>
      <c r="AF97" s="18"/>
      <c r="AG97" s="18"/>
      <c r="AH97" s="16" t="s">
        <v>86</v>
      </c>
      <c r="AI97" s="18"/>
      <c r="AJ97" s="13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3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2"/>
      <c r="BK97" s="12"/>
      <c r="BL97" s="12"/>
      <c r="BM97" s="9"/>
      <c r="BN97" s="9"/>
      <c r="BO97" s="9"/>
      <c r="BP97" s="12"/>
      <c r="BQ97" s="12"/>
      <c r="BR97" s="12"/>
      <c r="BS97" s="12"/>
      <c r="BT97" s="12"/>
      <c r="BU97" s="12"/>
      <c r="BV97" s="12"/>
      <c r="BW97" s="12"/>
      <c r="BX97" s="12"/>
      <c r="BY97" s="9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</row>
    <row r="98" spans="1:88" ht="40.5" customHeight="1">
      <c r="A98" s="9">
        <f t="shared" si="0"/>
        <v>96</v>
      </c>
      <c r="B98" s="9" t="str">
        <f t="shared" si="4"/>
        <v xml:space="preserve">MA
</v>
      </c>
      <c r="C98" s="9" t="s">
        <v>396</v>
      </c>
      <c r="D98" s="9" t="s">
        <v>397</v>
      </c>
      <c r="E98" s="12">
        <v>0</v>
      </c>
      <c r="F98" s="12">
        <v>0</v>
      </c>
      <c r="G98" s="9" t="s">
        <v>89</v>
      </c>
      <c r="H98" s="12"/>
      <c r="I98" s="9" t="s">
        <v>398</v>
      </c>
      <c r="J98" s="9" t="s">
        <v>399</v>
      </c>
      <c r="K98" s="22" t="s">
        <v>400</v>
      </c>
      <c r="L98" s="12"/>
      <c r="M98" s="12"/>
      <c r="N98" s="13" t="str">
        <f t="shared" si="1"/>
        <v xml:space="preserve">Alumex
</v>
      </c>
      <c r="O98" s="13"/>
      <c r="P98" s="17"/>
      <c r="Q98" s="13"/>
      <c r="R98" s="17"/>
      <c r="S98" s="17"/>
      <c r="T98" s="13"/>
      <c r="U98" s="17" t="str">
        <f t="shared" si="2"/>
        <v xml:space="preserve">Alumex
</v>
      </c>
      <c r="V98" s="13"/>
      <c r="W98" s="13"/>
      <c r="X98" s="13"/>
      <c r="Y98" s="13"/>
      <c r="Z98" s="13"/>
      <c r="AA98" s="13"/>
      <c r="AB98" s="18" t="str">
        <f t="shared" si="3"/>
        <v xml:space="preserve">Alumex
</v>
      </c>
      <c r="AC98" s="18"/>
      <c r="AD98" s="18"/>
      <c r="AE98" s="18"/>
      <c r="AF98" s="18"/>
      <c r="AG98" s="18"/>
      <c r="AH98" s="13"/>
      <c r="AI98" s="18"/>
      <c r="AJ98" s="13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3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2"/>
      <c r="BK98" s="12"/>
      <c r="BL98" s="12"/>
      <c r="BM98" s="9"/>
      <c r="BN98" s="9"/>
      <c r="BO98" s="9"/>
      <c r="BP98" s="12"/>
      <c r="BQ98" s="12"/>
      <c r="BR98" s="12"/>
      <c r="BS98" s="12"/>
      <c r="BT98" s="12"/>
      <c r="BU98" s="12"/>
      <c r="BV98" s="12"/>
      <c r="BW98" s="12"/>
      <c r="BX98" s="12"/>
      <c r="BY98" s="9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</row>
    <row r="99" spans="1:88" ht="40.5" customHeight="1">
      <c r="A99" s="9">
        <f t="shared" si="0"/>
        <v>97</v>
      </c>
      <c r="B99" s="9">
        <v>0</v>
      </c>
      <c r="C99" s="9" t="s">
        <v>401</v>
      </c>
      <c r="D99" s="9" t="s">
        <v>95</v>
      </c>
      <c r="E99" s="12">
        <v>0</v>
      </c>
      <c r="F99" s="9">
        <v>1</v>
      </c>
      <c r="G99" s="9" t="s">
        <v>89</v>
      </c>
      <c r="H99" s="9" t="s">
        <v>402</v>
      </c>
      <c r="I99" s="9" t="s">
        <v>403</v>
      </c>
      <c r="J99" s="9" t="s">
        <v>404</v>
      </c>
      <c r="K99" s="9"/>
      <c r="L99" s="12"/>
      <c r="M99" s="12"/>
      <c r="N99" s="13" t="str">
        <f t="shared" si="1"/>
        <v xml:space="preserve">ALGSCO
</v>
      </c>
      <c r="O99" s="16" t="s">
        <v>78</v>
      </c>
      <c r="P99" s="14">
        <v>3</v>
      </c>
      <c r="Q99" s="25">
        <v>44918</v>
      </c>
      <c r="R99" s="14">
        <v>5</v>
      </c>
      <c r="S99" s="26">
        <v>0.53541666666666665</v>
      </c>
      <c r="T99" s="16" t="s">
        <v>190</v>
      </c>
      <c r="U99" s="17" t="str">
        <f t="shared" si="2"/>
        <v xml:space="preserve">ALGSCO
</v>
      </c>
      <c r="V99" s="16" t="s">
        <v>98</v>
      </c>
      <c r="W99" s="16">
        <v>6</v>
      </c>
      <c r="X99" s="25">
        <v>44939</v>
      </c>
      <c r="Y99" s="13"/>
      <c r="Z99" s="13"/>
      <c r="AA99" s="16" t="s">
        <v>86</v>
      </c>
      <c r="AB99" s="18" t="str">
        <f t="shared" si="3"/>
        <v xml:space="preserve">ALGSCO
</v>
      </c>
      <c r="AC99" s="19" t="s">
        <v>98</v>
      </c>
      <c r="AD99" s="19">
        <v>7</v>
      </c>
      <c r="AE99" s="27">
        <v>44953</v>
      </c>
      <c r="AF99" s="18"/>
      <c r="AG99" s="18"/>
      <c r="AH99" s="16" t="s">
        <v>86</v>
      </c>
      <c r="AI99" s="18"/>
      <c r="AJ99" s="16" t="s">
        <v>78</v>
      </c>
      <c r="AK99" s="19" t="s">
        <v>79</v>
      </c>
      <c r="AL99" s="20" t="s">
        <v>100</v>
      </c>
      <c r="AM99" s="19" t="s">
        <v>75</v>
      </c>
      <c r="AN99" s="19" t="s">
        <v>75</v>
      </c>
      <c r="AO99" s="19" t="s">
        <v>86</v>
      </c>
      <c r="AP99" s="18"/>
      <c r="AQ99" s="19" t="s">
        <v>98</v>
      </c>
      <c r="AR99" s="19" t="s">
        <v>79</v>
      </c>
      <c r="AS99" s="20" t="s">
        <v>102</v>
      </c>
      <c r="AT99" s="19" t="s">
        <v>75</v>
      </c>
      <c r="AU99" s="19" t="s">
        <v>75</v>
      </c>
      <c r="AV99" s="19" t="s">
        <v>86</v>
      </c>
      <c r="AW99" s="18"/>
      <c r="AX99" s="13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2"/>
      <c r="BK99" s="12"/>
      <c r="BL99" s="12"/>
      <c r="BM99" s="9"/>
      <c r="BN99" s="9"/>
      <c r="BO99" s="9"/>
      <c r="BP99" s="12"/>
      <c r="BQ99" s="12"/>
      <c r="BR99" s="12"/>
      <c r="BS99" s="12"/>
      <c r="BT99" s="12"/>
      <c r="BU99" s="12"/>
      <c r="BV99" s="12"/>
      <c r="BW99" s="12"/>
      <c r="BX99" s="12"/>
      <c r="BY99" s="9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</row>
    <row r="100" spans="1:88" ht="40.5" customHeight="1">
      <c r="A100" s="24">
        <f t="shared" si="0"/>
        <v>98</v>
      </c>
      <c r="B100" s="24" t="str">
        <f t="shared" ref="B100:B322" si="5">IF(C100="","","MA
")</f>
        <v xml:space="preserve">MA
</v>
      </c>
      <c r="C100" s="24" t="s">
        <v>405</v>
      </c>
      <c r="D100" s="24" t="s">
        <v>95</v>
      </c>
      <c r="E100" s="30">
        <v>0</v>
      </c>
      <c r="F100" s="30">
        <v>0</v>
      </c>
      <c r="G100" s="24" t="s">
        <v>89</v>
      </c>
      <c r="H100" s="30"/>
      <c r="I100" s="24" t="s">
        <v>406</v>
      </c>
      <c r="J100" s="24" t="s">
        <v>407</v>
      </c>
      <c r="K100" s="30"/>
      <c r="L100" s="30"/>
      <c r="M100" s="30"/>
      <c r="N100" s="33" t="str">
        <f t="shared" si="1"/>
        <v xml:space="preserve">ALFENA INDUSTRIES
</v>
      </c>
      <c r="O100" s="34" t="s">
        <v>78</v>
      </c>
      <c r="P100" s="35">
        <v>4</v>
      </c>
      <c r="Q100" s="36">
        <v>44918</v>
      </c>
      <c r="R100" s="38"/>
      <c r="S100" s="38"/>
      <c r="T100" s="34" t="s">
        <v>101</v>
      </c>
      <c r="U100" s="38" t="str">
        <f t="shared" si="2"/>
        <v xml:space="preserve">ALFENA INDUSTRIES
</v>
      </c>
      <c r="V100" s="34" t="s">
        <v>78</v>
      </c>
      <c r="W100" s="34">
        <v>5</v>
      </c>
      <c r="X100" s="36">
        <v>44932</v>
      </c>
      <c r="Y100" s="33"/>
      <c r="Z100" s="33"/>
      <c r="AA100" s="34" t="s">
        <v>101</v>
      </c>
      <c r="AB100" s="39" t="str">
        <f t="shared" si="3"/>
        <v xml:space="preserve">ALFENA INDUSTRIES
</v>
      </c>
      <c r="AC100" s="40" t="s">
        <v>78</v>
      </c>
      <c r="AD100" s="40">
        <v>6</v>
      </c>
      <c r="AE100" s="41">
        <v>44939</v>
      </c>
      <c r="AF100" s="40">
        <v>1</v>
      </c>
      <c r="AG100" s="44">
        <v>7.8472222222222221E-2</v>
      </c>
      <c r="AH100" s="34" t="s">
        <v>408</v>
      </c>
      <c r="AI100" s="39"/>
      <c r="AJ100" s="34" t="s">
        <v>98</v>
      </c>
      <c r="AK100" s="40" t="s">
        <v>79</v>
      </c>
      <c r="AL100" s="45" t="s">
        <v>100</v>
      </c>
      <c r="AM100" s="40" t="s">
        <v>75</v>
      </c>
      <c r="AN100" s="40" t="s">
        <v>75</v>
      </c>
      <c r="AO100" s="40" t="s">
        <v>86</v>
      </c>
      <c r="AP100" s="39"/>
      <c r="AQ100" s="39"/>
      <c r="AR100" s="39"/>
      <c r="AS100" s="39"/>
      <c r="AT100" s="39"/>
      <c r="AU100" s="39"/>
      <c r="AV100" s="39"/>
      <c r="AW100" s="39"/>
      <c r="AX100" s="33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0"/>
      <c r="BK100" s="30"/>
      <c r="BL100" s="30"/>
      <c r="BM100" s="24"/>
      <c r="BN100" s="24"/>
      <c r="BO100" s="24"/>
      <c r="BP100" s="30"/>
      <c r="BQ100" s="30"/>
      <c r="BR100" s="30"/>
      <c r="BS100" s="30"/>
      <c r="BT100" s="30"/>
      <c r="BU100" s="30"/>
      <c r="BV100" s="30"/>
      <c r="BW100" s="30"/>
      <c r="BX100" s="30"/>
      <c r="BY100" s="24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</row>
    <row r="101" spans="1:88" ht="40.5" customHeight="1">
      <c r="A101" s="9">
        <f t="shared" si="0"/>
        <v>99</v>
      </c>
      <c r="B101" s="9" t="str">
        <f t="shared" si="5"/>
        <v xml:space="preserve">MA
</v>
      </c>
      <c r="C101" s="9" t="s">
        <v>409</v>
      </c>
      <c r="D101" s="9" t="s">
        <v>95</v>
      </c>
      <c r="E101" s="12">
        <v>0</v>
      </c>
      <c r="F101" s="12">
        <v>0</v>
      </c>
      <c r="G101" s="9" t="s">
        <v>89</v>
      </c>
      <c r="H101" s="12"/>
      <c r="I101" s="9" t="s">
        <v>410</v>
      </c>
      <c r="J101" s="12"/>
      <c r="K101" s="11" t="s">
        <v>411</v>
      </c>
      <c r="L101" s="12"/>
      <c r="M101" s="12"/>
      <c r="N101" s="13" t="str">
        <f t="shared" si="1"/>
        <v xml:space="preserve">Glassinum Office
</v>
      </c>
      <c r="O101" s="16" t="s">
        <v>78</v>
      </c>
      <c r="P101" s="14">
        <v>3</v>
      </c>
      <c r="Q101" s="25">
        <v>44918</v>
      </c>
      <c r="R101" s="17"/>
      <c r="S101" s="17"/>
      <c r="T101" s="16" t="s">
        <v>101</v>
      </c>
      <c r="U101" s="17" t="str">
        <f t="shared" si="2"/>
        <v xml:space="preserve">Glassinum Office
</v>
      </c>
      <c r="V101" s="16" t="s">
        <v>78</v>
      </c>
      <c r="W101" s="16">
        <v>4</v>
      </c>
      <c r="X101" s="25">
        <v>44932</v>
      </c>
      <c r="Y101" s="16">
        <v>4</v>
      </c>
      <c r="Z101" s="29">
        <v>0.24374999999999999</v>
      </c>
      <c r="AA101" s="16" t="s">
        <v>190</v>
      </c>
      <c r="AB101" s="18" t="str">
        <f t="shared" si="3"/>
        <v xml:space="preserve">Glassinum Office
</v>
      </c>
      <c r="AC101" s="19" t="s">
        <v>7</v>
      </c>
      <c r="AD101" s="19">
        <v>5</v>
      </c>
      <c r="AE101" s="27">
        <v>44935</v>
      </c>
      <c r="AF101" s="18"/>
      <c r="AG101" s="18"/>
      <c r="AH101" s="16" t="s">
        <v>86</v>
      </c>
      <c r="AI101" s="18"/>
      <c r="AJ101" s="16" t="s">
        <v>78</v>
      </c>
      <c r="AK101" s="19">
        <v>6</v>
      </c>
      <c r="AL101" s="27">
        <v>44939</v>
      </c>
      <c r="AM101" s="47"/>
      <c r="AN101" s="47">
        <v>0.16666666666666666</v>
      </c>
      <c r="AO101" s="19" t="s">
        <v>86</v>
      </c>
      <c r="AP101" s="18"/>
      <c r="AQ101" s="19" t="s">
        <v>98</v>
      </c>
      <c r="AR101" s="19">
        <v>7</v>
      </c>
      <c r="AS101" s="27">
        <v>44953</v>
      </c>
      <c r="AT101" s="18"/>
      <c r="AU101" s="18"/>
      <c r="AV101" s="19" t="s">
        <v>86</v>
      </c>
      <c r="AW101" s="18"/>
      <c r="AX101" s="16" t="s">
        <v>98</v>
      </c>
      <c r="AY101" s="19" t="s">
        <v>79</v>
      </c>
      <c r="AZ101" s="20" t="s">
        <v>100</v>
      </c>
      <c r="BA101" s="19" t="s">
        <v>75</v>
      </c>
      <c r="BB101" s="19" t="s">
        <v>75</v>
      </c>
      <c r="BC101" s="19" t="s">
        <v>86</v>
      </c>
      <c r="BD101" s="19" t="s">
        <v>78</v>
      </c>
      <c r="BE101" s="19" t="s">
        <v>79</v>
      </c>
      <c r="BF101" s="20" t="s">
        <v>102</v>
      </c>
      <c r="BG101" s="19" t="s">
        <v>75</v>
      </c>
      <c r="BH101" s="19" t="s">
        <v>75</v>
      </c>
      <c r="BI101" s="19" t="s">
        <v>86</v>
      </c>
      <c r="BJ101" s="12"/>
      <c r="BK101" s="12"/>
      <c r="BL101" s="12"/>
      <c r="BM101" s="9"/>
      <c r="BN101" s="9"/>
      <c r="BO101" s="9"/>
      <c r="BP101" s="12"/>
      <c r="BQ101" s="12"/>
      <c r="BR101" s="12"/>
      <c r="BS101" s="12"/>
      <c r="BT101" s="12"/>
      <c r="BU101" s="12"/>
      <c r="BV101" s="12"/>
      <c r="BW101" s="12"/>
      <c r="BX101" s="12"/>
      <c r="BY101" s="9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</row>
    <row r="102" spans="1:88" ht="40.5" customHeight="1">
      <c r="A102" s="9">
        <f t="shared" si="0"/>
        <v>100</v>
      </c>
      <c r="B102" s="9" t="str">
        <f t="shared" si="5"/>
        <v xml:space="preserve">MA
</v>
      </c>
      <c r="C102" s="9" t="s">
        <v>412</v>
      </c>
      <c r="D102" s="9" t="s">
        <v>95</v>
      </c>
      <c r="E102" s="12">
        <v>0</v>
      </c>
      <c r="F102" s="12">
        <v>0</v>
      </c>
      <c r="G102" s="9" t="s">
        <v>89</v>
      </c>
      <c r="H102" s="12"/>
      <c r="I102" s="9" t="s">
        <v>413</v>
      </c>
      <c r="J102" s="9" t="s">
        <v>414</v>
      </c>
      <c r="K102" s="11" t="s">
        <v>415</v>
      </c>
      <c r="L102" s="12"/>
      <c r="M102" s="12"/>
      <c r="N102" s="13" t="str">
        <f t="shared" si="1"/>
        <v xml:space="preserve">Daaboul Engineering sal
</v>
      </c>
      <c r="O102" s="16" t="s">
        <v>78</v>
      </c>
      <c r="P102" s="14">
        <v>4</v>
      </c>
      <c r="Q102" s="25">
        <v>44918</v>
      </c>
      <c r="R102" s="14">
        <v>3</v>
      </c>
      <c r="S102" s="26">
        <v>5.7638888888888892E-2</v>
      </c>
      <c r="T102" s="16" t="s">
        <v>86</v>
      </c>
      <c r="U102" s="17" t="str">
        <f t="shared" si="2"/>
        <v xml:space="preserve">Daaboul Engineering sal
</v>
      </c>
      <c r="V102" s="16" t="s">
        <v>78</v>
      </c>
      <c r="W102" s="16">
        <v>5</v>
      </c>
      <c r="X102" s="25">
        <v>44932</v>
      </c>
      <c r="Y102" s="13"/>
      <c r="Z102" s="13"/>
      <c r="AA102" s="16" t="s">
        <v>101</v>
      </c>
      <c r="AB102" s="18" t="str">
        <f t="shared" si="3"/>
        <v xml:space="preserve">Daaboul Engineering sal
</v>
      </c>
      <c r="AC102" s="19" t="s">
        <v>78</v>
      </c>
      <c r="AD102" s="19">
        <v>6</v>
      </c>
      <c r="AE102" s="27">
        <v>44939</v>
      </c>
      <c r="AF102" s="18"/>
      <c r="AG102" s="18"/>
      <c r="AH102" s="16" t="s">
        <v>101</v>
      </c>
      <c r="AI102" s="18"/>
      <c r="AJ102" s="16" t="s">
        <v>98</v>
      </c>
      <c r="AK102" s="19">
        <v>7</v>
      </c>
      <c r="AL102" s="27">
        <v>44953</v>
      </c>
      <c r="AM102" s="18"/>
      <c r="AN102" s="18"/>
      <c r="AO102" s="19" t="s">
        <v>86</v>
      </c>
      <c r="AP102" s="18"/>
      <c r="AQ102" s="19" t="s">
        <v>78</v>
      </c>
      <c r="AR102" s="19" t="s">
        <v>79</v>
      </c>
      <c r="AS102" s="20" t="s">
        <v>100</v>
      </c>
      <c r="AT102" s="19" t="s">
        <v>75</v>
      </c>
      <c r="AU102" s="19" t="s">
        <v>75</v>
      </c>
      <c r="AV102" s="19" t="s">
        <v>101</v>
      </c>
      <c r="AW102" s="18"/>
      <c r="AX102" s="16" t="s">
        <v>98</v>
      </c>
      <c r="AY102" s="19" t="s">
        <v>79</v>
      </c>
      <c r="AZ102" s="20" t="s">
        <v>102</v>
      </c>
      <c r="BA102" s="19" t="s">
        <v>75</v>
      </c>
      <c r="BB102" s="19" t="s">
        <v>75</v>
      </c>
      <c r="BC102" s="19" t="s">
        <v>86</v>
      </c>
      <c r="BD102" s="18"/>
      <c r="BE102" s="18"/>
      <c r="BF102" s="18"/>
      <c r="BG102" s="18"/>
      <c r="BH102" s="18"/>
      <c r="BI102" s="18"/>
      <c r="BJ102" s="12"/>
      <c r="BK102" s="12"/>
      <c r="BL102" s="12"/>
      <c r="BM102" s="9"/>
      <c r="BN102" s="9"/>
      <c r="BO102" s="9"/>
      <c r="BP102" s="12"/>
      <c r="BQ102" s="12"/>
      <c r="BR102" s="12"/>
      <c r="BS102" s="12"/>
      <c r="BT102" s="12"/>
      <c r="BU102" s="12"/>
      <c r="BV102" s="12"/>
      <c r="BW102" s="12"/>
      <c r="BX102" s="12"/>
      <c r="BY102" s="9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</row>
    <row r="103" spans="1:88" ht="40.5" customHeight="1">
      <c r="A103" s="9">
        <f t="shared" si="0"/>
        <v>101</v>
      </c>
      <c r="B103" s="9" t="str">
        <f t="shared" si="5"/>
        <v xml:space="preserve">MA
</v>
      </c>
      <c r="C103" s="9" t="s">
        <v>416</v>
      </c>
      <c r="D103" s="9" t="s">
        <v>95</v>
      </c>
      <c r="E103" s="12">
        <v>0</v>
      </c>
      <c r="F103" s="12">
        <v>0</v>
      </c>
      <c r="G103" s="9" t="s">
        <v>89</v>
      </c>
      <c r="H103" s="12"/>
      <c r="I103" s="9" t="s">
        <v>417</v>
      </c>
      <c r="J103" s="9" t="s">
        <v>418</v>
      </c>
      <c r="K103" s="12"/>
      <c r="L103" s="12"/>
      <c r="M103" s="12"/>
      <c r="N103" s="13" t="str">
        <f t="shared" si="1"/>
        <v xml:space="preserve">Hijazi Aluminum &amp; Glass
</v>
      </c>
      <c r="O103" s="16" t="s">
        <v>78</v>
      </c>
      <c r="P103" s="14">
        <v>4</v>
      </c>
      <c r="Q103" s="25">
        <v>44918</v>
      </c>
      <c r="R103" s="14">
        <v>4</v>
      </c>
      <c r="S103" s="26">
        <v>0.11805555555555555</v>
      </c>
      <c r="T103" s="16" t="s">
        <v>86</v>
      </c>
      <c r="U103" s="17" t="str">
        <f t="shared" si="2"/>
        <v xml:space="preserve">Hijazi Aluminum &amp; Glass
</v>
      </c>
      <c r="V103" s="16" t="s">
        <v>78</v>
      </c>
      <c r="W103" s="16">
        <v>5</v>
      </c>
      <c r="X103" s="25">
        <v>44932</v>
      </c>
      <c r="Y103" s="16">
        <v>4</v>
      </c>
      <c r="Z103" s="29">
        <v>5.6944444444444443E-2</v>
      </c>
      <c r="AA103" s="16" t="s">
        <v>190</v>
      </c>
      <c r="AB103" s="18" t="str">
        <f t="shared" si="3"/>
        <v xml:space="preserve">Hijazi Aluminum &amp; Glass
</v>
      </c>
      <c r="AC103" s="19" t="s">
        <v>78</v>
      </c>
      <c r="AD103" s="19">
        <v>6</v>
      </c>
      <c r="AE103" s="27">
        <v>44939</v>
      </c>
      <c r="AF103" s="18"/>
      <c r="AG103" s="18"/>
      <c r="AH103" s="16" t="s">
        <v>86</v>
      </c>
      <c r="AI103" s="18"/>
      <c r="AJ103" s="16" t="s">
        <v>98</v>
      </c>
      <c r="AK103" s="19">
        <v>7</v>
      </c>
      <c r="AL103" s="27">
        <v>44953</v>
      </c>
      <c r="AM103" s="18"/>
      <c r="AN103" s="18"/>
      <c r="AO103" s="19" t="s">
        <v>86</v>
      </c>
      <c r="AP103" s="18"/>
      <c r="AQ103" s="19" t="s">
        <v>78</v>
      </c>
      <c r="AR103" s="19" t="s">
        <v>79</v>
      </c>
      <c r="AS103" s="20" t="s">
        <v>100</v>
      </c>
      <c r="AT103" s="19" t="s">
        <v>75</v>
      </c>
      <c r="AU103" s="19" t="s">
        <v>75</v>
      </c>
      <c r="AV103" s="19" t="s">
        <v>101</v>
      </c>
      <c r="AW103" s="18"/>
      <c r="AX103" s="16" t="s">
        <v>98</v>
      </c>
      <c r="AY103" s="19" t="s">
        <v>79</v>
      </c>
      <c r="AZ103" s="20" t="s">
        <v>102</v>
      </c>
      <c r="BA103" s="19" t="s">
        <v>75</v>
      </c>
      <c r="BB103" s="19" t="s">
        <v>75</v>
      </c>
      <c r="BC103" s="19" t="s">
        <v>86</v>
      </c>
      <c r="BD103" s="18"/>
      <c r="BE103" s="18"/>
      <c r="BF103" s="18"/>
      <c r="BG103" s="18"/>
      <c r="BH103" s="18"/>
      <c r="BI103" s="18"/>
      <c r="BJ103" s="12"/>
      <c r="BK103" s="12"/>
      <c r="BL103" s="12"/>
      <c r="BM103" s="9"/>
      <c r="BN103" s="9"/>
      <c r="BO103" s="9"/>
      <c r="BP103" s="12"/>
      <c r="BQ103" s="12"/>
      <c r="BR103" s="12"/>
      <c r="BS103" s="12"/>
      <c r="BT103" s="12"/>
      <c r="BU103" s="12"/>
      <c r="BV103" s="12"/>
      <c r="BW103" s="12"/>
      <c r="BX103" s="12"/>
      <c r="BY103" s="9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</row>
    <row r="104" spans="1:88" ht="40.5" customHeight="1">
      <c r="A104" s="9">
        <f t="shared" si="0"/>
        <v>102</v>
      </c>
      <c r="B104" s="9" t="str">
        <f t="shared" si="5"/>
        <v xml:space="preserve">MA
</v>
      </c>
      <c r="C104" s="9" t="s">
        <v>419</v>
      </c>
      <c r="D104" s="9" t="s">
        <v>95</v>
      </c>
      <c r="E104" s="12">
        <v>0</v>
      </c>
      <c r="F104" s="12">
        <v>0</v>
      </c>
      <c r="G104" s="9" t="s">
        <v>89</v>
      </c>
      <c r="H104" s="12"/>
      <c r="I104" s="9" t="s">
        <v>420</v>
      </c>
      <c r="J104" s="9" t="s">
        <v>421</v>
      </c>
      <c r="K104" s="22" t="s">
        <v>422</v>
      </c>
      <c r="L104" s="12"/>
      <c r="M104" s="12"/>
      <c r="N104" s="13" t="str">
        <f t="shared" si="1"/>
        <v xml:space="preserve">Glassline -Design &amp; Build Facade Contractor - Aluminum &amp; Glass Company
</v>
      </c>
      <c r="O104" s="16" t="s">
        <v>78</v>
      </c>
      <c r="P104" s="14">
        <v>4</v>
      </c>
      <c r="Q104" s="25">
        <v>44918</v>
      </c>
      <c r="R104" s="17"/>
      <c r="S104" s="26">
        <v>0.14652777777777778</v>
      </c>
      <c r="T104" s="16" t="s">
        <v>145</v>
      </c>
      <c r="U104" s="17" t="str">
        <f t="shared" si="2"/>
        <v xml:space="preserve">Glassline -Design &amp; Build Facade Contractor - Aluminum &amp; Glass Company
</v>
      </c>
      <c r="V104" s="16" t="s">
        <v>7</v>
      </c>
      <c r="W104" s="16" t="s">
        <v>79</v>
      </c>
      <c r="X104" s="15" t="s">
        <v>100</v>
      </c>
      <c r="Y104" s="16" t="s">
        <v>75</v>
      </c>
      <c r="Z104" s="16" t="s">
        <v>75</v>
      </c>
      <c r="AA104" s="16" t="s">
        <v>86</v>
      </c>
      <c r="AB104" s="18" t="str">
        <f t="shared" si="3"/>
        <v xml:space="preserve">Glassline -Design &amp; Build Facade Contractor - Aluminum &amp; Glass Company
</v>
      </c>
      <c r="AC104" s="18"/>
      <c r="AD104" s="18"/>
      <c r="AE104" s="18"/>
      <c r="AF104" s="18"/>
      <c r="AG104" s="18"/>
      <c r="AH104" s="13"/>
      <c r="AI104" s="18"/>
      <c r="AJ104" s="13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3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2"/>
      <c r="BK104" s="12"/>
      <c r="BL104" s="12"/>
      <c r="BM104" s="9"/>
      <c r="BN104" s="9"/>
      <c r="BO104" s="9"/>
      <c r="BP104" s="12"/>
      <c r="BQ104" s="12"/>
      <c r="BR104" s="12"/>
      <c r="BS104" s="12"/>
      <c r="BT104" s="12"/>
      <c r="BU104" s="12"/>
      <c r="BV104" s="12"/>
      <c r="BW104" s="12"/>
      <c r="BX104" s="12"/>
      <c r="BY104" s="9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</row>
    <row r="105" spans="1:88" ht="40.5" customHeight="1">
      <c r="A105" s="9">
        <f t="shared" si="0"/>
        <v>103</v>
      </c>
      <c r="B105" s="9" t="str">
        <f t="shared" si="5"/>
        <v xml:space="preserve">MA
</v>
      </c>
      <c r="C105" s="9" t="s">
        <v>423</v>
      </c>
      <c r="D105" s="9" t="s">
        <v>95</v>
      </c>
      <c r="E105" s="12">
        <v>0</v>
      </c>
      <c r="F105" s="12">
        <v>0</v>
      </c>
      <c r="G105" s="9" t="s">
        <v>89</v>
      </c>
      <c r="H105" s="12"/>
      <c r="I105" s="9" t="s">
        <v>424</v>
      </c>
      <c r="J105" s="9" t="s">
        <v>425</v>
      </c>
      <c r="K105" s="11" t="s">
        <v>426</v>
      </c>
      <c r="L105" s="12"/>
      <c r="M105" s="12"/>
      <c r="N105" s="13" t="str">
        <f t="shared" si="1"/>
        <v xml:space="preserve">AMA.sarl
</v>
      </c>
      <c r="O105" s="16" t="s">
        <v>78</v>
      </c>
      <c r="P105" s="14">
        <v>4</v>
      </c>
      <c r="Q105" s="25">
        <v>44918</v>
      </c>
      <c r="R105" s="17"/>
      <c r="S105" s="17"/>
      <c r="T105" s="16" t="s">
        <v>101</v>
      </c>
      <c r="U105" s="17" t="str">
        <f t="shared" si="2"/>
        <v xml:space="preserve">AMA.sarl
</v>
      </c>
      <c r="V105" s="16" t="s">
        <v>78</v>
      </c>
      <c r="W105" s="16" t="s">
        <v>79</v>
      </c>
      <c r="X105" s="15" t="s">
        <v>100</v>
      </c>
      <c r="Y105" s="16" t="s">
        <v>75</v>
      </c>
      <c r="Z105" s="16" t="s">
        <v>75</v>
      </c>
      <c r="AA105" s="16" t="s">
        <v>101</v>
      </c>
      <c r="AB105" s="18" t="str">
        <f t="shared" si="3"/>
        <v xml:space="preserve">AMA.sarl
</v>
      </c>
      <c r="AC105" s="19" t="s">
        <v>78</v>
      </c>
      <c r="AD105" s="19" t="s">
        <v>79</v>
      </c>
      <c r="AE105" s="20" t="s">
        <v>102</v>
      </c>
      <c r="AF105" s="19" t="s">
        <v>75</v>
      </c>
      <c r="AG105" s="19" t="s">
        <v>75</v>
      </c>
      <c r="AH105" s="16" t="s">
        <v>101</v>
      </c>
      <c r="AI105" s="18"/>
      <c r="AJ105" s="13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3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2"/>
      <c r="BK105" s="12"/>
      <c r="BL105" s="12"/>
      <c r="BM105" s="9"/>
      <c r="BN105" s="9"/>
      <c r="BO105" s="9"/>
      <c r="BP105" s="12"/>
      <c r="BQ105" s="12"/>
      <c r="BR105" s="12"/>
      <c r="BS105" s="12"/>
      <c r="BT105" s="12"/>
      <c r="BU105" s="12"/>
      <c r="BV105" s="12"/>
      <c r="BW105" s="12"/>
      <c r="BX105" s="12"/>
      <c r="BY105" s="9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</row>
    <row r="106" spans="1:88" ht="40.5" customHeight="1">
      <c r="A106" s="9">
        <f t="shared" si="0"/>
        <v>104</v>
      </c>
      <c r="B106" s="9" t="str">
        <f t="shared" si="5"/>
        <v xml:space="preserve">MA
</v>
      </c>
      <c r="C106" s="9" t="s">
        <v>427</v>
      </c>
      <c r="D106" s="9" t="s">
        <v>95</v>
      </c>
      <c r="E106" s="12">
        <v>0</v>
      </c>
      <c r="F106" s="12">
        <v>0</v>
      </c>
      <c r="G106" s="9" t="s">
        <v>89</v>
      </c>
      <c r="H106" s="12"/>
      <c r="I106" s="9" t="s">
        <v>428</v>
      </c>
      <c r="J106" s="9" t="s">
        <v>429</v>
      </c>
      <c r="K106" s="12"/>
      <c r="L106" s="12"/>
      <c r="M106" s="12"/>
      <c r="N106" s="13" t="str">
        <f t="shared" si="1"/>
        <v xml:space="preserve">E_ glass
</v>
      </c>
      <c r="O106" s="16" t="s">
        <v>78</v>
      </c>
      <c r="P106" s="14">
        <v>4</v>
      </c>
      <c r="Q106" s="25">
        <v>44918</v>
      </c>
      <c r="R106" s="17"/>
      <c r="S106" s="17"/>
      <c r="T106" s="16" t="s">
        <v>101</v>
      </c>
      <c r="U106" s="17" t="str">
        <f t="shared" si="2"/>
        <v xml:space="preserve">E_ glass
</v>
      </c>
      <c r="V106" s="16" t="s">
        <v>98</v>
      </c>
      <c r="W106" s="16" t="s">
        <v>79</v>
      </c>
      <c r="X106" s="15" t="s">
        <v>100</v>
      </c>
      <c r="Y106" s="16" t="s">
        <v>75</v>
      </c>
      <c r="Z106" s="16" t="s">
        <v>75</v>
      </c>
      <c r="AA106" s="16" t="s">
        <v>86</v>
      </c>
      <c r="AB106" s="18" t="str">
        <f t="shared" si="3"/>
        <v xml:space="preserve">E_ glass
</v>
      </c>
      <c r="AC106" s="19" t="s">
        <v>98</v>
      </c>
      <c r="AD106" s="19" t="s">
        <v>79</v>
      </c>
      <c r="AE106" s="20" t="s">
        <v>102</v>
      </c>
      <c r="AF106" s="19" t="s">
        <v>75</v>
      </c>
      <c r="AG106" s="19" t="s">
        <v>75</v>
      </c>
      <c r="AH106" s="16" t="s">
        <v>86</v>
      </c>
      <c r="AI106" s="18"/>
      <c r="AJ106" s="13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3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2"/>
      <c r="BK106" s="12"/>
      <c r="BL106" s="12"/>
      <c r="BM106" s="9"/>
      <c r="BN106" s="9"/>
      <c r="BO106" s="9"/>
      <c r="BP106" s="12"/>
      <c r="BQ106" s="12"/>
      <c r="BR106" s="12"/>
      <c r="BS106" s="12"/>
      <c r="BT106" s="12"/>
      <c r="BU106" s="12"/>
      <c r="BV106" s="12"/>
      <c r="BW106" s="12"/>
      <c r="BX106" s="12"/>
      <c r="BY106" s="9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</row>
    <row r="107" spans="1:88" ht="40.5" customHeight="1">
      <c r="A107" s="9">
        <f t="shared" si="0"/>
        <v>105</v>
      </c>
      <c r="B107" s="9" t="str">
        <f t="shared" si="5"/>
        <v xml:space="preserve">MA
</v>
      </c>
      <c r="C107" s="9" t="s">
        <v>430</v>
      </c>
      <c r="D107" s="9" t="s">
        <v>431</v>
      </c>
      <c r="E107" s="12">
        <v>0</v>
      </c>
      <c r="F107" s="9">
        <v>1</v>
      </c>
      <c r="G107" s="9" t="s">
        <v>89</v>
      </c>
      <c r="H107" s="12"/>
      <c r="I107" s="9" t="s">
        <v>432</v>
      </c>
      <c r="J107" s="12"/>
      <c r="K107" s="22" t="s">
        <v>433</v>
      </c>
      <c r="L107" s="12"/>
      <c r="M107" s="12"/>
      <c r="N107" s="13" t="str">
        <f t="shared" si="1"/>
        <v xml:space="preserve">4 Star Windows
</v>
      </c>
      <c r="O107" s="16" t="s">
        <v>78</v>
      </c>
      <c r="P107" s="14">
        <v>1</v>
      </c>
      <c r="Q107" s="25">
        <v>44918</v>
      </c>
      <c r="R107" s="14">
        <v>4</v>
      </c>
      <c r="S107" s="26">
        <v>0.21319444444444444</v>
      </c>
      <c r="T107" s="16" t="s">
        <v>108</v>
      </c>
      <c r="U107" s="17" t="str">
        <f t="shared" si="2"/>
        <v xml:space="preserve">4 Star Windows
</v>
      </c>
      <c r="V107" s="16" t="s">
        <v>98</v>
      </c>
      <c r="W107" s="16">
        <v>2</v>
      </c>
      <c r="X107" s="25">
        <v>44925</v>
      </c>
      <c r="Y107" s="13"/>
      <c r="Z107" s="13"/>
      <c r="AA107" s="16" t="s">
        <v>86</v>
      </c>
      <c r="AB107" s="18" t="str">
        <f t="shared" si="3"/>
        <v xml:space="preserve">4 Star Windows
</v>
      </c>
      <c r="AC107" s="19" t="s">
        <v>78</v>
      </c>
      <c r="AD107" s="19">
        <v>3</v>
      </c>
      <c r="AE107" s="27">
        <v>44939</v>
      </c>
      <c r="AF107" s="18"/>
      <c r="AG107" s="18"/>
      <c r="AH107" s="16" t="s">
        <v>86</v>
      </c>
      <c r="AI107" s="18"/>
      <c r="AJ107" s="16" t="s">
        <v>98</v>
      </c>
      <c r="AK107" s="20" t="s">
        <v>359</v>
      </c>
      <c r="AL107" s="20" t="s">
        <v>139</v>
      </c>
      <c r="AM107" s="19" t="s">
        <v>75</v>
      </c>
      <c r="AN107" s="19" t="s">
        <v>75</v>
      </c>
      <c r="AO107" s="19" t="s">
        <v>86</v>
      </c>
      <c r="AP107" s="18"/>
      <c r="AQ107" s="18"/>
      <c r="AR107" s="18"/>
      <c r="AS107" s="18"/>
      <c r="AT107" s="18"/>
      <c r="AU107" s="18"/>
      <c r="AV107" s="18"/>
      <c r="AW107" s="18"/>
      <c r="AX107" s="13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2"/>
      <c r="BK107" s="12"/>
      <c r="BL107" s="12"/>
      <c r="BM107" s="9"/>
      <c r="BN107" s="9"/>
      <c r="BO107" s="9"/>
      <c r="BP107" s="12"/>
      <c r="BQ107" s="12"/>
      <c r="BR107" s="12"/>
      <c r="BS107" s="12"/>
      <c r="BT107" s="12"/>
      <c r="BU107" s="12"/>
      <c r="BV107" s="12"/>
      <c r="BW107" s="12"/>
      <c r="BX107" s="12"/>
      <c r="BY107" s="9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</row>
    <row r="108" spans="1:88" ht="40.5" customHeight="1">
      <c r="A108" s="9">
        <f t="shared" si="0"/>
        <v>106</v>
      </c>
      <c r="B108" s="9" t="str">
        <f t="shared" si="5"/>
        <v xml:space="preserve">MA
</v>
      </c>
      <c r="C108" s="24" t="s">
        <v>434</v>
      </c>
      <c r="D108" s="9" t="s">
        <v>431</v>
      </c>
      <c r="E108" s="9">
        <v>1</v>
      </c>
      <c r="F108" s="12">
        <v>0</v>
      </c>
      <c r="G108" s="9" t="s">
        <v>89</v>
      </c>
      <c r="H108" s="12"/>
      <c r="I108" s="12"/>
      <c r="J108" s="12"/>
      <c r="K108" s="12"/>
      <c r="L108" s="12"/>
      <c r="M108" s="12"/>
      <c r="N108" s="13" t="str">
        <f t="shared" si="1"/>
        <v xml:space="preserve">MHB | Dutch masters of steel since 1667
</v>
      </c>
      <c r="O108" s="16" t="s">
        <v>78</v>
      </c>
      <c r="P108" s="14">
        <v>1</v>
      </c>
      <c r="Q108" s="25">
        <v>44918</v>
      </c>
      <c r="R108" s="14">
        <v>1</v>
      </c>
      <c r="S108" s="26">
        <v>6.5972222222222224E-2</v>
      </c>
      <c r="T108" s="16" t="s">
        <v>4</v>
      </c>
      <c r="U108" s="17" t="str">
        <f t="shared" si="2"/>
        <v xml:space="preserve">MHB | Dutch masters of steel since 1667
</v>
      </c>
      <c r="V108" s="13"/>
      <c r="W108" s="13"/>
      <c r="X108" s="13"/>
      <c r="Y108" s="13"/>
      <c r="Z108" s="13"/>
      <c r="AA108" s="13"/>
      <c r="AB108" s="18" t="str">
        <f t="shared" si="3"/>
        <v xml:space="preserve">MHB | Dutch masters of steel since 1667
</v>
      </c>
      <c r="AC108" s="18"/>
      <c r="AD108" s="18"/>
      <c r="AE108" s="18"/>
      <c r="AF108" s="18"/>
      <c r="AG108" s="18"/>
      <c r="AH108" s="13"/>
      <c r="AI108" s="18"/>
      <c r="AJ108" s="13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3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2"/>
      <c r="BK108" s="12"/>
      <c r="BL108" s="12"/>
      <c r="BM108" s="9"/>
      <c r="BN108" s="9"/>
      <c r="BO108" s="9"/>
      <c r="BP108" s="12"/>
      <c r="BQ108" s="12"/>
      <c r="BR108" s="12"/>
      <c r="BS108" s="12"/>
      <c r="BT108" s="12"/>
      <c r="BU108" s="12"/>
      <c r="BV108" s="12"/>
      <c r="BW108" s="12"/>
      <c r="BX108" s="12"/>
      <c r="BY108" s="9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</row>
    <row r="109" spans="1:88" ht="40.5" customHeight="1">
      <c r="A109" s="9">
        <f t="shared" si="0"/>
        <v>107</v>
      </c>
      <c r="B109" s="9" t="str">
        <f t="shared" si="5"/>
        <v xml:space="preserve">MA
</v>
      </c>
      <c r="C109" s="24" t="s">
        <v>435</v>
      </c>
      <c r="D109" s="9" t="s">
        <v>431</v>
      </c>
      <c r="E109" s="9">
        <v>1</v>
      </c>
      <c r="F109" s="12">
        <v>0</v>
      </c>
      <c r="G109" s="9" t="s">
        <v>89</v>
      </c>
      <c r="H109" s="12"/>
      <c r="I109" s="12"/>
      <c r="J109" s="12"/>
      <c r="K109" s="12"/>
      <c r="L109" s="12"/>
      <c r="M109" s="12"/>
      <c r="N109" s="13" t="str">
        <f t="shared" si="1"/>
        <v xml:space="preserve">Q Windows
</v>
      </c>
      <c r="O109" s="16" t="s">
        <v>78</v>
      </c>
      <c r="P109" s="14">
        <v>1</v>
      </c>
      <c r="Q109" s="25">
        <v>44918</v>
      </c>
      <c r="R109" s="17"/>
      <c r="S109" s="26">
        <v>5.5555555555555552E-2</v>
      </c>
      <c r="T109" s="16" t="s">
        <v>4</v>
      </c>
      <c r="U109" s="17" t="str">
        <f t="shared" si="2"/>
        <v xml:space="preserve">Q Windows
</v>
      </c>
      <c r="V109" s="13"/>
      <c r="W109" s="13"/>
      <c r="X109" s="13"/>
      <c r="Y109" s="13"/>
      <c r="Z109" s="13"/>
      <c r="AA109" s="13"/>
      <c r="AB109" s="18" t="str">
        <f t="shared" si="3"/>
        <v xml:space="preserve">Q Windows
</v>
      </c>
      <c r="AC109" s="18"/>
      <c r="AD109" s="18"/>
      <c r="AE109" s="18"/>
      <c r="AF109" s="18"/>
      <c r="AG109" s="18"/>
      <c r="AH109" s="13"/>
      <c r="AI109" s="18"/>
      <c r="AJ109" s="13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3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2"/>
      <c r="BK109" s="12"/>
      <c r="BL109" s="12"/>
      <c r="BM109" s="9"/>
      <c r="BN109" s="9"/>
      <c r="BO109" s="9"/>
      <c r="BP109" s="12"/>
      <c r="BQ109" s="12"/>
      <c r="BR109" s="12"/>
      <c r="BS109" s="12"/>
      <c r="BT109" s="12"/>
      <c r="BU109" s="12"/>
      <c r="BV109" s="12"/>
      <c r="BW109" s="12"/>
      <c r="BX109" s="12"/>
      <c r="BY109" s="9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</row>
    <row r="110" spans="1:88" ht="40.5" customHeight="1">
      <c r="A110" s="9">
        <f t="shared" si="0"/>
        <v>108</v>
      </c>
      <c r="B110" s="9" t="str">
        <f t="shared" si="5"/>
        <v xml:space="preserve">MA
</v>
      </c>
      <c r="C110" s="9" t="s">
        <v>436</v>
      </c>
      <c r="D110" s="9" t="s">
        <v>431</v>
      </c>
      <c r="E110" s="12">
        <v>0</v>
      </c>
      <c r="F110" s="12">
        <v>0</v>
      </c>
      <c r="G110" s="9" t="s">
        <v>89</v>
      </c>
      <c r="H110" s="12"/>
      <c r="I110" s="12">
        <f>31481745274</f>
        <v>31481745274</v>
      </c>
      <c r="J110" s="12"/>
      <c r="K110" s="22" t="s">
        <v>437</v>
      </c>
      <c r="L110" s="12"/>
      <c r="M110" s="12"/>
      <c r="N110" s="13" t="str">
        <f t="shared" si="1"/>
        <v xml:space="preserve">Perfect View B.V.
</v>
      </c>
      <c r="O110" s="16" t="s">
        <v>78</v>
      </c>
      <c r="P110" s="14">
        <v>1</v>
      </c>
      <c r="Q110" s="25">
        <v>44918</v>
      </c>
      <c r="R110" s="17"/>
      <c r="S110" s="17"/>
      <c r="T110" s="16" t="s">
        <v>126</v>
      </c>
      <c r="U110" s="17" t="str">
        <f t="shared" si="2"/>
        <v xml:space="preserve">Perfect View B.V.
</v>
      </c>
      <c r="V110" s="13"/>
      <c r="W110" s="13"/>
      <c r="X110" s="13"/>
      <c r="Y110" s="13"/>
      <c r="Z110" s="13"/>
      <c r="AA110" s="13"/>
      <c r="AB110" s="18" t="str">
        <f t="shared" si="3"/>
        <v xml:space="preserve">Perfect View B.V.
</v>
      </c>
      <c r="AC110" s="18"/>
      <c r="AD110" s="18"/>
      <c r="AE110" s="18"/>
      <c r="AF110" s="18"/>
      <c r="AG110" s="18"/>
      <c r="AH110" s="13"/>
      <c r="AI110" s="18"/>
      <c r="AJ110" s="13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3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2"/>
      <c r="BK110" s="12"/>
      <c r="BL110" s="12"/>
      <c r="BM110" s="9"/>
      <c r="BN110" s="9"/>
      <c r="BO110" s="9"/>
      <c r="BP110" s="12"/>
      <c r="BQ110" s="12"/>
      <c r="BR110" s="12"/>
      <c r="BS110" s="12"/>
      <c r="BT110" s="12"/>
      <c r="BU110" s="12"/>
      <c r="BV110" s="12"/>
      <c r="BW110" s="12"/>
      <c r="BX110" s="12"/>
      <c r="BY110" s="9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</row>
    <row r="111" spans="1:88" ht="40.5" customHeight="1">
      <c r="A111" s="9">
        <f t="shared" si="0"/>
        <v>109</v>
      </c>
      <c r="B111" s="9" t="str">
        <f t="shared" si="5"/>
        <v xml:space="preserve">MA
</v>
      </c>
      <c r="C111" s="9" t="s">
        <v>438</v>
      </c>
      <c r="D111" s="9" t="s">
        <v>431</v>
      </c>
      <c r="E111" s="12">
        <v>0</v>
      </c>
      <c r="F111" s="12">
        <v>0</v>
      </c>
      <c r="G111" s="9" t="s">
        <v>89</v>
      </c>
      <c r="H111" s="9" t="s">
        <v>439</v>
      </c>
      <c r="I111" s="12">
        <f>31226341525</f>
        <v>31226341525</v>
      </c>
      <c r="J111" s="12"/>
      <c r="K111" s="22" t="s">
        <v>440</v>
      </c>
      <c r="L111" s="12"/>
      <c r="M111" s="12"/>
      <c r="N111" s="13" t="str">
        <f t="shared" si="1"/>
        <v xml:space="preserve">INTAL BV
</v>
      </c>
      <c r="O111" s="16" t="s">
        <v>78</v>
      </c>
      <c r="P111" s="14">
        <v>1</v>
      </c>
      <c r="Q111" s="25">
        <v>44918</v>
      </c>
      <c r="R111" s="14">
        <v>3</v>
      </c>
      <c r="S111" s="26">
        <v>9.2361111111111116E-2</v>
      </c>
      <c r="T111" s="16" t="s">
        <v>81</v>
      </c>
      <c r="U111" s="17" t="str">
        <f t="shared" si="2"/>
        <v xml:space="preserve">INTAL BV
</v>
      </c>
      <c r="V111" s="13"/>
      <c r="W111" s="13"/>
      <c r="X111" s="13"/>
      <c r="Y111" s="13"/>
      <c r="Z111" s="13"/>
      <c r="AA111" s="13"/>
      <c r="AB111" s="18" t="str">
        <f t="shared" si="3"/>
        <v xml:space="preserve">INTAL BV
</v>
      </c>
      <c r="AC111" s="18"/>
      <c r="AD111" s="18"/>
      <c r="AE111" s="18"/>
      <c r="AF111" s="18"/>
      <c r="AG111" s="18"/>
      <c r="AH111" s="13"/>
      <c r="AI111" s="18"/>
      <c r="AJ111" s="13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3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2"/>
      <c r="BK111" s="12"/>
      <c r="BL111" s="12"/>
      <c r="BM111" s="9"/>
      <c r="BN111" s="9"/>
      <c r="BO111" s="9"/>
      <c r="BP111" s="12"/>
      <c r="BQ111" s="12"/>
      <c r="BR111" s="12"/>
      <c r="BS111" s="12"/>
      <c r="BT111" s="12"/>
      <c r="BU111" s="12"/>
      <c r="BV111" s="12"/>
      <c r="BW111" s="12"/>
      <c r="BX111" s="12"/>
      <c r="BY111" s="9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</row>
    <row r="112" spans="1:88" ht="40.5" customHeight="1">
      <c r="A112" s="9">
        <f t="shared" si="0"/>
        <v>110</v>
      </c>
      <c r="B112" s="9" t="str">
        <f t="shared" si="5"/>
        <v xml:space="preserve">MA
</v>
      </c>
      <c r="C112" s="9" t="s">
        <v>441</v>
      </c>
      <c r="D112" s="9" t="s">
        <v>431</v>
      </c>
      <c r="E112" s="12">
        <v>0</v>
      </c>
      <c r="F112" s="12">
        <v>0</v>
      </c>
      <c r="G112" s="9" t="s">
        <v>89</v>
      </c>
      <c r="H112" s="12"/>
      <c r="I112" s="12">
        <f>31402622150</f>
        <v>31402622150</v>
      </c>
      <c r="J112" s="12"/>
      <c r="K112" s="11" t="s">
        <v>442</v>
      </c>
      <c r="L112" s="12"/>
      <c r="M112" s="12"/>
      <c r="N112" s="13" t="str">
        <f t="shared" si="1"/>
        <v xml:space="preserve">EG Veranda
</v>
      </c>
      <c r="O112" s="16" t="s">
        <v>78</v>
      </c>
      <c r="P112" s="14">
        <v>1</v>
      </c>
      <c r="Q112" s="25">
        <v>44918</v>
      </c>
      <c r="R112" s="14">
        <v>2</v>
      </c>
      <c r="S112" s="17"/>
      <c r="T112" s="16" t="s">
        <v>126</v>
      </c>
      <c r="U112" s="17" t="str">
        <f t="shared" si="2"/>
        <v xml:space="preserve">EG Veranda
</v>
      </c>
      <c r="V112" s="13"/>
      <c r="W112" s="13"/>
      <c r="X112" s="13"/>
      <c r="Y112" s="13"/>
      <c r="Z112" s="13"/>
      <c r="AA112" s="13"/>
      <c r="AB112" s="18" t="str">
        <f t="shared" si="3"/>
        <v xml:space="preserve">EG Veranda
</v>
      </c>
      <c r="AC112" s="18"/>
      <c r="AD112" s="18"/>
      <c r="AE112" s="18"/>
      <c r="AF112" s="18"/>
      <c r="AG112" s="18"/>
      <c r="AH112" s="13"/>
      <c r="AI112" s="18"/>
      <c r="AJ112" s="13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3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2"/>
      <c r="BK112" s="12"/>
      <c r="BL112" s="12"/>
      <c r="BM112" s="9"/>
      <c r="BN112" s="9"/>
      <c r="BO112" s="9"/>
      <c r="BP112" s="12"/>
      <c r="BQ112" s="12"/>
      <c r="BR112" s="12"/>
      <c r="BS112" s="12"/>
      <c r="BT112" s="12"/>
      <c r="BU112" s="12"/>
      <c r="BV112" s="12"/>
      <c r="BW112" s="12"/>
      <c r="BX112" s="12"/>
      <c r="BY112" s="9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</row>
    <row r="113" spans="1:88" ht="40.5" customHeight="1">
      <c r="A113" s="9">
        <f t="shared" si="0"/>
        <v>111</v>
      </c>
      <c r="B113" s="9" t="str">
        <f t="shared" si="5"/>
        <v xml:space="preserve">MA
</v>
      </c>
      <c r="C113" s="28" t="s">
        <v>443</v>
      </c>
      <c r="D113" s="9" t="s">
        <v>104</v>
      </c>
      <c r="E113" s="12">
        <v>0</v>
      </c>
      <c r="F113" s="12">
        <v>0</v>
      </c>
      <c r="G113" s="9" t="s">
        <v>89</v>
      </c>
      <c r="H113" s="12"/>
      <c r="I113" s="9" t="s">
        <v>444</v>
      </c>
      <c r="J113" s="12"/>
      <c r="K113" s="12"/>
      <c r="L113" s="12"/>
      <c r="M113" s="12"/>
      <c r="N113" s="13" t="str">
        <f t="shared" si="1"/>
        <v xml:space="preserve">الإبداع للبي في سي و الألمنيوم و المطابخ والرخام
</v>
      </c>
      <c r="O113" s="16" t="s">
        <v>78</v>
      </c>
      <c r="P113" s="14">
        <v>1</v>
      </c>
      <c r="Q113" s="25">
        <v>44919</v>
      </c>
      <c r="R113" s="17"/>
      <c r="S113" s="17"/>
      <c r="T113" s="16" t="s">
        <v>101</v>
      </c>
      <c r="U113" s="17" t="str">
        <f t="shared" si="2"/>
        <v xml:space="preserve">الإبداع للبي في سي و الألمنيوم و المطابخ والرخام
</v>
      </c>
      <c r="V113" s="16" t="s">
        <v>78</v>
      </c>
      <c r="W113" s="16">
        <v>2</v>
      </c>
      <c r="X113" s="25">
        <v>44935</v>
      </c>
      <c r="Y113" s="16">
        <v>5</v>
      </c>
      <c r="Z113" s="29">
        <v>0.70833333333333337</v>
      </c>
      <c r="AA113" s="16" t="s">
        <v>86</v>
      </c>
      <c r="AB113" s="18" t="str">
        <f t="shared" si="3"/>
        <v xml:space="preserve">الإبداع للبي في سي و الألمنيوم و المطابخ والرخام
</v>
      </c>
      <c r="AC113" s="19" t="s">
        <v>78</v>
      </c>
      <c r="AD113" s="19">
        <v>3</v>
      </c>
      <c r="AE113" s="27">
        <v>44956</v>
      </c>
      <c r="AF113" s="19">
        <v>5</v>
      </c>
      <c r="AG113" s="47">
        <v>0.21875</v>
      </c>
      <c r="AH113" s="16" t="s">
        <v>190</v>
      </c>
      <c r="AI113" s="18"/>
      <c r="AJ113" s="13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3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2"/>
      <c r="BK113" s="12"/>
      <c r="BL113" s="12"/>
      <c r="BM113" s="9"/>
      <c r="BN113" s="9"/>
      <c r="BO113" s="9"/>
      <c r="BP113" s="12"/>
      <c r="BQ113" s="12"/>
      <c r="BR113" s="12"/>
      <c r="BS113" s="12"/>
      <c r="BT113" s="12"/>
      <c r="BU113" s="12"/>
      <c r="BV113" s="12"/>
      <c r="BW113" s="12"/>
      <c r="BX113" s="12"/>
      <c r="BY113" s="9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</row>
    <row r="114" spans="1:88" ht="40.5" customHeight="1">
      <c r="A114" s="9">
        <f t="shared" si="0"/>
        <v>112</v>
      </c>
      <c r="B114" s="9" t="str">
        <f t="shared" si="5"/>
        <v xml:space="preserve">MA
</v>
      </c>
      <c r="C114" s="28" t="s">
        <v>445</v>
      </c>
      <c r="D114" s="9" t="s">
        <v>104</v>
      </c>
      <c r="E114" s="12">
        <v>0</v>
      </c>
      <c r="F114" s="12">
        <v>0</v>
      </c>
      <c r="G114" s="9" t="s">
        <v>89</v>
      </c>
      <c r="H114" s="12"/>
      <c r="I114" s="9" t="s">
        <v>446</v>
      </c>
      <c r="J114" s="12"/>
      <c r="K114" s="12"/>
      <c r="L114" s="12"/>
      <c r="M114" s="12"/>
      <c r="N114" s="13" t="str">
        <f t="shared" si="1"/>
        <v xml:space="preserve">شركة نجمة الميدان للمقاولات العامة
</v>
      </c>
      <c r="O114" s="16" t="s">
        <v>78</v>
      </c>
      <c r="P114" s="14">
        <v>1</v>
      </c>
      <c r="Q114" s="25">
        <v>44919</v>
      </c>
      <c r="R114" s="14">
        <v>4</v>
      </c>
      <c r="S114" s="26">
        <v>0.3034722222222222</v>
      </c>
      <c r="T114" s="16" t="s">
        <v>108</v>
      </c>
      <c r="U114" s="17" t="str">
        <f t="shared" si="2"/>
        <v xml:space="preserve">شركة نجمة الميدان للمقاولات العامة
</v>
      </c>
      <c r="V114" s="13"/>
      <c r="W114" s="13"/>
      <c r="X114" s="13"/>
      <c r="Y114" s="13"/>
      <c r="Z114" s="13"/>
      <c r="AA114" s="13"/>
      <c r="AB114" s="18" t="str">
        <f t="shared" si="3"/>
        <v xml:space="preserve">شركة نجمة الميدان للمقاولات العامة
</v>
      </c>
      <c r="AC114" s="18"/>
      <c r="AD114" s="18"/>
      <c r="AE114" s="18"/>
      <c r="AF114" s="18"/>
      <c r="AG114" s="18"/>
      <c r="AH114" s="13"/>
      <c r="AI114" s="18"/>
      <c r="AJ114" s="13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3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2"/>
      <c r="BK114" s="12"/>
      <c r="BL114" s="12"/>
      <c r="BM114" s="9"/>
      <c r="BN114" s="9"/>
      <c r="BO114" s="9"/>
      <c r="BP114" s="12"/>
      <c r="BQ114" s="12"/>
      <c r="BR114" s="12"/>
      <c r="BS114" s="12"/>
      <c r="BT114" s="12"/>
      <c r="BU114" s="12"/>
      <c r="BV114" s="12"/>
      <c r="BW114" s="12"/>
      <c r="BX114" s="12"/>
      <c r="BY114" s="9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</row>
    <row r="115" spans="1:88" ht="40.5" customHeight="1">
      <c r="A115" s="9">
        <f t="shared" si="0"/>
        <v>113</v>
      </c>
      <c r="B115" s="9" t="str">
        <f t="shared" si="5"/>
        <v xml:space="preserve">MA
</v>
      </c>
      <c r="C115" s="49" t="s">
        <v>447</v>
      </c>
      <c r="D115" s="9" t="s">
        <v>104</v>
      </c>
      <c r="E115" s="9">
        <v>1</v>
      </c>
      <c r="F115" s="12">
        <v>0</v>
      </c>
      <c r="G115" s="9" t="s">
        <v>89</v>
      </c>
      <c r="H115" s="12"/>
      <c r="I115" s="9" t="s">
        <v>448</v>
      </c>
      <c r="J115" s="12"/>
      <c r="K115" s="12"/>
      <c r="L115" s="12"/>
      <c r="M115" s="12"/>
      <c r="N115" s="13" t="str">
        <f t="shared" si="1"/>
        <v xml:space="preserve">ورشة معاذ الالمنيوم
</v>
      </c>
      <c r="O115" s="16" t="s">
        <v>78</v>
      </c>
      <c r="P115" s="14">
        <v>1</v>
      </c>
      <c r="Q115" s="25">
        <v>44919</v>
      </c>
      <c r="R115" s="14">
        <v>3</v>
      </c>
      <c r="S115" s="26">
        <v>5.2083333333333336E-2</v>
      </c>
      <c r="T115" s="16" t="s">
        <v>408</v>
      </c>
      <c r="U115" s="17" t="str">
        <f t="shared" si="2"/>
        <v xml:space="preserve">ورشة معاذ الالمنيوم
</v>
      </c>
      <c r="V115" s="13"/>
      <c r="W115" s="13"/>
      <c r="X115" s="13"/>
      <c r="Y115" s="13"/>
      <c r="Z115" s="13"/>
      <c r="AA115" s="13"/>
      <c r="AB115" s="18" t="str">
        <f t="shared" si="3"/>
        <v xml:space="preserve">ورشة معاذ الالمنيوم
</v>
      </c>
      <c r="AC115" s="18"/>
      <c r="AD115" s="18"/>
      <c r="AE115" s="18"/>
      <c r="AF115" s="18"/>
      <c r="AG115" s="18"/>
      <c r="AH115" s="13"/>
      <c r="AI115" s="18"/>
      <c r="AJ115" s="13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3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2"/>
      <c r="BK115" s="12"/>
      <c r="BL115" s="12"/>
      <c r="BM115" s="9"/>
      <c r="BN115" s="9"/>
      <c r="BO115" s="9"/>
      <c r="BP115" s="12"/>
      <c r="BQ115" s="12"/>
      <c r="BR115" s="12"/>
      <c r="BS115" s="12"/>
      <c r="BT115" s="12"/>
      <c r="BU115" s="12"/>
      <c r="BV115" s="12"/>
      <c r="BW115" s="12"/>
      <c r="BX115" s="12"/>
      <c r="BY115" s="9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</row>
    <row r="116" spans="1:88" ht="40.5" customHeight="1">
      <c r="A116" s="9">
        <f t="shared" si="0"/>
        <v>114</v>
      </c>
      <c r="B116" s="9" t="str">
        <f t="shared" si="5"/>
        <v xml:space="preserve">MA
</v>
      </c>
      <c r="C116" s="28" t="s">
        <v>449</v>
      </c>
      <c r="D116" s="9" t="s">
        <v>104</v>
      </c>
      <c r="E116" s="12">
        <v>0</v>
      </c>
      <c r="F116" s="12">
        <v>0</v>
      </c>
      <c r="G116" s="9" t="s">
        <v>89</v>
      </c>
      <c r="H116" s="12"/>
      <c r="I116" s="9" t="s">
        <v>450</v>
      </c>
      <c r="J116" s="12"/>
      <c r="K116" s="12"/>
      <c r="L116" s="12"/>
      <c r="M116" s="12"/>
      <c r="N116" s="13" t="str">
        <f t="shared" si="1"/>
        <v xml:space="preserve">ورشة الشلماني لأعمال الألمنيوم و الpvc
</v>
      </c>
      <c r="O116" s="16" t="s">
        <v>78</v>
      </c>
      <c r="P116" s="14">
        <v>1</v>
      </c>
      <c r="Q116" s="25">
        <v>44919</v>
      </c>
      <c r="R116" s="17"/>
      <c r="S116" s="17"/>
      <c r="T116" s="16" t="s">
        <v>101</v>
      </c>
      <c r="U116" s="17" t="str">
        <f t="shared" si="2"/>
        <v xml:space="preserve">ورشة الشلماني لأعمال الألمنيوم و الpvc
</v>
      </c>
      <c r="V116" s="13"/>
      <c r="W116" s="13"/>
      <c r="X116" s="13"/>
      <c r="Y116" s="13"/>
      <c r="Z116" s="13"/>
      <c r="AA116" s="13"/>
      <c r="AB116" s="18" t="str">
        <f t="shared" si="3"/>
        <v xml:space="preserve">ورشة الشلماني لأعمال الألمنيوم و الpvc
</v>
      </c>
      <c r="AC116" s="18"/>
      <c r="AD116" s="18"/>
      <c r="AE116" s="18"/>
      <c r="AF116" s="18"/>
      <c r="AG116" s="18"/>
      <c r="AH116" s="13"/>
      <c r="AI116" s="18"/>
      <c r="AJ116" s="13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3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2"/>
      <c r="BK116" s="12"/>
      <c r="BL116" s="12"/>
      <c r="BM116" s="9"/>
      <c r="BN116" s="9"/>
      <c r="BO116" s="9"/>
      <c r="BP116" s="12"/>
      <c r="BQ116" s="12"/>
      <c r="BR116" s="12"/>
      <c r="BS116" s="12"/>
      <c r="BT116" s="12"/>
      <c r="BU116" s="12"/>
      <c r="BV116" s="12"/>
      <c r="BW116" s="12"/>
      <c r="BX116" s="12"/>
      <c r="BY116" s="9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</row>
    <row r="117" spans="1:88" ht="40.5" customHeight="1">
      <c r="A117" s="9">
        <f t="shared" si="0"/>
        <v>115</v>
      </c>
      <c r="B117" s="9" t="str">
        <f t="shared" si="5"/>
        <v xml:space="preserve">MA
</v>
      </c>
      <c r="C117" s="28" t="s">
        <v>451</v>
      </c>
      <c r="D117" s="9" t="s">
        <v>104</v>
      </c>
      <c r="E117" s="12">
        <v>0</v>
      </c>
      <c r="F117" s="12">
        <v>0</v>
      </c>
      <c r="G117" s="9" t="s">
        <v>89</v>
      </c>
      <c r="H117" s="12"/>
      <c r="I117" s="9" t="s">
        <v>452</v>
      </c>
      <c r="J117" s="12"/>
      <c r="K117" s="12"/>
      <c r="L117" s="12"/>
      <c r="M117" s="12"/>
      <c r="N117" s="13" t="str">
        <f t="shared" si="1"/>
        <v xml:space="preserve">المبدعون لأعمال الألمنيوم والبي في سي
</v>
      </c>
      <c r="O117" s="16" t="s">
        <v>78</v>
      </c>
      <c r="P117" s="14">
        <v>1</v>
      </c>
      <c r="Q117" s="25">
        <v>44919</v>
      </c>
      <c r="R117" s="17"/>
      <c r="S117" s="17"/>
      <c r="T117" s="16" t="s">
        <v>101</v>
      </c>
      <c r="U117" s="17" t="str">
        <f t="shared" si="2"/>
        <v xml:space="preserve">المبدعون لأعمال الألمنيوم والبي في سي
</v>
      </c>
      <c r="V117" s="13"/>
      <c r="W117" s="13"/>
      <c r="X117" s="13"/>
      <c r="Y117" s="13"/>
      <c r="Z117" s="13"/>
      <c r="AA117" s="13"/>
      <c r="AB117" s="18" t="str">
        <f t="shared" si="3"/>
        <v xml:space="preserve">المبدعون لأعمال الألمنيوم والبي في سي
</v>
      </c>
      <c r="AC117" s="18"/>
      <c r="AD117" s="18"/>
      <c r="AE117" s="18"/>
      <c r="AF117" s="18"/>
      <c r="AG117" s="18"/>
      <c r="AH117" s="13"/>
      <c r="AI117" s="18"/>
      <c r="AJ117" s="13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3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2"/>
      <c r="BK117" s="12"/>
      <c r="BL117" s="12"/>
      <c r="BM117" s="9"/>
      <c r="BN117" s="9"/>
      <c r="BO117" s="9"/>
      <c r="BP117" s="12"/>
      <c r="BQ117" s="12"/>
      <c r="BR117" s="12"/>
      <c r="BS117" s="12"/>
      <c r="BT117" s="12"/>
      <c r="BU117" s="12"/>
      <c r="BV117" s="12"/>
      <c r="BW117" s="12"/>
      <c r="BX117" s="12"/>
      <c r="BY117" s="9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</row>
    <row r="118" spans="1:88" ht="40.5" customHeight="1">
      <c r="A118" s="9">
        <f t="shared" si="0"/>
        <v>116</v>
      </c>
      <c r="B118" s="9" t="str">
        <f t="shared" si="5"/>
        <v xml:space="preserve">MA
</v>
      </c>
      <c r="C118" s="28" t="s">
        <v>453</v>
      </c>
      <c r="D118" s="9" t="s">
        <v>104</v>
      </c>
      <c r="E118" s="12">
        <v>0</v>
      </c>
      <c r="F118" s="12">
        <v>0</v>
      </c>
      <c r="G118" s="9" t="s">
        <v>89</v>
      </c>
      <c r="H118" s="12"/>
      <c r="I118" s="9" t="s">
        <v>454</v>
      </c>
      <c r="J118" s="9" t="s">
        <v>455</v>
      </c>
      <c r="K118" s="12"/>
      <c r="L118" s="12"/>
      <c r="M118" s="12"/>
      <c r="N118" s="13" t="str">
        <f t="shared" si="1"/>
        <v xml:space="preserve">الدرقاش للألومنيوم و الأسقف المعلقة و الحصائر المعدنية و البلاستيكيه
</v>
      </c>
      <c r="O118" s="16" t="s">
        <v>78</v>
      </c>
      <c r="P118" s="14">
        <v>1</v>
      </c>
      <c r="Q118" s="25">
        <v>44919</v>
      </c>
      <c r="R118" s="14">
        <v>4</v>
      </c>
      <c r="S118" s="26">
        <v>0.51666666666666672</v>
      </c>
      <c r="T118" s="16" t="s">
        <v>265</v>
      </c>
      <c r="U118" s="17" t="str">
        <f t="shared" si="2"/>
        <v xml:space="preserve">الدرقاش للألومنيوم و الأسقف المعلقة و الحصائر المعدنية و البلاستيكيه
</v>
      </c>
      <c r="V118" s="13"/>
      <c r="W118" s="13"/>
      <c r="X118" s="13"/>
      <c r="Y118" s="13"/>
      <c r="Z118" s="13"/>
      <c r="AA118" s="13"/>
      <c r="AB118" s="18" t="str">
        <f t="shared" si="3"/>
        <v xml:space="preserve">الدرقاش للألومنيوم و الأسقف المعلقة و الحصائر المعدنية و البلاستيكيه
</v>
      </c>
      <c r="AC118" s="18"/>
      <c r="AD118" s="18"/>
      <c r="AE118" s="18"/>
      <c r="AF118" s="18"/>
      <c r="AG118" s="18"/>
      <c r="AH118" s="13"/>
      <c r="AI118" s="18"/>
      <c r="AJ118" s="13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3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2"/>
      <c r="BK118" s="12"/>
      <c r="BL118" s="12"/>
      <c r="BM118" s="9"/>
      <c r="BN118" s="9"/>
      <c r="BO118" s="9"/>
      <c r="BP118" s="12"/>
      <c r="BQ118" s="12"/>
      <c r="BR118" s="12"/>
      <c r="BS118" s="12"/>
      <c r="BT118" s="12"/>
      <c r="BU118" s="12"/>
      <c r="BV118" s="12"/>
      <c r="BW118" s="12"/>
      <c r="BX118" s="12"/>
      <c r="BY118" s="9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</row>
    <row r="119" spans="1:88" ht="40.5" customHeight="1">
      <c r="A119" s="9">
        <f t="shared" si="0"/>
        <v>117</v>
      </c>
      <c r="B119" s="9" t="str">
        <f t="shared" si="5"/>
        <v xml:space="preserve">MA
</v>
      </c>
      <c r="C119" s="9" t="s">
        <v>456</v>
      </c>
      <c r="D119" s="9" t="s">
        <v>104</v>
      </c>
      <c r="E119" s="12">
        <v>0</v>
      </c>
      <c r="F119" s="12">
        <v>0</v>
      </c>
      <c r="G119" s="9" t="s">
        <v>89</v>
      </c>
      <c r="H119" s="12"/>
      <c r="I119" s="9" t="s">
        <v>457</v>
      </c>
      <c r="J119" s="12"/>
      <c r="K119" s="12"/>
      <c r="L119" s="12"/>
      <c r="M119" s="12"/>
      <c r="N119" s="13" t="str">
        <f t="shared" si="1"/>
        <v xml:space="preserve">Bab El Salam Company
</v>
      </c>
      <c r="O119" s="16" t="s">
        <v>78</v>
      </c>
      <c r="P119" s="14">
        <v>1</v>
      </c>
      <c r="Q119" s="25">
        <v>44919</v>
      </c>
      <c r="R119" s="17"/>
      <c r="S119" s="17"/>
      <c r="T119" s="16" t="s">
        <v>101</v>
      </c>
      <c r="U119" s="17" t="str">
        <f t="shared" si="2"/>
        <v xml:space="preserve">Bab El Salam Company
</v>
      </c>
      <c r="V119" s="13"/>
      <c r="W119" s="13"/>
      <c r="X119" s="13"/>
      <c r="Y119" s="13"/>
      <c r="Z119" s="13"/>
      <c r="AA119" s="13"/>
      <c r="AB119" s="18" t="str">
        <f t="shared" si="3"/>
        <v xml:space="preserve">Bab El Salam Company
</v>
      </c>
      <c r="AC119" s="18"/>
      <c r="AD119" s="18"/>
      <c r="AE119" s="18"/>
      <c r="AF119" s="18"/>
      <c r="AG119" s="18"/>
      <c r="AH119" s="13"/>
      <c r="AI119" s="18"/>
      <c r="AJ119" s="13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3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2"/>
      <c r="BK119" s="12"/>
      <c r="BL119" s="12"/>
      <c r="BM119" s="9"/>
      <c r="BN119" s="9"/>
      <c r="BO119" s="9"/>
      <c r="BP119" s="12"/>
      <c r="BQ119" s="12"/>
      <c r="BR119" s="12"/>
      <c r="BS119" s="12"/>
      <c r="BT119" s="12"/>
      <c r="BU119" s="12"/>
      <c r="BV119" s="12"/>
      <c r="BW119" s="12"/>
      <c r="BX119" s="12"/>
      <c r="BY119" s="9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</row>
    <row r="120" spans="1:88" ht="40.5" customHeight="1">
      <c r="A120" s="9">
        <f t="shared" si="0"/>
        <v>118</v>
      </c>
      <c r="B120" s="9" t="str">
        <f t="shared" si="5"/>
        <v xml:space="preserve">MA
</v>
      </c>
      <c r="C120" s="9" t="s">
        <v>458</v>
      </c>
      <c r="D120" s="9" t="s">
        <v>459</v>
      </c>
      <c r="E120" s="12">
        <v>0</v>
      </c>
      <c r="F120" s="12">
        <v>0</v>
      </c>
      <c r="G120" s="9" t="s">
        <v>89</v>
      </c>
      <c r="H120" s="12"/>
      <c r="I120" s="9" t="s">
        <v>460</v>
      </c>
      <c r="J120" s="12"/>
      <c r="K120" s="12"/>
      <c r="L120" s="12"/>
      <c r="M120" s="12"/>
      <c r="N120" s="13" t="str">
        <f t="shared" si="1"/>
        <v>Marwane Mkhinini</v>
      </c>
      <c r="O120" s="16" t="s">
        <v>78</v>
      </c>
      <c r="P120" s="14">
        <v>1</v>
      </c>
      <c r="Q120" s="25">
        <v>44919</v>
      </c>
      <c r="R120" s="14">
        <v>4</v>
      </c>
      <c r="S120" s="26">
        <v>0.2013888888888889</v>
      </c>
      <c r="T120" s="16" t="s">
        <v>108</v>
      </c>
      <c r="U120" s="17" t="str">
        <f t="shared" si="2"/>
        <v>Marwane Mkhinini</v>
      </c>
      <c r="V120" s="13"/>
      <c r="W120" s="13"/>
      <c r="X120" s="13"/>
      <c r="Y120" s="13"/>
      <c r="Z120" s="13"/>
      <c r="AA120" s="13"/>
      <c r="AB120" s="18" t="str">
        <f t="shared" si="3"/>
        <v>Marwane Mkhinini</v>
      </c>
      <c r="AC120" s="18"/>
      <c r="AD120" s="18"/>
      <c r="AE120" s="18"/>
      <c r="AF120" s="18"/>
      <c r="AG120" s="18"/>
      <c r="AH120" s="13"/>
      <c r="AI120" s="18"/>
      <c r="AJ120" s="13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3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2"/>
      <c r="BK120" s="12"/>
      <c r="BL120" s="12"/>
      <c r="BM120" s="9"/>
      <c r="BN120" s="9"/>
      <c r="BO120" s="9"/>
      <c r="BP120" s="12"/>
      <c r="BQ120" s="12"/>
      <c r="BR120" s="12"/>
      <c r="BS120" s="12"/>
      <c r="BT120" s="12"/>
      <c r="BU120" s="12"/>
      <c r="BV120" s="12"/>
      <c r="BW120" s="12"/>
      <c r="BX120" s="12"/>
      <c r="BY120" s="9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</row>
    <row r="121" spans="1:88" ht="40.5" customHeight="1">
      <c r="A121" s="9">
        <f t="shared" si="0"/>
        <v>119</v>
      </c>
      <c r="B121" s="9" t="str">
        <f t="shared" si="5"/>
        <v xml:space="preserve">MA
</v>
      </c>
      <c r="C121" s="28" t="s">
        <v>461</v>
      </c>
      <c r="D121" s="9" t="s">
        <v>104</v>
      </c>
      <c r="E121" s="12">
        <v>0</v>
      </c>
      <c r="F121" s="12">
        <v>0</v>
      </c>
      <c r="G121" s="9" t="s">
        <v>89</v>
      </c>
      <c r="H121" s="12"/>
      <c r="I121" s="9" t="s">
        <v>462</v>
      </c>
      <c r="J121" s="12"/>
      <c r="K121" s="12"/>
      <c r="L121" s="12"/>
      <c r="M121" s="12"/>
      <c r="N121" s="13" t="str">
        <f t="shared" si="1"/>
        <v xml:space="preserve">لاغا لمستلزمات الألومنيوم والبي في سي
</v>
      </c>
      <c r="O121" s="16" t="s">
        <v>78</v>
      </c>
      <c r="P121" s="14">
        <v>1</v>
      </c>
      <c r="Q121" s="25">
        <v>44919</v>
      </c>
      <c r="R121" s="14">
        <v>4</v>
      </c>
      <c r="S121" s="26">
        <v>0.10486111111111111</v>
      </c>
      <c r="T121" s="16" t="s">
        <v>108</v>
      </c>
      <c r="U121" s="17" t="str">
        <f t="shared" si="2"/>
        <v xml:space="preserve">لاغا لمستلزمات الألومنيوم والبي في سي
</v>
      </c>
      <c r="V121" s="13"/>
      <c r="W121" s="13"/>
      <c r="X121" s="13"/>
      <c r="Y121" s="13"/>
      <c r="Z121" s="13"/>
      <c r="AA121" s="13"/>
      <c r="AB121" s="18" t="str">
        <f t="shared" si="3"/>
        <v xml:space="preserve">لاغا لمستلزمات الألومنيوم والبي في سي
</v>
      </c>
      <c r="AC121" s="18"/>
      <c r="AD121" s="18"/>
      <c r="AE121" s="18"/>
      <c r="AF121" s="18"/>
      <c r="AG121" s="18"/>
      <c r="AH121" s="13"/>
      <c r="AI121" s="18"/>
      <c r="AJ121" s="13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3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2"/>
      <c r="BK121" s="12"/>
      <c r="BL121" s="12"/>
      <c r="BM121" s="9"/>
      <c r="BN121" s="9"/>
      <c r="BO121" s="9"/>
      <c r="BP121" s="12"/>
      <c r="BQ121" s="12"/>
      <c r="BR121" s="12"/>
      <c r="BS121" s="12"/>
      <c r="BT121" s="12"/>
      <c r="BU121" s="12"/>
      <c r="BV121" s="12"/>
      <c r="BW121" s="12"/>
      <c r="BX121" s="12"/>
      <c r="BY121" s="9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</row>
    <row r="122" spans="1:88" ht="40.5" customHeight="1">
      <c r="A122" s="9">
        <f t="shared" si="0"/>
        <v>120</v>
      </c>
      <c r="B122" s="9" t="str">
        <f t="shared" si="5"/>
        <v xml:space="preserve">MA
</v>
      </c>
      <c r="C122" s="28" t="s">
        <v>463</v>
      </c>
      <c r="D122" s="9" t="s">
        <v>104</v>
      </c>
      <c r="E122" s="12">
        <v>0</v>
      </c>
      <c r="F122" s="12">
        <v>0</v>
      </c>
      <c r="G122" s="9" t="s">
        <v>89</v>
      </c>
      <c r="H122" s="12"/>
      <c r="I122" s="9" t="s">
        <v>464</v>
      </c>
      <c r="J122" s="12"/>
      <c r="K122" s="12"/>
      <c r="L122" s="12"/>
      <c r="M122" s="12"/>
      <c r="N122" s="13" t="str">
        <f t="shared" si="1"/>
        <v xml:space="preserve">مصنع الفتح للزجاج والألمنيوم2
</v>
      </c>
      <c r="O122" s="16" t="s">
        <v>78</v>
      </c>
      <c r="P122" s="14">
        <v>1</v>
      </c>
      <c r="Q122" s="25">
        <v>44919</v>
      </c>
      <c r="R122" s="17"/>
      <c r="S122" s="17"/>
      <c r="T122" s="16" t="s">
        <v>126</v>
      </c>
      <c r="U122" s="17" t="str">
        <f t="shared" si="2"/>
        <v xml:space="preserve">مصنع الفتح للزجاج والألمنيوم2
</v>
      </c>
      <c r="V122" s="13"/>
      <c r="W122" s="13"/>
      <c r="X122" s="13"/>
      <c r="Y122" s="13"/>
      <c r="Z122" s="13"/>
      <c r="AA122" s="13"/>
      <c r="AB122" s="18" t="str">
        <f t="shared" si="3"/>
        <v xml:space="preserve">مصنع الفتح للزجاج والألمنيوم2
</v>
      </c>
      <c r="AC122" s="18"/>
      <c r="AD122" s="18"/>
      <c r="AE122" s="18"/>
      <c r="AF122" s="18"/>
      <c r="AG122" s="18"/>
      <c r="AH122" s="13"/>
      <c r="AI122" s="18"/>
      <c r="AJ122" s="13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3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2"/>
      <c r="BK122" s="12"/>
      <c r="BL122" s="12"/>
      <c r="BM122" s="9"/>
      <c r="BN122" s="9"/>
      <c r="BO122" s="9"/>
      <c r="BP122" s="12"/>
      <c r="BQ122" s="12"/>
      <c r="BR122" s="12"/>
      <c r="BS122" s="12"/>
      <c r="BT122" s="12"/>
      <c r="BU122" s="12"/>
      <c r="BV122" s="12"/>
      <c r="BW122" s="12"/>
      <c r="BX122" s="12"/>
      <c r="BY122" s="9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</row>
    <row r="123" spans="1:88" ht="40.5" customHeight="1">
      <c r="A123" s="9">
        <f t="shared" si="0"/>
        <v>121</v>
      </c>
      <c r="B123" s="9" t="str">
        <f t="shared" si="5"/>
        <v xml:space="preserve">MA
</v>
      </c>
      <c r="C123" s="28" t="s">
        <v>465</v>
      </c>
      <c r="D123" s="9" t="s">
        <v>104</v>
      </c>
      <c r="E123" s="12">
        <v>0</v>
      </c>
      <c r="F123" s="12">
        <v>0</v>
      </c>
      <c r="G123" s="9" t="s">
        <v>89</v>
      </c>
      <c r="H123" s="12"/>
      <c r="I123" s="9" t="s">
        <v>466</v>
      </c>
      <c r="J123" s="12"/>
      <c r="K123" s="12"/>
      <c r="L123" s="12"/>
      <c r="M123" s="12"/>
      <c r="N123" s="13" t="str">
        <f t="shared" si="1"/>
        <v xml:space="preserve">مصنع الفارسي للالمنيوم
</v>
      </c>
      <c r="O123" s="16" t="s">
        <v>98</v>
      </c>
      <c r="P123" s="14">
        <v>1</v>
      </c>
      <c r="Q123" s="25">
        <v>44919</v>
      </c>
      <c r="R123" s="14">
        <v>3</v>
      </c>
      <c r="S123" s="17"/>
      <c r="T123" s="16" t="s">
        <v>108</v>
      </c>
      <c r="U123" s="17" t="str">
        <f t="shared" si="2"/>
        <v xml:space="preserve">مصنع الفارسي للالمنيوم
</v>
      </c>
      <c r="V123" s="16" t="s">
        <v>98</v>
      </c>
      <c r="W123" s="16">
        <v>2</v>
      </c>
      <c r="X123" s="25">
        <v>44925</v>
      </c>
      <c r="Y123" s="13"/>
      <c r="Z123" s="13"/>
      <c r="AA123" s="16" t="s">
        <v>86</v>
      </c>
      <c r="AB123" s="18" t="str">
        <f t="shared" si="3"/>
        <v xml:space="preserve">مصنع الفارسي للالمنيوم
</v>
      </c>
      <c r="AC123" s="18"/>
      <c r="AD123" s="18"/>
      <c r="AE123" s="18"/>
      <c r="AF123" s="18"/>
      <c r="AG123" s="18"/>
      <c r="AH123" s="13"/>
      <c r="AI123" s="18"/>
      <c r="AJ123" s="13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3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2"/>
      <c r="BK123" s="12"/>
      <c r="BL123" s="12"/>
      <c r="BM123" s="9"/>
      <c r="BN123" s="9"/>
      <c r="BO123" s="9"/>
      <c r="BP123" s="12"/>
      <c r="BQ123" s="12"/>
      <c r="BR123" s="12"/>
      <c r="BS123" s="12"/>
      <c r="BT123" s="12"/>
      <c r="BU123" s="12"/>
      <c r="BV123" s="12"/>
      <c r="BW123" s="12"/>
      <c r="BX123" s="12"/>
      <c r="BY123" s="9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</row>
    <row r="124" spans="1:88" ht="40.5" customHeight="1">
      <c r="A124" s="9">
        <f t="shared" si="0"/>
        <v>122</v>
      </c>
      <c r="B124" s="9" t="str">
        <f t="shared" si="5"/>
        <v xml:space="preserve">MA
</v>
      </c>
      <c r="C124" s="28" t="s">
        <v>467</v>
      </c>
      <c r="D124" s="9" t="s">
        <v>104</v>
      </c>
      <c r="E124" s="12">
        <v>0</v>
      </c>
      <c r="F124" s="12">
        <v>0</v>
      </c>
      <c r="G124" s="9" t="s">
        <v>89</v>
      </c>
      <c r="H124" s="12"/>
      <c r="I124" s="9" t="s">
        <v>468</v>
      </c>
      <c r="J124" s="12"/>
      <c r="K124" s="12"/>
      <c r="L124" s="12"/>
      <c r="M124" s="12"/>
      <c r="N124" s="13" t="str">
        <f t="shared" si="1"/>
        <v xml:space="preserve">ورشه اسامه المنفي لأعمال الألمنيوم وbvc
</v>
      </c>
      <c r="O124" s="16" t="s">
        <v>78</v>
      </c>
      <c r="P124" s="14">
        <v>1</v>
      </c>
      <c r="Q124" s="25">
        <v>44919</v>
      </c>
      <c r="R124" s="14"/>
      <c r="S124" s="17"/>
      <c r="T124" s="16" t="s">
        <v>101</v>
      </c>
      <c r="U124" s="17" t="str">
        <f t="shared" si="2"/>
        <v xml:space="preserve">ورشه اسامه المنفي لأعمال الألمنيوم وbvc
</v>
      </c>
      <c r="V124" s="16" t="s">
        <v>78</v>
      </c>
      <c r="W124" s="16">
        <v>2</v>
      </c>
      <c r="X124" s="25">
        <v>44933</v>
      </c>
      <c r="Y124" s="13"/>
      <c r="Z124" s="13"/>
      <c r="AA124" s="16" t="s">
        <v>101</v>
      </c>
      <c r="AB124" s="18" t="str">
        <f t="shared" si="3"/>
        <v xml:space="preserve">ورشه اسامه المنفي لأعمال الألمنيوم وbvc
</v>
      </c>
      <c r="AC124" s="18"/>
      <c r="AD124" s="18"/>
      <c r="AE124" s="18"/>
      <c r="AF124" s="18"/>
      <c r="AG124" s="18"/>
      <c r="AH124" s="13"/>
      <c r="AI124" s="18"/>
      <c r="AJ124" s="13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3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2"/>
      <c r="BK124" s="12"/>
      <c r="BL124" s="12"/>
      <c r="BM124" s="9"/>
      <c r="BN124" s="9"/>
      <c r="BO124" s="9"/>
      <c r="BP124" s="12"/>
      <c r="BQ124" s="12"/>
      <c r="BR124" s="12"/>
      <c r="BS124" s="12"/>
      <c r="BT124" s="12"/>
      <c r="BU124" s="12"/>
      <c r="BV124" s="12"/>
      <c r="BW124" s="12"/>
      <c r="BX124" s="12"/>
      <c r="BY124" s="9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</row>
    <row r="125" spans="1:88" ht="40.5" customHeight="1">
      <c r="A125" s="9">
        <f t="shared" si="0"/>
        <v>123</v>
      </c>
      <c r="B125" s="9" t="str">
        <f t="shared" si="5"/>
        <v xml:space="preserve">MA
</v>
      </c>
      <c r="C125" s="28" t="s">
        <v>469</v>
      </c>
      <c r="D125" s="9" t="s">
        <v>104</v>
      </c>
      <c r="E125" s="12">
        <v>0</v>
      </c>
      <c r="F125" s="12">
        <v>0</v>
      </c>
      <c r="G125" s="9" t="s">
        <v>89</v>
      </c>
      <c r="H125" s="12"/>
      <c r="I125" s="9" t="s">
        <v>470</v>
      </c>
      <c r="J125" s="12"/>
      <c r="K125" s="12"/>
      <c r="L125" s="12"/>
      <c r="M125" s="12"/>
      <c r="N125" s="13" t="str">
        <f t="shared" si="1"/>
        <v xml:space="preserve">شركة اسطنبول لاعمال pvc والالمنيوم والمطابخ
</v>
      </c>
      <c r="O125" s="16" t="s">
        <v>78</v>
      </c>
      <c r="P125" s="14">
        <v>1</v>
      </c>
      <c r="Q125" s="25">
        <v>44919</v>
      </c>
      <c r="R125" s="14">
        <v>3</v>
      </c>
      <c r="S125" s="26">
        <v>0.10833333333333334</v>
      </c>
      <c r="T125" s="16" t="s">
        <v>108</v>
      </c>
      <c r="U125" s="17" t="str">
        <f t="shared" si="2"/>
        <v xml:space="preserve">شركة اسطنبول لاعمال pvc والالمنيوم والمطابخ
</v>
      </c>
      <c r="V125" s="16" t="s">
        <v>78</v>
      </c>
      <c r="W125" s="16">
        <v>2</v>
      </c>
      <c r="X125" s="25">
        <v>44933</v>
      </c>
      <c r="Y125" s="16">
        <v>1</v>
      </c>
      <c r="Z125" s="13"/>
      <c r="AA125" s="16" t="s">
        <v>101</v>
      </c>
      <c r="AB125" s="18" t="str">
        <f t="shared" si="3"/>
        <v xml:space="preserve">شركة اسطنبول لاعمال pvc والالمنيوم والمطابخ
</v>
      </c>
      <c r="AC125" s="18"/>
      <c r="AD125" s="18"/>
      <c r="AE125" s="18"/>
      <c r="AF125" s="18"/>
      <c r="AG125" s="18"/>
      <c r="AH125" s="13"/>
      <c r="AI125" s="18"/>
      <c r="AJ125" s="13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3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2"/>
      <c r="BK125" s="12"/>
      <c r="BL125" s="12"/>
      <c r="BM125" s="9"/>
      <c r="BN125" s="9"/>
      <c r="BO125" s="9"/>
      <c r="BP125" s="12"/>
      <c r="BQ125" s="12"/>
      <c r="BR125" s="12"/>
      <c r="BS125" s="12"/>
      <c r="BT125" s="12"/>
      <c r="BU125" s="12"/>
      <c r="BV125" s="12"/>
      <c r="BW125" s="12"/>
      <c r="BX125" s="12"/>
      <c r="BY125" s="9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</row>
    <row r="126" spans="1:88" ht="40.5" customHeight="1">
      <c r="A126" s="9">
        <f t="shared" si="0"/>
        <v>124</v>
      </c>
      <c r="B126" s="9" t="str">
        <f t="shared" si="5"/>
        <v xml:space="preserve">MA
</v>
      </c>
      <c r="C126" s="9" t="s">
        <v>471</v>
      </c>
      <c r="D126" s="9" t="s">
        <v>370</v>
      </c>
      <c r="E126" s="12">
        <v>0</v>
      </c>
      <c r="F126" s="12">
        <v>0</v>
      </c>
      <c r="G126" s="9" t="s">
        <v>105</v>
      </c>
      <c r="H126" s="9" t="s">
        <v>472</v>
      </c>
      <c r="I126" s="9">
        <v>97450887304</v>
      </c>
      <c r="J126" s="9" t="s">
        <v>473</v>
      </c>
      <c r="K126" s="12"/>
      <c r="L126" s="12"/>
      <c r="M126" s="12"/>
      <c r="N126" s="13" t="str">
        <f t="shared" si="1"/>
        <v xml:space="preserve">Ismail bin Ali Aluminium
</v>
      </c>
      <c r="O126" s="13"/>
      <c r="P126" s="17"/>
      <c r="Q126" s="13"/>
      <c r="R126" s="17"/>
      <c r="S126" s="17"/>
      <c r="T126" s="13"/>
      <c r="U126" s="17" t="str">
        <f t="shared" si="2"/>
        <v xml:space="preserve">Ismail bin Ali Aluminium
</v>
      </c>
      <c r="V126" s="13"/>
      <c r="W126" s="13"/>
      <c r="X126" s="13"/>
      <c r="Y126" s="13"/>
      <c r="Z126" s="13"/>
      <c r="AA126" s="13"/>
      <c r="AB126" s="18" t="str">
        <f t="shared" si="3"/>
        <v xml:space="preserve">Ismail bin Ali Aluminium
</v>
      </c>
      <c r="AC126" s="18"/>
      <c r="AD126" s="18"/>
      <c r="AE126" s="18"/>
      <c r="AF126" s="18"/>
      <c r="AG126" s="18"/>
      <c r="AH126" s="13"/>
      <c r="AI126" s="18"/>
      <c r="AJ126" s="13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3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2"/>
      <c r="BK126" s="12"/>
      <c r="BL126" s="12"/>
      <c r="BM126" s="9"/>
      <c r="BN126" s="9"/>
      <c r="BO126" s="9"/>
      <c r="BP126" s="12"/>
      <c r="BQ126" s="12"/>
      <c r="BR126" s="12"/>
      <c r="BS126" s="12"/>
      <c r="BT126" s="12"/>
      <c r="BU126" s="12"/>
      <c r="BV126" s="12"/>
      <c r="BW126" s="12"/>
      <c r="BX126" s="12"/>
      <c r="BY126" s="9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</row>
    <row r="127" spans="1:88" ht="40.5" customHeight="1">
      <c r="A127" s="9">
        <f t="shared" si="0"/>
        <v>125</v>
      </c>
      <c r="B127" s="9" t="str">
        <f t="shared" si="5"/>
        <v xml:space="preserve">MA
</v>
      </c>
      <c r="C127" s="9" t="s">
        <v>474</v>
      </c>
      <c r="D127" s="9" t="s">
        <v>370</v>
      </c>
      <c r="E127" s="12">
        <v>0</v>
      </c>
      <c r="F127" s="12">
        <v>0</v>
      </c>
      <c r="G127" s="9" t="s">
        <v>89</v>
      </c>
      <c r="H127" s="9" t="s">
        <v>475</v>
      </c>
      <c r="I127" s="9" t="s">
        <v>476</v>
      </c>
      <c r="J127" s="9" t="s">
        <v>477</v>
      </c>
      <c r="K127" s="22" t="s">
        <v>478</v>
      </c>
      <c r="L127" s="12"/>
      <c r="M127" s="12"/>
      <c r="N127" s="13" t="str">
        <f t="shared" si="1"/>
        <v xml:space="preserve">Desert Line Aluminium - Aluminium Fabrication and Manufacturing
</v>
      </c>
      <c r="O127" s="16" t="s">
        <v>78</v>
      </c>
      <c r="P127" s="14">
        <v>2</v>
      </c>
      <c r="Q127" s="25">
        <v>44921</v>
      </c>
      <c r="R127" s="14">
        <v>4</v>
      </c>
      <c r="S127" s="26">
        <v>0.31597222222222221</v>
      </c>
      <c r="T127" s="16" t="s">
        <v>108</v>
      </c>
      <c r="U127" s="17" t="str">
        <f t="shared" si="2"/>
        <v xml:space="preserve">Desert Line Aluminium - Aluminium Fabrication and Manufacturing
</v>
      </c>
      <c r="V127" s="16" t="s">
        <v>78</v>
      </c>
      <c r="W127" s="16">
        <v>3</v>
      </c>
      <c r="X127" s="25">
        <v>44935</v>
      </c>
      <c r="Y127" s="13"/>
      <c r="Z127" s="13"/>
      <c r="AA127" s="16" t="s">
        <v>101</v>
      </c>
      <c r="AB127" s="18" t="str">
        <f t="shared" si="3"/>
        <v xml:space="preserve">Desert Line Aluminium - Aluminium Fabrication and Manufacturing
</v>
      </c>
      <c r="AC127" s="19" t="s">
        <v>98</v>
      </c>
      <c r="AD127" s="19">
        <v>4</v>
      </c>
      <c r="AE127" s="27">
        <v>44942</v>
      </c>
      <c r="AF127" s="18"/>
      <c r="AG127" s="18"/>
      <c r="AH127" s="16" t="s">
        <v>86</v>
      </c>
      <c r="AI127" s="18"/>
      <c r="AJ127" s="16" t="s">
        <v>78</v>
      </c>
      <c r="AK127" s="19">
        <v>5</v>
      </c>
      <c r="AL127" s="20" t="s">
        <v>479</v>
      </c>
      <c r="AM127" s="19" t="s">
        <v>75</v>
      </c>
      <c r="AN127" s="19" t="s">
        <v>75</v>
      </c>
      <c r="AO127" s="19" t="s">
        <v>101</v>
      </c>
      <c r="AP127" s="18"/>
      <c r="AQ127" s="19" t="s">
        <v>98</v>
      </c>
      <c r="AR127" s="19" t="s">
        <v>79</v>
      </c>
      <c r="AS127" s="20" t="s">
        <v>80</v>
      </c>
      <c r="AT127" s="19" t="s">
        <v>75</v>
      </c>
      <c r="AU127" s="19" t="s">
        <v>75</v>
      </c>
      <c r="AV127" s="19" t="s">
        <v>86</v>
      </c>
      <c r="AW127" s="18"/>
      <c r="AX127" s="13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2"/>
      <c r="BK127" s="12"/>
      <c r="BL127" s="12"/>
      <c r="BM127" s="9"/>
      <c r="BN127" s="9"/>
      <c r="BO127" s="9"/>
      <c r="BP127" s="12"/>
      <c r="BQ127" s="12"/>
      <c r="BR127" s="12"/>
      <c r="BS127" s="12"/>
      <c r="BT127" s="12"/>
      <c r="BU127" s="12"/>
      <c r="BV127" s="12"/>
      <c r="BW127" s="12"/>
      <c r="BX127" s="12"/>
      <c r="BY127" s="9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</row>
    <row r="128" spans="1:88" ht="40.5" customHeight="1">
      <c r="A128" s="9">
        <f t="shared" si="0"/>
        <v>126</v>
      </c>
      <c r="B128" s="9" t="str">
        <f t="shared" si="5"/>
        <v xml:space="preserve">MA
</v>
      </c>
      <c r="C128" s="9" t="s">
        <v>480</v>
      </c>
      <c r="D128" s="9" t="s">
        <v>370</v>
      </c>
      <c r="E128" s="12">
        <v>0</v>
      </c>
      <c r="F128" s="12">
        <v>0</v>
      </c>
      <c r="G128" s="9" t="s">
        <v>89</v>
      </c>
      <c r="H128" s="12"/>
      <c r="I128" s="12">
        <f>97433366192</f>
        <v>97433366192</v>
      </c>
      <c r="J128" s="12"/>
      <c r="K128" s="12"/>
      <c r="L128" s="12"/>
      <c r="M128" s="12"/>
      <c r="N128" s="13" t="str">
        <f t="shared" si="1"/>
        <v xml:space="preserve">UPVC and Aluminium works
</v>
      </c>
      <c r="O128" s="16" t="s">
        <v>78</v>
      </c>
      <c r="P128" s="14">
        <v>3</v>
      </c>
      <c r="Q128" s="25">
        <v>44921</v>
      </c>
      <c r="R128" s="17"/>
      <c r="S128" s="17"/>
      <c r="T128" s="16" t="s">
        <v>101</v>
      </c>
      <c r="U128" s="17" t="str">
        <f t="shared" si="2"/>
        <v xml:space="preserve">UPVC and Aluminium works
</v>
      </c>
      <c r="V128" s="16" t="s">
        <v>78</v>
      </c>
      <c r="W128" s="16">
        <v>4</v>
      </c>
      <c r="X128" s="25">
        <v>44935</v>
      </c>
      <c r="Y128" s="13"/>
      <c r="Z128" s="13"/>
      <c r="AA128" s="16" t="s">
        <v>101</v>
      </c>
      <c r="AB128" s="18" t="str">
        <f t="shared" si="3"/>
        <v xml:space="preserve">UPVC and Aluminium works
</v>
      </c>
      <c r="AC128" s="19" t="s">
        <v>78</v>
      </c>
      <c r="AD128" s="19">
        <v>5</v>
      </c>
      <c r="AE128" s="27">
        <v>44942</v>
      </c>
      <c r="AF128" s="19">
        <v>3</v>
      </c>
      <c r="AG128" s="47">
        <v>7.9861111111111105E-2</v>
      </c>
      <c r="AH128" s="16" t="s">
        <v>86</v>
      </c>
      <c r="AI128" s="18"/>
      <c r="AJ128" s="16" t="s">
        <v>78</v>
      </c>
      <c r="AK128" s="20" t="s">
        <v>144</v>
      </c>
      <c r="AL128" s="20" t="s">
        <v>479</v>
      </c>
      <c r="AM128" s="19" t="s">
        <v>75</v>
      </c>
      <c r="AN128" s="19" t="s">
        <v>75</v>
      </c>
      <c r="AO128" s="19" t="s">
        <v>101</v>
      </c>
      <c r="AP128" s="18"/>
      <c r="AQ128" s="19" t="s">
        <v>98</v>
      </c>
      <c r="AR128" s="19" t="s">
        <v>79</v>
      </c>
      <c r="AS128" s="20" t="s">
        <v>80</v>
      </c>
      <c r="AT128" s="19" t="s">
        <v>75</v>
      </c>
      <c r="AU128" s="19" t="s">
        <v>75</v>
      </c>
      <c r="AV128" s="19" t="s">
        <v>86</v>
      </c>
      <c r="AW128" s="18"/>
      <c r="AX128" s="13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2"/>
      <c r="BK128" s="12"/>
      <c r="BL128" s="12"/>
      <c r="BM128" s="9"/>
      <c r="BN128" s="9"/>
      <c r="BO128" s="9"/>
      <c r="BP128" s="12"/>
      <c r="BQ128" s="12"/>
      <c r="BR128" s="12"/>
      <c r="BS128" s="12"/>
      <c r="BT128" s="12"/>
      <c r="BU128" s="12"/>
      <c r="BV128" s="12"/>
      <c r="BW128" s="12"/>
      <c r="BX128" s="12"/>
      <c r="BY128" s="9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</row>
    <row r="129" spans="1:88" ht="40.5" customHeight="1">
      <c r="A129" s="9">
        <f t="shared" si="0"/>
        <v>127</v>
      </c>
      <c r="B129" s="9" t="str">
        <f t="shared" si="5"/>
        <v xml:space="preserve">MA
</v>
      </c>
      <c r="C129" s="48" t="s">
        <v>481</v>
      </c>
      <c r="D129" s="9" t="s">
        <v>370</v>
      </c>
      <c r="E129" s="12">
        <v>0</v>
      </c>
      <c r="F129" s="12">
        <v>0</v>
      </c>
      <c r="G129" s="9" t="s">
        <v>89</v>
      </c>
      <c r="H129" s="12"/>
      <c r="I129" s="9">
        <v>97444600294</v>
      </c>
      <c r="J129" s="12"/>
      <c r="K129" s="12"/>
      <c r="L129" s="12"/>
      <c r="M129" s="12"/>
      <c r="N129" s="13" t="str">
        <f t="shared" si="1"/>
        <v xml:space="preserve">Sweis Aluminium
</v>
      </c>
      <c r="O129" s="16" t="s">
        <v>78</v>
      </c>
      <c r="P129" s="14">
        <v>3</v>
      </c>
      <c r="Q129" s="25">
        <v>44921</v>
      </c>
      <c r="R129" s="14">
        <v>4</v>
      </c>
      <c r="S129" s="26">
        <v>0.66597222222222219</v>
      </c>
      <c r="T129" s="16" t="s">
        <v>99</v>
      </c>
      <c r="U129" s="17" t="str">
        <f t="shared" si="2"/>
        <v xml:space="preserve">Sweis Aluminium
</v>
      </c>
      <c r="V129" s="13"/>
      <c r="W129" s="13"/>
      <c r="X129" s="13"/>
      <c r="Y129" s="13"/>
      <c r="Z129" s="13"/>
      <c r="AA129" s="13"/>
      <c r="AB129" s="18" t="str">
        <f t="shared" si="3"/>
        <v xml:space="preserve">Sweis Aluminium
</v>
      </c>
      <c r="AC129" s="18"/>
      <c r="AD129" s="18"/>
      <c r="AE129" s="18"/>
      <c r="AF129" s="18"/>
      <c r="AG129" s="18"/>
      <c r="AH129" s="13"/>
      <c r="AI129" s="18"/>
      <c r="AJ129" s="13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3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2"/>
      <c r="BK129" s="12"/>
      <c r="BL129" s="12"/>
      <c r="BM129" s="9"/>
      <c r="BN129" s="9"/>
      <c r="BO129" s="9"/>
      <c r="BP129" s="12"/>
      <c r="BQ129" s="12"/>
      <c r="BR129" s="12"/>
      <c r="BS129" s="12"/>
      <c r="BT129" s="12"/>
      <c r="BU129" s="12"/>
      <c r="BV129" s="12"/>
      <c r="BW129" s="12"/>
      <c r="BX129" s="12"/>
      <c r="BY129" s="9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</row>
    <row r="130" spans="1:88" ht="40.5" customHeight="1">
      <c r="A130" s="9">
        <f t="shared" si="0"/>
        <v>128</v>
      </c>
      <c r="B130" s="9" t="str">
        <f t="shared" si="5"/>
        <v xml:space="preserve">MA
</v>
      </c>
      <c r="C130" s="24" t="s">
        <v>482</v>
      </c>
      <c r="D130" s="9" t="s">
        <v>370</v>
      </c>
      <c r="E130" s="12">
        <v>0</v>
      </c>
      <c r="F130" s="12">
        <v>0</v>
      </c>
      <c r="G130" s="9" t="s">
        <v>89</v>
      </c>
      <c r="H130" s="12"/>
      <c r="I130" s="12">
        <f>97430160774</f>
        <v>97430160774</v>
      </c>
      <c r="J130" s="12"/>
      <c r="K130" s="12"/>
      <c r="L130" s="12"/>
      <c r="M130" s="12"/>
      <c r="N130" s="13" t="str">
        <f t="shared" si="1"/>
        <v xml:space="preserve">Mamun Aluminium
</v>
      </c>
      <c r="O130" s="16" t="s">
        <v>78</v>
      </c>
      <c r="P130" s="14">
        <v>2</v>
      </c>
      <c r="Q130" s="25">
        <v>44921</v>
      </c>
      <c r="R130" s="14">
        <v>1</v>
      </c>
      <c r="S130" s="26">
        <v>3.125E-2</v>
      </c>
      <c r="T130" s="16" t="s">
        <v>4</v>
      </c>
      <c r="U130" s="17" t="str">
        <f t="shared" si="2"/>
        <v xml:space="preserve">Mamun Aluminium
</v>
      </c>
      <c r="V130" s="13"/>
      <c r="W130" s="13"/>
      <c r="X130" s="13"/>
      <c r="Y130" s="13"/>
      <c r="Z130" s="13"/>
      <c r="AA130" s="13"/>
      <c r="AB130" s="18" t="str">
        <f t="shared" si="3"/>
        <v xml:space="preserve">Mamun Aluminium
</v>
      </c>
      <c r="AC130" s="18"/>
      <c r="AD130" s="18"/>
      <c r="AE130" s="18"/>
      <c r="AF130" s="18"/>
      <c r="AG130" s="18"/>
      <c r="AH130" s="13"/>
      <c r="AI130" s="18"/>
      <c r="AJ130" s="13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3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2"/>
      <c r="BK130" s="12"/>
      <c r="BL130" s="12"/>
      <c r="BM130" s="9"/>
      <c r="BN130" s="9"/>
      <c r="BO130" s="9"/>
      <c r="BP130" s="12"/>
      <c r="BQ130" s="12"/>
      <c r="BR130" s="12"/>
      <c r="BS130" s="12"/>
      <c r="BT130" s="12"/>
      <c r="BU130" s="12"/>
      <c r="BV130" s="12"/>
      <c r="BW130" s="12"/>
      <c r="BX130" s="12"/>
      <c r="BY130" s="9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</row>
    <row r="131" spans="1:88" ht="40.5" customHeight="1">
      <c r="A131" s="9">
        <f t="shared" si="0"/>
        <v>129</v>
      </c>
      <c r="B131" s="9" t="str">
        <f t="shared" si="5"/>
        <v xml:space="preserve">MA
</v>
      </c>
      <c r="C131" s="24" t="s">
        <v>483</v>
      </c>
      <c r="D131" s="9" t="s">
        <v>370</v>
      </c>
      <c r="E131" s="12">
        <v>0</v>
      </c>
      <c r="F131" s="12">
        <v>0</v>
      </c>
      <c r="G131" s="9" t="s">
        <v>89</v>
      </c>
      <c r="H131" s="12"/>
      <c r="I131" s="9">
        <v>97433336192</v>
      </c>
      <c r="J131" s="12"/>
      <c r="K131" s="12"/>
      <c r="L131" s="12"/>
      <c r="M131" s="12"/>
      <c r="N131" s="13" t="str">
        <f t="shared" si="1"/>
        <v xml:space="preserve">AL MAJED ALUMINIUM, UPVC AND STEEL WLL
</v>
      </c>
      <c r="O131" s="16" t="s">
        <v>78</v>
      </c>
      <c r="P131" s="14">
        <v>2</v>
      </c>
      <c r="Q131" s="25">
        <v>44921</v>
      </c>
      <c r="R131" s="17"/>
      <c r="S131" s="17"/>
      <c r="T131" s="16" t="s">
        <v>101</v>
      </c>
      <c r="U131" s="17" t="str">
        <f t="shared" si="2"/>
        <v xml:space="preserve">AL MAJED ALUMINIUM, UPVC AND STEEL WLL
</v>
      </c>
      <c r="V131" s="16" t="s">
        <v>98</v>
      </c>
      <c r="W131" s="16">
        <v>3</v>
      </c>
      <c r="X131" s="25">
        <v>44935</v>
      </c>
      <c r="Y131" s="13"/>
      <c r="Z131" s="13"/>
      <c r="AA131" s="16" t="s">
        <v>408</v>
      </c>
      <c r="AB131" s="18" t="str">
        <f t="shared" si="3"/>
        <v xml:space="preserve">AL MAJED ALUMINIUM, UPVC AND STEEL WLL
</v>
      </c>
      <c r="AC131" s="18"/>
      <c r="AD131" s="18"/>
      <c r="AE131" s="18"/>
      <c r="AF131" s="18"/>
      <c r="AG131" s="18"/>
      <c r="AH131" s="13"/>
      <c r="AI131" s="18"/>
      <c r="AJ131" s="13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3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2"/>
      <c r="BK131" s="12"/>
      <c r="BL131" s="12"/>
      <c r="BM131" s="9"/>
      <c r="BN131" s="9"/>
      <c r="BO131" s="9"/>
      <c r="BP131" s="12"/>
      <c r="BQ131" s="12"/>
      <c r="BR131" s="12"/>
      <c r="BS131" s="12"/>
      <c r="BT131" s="12"/>
      <c r="BU131" s="12"/>
      <c r="BV131" s="12"/>
      <c r="BW131" s="12"/>
      <c r="BX131" s="12"/>
      <c r="BY131" s="9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</row>
    <row r="132" spans="1:88" ht="40.5" customHeight="1">
      <c r="A132" s="9">
        <f t="shared" si="0"/>
        <v>130</v>
      </c>
      <c r="B132" s="9" t="str">
        <f t="shared" si="5"/>
        <v xml:space="preserve">MA
</v>
      </c>
      <c r="C132" s="48" t="s">
        <v>484</v>
      </c>
      <c r="D132" s="9" t="s">
        <v>370</v>
      </c>
      <c r="E132" s="12">
        <v>0</v>
      </c>
      <c r="F132" s="12">
        <v>0</v>
      </c>
      <c r="G132" s="9" t="s">
        <v>89</v>
      </c>
      <c r="H132" s="12"/>
      <c r="I132" s="9" t="s">
        <v>485</v>
      </c>
      <c r="J132" s="12"/>
      <c r="K132" s="12"/>
      <c r="L132" s="12"/>
      <c r="M132" s="12"/>
      <c r="N132" s="13" t="str">
        <f t="shared" si="1"/>
        <v xml:space="preserve">FBK For Trading Glass And Aluminium
</v>
      </c>
      <c r="O132" s="16" t="s">
        <v>78</v>
      </c>
      <c r="P132" s="14">
        <v>2</v>
      </c>
      <c r="Q132" s="25">
        <v>44921</v>
      </c>
      <c r="R132" s="14">
        <v>4</v>
      </c>
      <c r="S132" s="26">
        <v>0.27083333333333331</v>
      </c>
      <c r="T132" s="16" t="s">
        <v>108</v>
      </c>
      <c r="U132" s="17" t="str">
        <f t="shared" si="2"/>
        <v xml:space="preserve">FBK For Trading Glass And Aluminium
</v>
      </c>
      <c r="V132" s="16" t="s">
        <v>98</v>
      </c>
      <c r="W132" s="16">
        <v>3</v>
      </c>
      <c r="X132" s="25">
        <v>44922</v>
      </c>
      <c r="Y132" s="13"/>
      <c r="Z132" s="13"/>
      <c r="AA132" s="16" t="s">
        <v>86</v>
      </c>
      <c r="AB132" s="18" t="str">
        <f t="shared" si="3"/>
        <v xml:space="preserve">FBK For Trading Glass And Aluminium
</v>
      </c>
      <c r="AC132" s="19" t="s">
        <v>98</v>
      </c>
      <c r="AD132" s="19">
        <v>4</v>
      </c>
      <c r="AE132" s="27">
        <v>44942</v>
      </c>
      <c r="AF132" s="18"/>
      <c r="AG132" s="18"/>
      <c r="AH132" s="16" t="s">
        <v>108</v>
      </c>
      <c r="AI132" s="18"/>
      <c r="AJ132" s="16" t="s">
        <v>78</v>
      </c>
      <c r="AK132" s="20" t="s">
        <v>486</v>
      </c>
      <c r="AL132" s="20" t="s">
        <v>479</v>
      </c>
      <c r="AM132" s="19" t="s">
        <v>75</v>
      </c>
      <c r="AN132" s="19" t="s">
        <v>75</v>
      </c>
      <c r="AO132" s="19" t="s">
        <v>86</v>
      </c>
      <c r="AP132" s="18"/>
      <c r="AQ132" s="19" t="s">
        <v>78</v>
      </c>
      <c r="AR132" s="19" t="s">
        <v>79</v>
      </c>
      <c r="AS132" s="20" t="s">
        <v>80</v>
      </c>
      <c r="AT132" s="19" t="s">
        <v>75</v>
      </c>
      <c r="AU132" s="19" t="s">
        <v>75</v>
      </c>
      <c r="AV132" s="19" t="s">
        <v>101</v>
      </c>
      <c r="AW132" s="18"/>
      <c r="AX132" s="13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2"/>
      <c r="BK132" s="12"/>
      <c r="BL132" s="12"/>
      <c r="BM132" s="9"/>
      <c r="BN132" s="9"/>
      <c r="BO132" s="9"/>
      <c r="BP132" s="12"/>
      <c r="BQ132" s="12"/>
      <c r="BR132" s="12"/>
      <c r="BS132" s="12"/>
      <c r="BT132" s="12"/>
      <c r="BU132" s="12"/>
      <c r="BV132" s="12"/>
      <c r="BW132" s="12"/>
      <c r="BX132" s="12"/>
      <c r="BY132" s="9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</row>
    <row r="133" spans="1:88" ht="40.5" customHeight="1">
      <c r="A133" s="9">
        <f t="shared" si="0"/>
        <v>131</v>
      </c>
      <c r="B133" s="9" t="str">
        <f t="shared" si="5"/>
        <v xml:space="preserve">MA
</v>
      </c>
      <c r="C133" s="9" t="s">
        <v>487</v>
      </c>
      <c r="D133" s="9" t="s">
        <v>370</v>
      </c>
      <c r="E133" s="12">
        <v>0</v>
      </c>
      <c r="F133" s="12">
        <v>0</v>
      </c>
      <c r="G133" s="9" t="s">
        <v>89</v>
      </c>
      <c r="H133" s="9" t="s">
        <v>488</v>
      </c>
      <c r="I133" s="10" t="s">
        <v>489</v>
      </c>
      <c r="J133" s="9" t="s">
        <v>490</v>
      </c>
      <c r="K133" s="22" t="s">
        <v>491</v>
      </c>
      <c r="L133" s="12"/>
      <c r="M133" s="12"/>
      <c r="N133" s="13" t="str">
        <f t="shared" si="1"/>
        <v>Qatar National Aluminium Panel Co.</v>
      </c>
      <c r="O133" s="16" t="s">
        <v>78</v>
      </c>
      <c r="P133" s="14">
        <v>2</v>
      </c>
      <c r="Q133" s="25">
        <v>44921</v>
      </c>
      <c r="R133" s="14">
        <v>2</v>
      </c>
      <c r="S133" s="26">
        <v>9.0277777777777776E-2</v>
      </c>
      <c r="T133" s="16" t="s">
        <v>81</v>
      </c>
      <c r="U133" s="17" t="str">
        <f t="shared" si="2"/>
        <v>Qatar National Aluminium Panel Co.</v>
      </c>
      <c r="V133" s="16" t="s">
        <v>78</v>
      </c>
      <c r="W133" s="16">
        <v>3</v>
      </c>
      <c r="X133" s="25">
        <v>44935</v>
      </c>
      <c r="Y133" s="16">
        <v>3</v>
      </c>
      <c r="Z133" s="29">
        <v>5.8333333333333334E-2</v>
      </c>
      <c r="AA133" s="16" t="s">
        <v>153</v>
      </c>
      <c r="AB133" s="18" t="str">
        <f t="shared" si="3"/>
        <v>Qatar National Aluminium Panel Co.</v>
      </c>
      <c r="AC133" s="19" t="s">
        <v>78</v>
      </c>
      <c r="AD133" s="19">
        <v>4</v>
      </c>
      <c r="AE133" s="27">
        <v>44942</v>
      </c>
      <c r="AF133" s="18"/>
      <c r="AG133" s="18"/>
      <c r="AH133" s="16" t="s">
        <v>101</v>
      </c>
      <c r="AI133" s="18"/>
      <c r="AJ133" s="16" t="s">
        <v>78</v>
      </c>
      <c r="AK133" s="20" t="s">
        <v>486</v>
      </c>
      <c r="AL133" s="20" t="s">
        <v>479</v>
      </c>
      <c r="AM133" s="20" t="s">
        <v>228</v>
      </c>
      <c r="AN133" s="20" t="s">
        <v>181</v>
      </c>
      <c r="AO133" s="19" t="s">
        <v>81</v>
      </c>
      <c r="AP133" s="18"/>
      <c r="AQ133" s="19" t="s">
        <v>7</v>
      </c>
      <c r="AR133" s="19" t="s">
        <v>79</v>
      </c>
      <c r="AS133" s="20" t="s">
        <v>80</v>
      </c>
      <c r="AT133" s="19" t="s">
        <v>75</v>
      </c>
      <c r="AU133" s="19" t="s">
        <v>75</v>
      </c>
      <c r="AV133" s="19" t="s">
        <v>86</v>
      </c>
      <c r="AW133" s="18"/>
      <c r="AX133" s="13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2"/>
      <c r="BK133" s="12"/>
      <c r="BL133" s="12"/>
      <c r="BM133" s="9"/>
      <c r="BN133" s="9"/>
      <c r="BO133" s="9"/>
      <c r="BP133" s="12"/>
      <c r="BQ133" s="12"/>
      <c r="BR133" s="12"/>
      <c r="BS133" s="12"/>
      <c r="BT133" s="12"/>
      <c r="BU133" s="12"/>
      <c r="BV133" s="12"/>
      <c r="BW133" s="12"/>
      <c r="BX133" s="12"/>
      <c r="BY133" s="9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</row>
    <row r="134" spans="1:88" ht="40.5" customHeight="1">
      <c r="A134" s="24">
        <f t="shared" si="0"/>
        <v>132</v>
      </c>
      <c r="B134" s="24" t="str">
        <f t="shared" si="5"/>
        <v xml:space="preserve">MA
</v>
      </c>
      <c r="C134" s="24" t="s">
        <v>492</v>
      </c>
      <c r="D134" s="24" t="s">
        <v>370</v>
      </c>
      <c r="E134" s="30">
        <v>0</v>
      </c>
      <c r="F134" s="30">
        <v>0</v>
      </c>
      <c r="G134" s="24" t="s">
        <v>89</v>
      </c>
      <c r="H134" s="30"/>
      <c r="I134" s="24">
        <v>9744438200</v>
      </c>
      <c r="J134" s="30"/>
      <c r="K134" s="30"/>
      <c r="L134" s="30"/>
      <c r="M134" s="30"/>
      <c r="N134" s="33" t="str">
        <f t="shared" si="1"/>
        <v xml:space="preserve">Qatar Belgium Aluminium Company (QBEL)
</v>
      </c>
      <c r="O134" s="34" t="s">
        <v>78</v>
      </c>
      <c r="P134" s="35">
        <v>2</v>
      </c>
      <c r="Q134" s="36">
        <v>44921</v>
      </c>
      <c r="R134" s="35">
        <v>1</v>
      </c>
      <c r="S134" s="37">
        <v>8.3333333333333329E-2</v>
      </c>
      <c r="T134" s="34" t="s">
        <v>153</v>
      </c>
      <c r="U134" s="38" t="str">
        <f t="shared" si="2"/>
        <v xml:space="preserve">Qatar Belgium Aluminium Company (QBEL)
</v>
      </c>
      <c r="V134" s="34" t="s">
        <v>78</v>
      </c>
      <c r="W134" s="34">
        <v>3</v>
      </c>
      <c r="X134" s="36">
        <v>44935</v>
      </c>
      <c r="Y134" s="33"/>
      <c r="Z134" s="33"/>
      <c r="AA134" s="34" t="s">
        <v>4</v>
      </c>
      <c r="AB134" s="39" t="str">
        <f t="shared" si="3"/>
        <v xml:space="preserve">Qatar Belgium Aluminium Company (QBEL)
</v>
      </c>
      <c r="AC134" s="40" t="s">
        <v>78</v>
      </c>
      <c r="AD134" s="45" t="s">
        <v>359</v>
      </c>
      <c r="AE134" s="45" t="s">
        <v>479</v>
      </c>
      <c r="AF134" s="40" t="s">
        <v>75</v>
      </c>
      <c r="AG134" s="40" t="s">
        <v>75</v>
      </c>
      <c r="AH134" s="34" t="s">
        <v>126</v>
      </c>
      <c r="AI134" s="39"/>
      <c r="AJ134" s="33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3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0"/>
      <c r="BK134" s="30"/>
      <c r="BL134" s="30"/>
      <c r="BM134" s="24"/>
      <c r="BN134" s="24"/>
      <c r="BO134" s="24"/>
      <c r="BP134" s="30"/>
      <c r="BQ134" s="30"/>
      <c r="BR134" s="30"/>
      <c r="BS134" s="30"/>
      <c r="BT134" s="30"/>
      <c r="BU134" s="30"/>
      <c r="BV134" s="30"/>
      <c r="BW134" s="30"/>
      <c r="BX134" s="30"/>
      <c r="BY134" s="24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</row>
    <row r="135" spans="1:88" ht="40.5" customHeight="1">
      <c r="A135" s="9">
        <f t="shared" si="0"/>
        <v>133</v>
      </c>
      <c r="B135" s="9" t="str">
        <f t="shared" si="5"/>
        <v xml:space="preserve">MA
</v>
      </c>
      <c r="C135" s="9" t="s">
        <v>493</v>
      </c>
      <c r="D135" s="9" t="s">
        <v>370</v>
      </c>
      <c r="E135" s="12">
        <v>0</v>
      </c>
      <c r="F135" s="12">
        <v>0</v>
      </c>
      <c r="G135" s="9" t="s">
        <v>89</v>
      </c>
      <c r="H135" s="12"/>
      <c r="I135" s="12">
        <f>97455509913</f>
        <v>97455509913</v>
      </c>
      <c r="J135" s="12"/>
      <c r="K135" s="12"/>
      <c r="L135" s="12"/>
      <c r="M135" s="12"/>
      <c r="N135" s="13" t="str">
        <f t="shared" si="1"/>
        <v xml:space="preserve">MIDDLE EAST GLASS &amp; ALUMINIUM
</v>
      </c>
      <c r="O135" s="16" t="s">
        <v>78</v>
      </c>
      <c r="P135" s="14">
        <v>2</v>
      </c>
      <c r="Q135" s="25">
        <v>44921</v>
      </c>
      <c r="R135" s="14">
        <v>1</v>
      </c>
      <c r="S135" s="17"/>
      <c r="T135" s="16" t="s">
        <v>126</v>
      </c>
      <c r="U135" s="17" t="str">
        <f t="shared" si="2"/>
        <v xml:space="preserve">MIDDLE EAST GLASS &amp; ALUMINIUM
</v>
      </c>
      <c r="V135" s="16" t="s">
        <v>78</v>
      </c>
      <c r="W135" s="16">
        <v>3</v>
      </c>
      <c r="X135" s="25">
        <v>44935</v>
      </c>
      <c r="Y135" s="13"/>
      <c r="Z135" s="13"/>
      <c r="AA135" s="16" t="s">
        <v>101</v>
      </c>
      <c r="AB135" s="18" t="str">
        <f t="shared" si="3"/>
        <v xml:space="preserve">MIDDLE EAST GLASS &amp; ALUMINIUM
</v>
      </c>
      <c r="AC135" s="19" t="s">
        <v>78</v>
      </c>
      <c r="AD135" s="19">
        <v>4</v>
      </c>
      <c r="AE135" s="27">
        <v>44942</v>
      </c>
      <c r="AF135" s="18"/>
      <c r="AG135" s="47">
        <v>5.4166666666666669E-2</v>
      </c>
      <c r="AH135" s="16" t="s">
        <v>153</v>
      </c>
      <c r="AI135" s="18"/>
      <c r="AJ135" s="16" t="s">
        <v>78</v>
      </c>
      <c r="AK135" s="20" t="s">
        <v>486</v>
      </c>
      <c r="AL135" s="20" t="s">
        <v>479</v>
      </c>
      <c r="AM135" s="20" t="s">
        <v>82</v>
      </c>
      <c r="AN135" s="20" t="s">
        <v>175</v>
      </c>
      <c r="AO135" s="19" t="s">
        <v>86</v>
      </c>
      <c r="AP135" s="18"/>
      <c r="AQ135" s="19" t="s">
        <v>98</v>
      </c>
      <c r="AR135" s="19" t="s">
        <v>79</v>
      </c>
      <c r="AS135" s="20" t="s">
        <v>80</v>
      </c>
      <c r="AT135" s="19" t="s">
        <v>75</v>
      </c>
      <c r="AU135" s="19" t="s">
        <v>75</v>
      </c>
      <c r="AV135" s="19" t="s">
        <v>101</v>
      </c>
      <c r="AW135" s="18"/>
      <c r="AX135" s="13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2"/>
      <c r="BK135" s="12"/>
      <c r="BL135" s="12"/>
      <c r="BM135" s="9"/>
      <c r="BN135" s="9"/>
      <c r="BO135" s="9"/>
      <c r="BP135" s="12"/>
      <c r="BQ135" s="12"/>
      <c r="BR135" s="12"/>
      <c r="BS135" s="12"/>
      <c r="BT135" s="12"/>
      <c r="BU135" s="12"/>
      <c r="BV135" s="12"/>
      <c r="BW135" s="12"/>
      <c r="BX135" s="12"/>
      <c r="BY135" s="9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</row>
    <row r="136" spans="1:88" ht="40.5" customHeight="1">
      <c r="A136" s="9">
        <f t="shared" si="0"/>
        <v>134</v>
      </c>
      <c r="B136" s="9" t="str">
        <f t="shared" si="5"/>
        <v xml:space="preserve">MA
</v>
      </c>
      <c r="C136" s="24" t="s">
        <v>494</v>
      </c>
      <c r="D136" s="9" t="s">
        <v>370</v>
      </c>
      <c r="E136" s="12">
        <v>0</v>
      </c>
      <c r="F136" s="12">
        <v>0</v>
      </c>
      <c r="G136" s="9" t="s">
        <v>89</v>
      </c>
      <c r="H136" s="12"/>
      <c r="I136" s="12">
        <f>97455843127</f>
        <v>97455843127</v>
      </c>
      <c r="J136" s="12"/>
      <c r="K136" s="12"/>
      <c r="L136" s="12"/>
      <c r="M136" s="12"/>
      <c r="N136" s="13" t="str">
        <f t="shared" si="1"/>
        <v>MIDDLE EAST GLASS &amp; ALUMINIUM
2</v>
      </c>
      <c r="O136" s="16" t="s">
        <v>78</v>
      </c>
      <c r="P136" s="14">
        <v>2</v>
      </c>
      <c r="Q136" s="25">
        <v>44921</v>
      </c>
      <c r="R136" s="14">
        <v>1</v>
      </c>
      <c r="S136" s="26">
        <v>2.9166666666666667E-2</v>
      </c>
      <c r="T136" s="16" t="s">
        <v>408</v>
      </c>
      <c r="U136" s="17" t="str">
        <f t="shared" si="2"/>
        <v>MIDDLE EAST GLASS &amp; ALUMINIUM
2</v>
      </c>
      <c r="V136" s="16" t="s">
        <v>78</v>
      </c>
      <c r="W136" s="16">
        <v>3</v>
      </c>
      <c r="X136" s="25">
        <v>44942</v>
      </c>
      <c r="Y136" s="13"/>
      <c r="Z136" s="13"/>
      <c r="AA136" s="16" t="s">
        <v>101</v>
      </c>
      <c r="AB136" s="18" t="str">
        <f t="shared" si="3"/>
        <v>MIDDLE EAST GLASS &amp; ALUMINIUM
2</v>
      </c>
      <c r="AC136" s="19" t="s">
        <v>98</v>
      </c>
      <c r="AD136" s="19" t="s">
        <v>79</v>
      </c>
      <c r="AE136" s="20" t="s">
        <v>80</v>
      </c>
      <c r="AF136" s="19" t="s">
        <v>75</v>
      </c>
      <c r="AG136" s="19" t="s">
        <v>75</v>
      </c>
      <c r="AH136" s="16" t="s">
        <v>86</v>
      </c>
      <c r="AI136" s="18"/>
      <c r="AJ136" s="13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3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2"/>
      <c r="BK136" s="12"/>
      <c r="BL136" s="12"/>
      <c r="BM136" s="9"/>
      <c r="BN136" s="9"/>
      <c r="BO136" s="9"/>
      <c r="BP136" s="12"/>
      <c r="BQ136" s="12"/>
      <c r="BR136" s="12"/>
      <c r="BS136" s="12"/>
      <c r="BT136" s="12"/>
      <c r="BU136" s="12"/>
      <c r="BV136" s="12"/>
      <c r="BW136" s="12"/>
      <c r="BX136" s="12"/>
      <c r="BY136" s="9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</row>
    <row r="137" spans="1:88" ht="40.5" customHeight="1">
      <c r="A137" s="9">
        <f t="shared" si="0"/>
        <v>135</v>
      </c>
      <c r="B137" s="9" t="str">
        <f t="shared" si="5"/>
        <v xml:space="preserve">MA
</v>
      </c>
      <c r="C137" s="9" t="s">
        <v>495</v>
      </c>
      <c r="D137" s="9" t="s">
        <v>370</v>
      </c>
      <c r="E137" s="12">
        <v>0</v>
      </c>
      <c r="F137" s="9">
        <v>1</v>
      </c>
      <c r="G137" s="9" t="s">
        <v>89</v>
      </c>
      <c r="H137" s="12"/>
      <c r="I137" s="9" t="s">
        <v>496</v>
      </c>
      <c r="J137" s="9" t="s">
        <v>497</v>
      </c>
      <c r="K137" s="12"/>
      <c r="L137" s="12"/>
      <c r="M137" s="12"/>
      <c r="N137" s="13" t="str">
        <f t="shared" si="1"/>
        <v xml:space="preserve">Al Fateh Aluminium Company
</v>
      </c>
      <c r="O137" s="16" t="s">
        <v>78</v>
      </c>
      <c r="P137" s="14">
        <v>2</v>
      </c>
      <c r="Q137" s="25">
        <v>44921</v>
      </c>
      <c r="R137" s="14">
        <v>4</v>
      </c>
      <c r="S137" s="26">
        <v>0.20416666666666666</v>
      </c>
      <c r="T137" s="16" t="s">
        <v>190</v>
      </c>
      <c r="U137" s="17" t="str">
        <f t="shared" si="2"/>
        <v xml:space="preserve">Al Fateh Aluminium Company
</v>
      </c>
      <c r="V137" s="16" t="s">
        <v>98</v>
      </c>
      <c r="W137" s="16">
        <v>3</v>
      </c>
      <c r="X137" s="25">
        <v>44925</v>
      </c>
      <c r="Y137" s="13"/>
      <c r="Z137" s="13"/>
      <c r="AA137" s="16" t="s">
        <v>86</v>
      </c>
      <c r="AB137" s="18" t="str">
        <f t="shared" si="3"/>
        <v xml:space="preserve">Al Fateh Aluminium Company
</v>
      </c>
      <c r="AC137" s="19" t="s">
        <v>78</v>
      </c>
      <c r="AD137" s="19">
        <v>4</v>
      </c>
      <c r="AE137" s="27">
        <v>44935</v>
      </c>
      <c r="AF137" s="19">
        <v>4</v>
      </c>
      <c r="AG137" s="47">
        <v>0.1388888888888889</v>
      </c>
      <c r="AH137" s="16" t="s">
        <v>190</v>
      </c>
      <c r="AI137" s="18"/>
      <c r="AJ137" s="16" t="s">
        <v>98</v>
      </c>
      <c r="AK137" s="19">
        <v>5</v>
      </c>
      <c r="AL137" s="27">
        <v>44942</v>
      </c>
      <c r="AM137" s="18"/>
      <c r="AN137" s="18"/>
      <c r="AO137" s="19" t="s">
        <v>86</v>
      </c>
      <c r="AP137" s="18"/>
      <c r="AQ137" s="19" t="s">
        <v>78</v>
      </c>
      <c r="AR137" s="20" t="s">
        <v>220</v>
      </c>
      <c r="AS137" s="20" t="s">
        <v>498</v>
      </c>
      <c r="AT137" s="20" t="s">
        <v>232</v>
      </c>
      <c r="AU137" s="20" t="s">
        <v>213</v>
      </c>
      <c r="AV137" s="19" t="s">
        <v>86</v>
      </c>
      <c r="AW137" s="18"/>
      <c r="AX137" s="16" t="s">
        <v>78</v>
      </c>
      <c r="AY137" s="19" t="s">
        <v>79</v>
      </c>
      <c r="AZ137" s="20" t="s">
        <v>80</v>
      </c>
      <c r="BA137" s="19" t="s">
        <v>75</v>
      </c>
      <c r="BB137" s="19" t="s">
        <v>75</v>
      </c>
      <c r="BC137" s="19" t="s">
        <v>101</v>
      </c>
      <c r="BD137" s="18"/>
      <c r="BE137" s="18"/>
      <c r="BF137" s="18"/>
      <c r="BG137" s="18"/>
      <c r="BH137" s="18"/>
      <c r="BI137" s="18"/>
      <c r="BJ137" s="12"/>
      <c r="BK137" s="12"/>
      <c r="BL137" s="12"/>
      <c r="BM137" s="9"/>
      <c r="BN137" s="9"/>
      <c r="BO137" s="9"/>
      <c r="BP137" s="12"/>
      <c r="BQ137" s="12"/>
      <c r="BR137" s="12"/>
      <c r="BS137" s="12"/>
      <c r="BT137" s="12"/>
      <c r="BU137" s="12"/>
      <c r="BV137" s="12"/>
      <c r="BW137" s="12"/>
      <c r="BX137" s="12"/>
      <c r="BY137" s="9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</row>
    <row r="138" spans="1:88" ht="40.5" customHeight="1">
      <c r="A138" s="9">
        <f t="shared" si="0"/>
        <v>136</v>
      </c>
      <c r="B138" s="9" t="str">
        <f t="shared" si="5"/>
        <v xml:space="preserve">MA
</v>
      </c>
      <c r="C138" s="9" t="s">
        <v>499</v>
      </c>
      <c r="D138" s="9" t="s">
        <v>370</v>
      </c>
      <c r="E138" s="12">
        <v>0</v>
      </c>
      <c r="F138" s="12">
        <v>0</v>
      </c>
      <c r="G138" s="9" t="s">
        <v>89</v>
      </c>
      <c r="H138" s="12"/>
      <c r="I138" s="9" t="s">
        <v>500</v>
      </c>
      <c r="J138" s="12"/>
      <c r="K138" s="12"/>
      <c r="L138" s="12"/>
      <c r="M138" s="12"/>
      <c r="N138" s="13" t="str">
        <f t="shared" si="1"/>
        <v>TRUST GROUP</v>
      </c>
      <c r="O138" s="16" t="s">
        <v>78</v>
      </c>
      <c r="P138" s="14">
        <v>3</v>
      </c>
      <c r="Q138" s="25">
        <v>44921</v>
      </c>
      <c r="R138" s="17"/>
      <c r="S138" s="17"/>
      <c r="T138" s="16" t="s">
        <v>101</v>
      </c>
      <c r="U138" s="17" t="str">
        <f t="shared" si="2"/>
        <v>TRUST GROUP</v>
      </c>
      <c r="V138" s="16" t="s">
        <v>78</v>
      </c>
      <c r="W138" s="16">
        <v>4</v>
      </c>
      <c r="X138" s="25">
        <v>44935</v>
      </c>
      <c r="Y138" s="16">
        <v>4</v>
      </c>
      <c r="Z138" s="29">
        <v>8.3333333333333329E-2</v>
      </c>
      <c r="AA138" s="16" t="s">
        <v>86</v>
      </c>
      <c r="AB138" s="18" t="str">
        <f t="shared" si="3"/>
        <v>TRUST GROUP</v>
      </c>
      <c r="AC138" s="19" t="s">
        <v>98</v>
      </c>
      <c r="AD138" s="19">
        <v>5</v>
      </c>
      <c r="AE138" s="27">
        <v>44942</v>
      </c>
      <c r="AF138" s="18"/>
      <c r="AG138" s="18"/>
      <c r="AH138" s="16" t="s">
        <v>86</v>
      </c>
      <c r="AI138" s="18"/>
      <c r="AJ138" s="16" t="s">
        <v>98</v>
      </c>
      <c r="AK138" s="20" t="s">
        <v>144</v>
      </c>
      <c r="AL138" s="20" t="s">
        <v>479</v>
      </c>
      <c r="AM138" s="19" t="s">
        <v>75</v>
      </c>
      <c r="AN138" s="19" t="s">
        <v>75</v>
      </c>
      <c r="AO138" s="19" t="s">
        <v>86</v>
      </c>
      <c r="AP138" s="18"/>
      <c r="AQ138" s="19" t="s">
        <v>78</v>
      </c>
      <c r="AR138" s="19" t="s">
        <v>79</v>
      </c>
      <c r="AS138" s="20" t="s">
        <v>80</v>
      </c>
      <c r="AT138" s="19" t="s">
        <v>75</v>
      </c>
      <c r="AU138" s="19" t="s">
        <v>75</v>
      </c>
      <c r="AV138" s="19" t="s">
        <v>101</v>
      </c>
      <c r="AW138" s="18"/>
      <c r="AX138" s="13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2"/>
      <c r="BK138" s="12"/>
      <c r="BL138" s="12"/>
      <c r="BM138" s="9"/>
      <c r="BN138" s="9"/>
      <c r="BO138" s="9"/>
      <c r="BP138" s="12"/>
      <c r="BQ138" s="12"/>
      <c r="BR138" s="12"/>
      <c r="BS138" s="12"/>
      <c r="BT138" s="12"/>
      <c r="BU138" s="12"/>
      <c r="BV138" s="12"/>
      <c r="BW138" s="12"/>
      <c r="BX138" s="12"/>
      <c r="BY138" s="9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</row>
    <row r="139" spans="1:88" ht="40.5" customHeight="1">
      <c r="A139" s="24">
        <f t="shared" si="0"/>
        <v>137</v>
      </c>
      <c r="B139" s="24" t="str">
        <f t="shared" si="5"/>
        <v xml:space="preserve">MA
</v>
      </c>
      <c r="C139" s="24" t="s">
        <v>501</v>
      </c>
      <c r="D139" s="24" t="s">
        <v>370</v>
      </c>
      <c r="E139" s="30">
        <v>0</v>
      </c>
      <c r="F139" s="30">
        <v>0</v>
      </c>
      <c r="G139" s="24" t="s">
        <v>89</v>
      </c>
      <c r="H139" s="30"/>
      <c r="I139" s="24">
        <v>97455563661</v>
      </c>
      <c r="J139" s="30"/>
      <c r="K139" s="30"/>
      <c r="L139" s="30"/>
      <c r="M139" s="30"/>
      <c r="N139" s="33" t="str">
        <f t="shared" si="1"/>
        <v xml:space="preserve">Choice Aluminium - Aluminium Fabrication,Aluminium Doors, Aluminium Kitchen in Doha
</v>
      </c>
      <c r="O139" s="34" t="s">
        <v>78</v>
      </c>
      <c r="P139" s="35">
        <v>2</v>
      </c>
      <c r="Q139" s="36">
        <v>44921</v>
      </c>
      <c r="R139" s="38"/>
      <c r="S139" s="38"/>
      <c r="T139" s="34" t="s">
        <v>101</v>
      </c>
      <c r="U139" s="38" t="str">
        <f t="shared" si="2"/>
        <v xml:space="preserve">Choice Aluminium - Aluminium Fabrication,Aluminium Doors, Aluminium Kitchen in Doha
</v>
      </c>
      <c r="V139" s="34" t="s">
        <v>78</v>
      </c>
      <c r="W139" s="34">
        <v>3</v>
      </c>
      <c r="X139" s="36">
        <v>44935</v>
      </c>
      <c r="Y139" s="33"/>
      <c r="Z139" s="33"/>
      <c r="AA139" s="34" t="s">
        <v>101</v>
      </c>
      <c r="AB139" s="39" t="str">
        <f t="shared" si="3"/>
        <v xml:space="preserve">Choice Aluminium - Aluminium Fabrication,Aluminium Doors, Aluminium Kitchen in Doha
</v>
      </c>
      <c r="AC139" s="40" t="s">
        <v>78</v>
      </c>
      <c r="AD139" s="40">
        <v>4</v>
      </c>
      <c r="AE139" s="41">
        <v>44942</v>
      </c>
      <c r="AF139" s="39"/>
      <c r="AG139" s="39"/>
      <c r="AH139" s="34" t="s">
        <v>4</v>
      </c>
      <c r="AI139" s="39"/>
      <c r="AJ139" s="33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3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0"/>
      <c r="BK139" s="30"/>
      <c r="BL139" s="30"/>
      <c r="BM139" s="24"/>
      <c r="BN139" s="24"/>
      <c r="BO139" s="24"/>
      <c r="BP139" s="30"/>
      <c r="BQ139" s="30"/>
      <c r="BR139" s="30"/>
      <c r="BS139" s="30"/>
      <c r="BT139" s="30"/>
      <c r="BU139" s="30"/>
      <c r="BV139" s="30"/>
      <c r="BW139" s="30"/>
      <c r="BX139" s="30"/>
      <c r="BY139" s="24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</row>
    <row r="140" spans="1:88" ht="40.5" customHeight="1">
      <c r="A140" s="9">
        <f t="shared" si="0"/>
        <v>138</v>
      </c>
      <c r="B140" s="9" t="str">
        <f t="shared" si="5"/>
        <v xml:space="preserve">MA
</v>
      </c>
      <c r="C140" s="9" t="s">
        <v>502</v>
      </c>
      <c r="D140" s="9" t="s">
        <v>370</v>
      </c>
      <c r="E140" s="12">
        <v>0</v>
      </c>
      <c r="F140" s="12">
        <v>0</v>
      </c>
      <c r="G140" s="9" t="s">
        <v>89</v>
      </c>
      <c r="H140" s="12"/>
      <c r="I140" s="9">
        <v>97477450943</v>
      </c>
      <c r="J140" s="12"/>
      <c r="K140" s="12"/>
      <c r="L140" s="12"/>
      <c r="M140" s="12"/>
      <c r="N140" s="13" t="str">
        <f t="shared" si="1"/>
        <v xml:space="preserve">Sk aluminium fabrication works
</v>
      </c>
      <c r="O140" s="16" t="s">
        <v>78</v>
      </c>
      <c r="P140" s="14">
        <v>3</v>
      </c>
      <c r="Q140" s="25">
        <v>44921</v>
      </c>
      <c r="R140" s="17"/>
      <c r="S140" s="17"/>
      <c r="T140" s="16" t="s">
        <v>101</v>
      </c>
      <c r="U140" s="17" t="str">
        <f t="shared" si="2"/>
        <v xml:space="preserve">Sk aluminium fabrication works
</v>
      </c>
      <c r="V140" s="16" t="s">
        <v>78</v>
      </c>
      <c r="W140" s="16">
        <v>4</v>
      </c>
      <c r="X140" s="25">
        <v>44935</v>
      </c>
      <c r="Y140" s="13"/>
      <c r="Z140" s="13"/>
      <c r="AA140" s="16" t="s">
        <v>101</v>
      </c>
      <c r="AB140" s="18" t="str">
        <f t="shared" si="3"/>
        <v xml:space="preserve">Sk aluminium fabrication works
</v>
      </c>
      <c r="AC140" s="19" t="s">
        <v>78</v>
      </c>
      <c r="AD140" s="19">
        <v>5</v>
      </c>
      <c r="AE140" s="27">
        <v>44942</v>
      </c>
      <c r="AF140" s="18"/>
      <c r="AG140" s="18"/>
      <c r="AH140" s="16" t="s">
        <v>101</v>
      </c>
      <c r="AI140" s="18"/>
      <c r="AJ140" s="16" t="s">
        <v>78</v>
      </c>
      <c r="AK140" s="20" t="s">
        <v>144</v>
      </c>
      <c r="AL140" s="20" t="s">
        <v>479</v>
      </c>
      <c r="AM140" s="20" t="s">
        <v>242</v>
      </c>
      <c r="AN140" s="19" t="s">
        <v>503</v>
      </c>
      <c r="AO140" s="19" t="s">
        <v>86</v>
      </c>
      <c r="AP140" s="18"/>
      <c r="AQ140" s="19" t="s">
        <v>78</v>
      </c>
      <c r="AR140" s="19" t="s">
        <v>79</v>
      </c>
      <c r="AS140" s="20" t="s">
        <v>80</v>
      </c>
      <c r="AT140" s="19" t="s">
        <v>75</v>
      </c>
      <c r="AU140" s="19" t="s">
        <v>75</v>
      </c>
      <c r="AV140" s="19" t="s">
        <v>101</v>
      </c>
      <c r="AW140" s="18"/>
      <c r="AX140" s="13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2"/>
      <c r="BK140" s="12"/>
      <c r="BL140" s="12"/>
      <c r="BM140" s="9"/>
      <c r="BN140" s="9"/>
      <c r="BO140" s="9"/>
      <c r="BP140" s="12"/>
      <c r="BQ140" s="12"/>
      <c r="BR140" s="12"/>
      <c r="BS140" s="12"/>
      <c r="BT140" s="12"/>
      <c r="BU140" s="12"/>
      <c r="BV140" s="12"/>
      <c r="BW140" s="12"/>
      <c r="BX140" s="12"/>
      <c r="BY140" s="9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</row>
    <row r="141" spans="1:88" ht="40.5" customHeight="1">
      <c r="A141" s="24">
        <f t="shared" si="0"/>
        <v>139</v>
      </c>
      <c r="B141" s="24" t="str">
        <f t="shared" si="5"/>
        <v xml:space="preserve">MA
</v>
      </c>
      <c r="C141" s="24" t="s">
        <v>504</v>
      </c>
      <c r="D141" s="24" t="s">
        <v>370</v>
      </c>
      <c r="E141" s="24">
        <v>1</v>
      </c>
      <c r="F141" s="30">
        <v>0</v>
      </c>
      <c r="G141" s="24" t="s">
        <v>89</v>
      </c>
      <c r="H141" s="30"/>
      <c r="I141" s="24">
        <v>97444713717</v>
      </c>
      <c r="J141" s="30"/>
      <c r="K141" s="30"/>
      <c r="L141" s="30"/>
      <c r="M141" s="30"/>
      <c r="N141" s="33" t="str">
        <f t="shared" si="1"/>
        <v>Al Shaheen Aluminium and UPVC Factory</v>
      </c>
      <c r="O141" s="34" t="s">
        <v>78</v>
      </c>
      <c r="P141" s="35">
        <v>2</v>
      </c>
      <c r="Q141" s="36">
        <v>44921</v>
      </c>
      <c r="R141" s="38"/>
      <c r="S141" s="38"/>
      <c r="T141" s="34" t="s">
        <v>126</v>
      </c>
      <c r="U141" s="38" t="str">
        <f t="shared" si="2"/>
        <v>Al Shaheen Aluminium and UPVC Factory</v>
      </c>
      <c r="V141" s="34" t="s">
        <v>78</v>
      </c>
      <c r="W141" s="34">
        <v>3</v>
      </c>
      <c r="X141" s="36">
        <v>44935</v>
      </c>
      <c r="Y141" s="33"/>
      <c r="Z141" s="33"/>
      <c r="AA141" s="34" t="s">
        <v>126</v>
      </c>
      <c r="AB141" s="39" t="str">
        <f t="shared" si="3"/>
        <v>Al Shaheen Aluminium and UPVC Factory</v>
      </c>
      <c r="AC141" s="39"/>
      <c r="AD141" s="39"/>
      <c r="AE141" s="39"/>
      <c r="AF141" s="39"/>
      <c r="AG141" s="39"/>
      <c r="AH141" s="33"/>
      <c r="AI141" s="39"/>
      <c r="AJ141" s="33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3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0"/>
      <c r="BK141" s="30"/>
      <c r="BL141" s="30"/>
      <c r="BM141" s="24"/>
      <c r="BN141" s="24"/>
      <c r="BO141" s="24"/>
      <c r="BP141" s="30"/>
      <c r="BQ141" s="30"/>
      <c r="BR141" s="30"/>
      <c r="BS141" s="30"/>
      <c r="BT141" s="30"/>
      <c r="BU141" s="30"/>
      <c r="BV141" s="30"/>
      <c r="BW141" s="30"/>
      <c r="BX141" s="30"/>
      <c r="BY141" s="24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</row>
    <row r="142" spans="1:88" ht="40.5" customHeight="1">
      <c r="A142" s="24">
        <f t="shared" si="0"/>
        <v>140</v>
      </c>
      <c r="B142" s="24" t="str">
        <f t="shared" si="5"/>
        <v xml:space="preserve">MA
</v>
      </c>
      <c r="C142" s="49" t="s">
        <v>505</v>
      </c>
      <c r="D142" s="24" t="s">
        <v>370</v>
      </c>
      <c r="E142" s="24">
        <v>1</v>
      </c>
      <c r="F142" s="24">
        <v>0</v>
      </c>
      <c r="G142" s="24" t="s">
        <v>89</v>
      </c>
      <c r="H142" s="30"/>
      <c r="I142" s="30">
        <f>97477788873</f>
        <v>97477788873</v>
      </c>
      <c r="J142" s="30"/>
      <c r="K142" s="30"/>
      <c r="L142" s="30"/>
      <c r="M142" s="30"/>
      <c r="N142" s="33" t="str">
        <f t="shared" si="1"/>
        <v xml:space="preserve">Jabal yafa Aluminium جبل يافع للألمنيوم
</v>
      </c>
      <c r="O142" s="34" t="s">
        <v>98</v>
      </c>
      <c r="P142" s="35">
        <v>2</v>
      </c>
      <c r="Q142" s="36">
        <v>44921</v>
      </c>
      <c r="R142" s="38"/>
      <c r="S142" s="38"/>
      <c r="T142" s="34" t="s">
        <v>108</v>
      </c>
      <c r="U142" s="38" t="str">
        <f t="shared" si="2"/>
        <v xml:space="preserve">Jabal yafa Aluminium جبل يافع للألمنيوم
</v>
      </c>
      <c r="V142" s="34" t="s">
        <v>78</v>
      </c>
      <c r="W142" s="34">
        <v>3</v>
      </c>
      <c r="X142" s="36">
        <v>44935</v>
      </c>
      <c r="Y142" s="33"/>
      <c r="Z142" s="33"/>
      <c r="AA142" s="34" t="s">
        <v>4</v>
      </c>
      <c r="AB142" s="39" t="str">
        <f t="shared" si="3"/>
        <v xml:space="preserve">Jabal yafa Aluminium جبل يافع للألمنيوم
</v>
      </c>
      <c r="AC142" s="39"/>
      <c r="AD142" s="39"/>
      <c r="AE142" s="39"/>
      <c r="AF142" s="39"/>
      <c r="AG142" s="39"/>
      <c r="AH142" s="33"/>
      <c r="AI142" s="39"/>
      <c r="AJ142" s="33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3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0"/>
      <c r="BK142" s="30"/>
      <c r="BL142" s="30"/>
      <c r="BM142" s="24"/>
      <c r="BN142" s="24"/>
      <c r="BO142" s="24"/>
      <c r="BP142" s="30"/>
      <c r="BQ142" s="30"/>
      <c r="BR142" s="30"/>
      <c r="BS142" s="30"/>
      <c r="BT142" s="30"/>
      <c r="BU142" s="30"/>
      <c r="BV142" s="30"/>
      <c r="BW142" s="30"/>
      <c r="BX142" s="30"/>
      <c r="BY142" s="24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</row>
    <row r="143" spans="1:88" ht="40.5" customHeight="1">
      <c r="A143" s="9">
        <f t="shared" si="0"/>
        <v>141</v>
      </c>
      <c r="B143" s="9" t="str">
        <f t="shared" si="5"/>
        <v xml:space="preserve">MA
</v>
      </c>
      <c r="C143" s="9" t="s">
        <v>506</v>
      </c>
      <c r="D143" s="9" t="s">
        <v>370</v>
      </c>
      <c r="E143" s="12">
        <v>0</v>
      </c>
      <c r="F143" s="12">
        <v>0</v>
      </c>
      <c r="G143" s="9" t="s">
        <v>89</v>
      </c>
      <c r="H143" s="9" t="s">
        <v>507</v>
      </c>
      <c r="I143" s="9" t="s">
        <v>508</v>
      </c>
      <c r="J143" s="12"/>
      <c r="K143" s="22" t="s">
        <v>509</v>
      </c>
      <c r="L143" s="12"/>
      <c r="M143" s="12"/>
      <c r="N143" s="13" t="str">
        <f t="shared" si="1"/>
        <v xml:space="preserve">ALTECH ALUMINIUM &amp; STEEL
</v>
      </c>
      <c r="O143" s="16" t="s">
        <v>78</v>
      </c>
      <c r="P143" s="14">
        <v>2</v>
      </c>
      <c r="Q143" s="25">
        <v>44921</v>
      </c>
      <c r="R143" s="14">
        <v>4</v>
      </c>
      <c r="S143" s="26">
        <v>8.1250000000000003E-2</v>
      </c>
      <c r="T143" s="16" t="s">
        <v>81</v>
      </c>
      <c r="U143" s="17" t="str">
        <f t="shared" si="2"/>
        <v xml:space="preserve">ALTECH ALUMINIUM &amp; STEEL
</v>
      </c>
      <c r="V143" s="16" t="s">
        <v>78</v>
      </c>
      <c r="W143" s="16">
        <v>3</v>
      </c>
      <c r="X143" s="25">
        <v>44935</v>
      </c>
      <c r="Y143" s="13"/>
      <c r="Z143" s="13"/>
      <c r="AA143" s="16" t="s">
        <v>101</v>
      </c>
      <c r="AB143" s="18" t="str">
        <f t="shared" si="3"/>
        <v xml:space="preserve">ALTECH ALUMINIUM &amp; STEEL
</v>
      </c>
      <c r="AC143" s="19" t="s">
        <v>78</v>
      </c>
      <c r="AD143" s="19">
        <v>4</v>
      </c>
      <c r="AE143" s="27">
        <v>44942</v>
      </c>
      <c r="AF143" s="18"/>
      <c r="AG143" s="18"/>
      <c r="AH143" s="16" t="s">
        <v>101</v>
      </c>
      <c r="AI143" s="18"/>
      <c r="AJ143" s="16" t="s">
        <v>78</v>
      </c>
      <c r="AK143" s="20" t="s">
        <v>486</v>
      </c>
      <c r="AL143" s="20" t="s">
        <v>510</v>
      </c>
      <c r="AM143" s="19" t="s">
        <v>75</v>
      </c>
      <c r="AN143" s="19" t="s">
        <v>75</v>
      </c>
      <c r="AO143" s="19" t="s">
        <v>101</v>
      </c>
      <c r="AP143" s="18"/>
      <c r="AQ143" s="19" t="s">
        <v>98</v>
      </c>
      <c r="AR143" s="19" t="s">
        <v>79</v>
      </c>
      <c r="AS143" s="20" t="s">
        <v>80</v>
      </c>
      <c r="AT143" s="19" t="s">
        <v>75</v>
      </c>
      <c r="AU143" s="19" t="s">
        <v>75</v>
      </c>
      <c r="AV143" s="19" t="s">
        <v>4</v>
      </c>
      <c r="AW143" s="18"/>
      <c r="AX143" s="13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2"/>
      <c r="BK143" s="12"/>
      <c r="BL143" s="12"/>
      <c r="BM143" s="9"/>
      <c r="BN143" s="9"/>
      <c r="BO143" s="9"/>
      <c r="BP143" s="12"/>
      <c r="BQ143" s="12"/>
      <c r="BR143" s="12"/>
      <c r="BS143" s="12"/>
      <c r="BT143" s="12"/>
      <c r="BU143" s="12"/>
      <c r="BV143" s="12"/>
      <c r="BW143" s="12"/>
      <c r="BX143" s="12"/>
      <c r="BY143" s="9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</row>
    <row r="144" spans="1:88" ht="40.5" customHeight="1">
      <c r="A144" s="24">
        <f t="shared" si="0"/>
        <v>142</v>
      </c>
      <c r="B144" s="24" t="str">
        <f t="shared" si="5"/>
        <v xml:space="preserve">MA
</v>
      </c>
      <c r="C144" s="24" t="s">
        <v>511</v>
      </c>
      <c r="D144" s="24" t="s">
        <v>370</v>
      </c>
      <c r="E144" s="30">
        <v>0</v>
      </c>
      <c r="F144" s="30">
        <v>0</v>
      </c>
      <c r="G144" s="24" t="s">
        <v>89</v>
      </c>
      <c r="H144" s="30"/>
      <c r="I144" s="24">
        <v>97433009244</v>
      </c>
      <c r="J144" s="30"/>
      <c r="K144" s="30"/>
      <c r="L144" s="30"/>
      <c r="M144" s="30"/>
      <c r="N144" s="33" t="str">
        <f t="shared" si="1"/>
        <v xml:space="preserve">Saad Al Kaabi Steel &amp; Aluminium
</v>
      </c>
      <c r="O144" s="34" t="s">
        <v>98</v>
      </c>
      <c r="P144" s="35">
        <v>2</v>
      </c>
      <c r="Q144" s="36">
        <v>44921</v>
      </c>
      <c r="R144" s="38"/>
      <c r="S144" s="38"/>
      <c r="T144" s="34" t="s">
        <v>108</v>
      </c>
      <c r="U144" s="38" t="str">
        <f t="shared" si="2"/>
        <v xml:space="preserve">Saad Al Kaabi Steel &amp; Aluminium
</v>
      </c>
      <c r="V144" s="34" t="s">
        <v>78</v>
      </c>
      <c r="W144" s="34">
        <v>3</v>
      </c>
      <c r="X144" s="36">
        <v>44922</v>
      </c>
      <c r="Y144" s="34"/>
      <c r="Z144" s="33"/>
      <c r="AA144" s="34" t="s">
        <v>126</v>
      </c>
      <c r="AB144" s="39" t="str">
        <f t="shared" si="3"/>
        <v xml:space="preserve">Saad Al Kaabi Steel &amp; Aluminium
</v>
      </c>
      <c r="AC144" s="40" t="s">
        <v>78</v>
      </c>
      <c r="AD144" s="40">
        <v>4</v>
      </c>
      <c r="AE144" s="41">
        <v>44935</v>
      </c>
      <c r="AF144" s="39"/>
      <c r="AG144" s="39"/>
      <c r="AH144" s="34" t="s">
        <v>101</v>
      </c>
      <c r="AI144" s="39"/>
      <c r="AJ144" s="34" t="s">
        <v>98</v>
      </c>
      <c r="AK144" s="40">
        <v>5</v>
      </c>
      <c r="AL144" s="41">
        <v>44942</v>
      </c>
      <c r="AM144" s="39"/>
      <c r="AN144" s="39"/>
      <c r="AO144" s="40" t="s">
        <v>86</v>
      </c>
      <c r="AP144" s="39"/>
      <c r="AQ144" s="40" t="s">
        <v>78</v>
      </c>
      <c r="AR144" s="45" t="s">
        <v>144</v>
      </c>
      <c r="AS144" s="45" t="s">
        <v>510</v>
      </c>
      <c r="AT144" s="40" t="s">
        <v>75</v>
      </c>
      <c r="AU144" s="40" t="s">
        <v>75</v>
      </c>
      <c r="AV144" s="40" t="s">
        <v>101</v>
      </c>
      <c r="AW144" s="39"/>
      <c r="AX144" s="34" t="s">
        <v>98</v>
      </c>
      <c r="AY144" s="40" t="s">
        <v>79</v>
      </c>
      <c r="AZ144" s="45" t="s">
        <v>80</v>
      </c>
      <c r="BA144" s="40" t="s">
        <v>75</v>
      </c>
      <c r="BB144" s="40" t="s">
        <v>75</v>
      </c>
      <c r="BC144" s="40" t="s">
        <v>101</v>
      </c>
      <c r="BD144" s="39"/>
      <c r="BE144" s="39"/>
      <c r="BF144" s="39"/>
      <c r="BG144" s="39"/>
      <c r="BH144" s="39"/>
      <c r="BI144" s="39"/>
      <c r="BJ144" s="30"/>
      <c r="BK144" s="30"/>
      <c r="BL144" s="30"/>
      <c r="BM144" s="24"/>
      <c r="BN144" s="24"/>
      <c r="BO144" s="24"/>
      <c r="BP144" s="30"/>
      <c r="BQ144" s="30"/>
      <c r="BR144" s="30"/>
      <c r="BS144" s="30"/>
      <c r="BT144" s="30"/>
      <c r="BU144" s="30"/>
      <c r="BV144" s="30"/>
      <c r="BW144" s="30"/>
      <c r="BX144" s="30"/>
      <c r="BY144" s="24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</row>
    <row r="145" spans="1:88" ht="40.5" customHeight="1">
      <c r="A145" s="9">
        <f t="shared" si="0"/>
        <v>143</v>
      </c>
      <c r="B145" s="9" t="str">
        <f t="shared" si="5"/>
        <v xml:space="preserve">MA
</v>
      </c>
      <c r="C145" s="9" t="s">
        <v>512</v>
      </c>
      <c r="D145" s="9" t="s">
        <v>370</v>
      </c>
      <c r="E145" s="12">
        <v>0</v>
      </c>
      <c r="F145" s="12">
        <v>0</v>
      </c>
      <c r="G145" s="9" t="s">
        <v>89</v>
      </c>
      <c r="H145" s="9" t="s">
        <v>513</v>
      </c>
      <c r="I145" s="12">
        <f>97466997568</f>
        <v>97466997568</v>
      </c>
      <c r="J145" s="12"/>
      <c r="K145" s="22" t="s">
        <v>514</v>
      </c>
      <c r="L145" s="12"/>
      <c r="M145" s="12"/>
      <c r="N145" s="13" t="str">
        <f t="shared" si="1"/>
        <v xml:space="preserve">British Aluminium LLC (Qatar)
</v>
      </c>
      <c r="O145" s="16" t="s">
        <v>78</v>
      </c>
      <c r="P145" s="14">
        <v>2</v>
      </c>
      <c r="Q145" s="25">
        <v>44921</v>
      </c>
      <c r="R145" s="17"/>
      <c r="S145" s="17"/>
      <c r="T145" s="16" t="s">
        <v>101</v>
      </c>
      <c r="U145" s="17" t="str">
        <f t="shared" si="2"/>
        <v xml:space="preserve">British Aluminium LLC (Qatar)
</v>
      </c>
      <c r="V145" s="16" t="s">
        <v>78</v>
      </c>
      <c r="W145" s="16">
        <v>3</v>
      </c>
      <c r="X145" s="25">
        <v>44935</v>
      </c>
      <c r="Y145" s="13"/>
      <c r="Z145" s="13"/>
      <c r="AA145" s="16" t="s">
        <v>101</v>
      </c>
      <c r="AB145" s="18" t="str">
        <f t="shared" si="3"/>
        <v xml:space="preserve">British Aluminium LLC (Qatar)
</v>
      </c>
      <c r="AC145" s="19" t="s">
        <v>78</v>
      </c>
      <c r="AD145" s="19">
        <v>4</v>
      </c>
      <c r="AE145" s="27">
        <v>44942</v>
      </c>
      <c r="AF145" s="18"/>
      <c r="AG145" s="18"/>
      <c r="AH145" s="16" t="s">
        <v>101</v>
      </c>
      <c r="AI145" s="18"/>
      <c r="AJ145" s="16" t="s">
        <v>78</v>
      </c>
      <c r="AK145" s="20" t="s">
        <v>486</v>
      </c>
      <c r="AL145" s="20" t="s">
        <v>510</v>
      </c>
      <c r="AM145" s="19" t="s">
        <v>75</v>
      </c>
      <c r="AN145" s="19" t="s">
        <v>75</v>
      </c>
      <c r="AO145" s="19" t="s">
        <v>101</v>
      </c>
      <c r="AP145" s="18"/>
      <c r="AQ145" s="19" t="s">
        <v>98</v>
      </c>
      <c r="AR145" s="19" t="s">
        <v>79</v>
      </c>
      <c r="AS145" s="20" t="s">
        <v>80</v>
      </c>
      <c r="AT145" s="19" t="s">
        <v>75</v>
      </c>
      <c r="AU145" s="19" t="s">
        <v>75</v>
      </c>
      <c r="AV145" s="19" t="s">
        <v>4</v>
      </c>
      <c r="AW145" s="18"/>
      <c r="AX145" s="13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2"/>
      <c r="BK145" s="12"/>
      <c r="BL145" s="12"/>
      <c r="BM145" s="9"/>
      <c r="BN145" s="9"/>
      <c r="BO145" s="9"/>
      <c r="BP145" s="12"/>
      <c r="BQ145" s="12"/>
      <c r="BR145" s="12"/>
      <c r="BS145" s="12"/>
      <c r="BT145" s="12"/>
      <c r="BU145" s="12"/>
      <c r="BV145" s="12"/>
      <c r="BW145" s="12"/>
      <c r="BX145" s="12"/>
      <c r="BY145" s="9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</row>
    <row r="146" spans="1:88" ht="40.5" customHeight="1">
      <c r="A146" s="9">
        <f t="shared" si="0"/>
        <v>144</v>
      </c>
      <c r="B146" s="9" t="str">
        <f t="shared" si="5"/>
        <v xml:space="preserve">MA
</v>
      </c>
      <c r="C146" s="9" t="s">
        <v>515</v>
      </c>
      <c r="D146" s="9" t="s">
        <v>370</v>
      </c>
      <c r="E146" s="12">
        <v>0</v>
      </c>
      <c r="F146" s="12">
        <v>0</v>
      </c>
      <c r="G146" s="9" t="s">
        <v>89</v>
      </c>
      <c r="H146" s="9" t="s">
        <v>516</v>
      </c>
      <c r="I146" s="9" t="s">
        <v>517</v>
      </c>
      <c r="J146" s="12"/>
      <c r="K146" s="12"/>
      <c r="L146" s="12"/>
      <c r="M146" s="12"/>
      <c r="N146" s="13" t="str">
        <f t="shared" si="1"/>
        <v xml:space="preserve">VIOLET ALUMINIUM AND UPVC
</v>
      </c>
      <c r="O146" s="16" t="s">
        <v>78</v>
      </c>
      <c r="P146" s="14">
        <v>2</v>
      </c>
      <c r="Q146" s="25">
        <v>44921</v>
      </c>
      <c r="R146" s="14"/>
      <c r="S146" s="17"/>
      <c r="T146" s="16" t="s">
        <v>126</v>
      </c>
      <c r="U146" s="17" t="str">
        <f t="shared" si="2"/>
        <v xml:space="preserve">VIOLET ALUMINIUM AND UPVC
</v>
      </c>
      <c r="V146" s="16" t="s">
        <v>78</v>
      </c>
      <c r="W146" s="16">
        <v>3</v>
      </c>
      <c r="X146" s="25">
        <v>44935</v>
      </c>
      <c r="Y146" s="13"/>
      <c r="Z146" s="13"/>
      <c r="AA146" s="16" t="s">
        <v>126</v>
      </c>
      <c r="AB146" s="18" t="str">
        <f t="shared" si="3"/>
        <v xml:space="preserve">VIOLET ALUMINIUM AND UPVC
</v>
      </c>
      <c r="AC146" s="19" t="s">
        <v>7</v>
      </c>
      <c r="AD146" s="19">
        <v>4</v>
      </c>
      <c r="AE146" s="27">
        <v>44942</v>
      </c>
      <c r="AF146" s="18"/>
      <c r="AG146" s="18"/>
      <c r="AH146" s="16" t="s">
        <v>108</v>
      </c>
      <c r="AI146" s="18"/>
      <c r="AJ146" s="16" t="s">
        <v>78</v>
      </c>
      <c r="AK146" s="20" t="s">
        <v>486</v>
      </c>
      <c r="AL146" s="20" t="s">
        <v>510</v>
      </c>
      <c r="AM146" s="19" t="s">
        <v>75</v>
      </c>
      <c r="AN146" s="19" t="s">
        <v>75</v>
      </c>
      <c r="AO146" s="19" t="s">
        <v>126</v>
      </c>
      <c r="AP146" s="18"/>
      <c r="AQ146" s="18"/>
      <c r="AR146" s="18"/>
      <c r="AS146" s="18"/>
      <c r="AT146" s="18"/>
      <c r="AU146" s="18"/>
      <c r="AV146" s="18"/>
      <c r="AW146" s="18"/>
      <c r="AX146" s="13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2"/>
      <c r="BK146" s="12"/>
      <c r="BL146" s="12"/>
      <c r="BM146" s="9"/>
      <c r="BN146" s="9"/>
      <c r="BO146" s="9"/>
      <c r="BP146" s="12"/>
      <c r="BQ146" s="12"/>
      <c r="BR146" s="12"/>
      <c r="BS146" s="12"/>
      <c r="BT146" s="12"/>
      <c r="BU146" s="12"/>
      <c r="BV146" s="12"/>
      <c r="BW146" s="12"/>
      <c r="BX146" s="12"/>
      <c r="BY146" s="9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</row>
    <row r="147" spans="1:88" ht="40.5" customHeight="1">
      <c r="A147" s="9">
        <f t="shared" si="0"/>
        <v>145</v>
      </c>
      <c r="B147" s="9" t="str">
        <f t="shared" si="5"/>
        <v xml:space="preserve">MA
</v>
      </c>
      <c r="C147" s="9" t="s">
        <v>518</v>
      </c>
      <c r="D147" s="9" t="s">
        <v>370</v>
      </c>
      <c r="E147" s="12">
        <v>0</v>
      </c>
      <c r="F147" s="12">
        <v>0</v>
      </c>
      <c r="G147" s="9" t="s">
        <v>89</v>
      </c>
      <c r="H147" s="12"/>
      <c r="I147" s="9">
        <v>97433349995</v>
      </c>
      <c r="J147" s="12"/>
      <c r="K147" s="12"/>
      <c r="L147" s="12"/>
      <c r="M147" s="12"/>
      <c r="N147" s="13" t="str">
        <f t="shared" si="1"/>
        <v xml:space="preserve">Al Hussaini Aluminium and UPVC
</v>
      </c>
      <c r="O147" s="16" t="s">
        <v>98</v>
      </c>
      <c r="P147" s="14">
        <v>2</v>
      </c>
      <c r="Q147" s="25">
        <v>44921</v>
      </c>
      <c r="R147" s="17"/>
      <c r="S147" s="17"/>
      <c r="T147" s="16" t="s">
        <v>101</v>
      </c>
      <c r="U147" s="17" t="str">
        <f t="shared" si="2"/>
        <v xml:space="preserve">Al Hussaini Aluminium and UPVC
</v>
      </c>
      <c r="V147" s="16" t="s">
        <v>78</v>
      </c>
      <c r="W147" s="16">
        <v>3</v>
      </c>
      <c r="X147" s="25">
        <v>44935</v>
      </c>
      <c r="Y147" s="13"/>
      <c r="Z147" s="13"/>
      <c r="AA147" s="16" t="s">
        <v>126</v>
      </c>
      <c r="AB147" s="18" t="str">
        <f t="shared" si="3"/>
        <v xml:space="preserve">Al Hussaini Aluminium and UPVC
</v>
      </c>
      <c r="AC147" s="19" t="s">
        <v>78</v>
      </c>
      <c r="AD147" s="19">
        <v>4</v>
      </c>
      <c r="AE147" s="27">
        <v>44942</v>
      </c>
      <c r="AF147" s="18"/>
      <c r="AG147" s="18"/>
      <c r="AH147" s="16" t="s">
        <v>101</v>
      </c>
      <c r="AI147" s="18"/>
      <c r="AJ147" s="16" t="s">
        <v>78</v>
      </c>
      <c r="AK147" s="20" t="s">
        <v>486</v>
      </c>
      <c r="AL147" s="20" t="s">
        <v>510</v>
      </c>
      <c r="AM147" s="19" t="s">
        <v>75</v>
      </c>
      <c r="AN147" s="19" t="s">
        <v>75</v>
      </c>
      <c r="AO147" s="19" t="s">
        <v>101</v>
      </c>
      <c r="AP147" s="18"/>
      <c r="AQ147" s="19" t="s">
        <v>98</v>
      </c>
      <c r="AR147" s="19" t="s">
        <v>79</v>
      </c>
      <c r="AS147" s="20" t="s">
        <v>80</v>
      </c>
      <c r="AT147" s="19" t="s">
        <v>75</v>
      </c>
      <c r="AU147" s="19" t="s">
        <v>75</v>
      </c>
      <c r="AV147" s="19" t="s">
        <v>101</v>
      </c>
      <c r="AW147" s="18"/>
      <c r="AX147" s="13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2"/>
      <c r="BK147" s="12"/>
      <c r="BL147" s="12"/>
      <c r="BM147" s="9"/>
      <c r="BN147" s="9"/>
      <c r="BO147" s="9"/>
      <c r="BP147" s="12"/>
      <c r="BQ147" s="12"/>
      <c r="BR147" s="12"/>
      <c r="BS147" s="12"/>
      <c r="BT147" s="12"/>
      <c r="BU147" s="12"/>
      <c r="BV147" s="12"/>
      <c r="BW147" s="12"/>
      <c r="BX147" s="12"/>
      <c r="BY147" s="9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</row>
    <row r="148" spans="1:88" ht="40.5" customHeight="1">
      <c r="A148" s="9">
        <f t="shared" si="0"/>
        <v>146</v>
      </c>
      <c r="B148" s="9" t="str">
        <f t="shared" si="5"/>
        <v xml:space="preserve">MA
</v>
      </c>
      <c r="C148" s="28" t="s">
        <v>519</v>
      </c>
      <c r="D148" s="9" t="s">
        <v>370</v>
      </c>
      <c r="E148" s="12">
        <v>0</v>
      </c>
      <c r="F148" s="12">
        <v>0</v>
      </c>
      <c r="G148" s="9" t="s">
        <v>89</v>
      </c>
      <c r="H148" s="12"/>
      <c r="I148" s="9">
        <v>97430202424</v>
      </c>
      <c r="J148" s="12"/>
      <c r="K148" s="12"/>
      <c r="L148" s="12"/>
      <c r="M148" s="12"/>
      <c r="N148" s="13" t="str">
        <f t="shared" si="1"/>
        <v xml:space="preserve">KHALOORI ALUMINIUM FACTORY مصنع المنيوم خلوري
</v>
      </c>
      <c r="O148" s="16" t="s">
        <v>78</v>
      </c>
      <c r="P148" s="14">
        <v>2</v>
      </c>
      <c r="Q148" s="25">
        <v>44921</v>
      </c>
      <c r="R148" s="17"/>
      <c r="S148" s="17"/>
      <c r="T148" s="16" t="s">
        <v>101</v>
      </c>
      <c r="U148" s="17" t="str">
        <f t="shared" si="2"/>
        <v xml:space="preserve">KHALOORI ALUMINIUM FACTORY مصنع المنيوم خلوري
</v>
      </c>
      <c r="V148" s="16" t="s">
        <v>78</v>
      </c>
      <c r="W148" s="16">
        <v>3</v>
      </c>
      <c r="X148" s="25">
        <v>44935</v>
      </c>
      <c r="Y148" s="13"/>
      <c r="Z148" s="13"/>
      <c r="AA148" s="16" t="s">
        <v>126</v>
      </c>
      <c r="AB148" s="18" t="str">
        <f t="shared" si="3"/>
        <v xml:space="preserve">KHALOORI ALUMINIUM FACTORY مصنع المنيوم خلوري
</v>
      </c>
      <c r="AC148" s="19" t="s">
        <v>78</v>
      </c>
      <c r="AD148" s="19">
        <v>4</v>
      </c>
      <c r="AE148" s="27">
        <v>44942</v>
      </c>
      <c r="AF148" s="18"/>
      <c r="AG148" s="18"/>
      <c r="AH148" s="16" t="s">
        <v>101</v>
      </c>
      <c r="AI148" s="18"/>
      <c r="AJ148" s="16" t="s">
        <v>78</v>
      </c>
      <c r="AK148" s="20" t="s">
        <v>486</v>
      </c>
      <c r="AL148" s="20" t="s">
        <v>510</v>
      </c>
      <c r="AM148" s="19" t="s">
        <v>75</v>
      </c>
      <c r="AN148" s="19" t="s">
        <v>75</v>
      </c>
      <c r="AO148" s="19" t="s">
        <v>101</v>
      </c>
      <c r="AP148" s="18"/>
      <c r="AQ148" s="19" t="s">
        <v>98</v>
      </c>
      <c r="AR148" s="19" t="s">
        <v>79</v>
      </c>
      <c r="AS148" s="20" t="s">
        <v>80</v>
      </c>
      <c r="AT148" s="19" t="s">
        <v>75</v>
      </c>
      <c r="AU148" s="19" t="s">
        <v>75</v>
      </c>
      <c r="AV148" s="19" t="s">
        <v>86</v>
      </c>
      <c r="AW148" s="18"/>
      <c r="AX148" s="13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2"/>
      <c r="BK148" s="12"/>
      <c r="BL148" s="12"/>
      <c r="BM148" s="9"/>
      <c r="BN148" s="9"/>
      <c r="BO148" s="9"/>
      <c r="BP148" s="12"/>
      <c r="BQ148" s="12"/>
      <c r="BR148" s="12"/>
      <c r="BS148" s="12"/>
      <c r="BT148" s="12"/>
      <c r="BU148" s="12"/>
      <c r="BV148" s="12"/>
      <c r="BW148" s="12"/>
      <c r="BX148" s="12"/>
      <c r="BY148" s="9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</row>
    <row r="149" spans="1:88" ht="40.5" customHeight="1">
      <c r="A149" s="9">
        <f t="shared" si="0"/>
        <v>147</v>
      </c>
      <c r="B149" s="9" t="str">
        <f t="shared" si="5"/>
        <v xml:space="preserve">MA
</v>
      </c>
      <c r="C149" s="9" t="s">
        <v>520</v>
      </c>
      <c r="D149" s="9" t="s">
        <v>370</v>
      </c>
      <c r="E149" s="12">
        <v>0</v>
      </c>
      <c r="F149" s="9">
        <v>1</v>
      </c>
      <c r="G149" s="9" t="s">
        <v>89</v>
      </c>
      <c r="H149" s="12"/>
      <c r="I149" s="9" t="s">
        <v>521</v>
      </c>
      <c r="J149" s="12"/>
      <c r="K149" s="12"/>
      <c r="L149" s="12"/>
      <c r="M149" s="12"/>
      <c r="N149" s="13" t="str">
        <f t="shared" si="1"/>
        <v xml:space="preserve">Al Rukaie Aluminium &amp; Glass Factory
</v>
      </c>
      <c r="O149" s="16" t="s">
        <v>78</v>
      </c>
      <c r="P149" s="14">
        <v>2</v>
      </c>
      <c r="Q149" s="25">
        <v>44921</v>
      </c>
      <c r="R149" s="14">
        <v>4</v>
      </c>
      <c r="S149" s="26">
        <v>0.16875000000000001</v>
      </c>
      <c r="T149" s="16" t="s">
        <v>265</v>
      </c>
      <c r="U149" s="17" t="str">
        <f t="shared" si="2"/>
        <v xml:space="preserve">Al Rukaie Aluminium &amp; Glass Factory
</v>
      </c>
      <c r="V149" s="16" t="s">
        <v>78</v>
      </c>
      <c r="W149" s="16">
        <v>3</v>
      </c>
      <c r="X149" s="25">
        <v>44935</v>
      </c>
      <c r="Y149" s="16">
        <v>5</v>
      </c>
      <c r="Z149" s="29">
        <v>6.25E-2</v>
      </c>
      <c r="AA149" s="16" t="s">
        <v>265</v>
      </c>
      <c r="AB149" s="18" t="str">
        <f t="shared" si="3"/>
        <v xml:space="preserve">Al Rukaie Aluminium &amp; Glass Factory
</v>
      </c>
      <c r="AC149" s="19" t="s">
        <v>98</v>
      </c>
      <c r="AD149" s="20" t="s">
        <v>359</v>
      </c>
      <c r="AE149" s="20" t="s">
        <v>510</v>
      </c>
      <c r="AF149" s="19" t="s">
        <v>75</v>
      </c>
      <c r="AG149" s="19" t="s">
        <v>75</v>
      </c>
      <c r="AH149" s="16" t="s">
        <v>86</v>
      </c>
      <c r="AI149" s="18"/>
      <c r="AJ149" s="16" t="s">
        <v>78</v>
      </c>
      <c r="AK149" s="19" t="s">
        <v>79</v>
      </c>
      <c r="AL149" s="20" t="s">
        <v>80</v>
      </c>
      <c r="AM149" s="19" t="s">
        <v>75</v>
      </c>
      <c r="AN149" s="19" t="s">
        <v>75</v>
      </c>
      <c r="AO149" s="19" t="s">
        <v>101</v>
      </c>
      <c r="AP149" s="18"/>
      <c r="AQ149" s="18"/>
      <c r="AR149" s="18"/>
      <c r="AS149" s="18"/>
      <c r="AT149" s="18"/>
      <c r="AU149" s="18"/>
      <c r="AV149" s="18"/>
      <c r="AW149" s="18"/>
      <c r="AX149" s="13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2"/>
      <c r="BK149" s="12"/>
      <c r="BL149" s="12"/>
      <c r="BM149" s="9"/>
      <c r="BN149" s="9"/>
      <c r="BO149" s="9"/>
      <c r="BP149" s="12"/>
      <c r="BQ149" s="12"/>
      <c r="BR149" s="12"/>
      <c r="BS149" s="12"/>
      <c r="BT149" s="12"/>
      <c r="BU149" s="12"/>
      <c r="BV149" s="12"/>
      <c r="BW149" s="12"/>
      <c r="BX149" s="12"/>
      <c r="BY149" s="9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</row>
    <row r="150" spans="1:88" ht="40.5" customHeight="1">
      <c r="A150" s="9">
        <f t="shared" si="0"/>
        <v>148</v>
      </c>
      <c r="B150" s="9" t="str">
        <f t="shared" si="5"/>
        <v xml:space="preserve">MA
</v>
      </c>
      <c r="C150" s="9" t="s">
        <v>522</v>
      </c>
      <c r="D150" s="9" t="s">
        <v>370</v>
      </c>
      <c r="E150" s="12">
        <v>0</v>
      </c>
      <c r="F150" s="12">
        <v>0</v>
      </c>
      <c r="G150" s="9" t="s">
        <v>89</v>
      </c>
      <c r="H150" s="12"/>
      <c r="I150" s="9">
        <v>97444962888</v>
      </c>
      <c r="J150" s="12"/>
      <c r="K150" s="12"/>
      <c r="L150" s="9" t="s">
        <v>523</v>
      </c>
      <c r="M150" s="12"/>
      <c r="N150" s="13" t="str">
        <f t="shared" si="1"/>
        <v xml:space="preserve">Profession Aluminum Company
</v>
      </c>
      <c r="O150" s="16" t="s">
        <v>78</v>
      </c>
      <c r="P150" s="14">
        <v>2</v>
      </c>
      <c r="Q150" s="25">
        <v>44921</v>
      </c>
      <c r="R150" s="14">
        <v>1</v>
      </c>
      <c r="S150" s="17"/>
      <c r="T150" s="16" t="s">
        <v>126</v>
      </c>
      <c r="U150" s="17" t="str">
        <f t="shared" si="2"/>
        <v xml:space="preserve">Profession Aluminum Company
</v>
      </c>
      <c r="V150" s="16" t="s">
        <v>78</v>
      </c>
      <c r="W150" s="16">
        <v>3</v>
      </c>
      <c r="X150" s="25">
        <v>44935</v>
      </c>
      <c r="Y150" s="13"/>
      <c r="Z150" s="13"/>
      <c r="AA150" s="16" t="s">
        <v>126</v>
      </c>
      <c r="AB150" s="18" t="str">
        <f t="shared" si="3"/>
        <v xml:space="preserve">Profession Aluminum Company
</v>
      </c>
      <c r="AC150" s="19" t="s">
        <v>7</v>
      </c>
      <c r="AD150" s="19">
        <v>4</v>
      </c>
      <c r="AE150" s="27">
        <v>44942</v>
      </c>
      <c r="AF150" s="18"/>
      <c r="AG150" s="18"/>
      <c r="AH150" s="16" t="s">
        <v>86</v>
      </c>
      <c r="AI150" s="18"/>
      <c r="AJ150" s="16" t="s">
        <v>78</v>
      </c>
      <c r="AK150" s="20" t="s">
        <v>486</v>
      </c>
      <c r="AL150" s="20" t="s">
        <v>510</v>
      </c>
      <c r="AM150" s="19" t="s">
        <v>75</v>
      </c>
      <c r="AN150" s="19" t="s">
        <v>75</v>
      </c>
      <c r="AO150" s="19" t="s">
        <v>126</v>
      </c>
      <c r="AP150" s="18"/>
      <c r="AQ150" s="18"/>
      <c r="AR150" s="18"/>
      <c r="AS150" s="18"/>
      <c r="AT150" s="18"/>
      <c r="AU150" s="18"/>
      <c r="AV150" s="18"/>
      <c r="AW150" s="18"/>
      <c r="AX150" s="13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2"/>
      <c r="BK150" s="12"/>
      <c r="BL150" s="12"/>
      <c r="BM150" s="9"/>
      <c r="BN150" s="9"/>
      <c r="BO150" s="9"/>
      <c r="BP150" s="12"/>
      <c r="BQ150" s="12"/>
      <c r="BR150" s="12"/>
      <c r="BS150" s="12"/>
      <c r="BT150" s="12"/>
      <c r="BU150" s="12"/>
      <c r="BV150" s="12"/>
      <c r="BW150" s="12"/>
      <c r="BX150" s="12"/>
      <c r="BY150" s="9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</row>
    <row r="151" spans="1:88" ht="40.5" customHeight="1">
      <c r="A151" s="9">
        <f t="shared" si="0"/>
        <v>149</v>
      </c>
      <c r="B151" s="9" t="str">
        <f t="shared" si="5"/>
        <v xml:space="preserve">MA
</v>
      </c>
      <c r="C151" s="9" t="s">
        <v>524</v>
      </c>
      <c r="D151" s="9" t="s">
        <v>370</v>
      </c>
      <c r="E151" s="12">
        <v>0</v>
      </c>
      <c r="F151" s="12">
        <v>0</v>
      </c>
      <c r="G151" s="9" t="s">
        <v>89</v>
      </c>
      <c r="H151" s="12"/>
      <c r="I151" s="9">
        <v>97466750202</v>
      </c>
      <c r="J151" s="12"/>
      <c r="K151" s="12"/>
      <c r="L151" s="12"/>
      <c r="M151" s="12"/>
      <c r="N151" s="13" t="str">
        <f t="shared" si="1"/>
        <v xml:space="preserve">elzarwa aluminium steel
</v>
      </c>
      <c r="O151" s="16" t="s">
        <v>78</v>
      </c>
      <c r="P151" s="14">
        <v>2</v>
      </c>
      <c r="Q151" s="25">
        <v>44921</v>
      </c>
      <c r="R151" s="17"/>
      <c r="S151" s="17"/>
      <c r="T151" s="16" t="s">
        <v>101</v>
      </c>
      <c r="U151" s="17" t="str">
        <f t="shared" si="2"/>
        <v xml:space="preserve">elzarwa aluminium steel
</v>
      </c>
      <c r="V151" s="16" t="s">
        <v>78</v>
      </c>
      <c r="W151" s="16">
        <v>3</v>
      </c>
      <c r="X151" s="25">
        <v>44935</v>
      </c>
      <c r="Y151" s="13"/>
      <c r="Z151" s="13"/>
      <c r="AA151" s="16" t="s">
        <v>101</v>
      </c>
      <c r="AB151" s="18" t="str">
        <f t="shared" si="3"/>
        <v xml:space="preserve">elzarwa aluminium steel
</v>
      </c>
      <c r="AC151" s="19" t="s">
        <v>78</v>
      </c>
      <c r="AD151" s="19">
        <v>4</v>
      </c>
      <c r="AE151" s="27">
        <v>44942</v>
      </c>
      <c r="AF151" s="18"/>
      <c r="AG151" s="18"/>
      <c r="AH151" s="16" t="s">
        <v>101</v>
      </c>
      <c r="AI151" s="18"/>
      <c r="AJ151" s="16" t="s">
        <v>78</v>
      </c>
      <c r="AK151" s="20" t="s">
        <v>486</v>
      </c>
      <c r="AL151" s="20" t="s">
        <v>510</v>
      </c>
      <c r="AM151" s="19" t="s">
        <v>75</v>
      </c>
      <c r="AN151" s="19" t="s">
        <v>75</v>
      </c>
      <c r="AO151" s="19" t="s">
        <v>101</v>
      </c>
      <c r="AP151" s="18"/>
      <c r="AQ151" s="19" t="s">
        <v>98</v>
      </c>
      <c r="AR151" s="19" t="s">
        <v>79</v>
      </c>
      <c r="AS151" s="20" t="s">
        <v>80</v>
      </c>
      <c r="AT151" s="19" t="s">
        <v>75</v>
      </c>
      <c r="AU151" s="19" t="s">
        <v>75</v>
      </c>
      <c r="AV151" s="19" t="s">
        <v>101</v>
      </c>
      <c r="AW151" s="18"/>
      <c r="AX151" s="13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2"/>
      <c r="BK151" s="12"/>
      <c r="BL151" s="12"/>
      <c r="BM151" s="9"/>
      <c r="BN151" s="9"/>
      <c r="BO151" s="9"/>
      <c r="BP151" s="12"/>
      <c r="BQ151" s="12"/>
      <c r="BR151" s="12"/>
      <c r="BS151" s="12"/>
      <c r="BT151" s="12"/>
      <c r="BU151" s="12"/>
      <c r="BV151" s="12"/>
      <c r="BW151" s="12"/>
      <c r="BX151" s="12"/>
      <c r="BY151" s="9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</row>
    <row r="152" spans="1:88" ht="40.5" customHeight="1">
      <c r="A152" s="9">
        <f t="shared" si="0"/>
        <v>150</v>
      </c>
      <c r="B152" s="9" t="str">
        <f t="shared" si="5"/>
        <v xml:space="preserve">MA
</v>
      </c>
      <c r="C152" s="9" t="s">
        <v>525</v>
      </c>
      <c r="D152" s="9" t="s">
        <v>370</v>
      </c>
      <c r="E152" s="12">
        <v>0</v>
      </c>
      <c r="F152" s="12">
        <v>0</v>
      </c>
      <c r="G152" s="9" t="s">
        <v>89</v>
      </c>
      <c r="H152" s="12"/>
      <c r="I152" s="9">
        <v>97440397101</v>
      </c>
      <c r="J152" s="12"/>
      <c r="K152" s="12"/>
      <c r="L152" s="12"/>
      <c r="M152" s="12"/>
      <c r="N152" s="13" t="str">
        <f t="shared" si="1"/>
        <v>Royal Aluminium trading &amp; contracting</v>
      </c>
      <c r="O152" s="16" t="s">
        <v>78</v>
      </c>
      <c r="P152" s="14">
        <v>2</v>
      </c>
      <c r="Q152" s="25">
        <v>44921</v>
      </c>
      <c r="R152" s="17"/>
      <c r="S152" s="17"/>
      <c r="T152" s="16" t="s">
        <v>126</v>
      </c>
      <c r="U152" s="17" t="str">
        <f t="shared" si="2"/>
        <v>Royal Aluminium trading &amp; contracting</v>
      </c>
      <c r="V152" s="16" t="s">
        <v>78</v>
      </c>
      <c r="W152" s="16">
        <v>3</v>
      </c>
      <c r="X152" s="25">
        <v>44935</v>
      </c>
      <c r="Y152" s="13"/>
      <c r="Z152" s="13"/>
      <c r="AA152" s="16" t="s">
        <v>126</v>
      </c>
      <c r="AB152" s="18" t="str">
        <f t="shared" si="3"/>
        <v>Royal Aluminium trading &amp; contracting</v>
      </c>
      <c r="AC152" s="19" t="s">
        <v>78</v>
      </c>
      <c r="AD152" s="19">
        <v>4</v>
      </c>
      <c r="AE152" s="27"/>
      <c r="AF152" s="18"/>
      <c r="AG152" s="18"/>
      <c r="AH152" s="16"/>
      <c r="AI152" s="18"/>
      <c r="AJ152" s="16" t="s">
        <v>78</v>
      </c>
      <c r="AK152" s="20" t="s">
        <v>93</v>
      </c>
      <c r="AL152" s="20" t="s">
        <v>510</v>
      </c>
      <c r="AM152" s="19" t="s">
        <v>75</v>
      </c>
      <c r="AN152" s="19" t="s">
        <v>75</v>
      </c>
      <c r="AO152" s="19" t="s">
        <v>126</v>
      </c>
      <c r="AP152" s="18"/>
      <c r="AQ152" s="18"/>
      <c r="AR152" s="18"/>
      <c r="AS152" s="18"/>
      <c r="AT152" s="18"/>
      <c r="AU152" s="18"/>
      <c r="AV152" s="18"/>
      <c r="AW152" s="18"/>
      <c r="AX152" s="13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2"/>
      <c r="BK152" s="12"/>
      <c r="BL152" s="12"/>
      <c r="BM152" s="9"/>
      <c r="BN152" s="9"/>
      <c r="BO152" s="9"/>
      <c r="BP152" s="12"/>
      <c r="BQ152" s="12"/>
      <c r="BR152" s="12"/>
      <c r="BS152" s="12"/>
      <c r="BT152" s="12"/>
      <c r="BU152" s="12"/>
      <c r="BV152" s="12"/>
      <c r="BW152" s="12"/>
      <c r="BX152" s="12"/>
      <c r="BY152" s="9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</row>
    <row r="153" spans="1:88" ht="40.5" customHeight="1">
      <c r="A153" s="9">
        <f t="shared" si="0"/>
        <v>151</v>
      </c>
      <c r="B153" s="9" t="str">
        <f t="shared" si="5"/>
        <v xml:space="preserve">MA
</v>
      </c>
      <c r="C153" s="24" t="s">
        <v>526</v>
      </c>
      <c r="D153" s="9" t="s">
        <v>370</v>
      </c>
      <c r="E153" s="12">
        <v>0</v>
      </c>
      <c r="F153" s="12">
        <v>0</v>
      </c>
      <c r="G153" s="9" t="s">
        <v>89</v>
      </c>
      <c r="H153" s="12"/>
      <c r="I153" s="9">
        <v>97433022672</v>
      </c>
      <c r="J153" s="12"/>
      <c r="K153" s="12"/>
      <c r="L153" s="12"/>
      <c r="M153" s="12"/>
      <c r="N153" s="13" t="str">
        <f t="shared" si="1"/>
        <v xml:space="preserve">Al Muraikh aluminium and steel
</v>
      </c>
      <c r="O153" s="16" t="s">
        <v>78</v>
      </c>
      <c r="P153" s="14">
        <v>2</v>
      </c>
      <c r="Q153" s="25">
        <v>44921</v>
      </c>
      <c r="R153" s="17"/>
      <c r="S153" s="17"/>
      <c r="T153" s="16" t="s">
        <v>126</v>
      </c>
      <c r="U153" s="17" t="str">
        <f t="shared" si="2"/>
        <v xml:space="preserve">Al Muraikh aluminium and steel
</v>
      </c>
      <c r="V153" s="16" t="s">
        <v>78</v>
      </c>
      <c r="W153" s="15" t="s">
        <v>527</v>
      </c>
      <c r="X153" s="15" t="s">
        <v>510</v>
      </c>
      <c r="Y153" s="16" t="s">
        <v>75</v>
      </c>
      <c r="Z153" s="16" t="s">
        <v>75</v>
      </c>
      <c r="AA153" s="16" t="s">
        <v>126</v>
      </c>
      <c r="AB153" s="18" t="str">
        <f t="shared" si="3"/>
        <v xml:space="preserve">Al Muraikh aluminium and steel
</v>
      </c>
      <c r="AC153" s="18"/>
      <c r="AD153" s="18"/>
      <c r="AE153" s="18"/>
      <c r="AF153" s="18"/>
      <c r="AG153" s="18"/>
      <c r="AH153" s="13"/>
      <c r="AI153" s="18"/>
      <c r="AJ153" s="13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3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2"/>
      <c r="BK153" s="12"/>
      <c r="BL153" s="12"/>
      <c r="BM153" s="9"/>
      <c r="BN153" s="9"/>
      <c r="BO153" s="9"/>
      <c r="BP153" s="12"/>
      <c r="BQ153" s="12"/>
      <c r="BR153" s="12"/>
      <c r="BS153" s="12"/>
      <c r="BT153" s="12"/>
      <c r="BU153" s="12"/>
      <c r="BV153" s="12"/>
      <c r="BW153" s="12"/>
      <c r="BX153" s="12"/>
      <c r="BY153" s="9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</row>
    <row r="154" spans="1:88" ht="40.5" customHeight="1">
      <c r="A154" s="9">
        <f t="shared" si="0"/>
        <v>152</v>
      </c>
      <c r="B154" s="9" t="str">
        <f t="shared" si="5"/>
        <v xml:space="preserve">MA
</v>
      </c>
      <c r="C154" s="24" t="s">
        <v>528</v>
      </c>
      <c r="D154" s="9" t="s">
        <v>370</v>
      </c>
      <c r="E154" s="12">
        <v>0</v>
      </c>
      <c r="F154" s="12">
        <v>0</v>
      </c>
      <c r="G154" s="9" t="s">
        <v>89</v>
      </c>
      <c r="H154" s="12"/>
      <c r="I154" s="9">
        <v>97455519324</v>
      </c>
      <c r="J154" s="12"/>
      <c r="K154" s="12"/>
      <c r="L154" s="12"/>
      <c r="M154" s="12"/>
      <c r="N154" s="13" t="str">
        <f t="shared" si="1"/>
        <v xml:space="preserve">E.M.A ALUMINIUM TRED.
</v>
      </c>
      <c r="O154" s="16" t="s">
        <v>78</v>
      </c>
      <c r="P154" s="14">
        <v>3</v>
      </c>
      <c r="Q154" s="25">
        <v>44921</v>
      </c>
      <c r="R154" s="17"/>
      <c r="S154" s="17"/>
      <c r="T154" s="16" t="s">
        <v>101</v>
      </c>
      <c r="U154" s="17" t="str">
        <f t="shared" si="2"/>
        <v xml:space="preserve">E.M.A ALUMINIUM TRED.
</v>
      </c>
      <c r="V154" s="16" t="s">
        <v>78</v>
      </c>
      <c r="W154" s="16">
        <v>4</v>
      </c>
      <c r="X154" s="25">
        <v>44935</v>
      </c>
      <c r="Y154" s="16">
        <v>2</v>
      </c>
      <c r="Z154" s="29">
        <v>6.458333333333334E-2</v>
      </c>
      <c r="AA154" s="16" t="s">
        <v>408</v>
      </c>
      <c r="AB154" s="18" t="str">
        <f t="shared" si="3"/>
        <v xml:space="preserve">E.M.A ALUMINIUM TRED.
</v>
      </c>
      <c r="AC154" s="18"/>
      <c r="AD154" s="18"/>
      <c r="AE154" s="18"/>
      <c r="AF154" s="18"/>
      <c r="AG154" s="18"/>
      <c r="AH154" s="13"/>
      <c r="AI154" s="18"/>
      <c r="AJ154" s="13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3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2"/>
      <c r="BK154" s="12"/>
      <c r="BL154" s="12"/>
      <c r="BM154" s="9"/>
      <c r="BN154" s="9"/>
      <c r="BO154" s="9"/>
      <c r="BP154" s="12"/>
      <c r="BQ154" s="12"/>
      <c r="BR154" s="12"/>
      <c r="BS154" s="12"/>
      <c r="BT154" s="12"/>
      <c r="BU154" s="12"/>
      <c r="BV154" s="12"/>
      <c r="BW154" s="12"/>
      <c r="BX154" s="12"/>
      <c r="BY154" s="9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</row>
    <row r="155" spans="1:88" ht="40.5" customHeight="1">
      <c r="A155" s="9">
        <f t="shared" si="0"/>
        <v>153</v>
      </c>
      <c r="B155" s="9" t="str">
        <f t="shared" si="5"/>
        <v xml:space="preserve">MA
</v>
      </c>
      <c r="C155" s="9" t="s">
        <v>529</v>
      </c>
      <c r="D155" s="9" t="s">
        <v>370</v>
      </c>
      <c r="E155" s="12">
        <v>0</v>
      </c>
      <c r="F155" s="12">
        <v>0</v>
      </c>
      <c r="G155" s="9" t="s">
        <v>89</v>
      </c>
      <c r="H155" s="12"/>
      <c r="I155" s="9" t="s">
        <v>530</v>
      </c>
      <c r="J155" s="12"/>
      <c r="K155" s="12"/>
      <c r="L155" s="12"/>
      <c r="M155" s="12"/>
      <c r="N155" s="13" t="str">
        <f t="shared" si="1"/>
        <v xml:space="preserve">BESTCO ALUMINIUM &amp; STEEL
</v>
      </c>
      <c r="O155" s="16" t="s">
        <v>98</v>
      </c>
      <c r="P155" s="14">
        <v>2</v>
      </c>
      <c r="Q155" s="25">
        <v>44921</v>
      </c>
      <c r="R155" s="14">
        <v>3</v>
      </c>
      <c r="S155" s="26">
        <v>3.3333333333333333E-2</v>
      </c>
      <c r="T155" s="16" t="s">
        <v>153</v>
      </c>
      <c r="U155" s="17" t="str">
        <f t="shared" si="2"/>
        <v xml:space="preserve">BESTCO ALUMINIUM &amp; STEEL
</v>
      </c>
      <c r="V155" s="16" t="s">
        <v>78</v>
      </c>
      <c r="W155" s="16">
        <v>3</v>
      </c>
      <c r="X155" s="25">
        <v>44935</v>
      </c>
      <c r="Y155" s="13"/>
      <c r="Z155" s="13"/>
      <c r="AA155" s="16" t="s">
        <v>86</v>
      </c>
      <c r="AB155" s="18" t="str">
        <f t="shared" si="3"/>
        <v xml:space="preserve">BESTCO ALUMINIUM &amp; STEEL
</v>
      </c>
      <c r="AC155" s="19" t="s">
        <v>78</v>
      </c>
      <c r="AD155" s="20" t="s">
        <v>359</v>
      </c>
      <c r="AE155" s="20" t="s">
        <v>510</v>
      </c>
      <c r="AF155" s="19" t="s">
        <v>75</v>
      </c>
      <c r="AG155" s="19" t="s">
        <v>75</v>
      </c>
      <c r="AH155" s="16" t="s">
        <v>101</v>
      </c>
      <c r="AI155" s="18"/>
      <c r="AJ155" s="13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3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2"/>
      <c r="BK155" s="12"/>
      <c r="BL155" s="12"/>
      <c r="BM155" s="9"/>
      <c r="BN155" s="9"/>
      <c r="BO155" s="9"/>
      <c r="BP155" s="12"/>
      <c r="BQ155" s="12"/>
      <c r="BR155" s="12"/>
      <c r="BS155" s="12"/>
      <c r="BT155" s="12"/>
      <c r="BU155" s="12"/>
      <c r="BV155" s="12"/>
      <c r="BW155" s="12"/>
      <c r="BX155" s="12"/>
      <c r="BY155" s="9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</row>
    <row r="156" spans="1:88" ht="40.5" customHeight="1">
      <c r="A156" s="9">
        <f t="shared" si="0"/>
        <v>154</v>
      </c>
      <c r="B156" s="9" t="str">
        <f t="shared" si="5"/>
        <v xml:space="preserve">MA
</v>
      </c>
      <c r="C156" s="9" t="s">
        <v>531</v>
      </c>
      <c r="D156" s="9" t="s">
        <v>370</v>
      </c>
      <c r="E156" s="12">
        <v>0</v>
      </c>
      <c r="F156" s="12">
        <v>0</v>
      </c>
      <c r="G156" s="9" t="s">
        <v>89</v>
      </c>
      <c r="H156" s="12"/>
      <c r="I156" s="9" t="s">
        <v>532</v>
      </c>
      <c r="J156" s="9">
        <v>97155296021</v>
      </c>
      <c r="K156" s="12"/>
      <c r="L156" s="12"/>
      <c r="M156" s="12"/>
      <c r="N156" s="13" t="str">
        <f t="shared" si="1"/>
        <v xml:space="preserve">SPECIALIZED ALUMINIUM &amp; STEEL CO. W.L.L.
</v>
      </c>
      <c r="O156" s="16" t="s">
        <v>98</v>
      </c>
      <c r="P156" s="14">
        <v>3</v>
      </c>
      <c r="Q156" s="25">
        <v>44921</v>
      </c>
      <c r="R156" s="17"/>
      <c r="S156" s="17"/>
      <c r="T156" s="16" t="s">
        <v>108</v>
      </c>
      <c r="U156" s="17" t="str">
        <f t="shared" si="2"/>
        <v xml:space="preserve">SPECIALIZED ALUMINIUM &amp; STEEL CO. W.L.L.
</v>
      </c>
      <c r="V156" s="16" t="s">
        <v>78</v>
      </c>
      <c r="W156" s="16">
        <v>4</v>
      </c>
      <c r="X156" s="25">
        <v>44935</v>
      </c>
      <c r="Y156" s="13"/>
      <c r="Z156" s="13"/>
      <c r="AA156" s="16" t="s">
        <v>101</v>
      </c>
      <c r="AB156" s="18" t="str">
        <f t="shared" si="3"/>
        <v xml:space="preserve">SPECIALIZED ALUMINIUM &amp; STEEL CO. W.L.L.
</v>
      </c>
      <c r="AC156" s="19" t="s">
        <v>78</v>
      </c>
      <c r="AD156" s="20" t="s">
        <v>486</v>
      </c>
      <c r="AE156" s="20" t="s">
        <v>510</v>
      </c>
      <c r="AF156" s="19" t="s">
        <v>75</v>
      </c>
      <c r="AG156" s="19" t="s">
        <v>75</v>
      </c>
      <c r="AH156" s="16" t="s">
        <v>101</v>
      </c>
      <c r="AI156" s="18"/>
      <c r="AJ156" s="13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3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2"/>
      <c r="BK156" s="12"/>
      <c r="BL156" s="12"/>
      <c r="BM156" s="9"/>
      <c r="BN156" s="9"/>
      <c r="BO156" s="9"/>
      <c r="BP156" s="12"/>
      <c r="BQ156" s="12"/>
      <c r="BR156" s="12"/>
      <c r="BS156" s="12"/>
      <c r="BT156" s="12"/>
      <c r="BU156" s="12"/>
      <c r="BV156" s="12"/>
      <c r="BW156" s="12"/>
      <c r="BX156" s="12"/>
      <c r="BY156" s="9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</row>
    <row r="157" spans="1:88" ht="40.5" customHeight="1">
      <c r="A157" s="9">
        <f t="shared" si="0"/>
        <v>155</v>
      </c>
      <c r="B157" s="9" t="str">
        <f t="shared" si="5"/>
        <v xml:space="preserve">MA
</v>
      </c>
      <c r="C157" s="9" t="s">
        <v>533</v>
      </c>
      <c r="D157" s="9" t="s">
        <v>370</v>
      </c>
      <c r="E157" s="12">
        <v>0</v>
      </c>
      <c r="F157" s="12">
        <v>0</v>
      </c>
      <c r="G157" s="9" t="s">
        <v>89</v>
      </c>
      <c r="H157" s="12"/>
      <c r="I157" s="9">
        <v>97444502517</v>
      </c>
      <c r="J157" s="12"/>
      <c r="K157" s="12"/>
      <c r="L157" s="12"/>
      <c r="M157" s="12"/>
      <c r="N157" s="13" t="str">
        <f t="shared" si="1"/>
        <v xml:space="preserve">Skywall Aluminium &amp; Glass
</v>
      </c>
      <c r="O157" s="16" t="s">
        <v>78</v>
      </c>
      <c r="P157" s="14">
        <v>2</v>
      </c>
      <c r="Q157" s="25">
        <v>44921</v>
      </c>
      <c r="R157" s="17"/>
      <c r="S157" s="17"/>
      <c r="T157" s="16" t="s">
        <v>126</v>
      </c>
      <c r="U157" s="17" t="str">
        <f t="shared" si="2"/>
        <v xml:space="preserve">Skywall Aluminium &amp; Glass
</v>
      </c>
      <c r="V157" s="16" t="s">
        <v>78</v>
      </c>
      <c r="W157" s="16">
        <v>3</v>
      </c>
      <c r="X157" s="25">
        <v>44935</v>
      </c>
      <c r="Y157" s="13"/>
      <c r="Z157" s="13"/>
      <c r="AA157" s="16" t="s">
        <v>126</v>
      </c>
      <c r="AB157" s="18" t="str">
        <f t="shared" si="3"/>
        <v xml:space="preserve">Skywall Aluminium &amp; Glass
</v>
      </c>
      <c r="AC157" s="19" t="s">
        <v>78</v>
      </c>
      <c r="AD157" s="20" t="s">
        <v>359</v>
      </c>
      <c r="AE157" s="20" t="s">
        <v>510</v>
      </c>
      <c r="AF157" s="19" t="s">
        <v>75</v>
      </c>
      <c r="AG157" s="19" t="s">
        <v>75</v>
      </c>
      <c r="AH157" s="16" t="s">
        <v>126</v>
      </c>
      <c r="AI157" s="18"/>
      <c r="AJ157" s="13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3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2"/>
      <c r="BK157" s="12"/>
      <c r="BL157" s="12"/>
      <c r="BM157" s="9"/>
      <c r="BN157" s="9"/>
      <c r="BO157" s="9"/>
      <c r="BP157" s="12"/>
      <c r="BQ157" s="12"/>
      <c r="BR157" s="12"/>
      <c r="BS157" s="12"/>
      <c r="BT157" s="12"/>
      <c r="BU157" s="12"/>
      <c r="BV157" s="12"/>
      <c r="BW157" s="12"/>
      <c r="BX157" s="12"/>
      <c r="BY157" s="9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</row>
    <row r="158" spans="1:88" ht="40.5" customHeight="1">
      <c r="A158" s="9">
        <f t="shared" si="0"/>
        <v>156</v>
      </c>
      <c r="B158" s="9" t="str">
        <f t="shared" si="5"/>
        <v xml:space="preserve">MA
</v>
      </c>
      <c r="C158" s="9" t="s">
        <v>534</v>
      </c>
      <c r="D158" s="9" t="s">
        <v>370</v>
      </c>
      <c r="E158" s="12">
        <v>0</v>
      </c>
      <c r="F158" s="12">
        <v>0</v>
      </c>
      <c r="G158" s="9" t="s">
        <v>89</v>
      </c>
      <c r="H158" s="9" t="s">
        <v>535</v>
      </c>
      <c r="I158" s="9" t="s">
        <v>536</v>
      </c>
      <c r="J158" s="9" t="s">
        <v>79</v>
      </c>
      <c r="K158" s="22" t="s">
        <v>537</v>
      </c>
      <c r="L158" s="12"/>
      <c r="M158" s="12"/>
      <c r="N158" s="13" t="str">
        <f t="shared" si="1"/>
        <v>Aluminium Gulf Ray (AGR)</v>
      </c>
      <c r="O158" s="16" t="s">
        <v>78</v>
      </c>
      <c r="P158" s="14">
        <v>3</v>
      </c>
      <c r="Q158" s="25">
        <v>44921</v>
      </c>
      <c r="R158" s="17"/>
      <c r="S158" s="17"/>
      <c r="T158" s="16" t="s">
        <v>126</v>
      </c>
      <c r="U158" s="17" t="str">
        <f t="shared" si="2"/>
        <v>Aluminium Gulf Ray (AGR)</v>
      </c>
      <c r="V158" s="16" t="s">
        <v>78</v>
      </c>
      <c r="W158" s="16">
        <v>4</v>
      </c>
      <c r="X158" s="25">
        <v>44935</v>
      </c>
      <c r="Y158" s="13"/>
      <c r="Z158" s="13"/>
      <c r="AA158" s="16" t="s">
        <v>126</v>
      </c>
      <c r="AB158" s="18" t="str">
        <f t="shared" si="3"/>
        <v>Aluminium Gulf Ray (AGR)</v>
      </c>
      <c r="AC158" s="19" t="s">
        <v>7</v>
      </c>
      <c r="AD158" s="19">
        <v>5</v>
      </c>
      <c r="AE158" s="27">
        <v>44942</v>
      </c>
      <c r="AF158" s="18"/>
      <c r="AG158" s="18"/>
      <c r="AH158" s="16" t="s">
        <v>81</v>
      </c>
      <c r="AI158" s="18"/>
      <c r="AJ158" s="16" t="s">
        <v>78</v>
      </c>
      <c r="AK158" s="20" t="s">
        <v>144</v>
      </c>
      <c r="AL158" s="20" t="s">
        <v>479</v>
      </c>
      <c r="AM158" s="20" t="s">
        <v>82</v>
      </c>
      <c r="AN158" s="20" t="s">
        <v>538</v>
      </c>
      <c r="AO158" s="19" t="s">
        <v>81</v>
      </c>
      <c r="AP158" s="18"/>
      <c r="AQ158" s="18"/>
      <c r="AR158" s="18"/>
      <c r="AS158" s="18"/>
      <c r="AT158" s="18"/>
      <c r="AU158" s="18"/>
      <c r="AV158" s="18"/>
      <c r="AW158" s="18"/>
      <c r="AX158" s="13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2"/>
      <c r="BK158" s="12"/>
      <c r="BL158" s="12"/>
      <c r="BM158" s="9"/>
      <c r="BN158" s="9"/>
      <c r="BO158" s="9"/>
      <c r="BP158" s="12"/>
      <c r="BQ158" s="12"/>
      <c r="BR158" s="12"/>
      <c r="BS158" s="12"/>
      <c r="BT158" s="12"/>
      <c r="BU158" s="12"/>
      <c r="BV158" s="12"/>
      <c r="BW158" s="12"/>
      <c r="BX158" s="12"/>
      <c r="BY158" s="9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</row>
    <row r="159" spans="1:88" ht="40.5" customHeight="1">
      <c r="A159" s="24">
        <f t="shared" si="0"/>
        <v>157</v>
      </c>
      <c r="B159" s="24" t="str">
        <f t="shared" si="5"/>
        <v xml:space="preserve">MA
</v>
      </c>
      <c r="C159" s="24" t="s">
        <v>539</v>
      </c>
      <c r="D159" s="24" t="s">
        <v>370</v>
      </c>
      <c r="E159" s="30">
        <v>0</v>
      </c>
      <c r="F159" s="30">
        <v>0</v>
      </c>
      <c r="G159" s="24" t="s">
        <v>89</v>
      </c>
      <c r="H159" s="24" t="s">
        <v>540</v>
      </c>
      <c r="I159" s="24">
        <v>97431010440</v>
      </c>
      <c r="J159" s="24" t="s">
        <v>541</v>
      </c>
      <c r="K159" s="30"/>
      <c r="L159" s="30"/>
      <c r="M159" s="30"/>
      <c r="N159" s="33" t="str">
        <f t="shared" si="1"/>
        <v xml:space="preserve">Union for Steel &amp; Aluminum
</v>
      </c>
      <c r="O159" s="34" t="s">
        <v>78</v>
      </c>
      <c r="P159" s="35">
        <v>2</v>
      </c>
      <c r="Q159" s="36">
        <v>44921</v>
      </c>
      <c r="R159" s="38"/>
      <c r="S159" s="37">
        <v>0.10625</v>
      </c>
      <c r="T159" s="34" t="s">
        <v>153</v>
      </c>
      <c r="U159" s="38" t="str">
        <f t="shared" si="2"/>
        <v xml:space="preserve">Union for Steel &amp; Aluminum
</v>
      </c>
      <c r="V159" s="34" t="s">
        <v>78</v>
      </c>
      <c r="W159" s="34">
        <v>3</v>
      </c>
      <c r="X159" s="36">
        <v>44935</v>
      </c>
      <c r="Y159" s="33"/>
      <c r="Z159" s="33"/>
      <c r="AA159" s="34" t="s">
        <v>101</v>
      </c>
      <c r="AB159" s="39" t="str">
        <f t="shared" si="3"/>
        <v xml:space="preserve">Union for Steel &amp; Aluminum
</v>
      </c>
      <c r="AC159" s="40" t="s">
        <v>98</v>
      </c>
      <c r="AD159" s="40">
        <v>4</v>
      </c>
      <c r="AE159" s="41">
        <v>44942</v>
      </c>
      <c r="AF159" s="39"/>
      <c r="AG159" s="39"/>
      <c r="AH159" s="34" t="s">
        <v>4</v>
      </c>
      <c r="AI159" s="39"/>
      <c r="AJ159" s="33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3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0"/>
      <c r="BK159" s="30"/>
      <c r="BL159" s="30"/>
      <c r="BM159" s="24"/>
      <c r="BN159" s="24"/>
      <c r="BO159" s="24"/>
      <c r="BP159" s="30"/>
      <c r="BQ159" s="30"/>
      <c r="BR159" s="30"/>
      <c r="BS159" s="30"/>
      <c r="BT159" s="30"/>
      <c r="BU159" s="30"/>
      <c r="BV159" s="30"/>
      <c r="BW159" s="30"/>
      <c r="BX159" s="30"/>
      <c r="BY159" s="24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</row>
    <row r="160" spans="1:88" ht="40.5" customHeight="1">
      <c r="A160" s="9">
        <f t="shared" si="0"/>
        <v>158</v>
      </c>
      <c r="B160" s="9" t="str">
        <f t="shared" si="5"/>
        <v xml:space="preserve">MA
</v>
      </c>
      <c r="C160" s="9" t="s">
        <v>542</v>
      </c>
      <c r="D160" s="9" t="s">
        <v>370</v>
      </c>
      <c r="E160" s="12">
        <v>0</v>
      </c>
      <c r="F160" s="12">
        <v>0</v>
      </c>
      <c r="G160" s="9" t="s">
        <v>89</v>
      </c>
      <c r="H160" s="9" t="s">
        <v>543</v>
      </c>
      <c r="I160" s="9" t="s">
        <v>544</v>
      </c>
      <c r="J160" s="12"/>
      <c r="K160" s="58">
        <v>0</v>
      </c>
      <c r="L160" s="12"/>
      <c r="M160" s="12"/>
      <c r="N160" s="13" t="str">
        <f t="shared" si="1"/>
        <v xml:space="preserve">Abdulla Trading aluminium &amp; Decor. W.L.L
</v>
      </c>
      <c r="O160" s="16" t="s">
        <v>78</v>
      </c>
      <c r="P160" s="14">
        <v>3</v>
      </c>
      <c r="Q160" s="25">
        <v>44921</v>
      </c>
      <c r="R160" s="14">
        <v>4</v>
      </c>
      <c r="S160" s="26">
        <v>0.24027777777777778</v>
      </c>
      <c r="T160" s="16" t="s">
        <v>108</v>
      </c>
      <c r="U160" s="17" t="str">
        <f t="shared" si="2"/>
        <v xml:space="preserve">Abdulla Trading aluminium &amp; Decor. W.L.L
</v>
      </c>
      <c r="V160" s="16" t="s">
        <v>78</v>
      </c>
      <c r="W160" s="16">
        <v>4</v>
      </c>
      <c r="X160" s="25">
        <v>44935</v>
      </c>
      <c r="Y160" s="13"/>
      <c r="Z160" s="13"/>
      <c r="AA160" s="16" t="s">
        <v>101</v>
      </c>
      <c r="AB160" s="18" t="str">
        <f t="shared" si="3"/>
        <v xml:space="preserve">Abdulla Trading aluminium &amp; Decor. W.L.L
</v>
      </c>
      <c r="AC160" s="19" t="s">
        <v>78</v>
      </c>
      <c r="AD160" s="19">
        <v>5</v>
      </c>
      <c r="AE160" s="27">
        <v>44942</v>
      </c>
      <c r="AF160" s="18"/>
      <c r="AG160" s="18"/>
      <c r="AH160" s="16" t="s">
        <v>101</v>
      </c>
      <c r="AI160" s="18"/>
      <c r="AJ160" s="16" t="s">
        <v>78</v>
      </c>
      <c r="AK160" s="20" t="s">
        <v>144</v>
      </c>
      <c r="AL160" s="20" t="s">
        <v>479</v>
      </c>
      <c r="AM160" s="19" t="s">
        <v>75</v>
      </c>
      <c r="AN160" s="19" t="s">
        <v>75</v>
      </c>
      <c r="AO160" s="19" t="s">
        <v>101</v>
      </c>
      <c r="AP160" s="18"/>
      <c r="AQ160" s="18"/>
      <c r="AR160" s="18"/>
      <c r="AS160" s="18"/>
      <c r="AT160" s="18"/>
      <c r="AU160" s="18"/>
      <c r="AV160" s="18"/>
      <c r="AW160" s="18"/>
      <c r="AX160" s="13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2"/>
      <c r="BK160" s="12"/>
      <c r="BL160" s="12"/>
      <c r="BM160" s="9"/>
      <c r="BN160" s="9"/>
      <c r="BO160" s="9"/>
      <c r="BP160" s="12"/>
      <c r="BQ160" s="12"/>
      <c r="BR160" s="12"/>
      <c r="BS160" s="12"/>
      <c r="BT160" s="12"/>
      <c r="BU160" s="12"/>
      <c r="BV160" s="12"/>
      <c r="BW160" s="12"/>
      <c r="BX160" s="12"/>
      <c r="BY160" s="9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</row>
    <row r="161" spans="1:88" ht="40.5" customHeight="1">
      <c r="A161" s="9">
        <f t="shared" si="0"/>
        <v>159</v>
      </c>
      <c r="B161" s="9" t="str">
        <f t="shared" si="5"/>
        <v xml:space="preserve">MA
</v>
      </c>
      <c r="C161" s="48" t="s">
        <v>545</v>
      </c>
      <c r="D161" s="9" t="s">
        <v>370</v>
      </c>
      <c r="E161" s="12">
        <v>0</v>
      </c>
      <c r="F161" s="12">
        <v>0</v>
      </c>
      <c r="G161" s="9" t="s">
        <v>105</v>
      </c>
      <c r="H161" s="12"/>
      <c r="I161" s="9" t="s">
        <v>546</v>
      </c>
      <c r="J161" s="12"/>
      <c r="K161" s="12"/>
      <c r="L161" s="12"/>
      <c r="M161" s="12"/>
      <c r="N161" s="13" t="str">
        <f t="shared" si="1"/>
        <v xml:space="preserve">Alumco Qatar W.L.L.
</v>
      </c>
      <c r="O161" s="16" t="s">
        <v>78</v>
      </c>
      <c r="P161" s="14">
        <v>2</v>
      </c>
      <c r="Q161" s="25">
        <v>44921</v>
      </c>
      <c r="R161" s="17"/>
      <c r="S161" s="17"/>
      <c r="T161" s="16" t="s">
        <v>108</v>
      </c>
      <c r="U161" s="17" t="str">
        <f t="shared" si="2"/>
        <v xml:space="preserve">Alumco Qatar W.L.L.
</v>
      </c>
      <c r="V161" s="16" t="s">
        <v>78</v>
      </c>
      <c r="W161" s="16">
        <v>3</v>
      </c>
      <c r="X161" s="25">
        <v>44935</v>
      </c>
      <c r="Y161" s="13"/>
      <c r="Z161" s="13"/>
      <c r="AA161" s="16" t="s">
        <v>101</v>
      </c>
      <c r="AB161" s="18" t="str">
        <f t="shared" si="3"/>
        <v xml:space="preserve">Alumco Qatar W.L.L.
</v>
      </c>
      <c r="AC161" s="19" t="s">
        <v>98</v>
      </c>
      <c r="AD161" s="19">
        <v>4</v>
      </c>
      <c r="AE161" s="27">
        <v>44942</v>
      </c>
      <c r="AF161" s="19"/>
      <c r="AG161" s="18"/>
      <c r="AH161" s="16" t="s">
        <v>86</v>
      </c>
      <c r="AI161" s="18"/>
      <c r="AJ161" s="16" t="s">
        <v>98</v>
      </c>
      <c r="AK161" s="20" t="s">
        <v>486</v>
      </c>
      <c r="AL161" s="20" t="s">
        <v>479</v>
      </c>
      <c r="AM161" s="19" t="s">
        <v>75</v>
      </c>
      <c r="AN161" s="19" t="s">
        <v>75</v>
      </c>
      <c r="AO161" s="19" t="s">
        <v>86</v>
      </c>
      <c r="AP161" s="18"/>
      <c r="AQ161" s="19" t="s">
        <v>78</v>
      </c>
      <c r="AR161" s="19" t="s">
        <v>79</v>
      </c>
      <c r="AS161" s="20" t="s">
        <v>80</v>
      </c>
      <c r="AT161" s="19" t="s">
        <v>75</v>
      </c>
      <c r="AU161" s="19" t="s">
        <v>75</v>
      </c>
      <c r="AV161" s="19" t="s">
        <v>101</v>
      </c>
      <c r="AW161" s="18"/>
      <c r="AX161" s="13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2"/>
      <c r="BK161" s="12"/>
      <c r="BL161" s="12"/>
      <c r="BM161" s="9"/>
      <c r="BN161" s="9"/>
      <c r="BO161" s="9"/>
      <c r="BP161" s="12"/>
      <c r="BQ161" s="12"/>
      <c r="BR161" s="12"/>
      <c r="BS161" s="12"/>
      <c r="BT161" s="12"/>
      <c r="BU161" s="12"/>
      <c r="BV161" s="12"/>
      <c r="BW161" s="12"/>
      <c r="BX161" s="12"/>
      <c r="BY161" s="9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</row>
    <row r="162" spans="1:88" ht="40.5" customHeight="1">
      <c r="A162" s="9">
        <f t="shared" si="0"/>
        <v>160</v>
      </c>
      <c r="B162" s="9" t="str">
        <f t="shared" si="5"/>
        <v xml:space="preserve">MA
</v>
      </c>
      <c r="C162" s="9" t="s">
        <v>547</v>
      </c>
      <c r="D162" s="9" t="s">
        <v>370</v>
      </c>
      <c r="E162" s="12">
        <v>0</v>
      </c>
      <c r="F162" s="12">
        <v>0</v>
      </c>
      <c r="G162" s="9" t="s">
        <v>375</v>
      </c>
      <c r="H162" s="9" t="s">
        <v>548</v>
      </c>
      <c r="I162" s="9" t="s">
        <v>549</v>
      </c>
      <c r="J162" s="12"/>
      <c r="K162" s="11" t="s">
        <v>550</v>
      </c>
      <c r="L162" s="12"/>
      <c r="M162" s="12"/>
      <c r="N162" s="13" t="str">
        <f t="shared" si="1"/>
        <v xml:space="preserve">Folda Qatar
</v>
      </c>
      <c r="O162" s="16" t="s">
        <v>78</v>
      </c>
      <c r="P162" s="14">
        <v>5</v>
      </c>
      <c r="Q162" s="25">
        <v>44921</v>
      </c>
      <c r="R162" s="17"/>
      <c r="S162" s="17"/>
      <c r="T162" s="16" t="s">
        <v>101</v>
      </c>
      <c r="U162" s="17" t="str">
        <f t="shared" si="2"/>
        <v xml:space="preserve">Folda Qatar
</v>
      </c>
      <c r="V162" s="16" t="s">
        <v>98</v>
      </c>
      <c r="W162" s="16">
        <v>6</v>
      </c>
      <c r="X162" s="25">
        <v>44925</v>
      </c>
      <c r="Y162" s="13"/>
      <c r="Z162" s="13"/>
      <c r="AA162" s="16" t="s">
        <v>86</v>
      </c>
      <c r="AB162" s="18" t="str">
        <f t="shared" si="3"/>
        <v xml:space="preserve">Folda Qatar
</v>
      </c>
      <c r="AC162" s="19" t="s">
        <v>98</v>
      </c>
      <c r="AD162" s="19">
        <v>7</v>
      </c>
      <c r="AE162" s="27">
        <v>44935</v>
      </c>
      <c r="AF162" s="18"/>
      <c r="AG162" s="18"/>
      <c r="AH162" s="16" t="s">
        <v>101</v>
      </c>
      <c r="AI162" s="18"/>
      <c r="AJ162" s="16" t="s">
        <v>98</v>
      </c>
      <c r="AK162" s="19">
        <v>8</v>
      </c>
      <c r="AL162" s="27">
        <v>44942</v>
      </c>
      <c r="AM162" s="18"/>
      <c r="AN162" s="18"/>
      <c r="AO162" s="19" t="s">
        <v>86</v>
      </c>
      <c r="AP162" s="18"/>
      <c r="AQ162" s="19" t="s">
        <v>98</v>
      </c>
      <c r="AR162" s="20" t="s">
        <v>551</v>
      </c>
      <c r="AS162" s="20" t="s">
        <v>552</v>
      </c>
      <c r="AT162" s="19" t="s">
        <v>75</v>
      </c>
      <c r="AU162" s="19" t="s">
        <v>75</v>
      </c>
      <c r="AV162" s="19" t="s">
        <v>86</v>
      </c>
      <c r="AW162" s="18"/>
      <c r="AX162" s="16" t="s">
        <v>98</v>
      </c>
      <c r="AY162" s="20" t="s">
        <v>551</v>
      </c>
      <c r="AZ162" s="20" t="s">
        <v>552</v>
      </c>
      <c r="BA162" s="19" t="s">
        <v>75</v>
      </c>
      <c r="BB162" s="19" t="s">
        <v>75</v>
      </c>
      <c r="BC162" s="19" t="s">
        <v>86</v>
      </c>
      <c r="BD162" s="19" t="s">
        <v>78</v>
      </c>
      <c r="BE162" s="19" t="s">
        <v>79</v>
      </c>
      <c r="BF162" s="20" t="s">
        <v>80</v>
      </c>
      <c r="BG162" s="19" t="s">
        <v>75</v>
      </c>
      <c r="BH162" s="19" t="s">
        <v>75</v>
      </c>
      <c r="BI162" s="19" t="s">
        <v>101</v>
      </c>
      <c r="BJ162" s="12"/>
      <c r="BK162" s="12"/>
      <c r="BL162" s="12"/>
      <c r="BM162" s="9"/>
      <c r="BN162" s="9"/>
      <c r="BO162" s="9"/>
      <c r="BP162" s="12"/>
      <c r="BQ162" s="12"/>
      <c r="BR162" s="12"/>
      <c r="BS162" s="12"/>
      <c r="BT162" s="12"/>
      <c r="BU162" s="12"/>
      <c r="BV162" s="12"/>
      <c r="BW162" s="12"/>
      <c r="BX162" s="12"/>
      <c r="BY162" s="9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</row>
    <row r="163" spans="1:88" ht="40.5" customHeight="1">
      <c r="A163" s="9">
        <f t="shared" si="0"/>
        <v>161</v>
      </c>
      <c r="B163" s="9" t="str">
        <f t="shared" si="5"/>
        <v xml:space="preserve">MA
</v>
      </c>
      <c r="C163" s="9" t="s">
        <v>553</v>
      </c>
      <c r="D163" s="9" t="s">
        <v>370</v>
      </c>
      <c r="E163" s="12">
        <v>0</v>
      </c>
      <c r="F163" s="12">
        <v>0</v>
      </c>
      <c r="G163" s="9" t="s">
        <v>89</v>
      </c>
      <c r="H163" s="12"/>
      <c r="I163" s="9">
        <v>97450992100</v>
      </c>
      <c r="J163" s="9" t="s">
        <v>554</v>
      </c>
      <c r="K163" s="22" t="s">
        <v>555</v>
      </c>
      <c r="L163" s="9" t="s">
        <v>556</v>
      </c>
      <c r="M163" s="12"/>
      <c r="N163" s="13" t="str">
        <f t="shared" si="1"/>
        <v xml:space="preserve">IBA (Ismail Bin Ali) Group
</v>
      </c>
      <c r="O163" s="16" t="s">
        <v>78</v>
      </c>
      <c r="P163" s="14">
        <v>4</v>
      </c>
      <c r="Q163" s="25">
        <v>44921</v>
      </c>
      <c r="R163" s="14">
        <v>4</v>
      </c>
      <c r="S163" s="26">
        <v>0.27569444444444446</v>
      </c>
      <c r="T163" s="16" t="s">
        <v>86</v>
      </c>
      <c r="U163" s="17" t="str">
        <f t="shared" si="2"/>
        <v xml:space="preserve">IBA (Ismail Bin Ali) Group
</v>
      </c>
      <c r="V163" s="16" t="s">
        <v>78</v>
      </c>
      <c r="W163" s="16">
        <v>5</v>
      </c>
      <c r="X163" s="25">
        <v>44935</v>
      </c>
      <c r="Y163" s="13"/>
      <c r="Z163" s="13"/>
      <c r="AA163" s="16" t="s">
        <v>101</v>
      </c>
      <c r="AB163" s="18" t="str">
        <f t="shared" si="3"/>
        <v xml:space="preserve">IBA (Ismail Bin Ali) Group
</v>
      </c>
      <c r="AC163" s="19" t="s">
        <v>98</v>
      </c>
      <c r="AD163" s="19">
        <v>6</v>
      </c>
      <c r="AE163" s="27">
        <v>44942</v>
      </c>
      <c r="AF163" s="18"/>
      <c r="AG163" s="18"/>
      <c r="AH163" s="16" t="s">
        <v>86</v>
      </c>
      <c r="AI163" s="18"/>
      <c r="AJ163" s="16" t="s">
        <v>78</v>
      </c>
      <c r="AK163" s="20" t="s">
        <v>121</v>
      </c>
      <c r="AL163" s="20" t="s">
        <v>510</v>
      </c>
      <c r="AM163" s="19" t="s">
        <v>75</v>
      </c>
      <c r="AN163" s="19" t="s">
        <v>75</v>
      </c>
      <c r="AO163" s="19" t="s">
        <v>101</v>
      </c>
      <c r="AP163" s="18"/>
      <c r="AQ163" s="19" t="s">
        <v>78</v>
      </c>
      <c r="AR163" s="19" t="s">
        <v>79</v>
      </c>
      <c r="AS163" s="20" t="s">
        <v>80</v>
      </c>
      <c r="AT163" s="19" t="s">
        <v>75</v>
      </c>
      <c r="AU163" s="19" t="s">
        <v>75</v>
      </c>
      <c r="AV163" s="19" t="s">
        <v>101</v>
      </c>
      <c r="AW163" s="18"/>
      <c r="AX163" s="13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2"/>
      <c r="BK163" s="12"/>
      <c r="BL163" s="12"/>
      <c r="BM163" s="9"/>
      <c r="BN163" s="9"/>
      <c r="BO163" s="9"/>
      <c r="BP163" s="12"/>
      <c r="BQ163" s="12"/>
      <c r="BR163" s="12"/>
      <c r="BS163" s="12"/>
      <c r="BT163" s="12"/>
      <c r="BU163" s="12"/>
      <c r="BV163" s="12"/>
      <c r="BW163" s="12"/>
      <c r="BX163" s="12"/>
      <c r="BY163" s="9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</row>
    <row r="164" spans="1:88" ht="40.5" customHeight="1">
      <c r="A164" s="9">
        <f t="shared" si="0"/>
        <v>162</v>
      </c>
      <c r="B164" s="9" t="str">
        <f t="shared" si="5"/>
        <v xml:space="preserve">MA
</v>
      </c>
      <c r="C164" s="9" t="s">
        <v>557</v>
      </c>
      <c r="D164" s="9" t="s">
        <v>370</v>
      </c>
      <c r="E164" s="12">
        <v>0</v>
      </c>
      <c r="F164" s="12">
        <v>0</v>
      </c>
      <c r="G164" s="9" t="s">
        <v>89</v>
      </c>
      <c r="H164" s="9" t="s">
        <v>558</v>
      </c>
      <c r="I164" s="9" t="s">
        <v>559</v>
      </c>
      <c r="J164" s="9" t="s">
        <v>560</v>
      </c>
      <c r="K164" s="11" t="s">
        <v>561</v>
      </c>
      <c r="L164" s="9" t="s">
        <v>562</v>
      </c>
      <c r="M164" s="12"/>
      <c r="N164" s="13" t="str">
        <f t="shared" si="1"/>
        <v xml:space="preserve">Specialized Qatar Windows and Doors systems‎
</v>
      </c>
      <c r="O164" s="16" t="s">
        <v>98</v>
      </c>
      <c r="P164" s="14">
        <v>4</v>
      </c>
      <c r="Q164" s="25">
        <v>44921</v>
      </c>
      <c r="R164" s="17"/>
      <c r="S164" s="17"/>
      <c r="T164" s="16" t="s">
        <v>108</v>
      </c>
      <c r="U164" s="17" t="str">
        <f t="shared" si="2"/>
        <v xml:space="preserve">Specialized Qatar Windows and Doors systems‎
</v>
      </c>
      <c r="V164" s="16" t="s">
        <v>78</v>
      </c>
      <c r="W164" s="16">
        <v>5</v>
      </c>
      <c r="X164" s="25">
        <v>44935</v>
      </c>
      <c r="Y164" s="13"/>
      <c r="Z164" s="13"/>
      <c r="AA164" s="16" t="s">
        <v>101</v>
      </c>
      <c r="AB164" s="18" t="str">
        <f t="shared" si="3"/>
        <v xml:space="preserve">Specialized Qatar Windows and Doors systems‎
</v>
      </c>
      <c r="AC164" s="19" t="s">
        <v>7</v>
      </c>
      <c r="AD164" s="19">
        <v>6</v>
      </c>
      <c r="AE164" s="27">
        <v>44942</v>
      </c>
      <c r="AF164" s="18"/>
      <c r="AG164" s="18"/>
      <c r="AH164" s="16" t="s">
        <v>81</v>
      </c>
      <c r="AI164" s="18"/>
      <c r="AJ164" s="16" t="s">
        <v>98</v>
      </c>
      <c r="AK164" s="20" t="s">
        <v>121</v>
      </c>
      <c r="AL164" s="20" t="s">
        <v>510</v>
      </c>
      <c r="AM164" s="19" t="s">
        <v>75</v>
      </c>
      <c r="AN164" s="19" t="s">
        <v>75</v>
      </c>
      <c r="AO164" s="19" t="s">
        <v>86</v>
      </c>
      <c r="AP164" s="18"/>
      <c r="AQ164" s="19" t="s">
        <v>78</v>
      </c>
      <c r="AR164" s="19" t="s">
        <v>79</v>
      </c>
      <c r="AS164" s="20" t="s">
        <v>80</v>
      </c>
      <c r="AT164" s="19" t="s">
        <v>75</v>
      </c>
      <c r="AU164" s="19" t="s">
        <v>75</v>
      </c>
      <c r="AV164" s="19" t="s">
        <v>4</v>
      </c>
      <c r="AW164" s="18"/>
      <c r="AX164" s="13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2"/>
      <c r="BK164" s="12"/>
      <c r="BL164" s="12"/>
      <c r="BM164" s="9"/>
      <c r="BN164" s="9"/>
      <c r="BO164" s="9"/>
      <c r="BP164" s="12"/>
      <c r="BQ164" s="12"/>
      <c r="BR164" s="12"/>
      <c r="BS164" s="12"/>
      <c r="BT164" s="12"/>
      <c r="BU164" s="12"/>
      <c r="BV164" s="12"/>
      <c r="BW164" s="12"/>
      <c r="BX164" s="12"/>
      <c r="BY164" s="9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</row>
    <row r="165" spans="1:88" ht="40.5" customHeight="1">
      <c r="A165" s="9">
        <f t="shared" si="0"/>
        <v>163</v>
      </c>
      <c r="B165" s="9" t="str">
        <f t="shared" si="5"/>
        <v xml:space="preserve">MA
</v>
      </c>
      <c r="C165" s="9" t="s">
        <v>563</v>
      </c>
      <c r="D165" s="9" t="s">
        <v>370</v>
      </c>
      <c r="E165" s="12">
        <v>0</v>
      </c>
      <c r="F165" s="12">
        <v>0</v>
      </c>
      <c r="G165" s="9" t="s">
        <v>89</v>
      </c>
      <c r="H165" s="9" t="s">
        <v>564</v>
      </c>
      <c r="I165" s="9" t="s">
        <v>565</v>
      </c>
      <c r="J165" s="12"/>
      <c r="K165" s="56" t="s">
        <v>566</v>
      </c>
      <c r="L165" s="12"/>
      <c r="M165" s="12"/>
      <c r="N165" s="13" t="str">
        <f t="shared" si="1"/>
        <v xml:space="preserve">Qatar uPVC Windows + Doors
</v>
      </c>
      <c r="O165" s="16" t="s">
        <v>78</v>
      </c>
      <c r="P165" s="14">
        <v>3</v>
      </c>
      <c r="Q165" s="25">
        <v>44921</v>
      </c>
      <c r="R165" s="17"/>
      <c r="S165" s="17"/>
      <c r="T165" s="16" t="s">
        <v>101</v>
      </c>
      <c r="U165" s="17" t="str">
        <f t="shared" si="2"/>
        <v xml:space="preserve">Qatar uPVC Windows + Doors
</v>
      </c>
      <c r="V165" s="16" t="s">
        <v>78</v>
      </c>
      <c r="W165" s="16">
        <v>4</v>
      </c>
      <c r="X165" s="25">
        <v>44935</v>
      </c>
      <c r="Y165" s="13"/>
      <c r="Z165" s="29">
        <v>4.5138888888888888E-2</v>
      </c>
      <c r="AA165" s="16" t="s">
        <v>153</v>
      </c>
      <c r="AB165" s="18" t="str">
        <f t="shared" si="3"/>
        <v xml:space="preserve">Qatar uPVC Windows + Doors
</v>
      </c>
      <c r="AC165" s="19" t="s">
        <v>78</v>
      </c>
      <c r="AD165" s="19">
        <v>5</v>
      </c>
      <c r="AE165" s="27">
        <v>44942</v>
      </c>
      <c r="AF165" s="19">
        <v>1</v>
      </c>
      <c r="AG165" s="47">
        <v>3.0555555555555555E-2</v>
      </c>
      <c r="AH165" s="16" t="s">
        <v>153</v>
      </c>
      <c r="AI165" s="18"/>
      <c r="AJ165" s="16" t="s">
        <v>78</v>
      </c>
      <c r="AK165" s="20" t="s">
        <v>144</v>
      </c>
      <c r="AL165" s="20" t="s">
        <v>479</v>
      </c>
      <c r="AM165" s="19" t="s">
        <v>75</v>
      </c>
      <c r="AN165" s="19" t="s">
        <v>75</v>
      </c>
      <c r="AO165" s="19" t="s">
        <v>86</v>
      </c>
      <c r="AP165" s="18"/>
      <c r="AQ165" s="18"/>
      <c r="AR165" s="18"/>
      <c r="AS165" s="18"/>
      <c r="AT165" s="18"/>
      <c r="AU165" s="18"/>
      <c r="AV165" s="18"/>
      <c r="AW165" s="18"/>
      <c r="AX165" s="13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2"/>
      <c r="BK165" s="12"/>
      <c r="BL165" s="12"/>
      <c r="BM165" s="9"/>
      <c r="BN165" s="9"/>
      <c r="BO165" s="9"/>
      <c r="BP165" s="12"/>
      <c r="BQ165" s="12"/>
      <c r="BR165" s="12"/>
      <c r="BS165" s="12"/>
      <c r="BT165" s="12"/>
      <c r="BU165" s="12"/>
      <c r="BV165" s="12"/>
      <c r="BW165" s="12"/>
      <c r="BX165" s="12"/>
      <c r="BY165" s="9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</row>
    <row r="166" spans="1:88" ht="40.5" customHeight="1">
      <c r="A166" s="9">
        <f t="shared" si="0"/>
        <v>164</v>
      </c>
      <c r="B166" s="9" t="str">
        <f t="shared" si="5"/>
        <v xml:space="preserve">MA
</v>
      </c>
      <c r="C166" s="9" t="s">
        <v>567</v>
      </c>
      <c r="D166" s="9" t="s">
        <v>370</v>
      </c>
      <c r="E166" s="12">
        <v>0</v>
      </c>
      <c r="F166" s="12">
        <v>0</v>
      </c>
      <c r="G166" s="9" t="s">
        <v>89</v>
      </c>
      <c r="H166" s="12"/>
      <c r="I166" s="9" t="s">
        <v>568</v>
      </c>
      <c r="J166" s="9" t="s">
        <v>569</v>
      </c>
      <c r="K166" s="9" t="s">
        <v>570</v>
      </c>
      <c r="L166" s="12"/>
      <c r="M166" s="12"/>
      <c r="N166" s="13" t="str">
        <f t="shared" si="1"/>
        <v xml:space="preserve">BRQ TRADING CONTRACTING &amp; SERVICES W.L.L
</v>
      </c>
      <c r="O166" s="16" t="s">
        <v>78</v>
      </c>
      <c r="P166" s="14">
        <v>2</v>
      </c>
      <c r="Q166" s="25">
        <v>44921</v>
      </c>
      <c r="R166" s="14">
        <v>4</v>
      </c>
      <c r="S166" s="26">
        <v>4.7222222222222221E-2</v>
      </c>
      <c r="T166" s="16" t="s">
        <v>108</v>
      </c>
      <c r="U166" s="17" t="str">
        <f t="shared" si="2"/>
        <v xml:space="preserve">BRQ TRADING CONTRACTING &amp; SERVICES W.L.L
</v>
      </c>
      <c r="V166" s="16" t="s">
        <v>78</v>
      </c>
      <c r="W166" s="16">
        <v>3</v>
      </c>
      <c r="X166" s="25">
        <v>44935</v>
      </c>
      <c r="Y166" s="16">
        <v>4</v>
      </c>
      <c r="Z166" s="29">
        <v>4.1666666666666664E-2</v>
      </c>
      <c r="AA166" s="16" t="s">
        <v>190</v>
      </c>
      <c r="AB166" s="18" t="str">
        <f t="shared" si="3"/>
        <v xml:space="preserve">BRQ TRADING CONTRACTING &amp; SERVICES W.L.L
</v>
      </c>
      <c r="AC166" s="19" t="s">
        <v>98</v>
      </c>
      <c r="AD166" s="19">
        <v>4</v>
      </c>
      <c r="AE166" s="27">
        <v>44942</v>
      </c>
      <c r="AF166" s="18"/>
      <c r="AG166" s="18"/>
      <c r="AH166" s="16" t="s">
        <v>86</v>
      </c>
      <c r="AI166" s="18"/>
      <c r="AJ166" s="16" t="s">
        <v>78</v>
      </c>
      <c r="AK166" s="20" t="s">
        <v>486</v>
      </c>
      <c r="AL166" s="20" t="s">
        <v>479</v>
      </c>
      <c r="AM166" s="19" t="s">
        <v>75</v>
      </c>
      <c r="AN166" s="19" t="s">
        <v>75</v>
      </c>
      <c r="AO166" s="19" t="s">
        <v>86</v>
      </c>
      <c r="AP166" s="18"/>
      <c r="AQ166" s="19" t="s">
        <v>78</v>
      </c>
      <c r="AR166" s="19" t="s">
        <v>79</v>
      </c>
      <c r="AS166" s="20" t="s">
        <v>80</v>
      </c>
      <c r="AT166" s="19" t="s">
        <v>75</v>
      </c>
      <c r="AU166" s="19" t="s">
        <v>75</v>
      </c>
      <c r="AV166" s="19" t="s">
        <v>86</v>
      </c>
      <c r="AW166" s="18"/>
      <c r="AX166" s="13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2"/>
      <c r="BK166" s="12"/>
      <c r="BL166" s="12"/>
      <c r="BM166" s="9"/>
      <c r="BN166" s="9"/>
      <c r="BO166" s="9"/>
      <c r="BP166" s="12"/>
      <c r="BQ166" s="12"/>
      <c r="BR166" s="12"/>
      <c r="BS166" s="12"/>
      <c r="BT166" s="12"/>
      <c r="BU166" s="12"/>
      <c r="BV166" s="12"/>
      <c r="BW166" s="12"/>
      <c r="BX166" s="12"/>
      <c r="BY166" s="9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</row>
    <row r="167" spans="1:88" ht="40.5" customHeight="1">
      <c r="A167" s="9">
        <f t="shared" si="0"/>
        <v>165</v>
      </c>
      <c r="B167" s="9" t="str">
        <f t="shared" si="5"/>
        <v xml:space="preserve">MA
</v>
      </c>
      <c r="C167" s="9" t="s">
        <v>571</v>
      </c>
      <c r="D167" s="9" t="s">
        <v>370</v>
      </c>
      <c r="E167" s="12">
        <v>0</v>
      </c>
      <c r="F167" s="12">
        <v>0</v>
      </c>
      <c r="G167" s="9" t="s">
        <v>375</v>
      </c>
      <c r="H167" s="12"/>
      <c r="I167" s="9" t="s">
        <v>572</v>
      </c>
      <c r="J167" s="12"/>
      <c r="K167" s="11" t="s">
        <v>573</v>
      </c>
      <c r="L167" s="9" t="s">
        <v>574</v>
      </c>
      <c r="M167" s="12"/>
      <c r="N167" s="13" t="str">
        <f t="shared" si="1"/>
        <v xml:space="preserve">Al Khinji Group
</v>
      </c>
      <c r="O167" s="16" t="s">
        <v>78</v>
      </c>
      <c r="P167" s="14">
        <v>3</v>
      </c>
      <c r="Q167" s="25">
        <v>44922</v>
      </c>
      <c r="R167" s="17"/>
      <c r="S167" s="17"/>
      <c r="T167" s="16" t="s">
        <v>126</v>
      </c>
      <c r="U167" s="17" t="str">
        <f t="shared" si="2"/>
        <v xml:space="preserve">Al Khinji Group
</v>
      </c>
      <c r="V167" s="16" t="s">
        <v>98</v>
      </c>
      <c r="W167" s="16">
        <v>4</v>
      </c>
      <c r="X167" s="25">
        <v>44935</v>
      </c>
      <c r="Y167" s="13"/>
      <c r="Z167" s="13"/>
      <c r="AA167" s="16" t="s">
        <v>108</v>
      </c>
      <c r="AB167" s="18" t="str">
        <f t="shared" si="3"/>
        <v xml:space="preserve">Al Khinji Group
</v>
      </c>
      <c r="AC167" s="19" t="s">
        <v>98</v>
      </c>
      <c r="AD167" s="19">
        <v>5</v>
      </c>
      <c r="AE167" s="27">
        <v>44942</v>
      </c>
      <c r="AF167" s="18"/>
      <c r="AG167" s="18"/>
      <c r="AH167" s="16" t="s">
        <v>86</v>
      </c>
      <c r="AI167" s="18"/>
      <c r="AJ167" s="16" t="s">
        <v>98</v>
      </c>
      <c r="AK167" s="20" t="s">
        <v>144</v>
      </c>
      <c r="AL167" s="20" t="s">
        <v>510</v>
      </c>
      <c r="AM167" s="19" t="s">
        <v>75</v>
      </c>
      <c r="AN167" s="19" t="s">
        <v>75</v>
      </c>
      <c r="AO167" s="19" t="s">
        <v>86</v>
      </c>
      <c r="AP167" s="18"/>
      <c r="AQ167" s="19" t="s">
        <v>78</v>
      </c>
      <c r="AR167" s="19" t="s">
        <v>79</v>
      </c>
      <c r="AS167" s="20" t="s">
        <v>80</v>
      </c>
      <c r="AT167" s="19" t="s">
        <v>75</v>
      </c>
      <c r="AU167" s="19" t="s">
        <v>75</v>
      </c>
      <c r="AV167" s="19" t="s">
        <v>4</v>
      </c>
      <c r="AW167" s="18"/>
      <c r="AX167" s="13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2"/>
      <c r="BK167" s="12"/>
      <c r="BL167" s="12"/>
      <c r="BM167" s="9"/>
      <c r="BN167" s="9"/>
      <c r="BO167" s="9"/>
      <c r="BP167" s="12"/>
      <c r="BQ167" s="12"/>
      <c r="BR167" s="12"/>
      <c r="BS167" s="12"/>
      <c r="BT167" s="12"/>
      <c r="BU167" s="12"/>
      <c r="BV167" s="12"/>
      <c r="BW167" s="12"/>
      <c r="BX167" s="12"/>
      <c r="BY167" s="9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</row>
    <row r="168" spans="1:88" ht="40.5" customHeight="1">
      <c r="A168" s="9">
        <f t="shared" si="0"/>
        <v>166</v>
      </c>
      <c r="B168" s="9" t="str">
        <f t="shared" si="5"/>
        <v xml:space="preserve">MA
</v>
      </c>
      <c r="C168" s="9" t="s">
        <v>575</v>
      </c>
      <c r="D168" s="9" t="s">
        <v>370</v>
      </c>
      <c r="E168" s="12">
        <v>0</v>
      </c>
      <c r="F168" s="12">
        <v>0</v>
      </c>
      <c r="G168" s="9" t="s">
        <v>89</v>
      </c>
      <c r="H168" s="9" t="s">
        <v>576</v>
      </c>
      <c r="I168" s="9">
        <v>40021112</v>
      </c>
      <c r="J168" s="12"/>
      <c r="K168" s="22" t="s">
        <v>577</v>
      </c>
      <c r="L168" s="12"/>
      <c r="M168" s="12"/>
      <c r="N168" s="13" t="str">
        <f t="shared" si="1"/>
        <v xml:space="preserve">kemcosas aluminium Office
</v>
      </c>
      <c r="O168" s="16" t="s">
        <v>78</v>
      </c>
      <c r="P168" s="14">
        <v>3</v>
      </c>
      <c r="Q168" s="25">
        <v>44922</v>
      </c>
      <c r="R168" s="17"/>
      <c r="S168" s="17"/>
      <c r="T168" s="16" t="s">
        <v>126</v>
      </c>
      <c r="U168" s="17" t="str">
        <f t="shared" si="2"/>
        <v xml:space="preserve">kemcosas aluminium Office
</v>
      </c>
      <c r="V168" s="16" t="s">
        <v>78</v>
      </c>
      <c r="W168" s="16">
        <v>4</v>
      </c>
      <c r="X168" s="25">
        <v>44935</v>
      </c>
      <c r="Y168" s="13"/>
      <c r="Z168" s="13"/>
      <c r="AA168" s="16" t="s">
        <v>126</v>
      </c>
      <c r="AB168" s="18" t="str">
        <f t="shared" si="3"/>
        <v xml:space="preserve">kemcosas aluminium Office
</v>
      </c>
      <c r="AC168" s="19" t="s">
        <v>7</v>
      </c>
      <c r="AD168" s="19">
        <v>5</v>
      </c>
      <c r="AE168" s="27">
        <v>44942</v>
      </c>
      <c r="AF168" s="18"/>
      <c r="AG168" s="18"/>
      <c r="AH168" s="16" t="s">
        <v>86</v>
      </c>
      <c r="AI168" s="18"/>
      <c r="AJ168" s="16" t="s">
        <v>7</v>
      </c>
      <c r="AK168" s="19" t="s">
        <v>79</v>
      </c>
      <c r="AL168" s="20" t="s">
        <v>80</v>
      </c>
      <c r="AM168" s="19" t="s">
        <v>75</v>
      </c>
      <c r="AN168" s="19" t="s">
        <v>75</v>
      </c>
      <c r="AO168" s="19" t="s">
        <v>86</v>
      </c>
      <c r="AP168" s="18"/>
      <c r="AQ168" s="18"/>
      <c r="AR168" s="18"/>
      <c r="AS168" s="18"/>
      <c r="AT168" s="18"/>
      <c r="AU168" s="18"/>
      <c r="AV168" s="18"/>
      <c r="AW168" s="18"/>
      <c r="AX168" s="13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2"/>
      <c r="BK168" s="12"/>
      <c r="BL168" s="12"/>
      <c r="BM168" s="9"/>
      <c r="BN168" s="9"/>
      <c r="BO168" s="9"/>
      <c r="BP168" s="12"/>
      <c r="BQ168" s="12"/>
      <c r="BR168" s="12"/>
      <c r="BS168" s="12"/>
      <c r="BT168" s="12"/>
      <c r="BU168" s="12"/>
      <c r="BV168" s="12"/>
      <c r="BW168" s="12"/>
      <c r="BX168" s="12"/>
      <c r="BY168" s="9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</row>
    <row r="169" spans="1:88" ht="40.5" customHeight="1">
      <c r="A169" s="9">
        <f t="shared" si="0"/>
        <v>167</v>
      </c>
      <c r="B169" s="9" t="str">
        <f t="shared" si="5"/>
        <v xml:space="preserve">MA
</v>
      </c>
      <c r="C169" s="9" t="s">
        <v>578</v>
      </c>
      <c r="D169" s="9" t="s">
        <v>370</v>
      </c>
      <c r="E169" s="12">
        <v>0</v>
      </c>
      <c r="F169" s="12">
        <v>0</v>
      </c>
      <c r="G169" s="9" t="s">
        <v>89</v>
      </c>
      <c r="H169" s="9"/>
      <c r="I169" s="9" t="s">
        <v>579</v>
      </c>
      <c r="J169" s="12"/>
      <c r="K169" s="59" t="s">
        <v>580</v>
      </c>
      <c r="L169" s="12"/>
      <c r="M169" s="12"/>
      <c r="N169" s="13" t="str">
        <f t="shared" si="1"/>
        <v xml:space="preserve">Al Daffa Aluminium, Upvc &amp; Steel Works
</v>
      </c>
      <c r="O169" s="16" t="s">
        <v>78</v>
      </c>
      <c r="P169" s="14">
        <v>2</v>
      </c>
      <c r="Q169" s="25">
        <v>44922</v>
      </c>
      <c r="R169" s="17"/>
      <c r="S169" s="17"/>
      <c r="T169" s="16" t="s">
        <v>101</v>
      </c>
      <c r="U169" s="17" t="str">
        <f t="shared" si="2"/>
        <v xml:space="preserve">Al Daffa Aluminium, Upvc &amp; Steel Works
</v>
      </c>
      <c r="V169" s="16" t="s">
        <v>78</v>
      </c>
      <c r="W169" s="16">
        <v>3</v>
      </c>
      <c r="X169" s="25">
        <v>44935</v>
      </c>
      <c r="Y169" s="13"/>
      <c r="Z169" s="13"/>
      <c r="AA169" s="16" t="s">
        <v>101</v>
      </c>
      <c r="AB169" s="18" t="str">
        <f t="shared" si="3"/>
        <v xml:space="preserve">Al Daffa Aluminium, Upvc &amp; Steel Works
</v>
      </c>
      <c r="AC169" s="19" t="s">
        <v>78</v>
      </c>
      <c r="AD169" s="19">
        <v>4</v>
      </c>
      <c r="AE169" s="27">
        <v>44942</v>
      </c>
      <c r="AF169" s="18"/>
      <c r="AG169" s="18"/>
      <c r="AH169" s="16" t="s">
        <v>101</v>
      </c>
      <c r="AI169" s="18"/>
      <c r="AJ169" s="16" t="s">
        <v>78</v>
      </c>
      <c r="AK169" s="20" t="s">
        <v>486</v>
      </c>
      <c r="AL169" s="20" t="s">
        <v>510</v>
      </c>
      <c r="AM169" s="19" t="s">
        <v>75</v>
      </c>
      <c r="AN169" s="19" t="s">
        <v>75</v>
      </c>
      <c r="AO169" s="19" t="s">
        <v>101</v>
      </c>
      <c r="AP169" s="18"/>
      <c r="AQ169" s="19" t="s">
        <v>78</v>
      </c>
      <c r="AR169" s="19" t="s">
        <v>79</v>
      </c>
      <c r="AS169" s="20" t="s">
        <v>80</v>
      </c>
      <c r="AT169" s="19" t="s">
        <v>75</v>
      </c>
      <c r="AU169" s="19" t="s">
        <v>75</v>
      </c>
      <c r="AV169" s="19" t="s">
        <v>4</v>
      </c>
      <c r="AW169" s="18"/>
      <c r="AX169" s="13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2"/>
      <c r="BK169" s="12"/>
      <c r="BL169" s="12"/>
      <c r="BM169" s="9"/>
      <c r="BN169" s="9"/>
      <c r="BO169" s="9"/>
      <c r="BP169" s="12"/>
      <c r="BQ169" s="12"/>
      <c r="BR169" s="12"/>
      <c r="BS169" s="12"/>
      <c r="BT169" s="12"/>
      <c r="BU169" s="12"/>
      <c r="BV169" s="12"/>
      <c r="BW169" s="12"/>
      <c r="BX169" s="12"/>
      <c r="BY169" s="9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</row>
    <row r="170" spans="1:88" ht="40.5" customHeight="1">
      <c r="A170" s="9">
        <f t="shared" si="0"/>
        <v>168</v>
      </c>
      <c r="B170" s="9" t="str">
        <f t="shared" si="5"/>
        <v xml:space="preserve">MA
</v>
      </c>
      <c r="C170" s="9" t="s">
        <v>581</v>
      </c>
      <c r="D170" s="9" t="s">
        <v>370</v>
      </c>
      <c r="E170" s="12">
        <v>0</v>
      </c>
      <c r="F170" s="12">
        <v>0</v>
      </c>
      <c r="G170" s="9" t="s">
        <v>89</v>
      </c>
      <c r="H170" s="9" t="s">
        <v>582</v>
      </c>
      <c r="I170" s="9" t="s">
        <v>583</v>
      </c>
      <c r="J170" s="9" t="s">
        <v>79</v>
      </c>
      <c r="K170" s="9" t="s">
        <v>79</v>
      </c>
      <c r="L170" s="12"/>
      <c r="M170" s="12"/>
      <c r="N170" s="13" t="str">
        <f t="shared" si="1"/>
        <v>Egybel Qatar</v>
      </c>
      <c r="O170" s="16" t="s">
        <v>78</v>
      </c>
      <c r="P170" s="14">
        <v>2</v>
      </c>
      <c r="Q170" s="25">
        <v>44922</v>
      </c>
      <c r="R170" s="17"/>
      <c r="S170" s="17"/>
      <c r="T170" s="16" t="s">
        <v>101</v>
      </c>
      <c r="U170" s="17" t="str">
        <f t="shared" si="2"/>
        <v>Egybel Qatar</v>
      </c>
      <c r="V170" s="16" t="s">
        <v>78</v>
      </c>
      <c r="W170" s="16">
        <v>3</v>
      </c>
      <c r="X170" s="25">
        <v>44935</v>
      </c>
      <c r="Y170" s="13"/>
      <c r="Z170" s="13"/>
      <c r="AA170" s="16" t="s">
        <v>101</v>
      </c>
      <c r="AB170" s="18" t="str">
        <f t="shared" si="3"/>
        <v>Egybel Qatar</v>
      </c>
      <c r="AC170" s="19" t="s">
        <v>78</v>
      </c>
      <c r="AD170" s="19">
        <v>4</v>
      </c>
      <c r="AE170" s="27">
        <v>44942</v>
      </c>
      <c r="AF170" s="19">
        <v>5</v>
      </c>
      <c r="AG170" s="47">
        <v>0.23680555555555555</v>
      </c>
      <c r="AH170" s="16" t="s">
        <v>81</v>
      </c>
      <c r="AI170" s="18"/>
      <c r="AJ170" s="16" t="s">
        <v>78</v>
      </c>
      <c r="AK170" s="20" t="s">
        <v>486</v>
      </c>
      <c r="AL170" s="20" t="s">
        <v>510</v>
      </c>
      <c r="AM170" s="19" t="s">
        <v>75</v>
      </c>
      <c r="AN170" s="19" t="s">
        <v>75</v>
      </c>
      <c r="AO170" s="19" t="s">
        <v>101</v>
      </c>
      <c r="AP170" s="18"/>
      <c r="AQ170" s="18"/>
      <c r="AR170" s="18"/>
      <c r="AS170" s="18"/>
      <c r="AT170" s="18"/>
      <c r="AU170" s="18"/>
      <c r="AV170" s="18"/>
      <c r="AW170" s="18"/>
      <c r="AX170" s="13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2"/>
      <c r="BK170" s="12"/>
      <c r="BL170" s="12"/>
      <c r="BM170" s="9"/>
      <c r="BN170" s="9"/>
      <c r="BO170" s="9"/>
      <c r="BP170" s="12"/>
      <c r="BQ170" s="12"/>
      <c r="BR170" s="12"/>
      <c r="BS170" s="12"/>
      <c r="BT170" s="12"/>
      <c r="BU170" s="12"/>
      <c r="BV170" s="12"/>
      <c r="BW170" s="12"/>
      <c r="BX170" s="12"/>
      <c r="BY170" s="9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</row>
    <row r="171" spans="1:88" ht="40.5" customHeight="1">
      <c r="A171" s="9">
        <f t="shared" si="0"/>
        <v>169</v>
      </c>
      <c r="B171" s="9" t="str">
        <f t="shared" si="5"/>
        <v xml:space="preserve">MA
</v>
      </c>
      <c r="C171" s="9" t="s">
        <v>584</v>
      </c>
      <c r="D171" s="9" t="s">
        <v>370</v>
      </c>
      <c r="E171" s="12">
        <v>0</v>
      </c>
      <c r="F171" s="12">
        <v>0</v>
      </c>
      <c r="G171" s="9" t="s">
        <v>89</v>
      </c>
      <c r="H171" s="12"/>
      <c r="I171" s="9" t="s">
        <v>585</v>
      </c>
      <c r="J171" s="12"/>
      <c r="K171" s="22" t="s">
        <v>586</v>
      </c>
      <c r="L171" s="9" t="s">
        <v>587</v>
      </c>
      <c r="M171" s="12"/>
      <c r="N171" s="13" t="str">
        <f t="shared" si="1"/>
        <v xml:space="preserve">Al Hussaini Aluminium and UPVC
</v>
      </c>
      <c r="O171" s="16" t="s">
        <v>78</v>
      </c>
      <c r="P171" s="14">
        <v>3</v>
      </c>
      <c r="Q171" s="25">
        <v>44922</v>
      </c>
      <c r="R171" s="14">
        <v>3</v>
      </c>
      <c r="S171" s="26">
        <v>6.458333333333334E-2</v>
      </c>
      <c r="T171" s="16" t="s">
        <v>81</v>
      </c>
      <c r="U171" s="17" t="str">
        <f t="shared" si="2"/>
        <v xml:space="preserve">Al Hussaini Aluminium and UPVC
</v>
      </c>
      <c r="V171" s="16" t="s">
        <v>78</v>
      </c>
      <c r="W171" s="16">
        <v>4</v>
      </c>
      <c r="X171" s="25">
        <v>44935</v>
      </c>
      <c r="Y171" s="16">
        <v>3</v>
      </c>
      <c r="Z171" s="29">
        <v>6.458333333333334E-2</v>
      </c>
      <c r="AA171" s="16" t="s">
        <v>81</v>
      </c>
      <c r="AB171" s="18" t="str">
        <f t="shared" si="3"/>
        <v xml:space="preserve">Al Hussaini Aluminium and UPVC
</v>
      </c>
      <c r="AC171" s="19" t="s">
        <v>78</v>
      </c>
      <c r="AD171" s="19">
        <v>5</v>
      </c>
      <c r="AE171" s="27">
        <v>44942</v>
      </c>
      <c r="AF171" s="18"/>
      <c r="AG171" s="47">
        <v>1.3194444444444444E-2</v>
      </c>
      <c r="AH171" s="16" t="s">
        <v>153</v>
      </c>
      <c r="AI171" s="18"/>
      <c r="AJ171" s="16" t="s">
        <v>78</v>
      </c>
      <c r="AK171" s="20" t="s">
        <v>144</v>
      </c>
      <c r="AL171" s="20" t="s">
        <v>510</v>
      </c>
      <c r="AM171" s="19" t="s">
        <v>75</v>
      </c>
      <c r="AN171" s="19" t="s">
        <v>75</v>
      </c>
      <c r="AO171" s="19" t="s">
        <v>126</v>
      </c>
      <c r="AP171" s="18"/>
      <c r="AQ171" s="19" t="s">
        <v>78</v>
      </c>
      <c r="AR171" s="19" t="s">
        <v>79</v>
      </c>
      <c r="AS171" s="20" t="s">
        <v>80</v>
      </c>
      <c r="AT171" s="19" t="s">
        <v>75</v>
      </c>
      <c r="AU171" s="19" t="s">
        <v>75</v>
      </c>
      <c r="AV171" s="19" t="s">
        <v>4</v>
      </c>
      <c r="AW171" s="18"/>
      <c r="AX171" s="13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2"/>
      <c r="BK171" s="12"/>
      <c r="BL171" s="12"/>
      <c r="BM171" s="9"/>
      <c r="BN171" s="9"/>
      <c r="BO171" s="9"/>
      <c r="BP171" s="12"/>
      <c r="BQ171" s="12"/>
      <c r="BR171" s="12"/>
      <c r="BS171" s="12"/>
      <c r="BT171" s="12"/>
      <c r="BU171" s="12"/>
      <c r="BV171" s="12"/>
      <c r="BW171" s="12"/>
      <c r="BX171" s="12"/>
      <c r="BY171" s="9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</row>
    <row r="172" spans="1:88" ht="40.5" customHeight="1">
      <c r="A172" s="9">
        <f t="shared" si="0"/>
        <v>170</v>
      </c>
      <c r="B172" s="9" t="str">
        <f t="shared" si="5"/>
        <v xml:space="preserve">MA
</v>
      </c>
      <c r="C172" s="9" t="s">
        <v>588</v>
      </c>
      <c r="D172" s="9" t="s">
        <v>370</v>
      </c>
      <c r="E172" s="12">
        <v>0</v>
      </c>
      <c r="F172" s="12">
        <v>0</v>
      </c>
      <c r="G172" s="9" t="s">
        <v>89</v>
      </c>
      <c r="H172" s="9" t="s">
        <v>589</v>
      </c>
      <c r="I172" s="9" t="s">
        <v>590</v>
      </c>
      <c r="J172" s="12"/>
      <c r="K172" s="22" t="s">
        <v>591</v>
      </c>
      <c r="L172" s="12"/>
      <c r="M172" s="12"/>
      <c r="N172" s="13" t="str">
        <f t="shared" si="1"/>
        <v>KYDA INTERNATIONAL W</v>
      </c>
      <c r="O172" s="16" t="s">
        <v>78</v>
      </c>
      <c r="P172" s="14">
        <v>3</v>
      </c>
      <c r="Q172" s="25">
        <v>44922</v>
      </c>
      <c r="R172" s="14">
        <v>5</v>
      </c>
      <c r="S172" s="26">
        <v>0.41666666666666669</v>
      </c>
      <c r="T172" s="16" t="s">
        <v>265</v>
      </c>
      <c r="U172" s="17" t="str">
        <f t="shared" si="2"/>
        <v>KYDA INTERNATIONAL W</v>
      </c>
      <c r="V172" s="16" t="s">
        <v>7</v>
      </c>
      <c r="W172" s="16">
        <v>5</v>
      </c>
      <c r="X172" s="25">
        <v>44935</v>
      </c>
      <c r="Y172" s="13"/>
      <c r="Z172" s="13"/>
      <c r="AA172" s="16" t="s">
        <v>86</v>
      </c>
      <c r="AB172" s="18" t="str">
        <f t="shared" si="3"/>
        <v>KYDA INTERNATIONAL W</v>
      </c>
      <c r="AC172" s="19" t="s">
        <v>98</v>
      </c>
      <c r="AD172" s="19">
        <v>6</v>
      </c>
      <c r="AE172" s="27">
        <v>44942</v>
      </c>
      <c r="AF172" s="18"/>
      <c r="AG172" s="18"/>
      <c r="AH172" s="16" t="s">
        <v>86</v>
      </c>
      <c r="AI172" s="18"/>
      <c r="AJ172" s="16" t="s">
        <v>78</v>
      </c>
      <c r="AK172" s="20" t="s">
        <v>121</v>
      </c>
      <c r="AL172" s="20" t="s">
        <v>510</v>
      </c>
      <c r="AM172" s="19" t="s">
        <v>75</v>
      </c>
      <c r="AN172" s="19" t="s">
        <v>75</v>
      </c>
      <c r="AO172" s="19" t="s">
        <v>101</v>
      </c>
      <c r="AP172" s="18"/>
      <c r="AQ172" s="19" t="s">
        <v>98</v>
      </c>
      <c r="AR172" s="19" t="s">
        <v>79</v>
      </c>
      <c r="AS172" s="20" t="s">
        <v>80</v>
      </c>
      <c r="AT172" s="19" t="s">
        <v>75</v>
      </c>
      <c r="AU172" s="19" t="s">
        <v>75</v>
      </c>
      <c r="AV172" s="19" t="s">
        <v>86</v>
      </c>
      <c r="AW172" s="18"/>
      <c r="AX172" s="13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2"/>
      <c r="BK172" s="12"/>
      <c r="BL172" s="12"/>
      <c r="BM172" s="9"/>
      <c r="BN172" s="9"/>
      <c r="BO172" s="9"/>
      <c r="BP172" s="12"/>
      <c r="BQ172" s="12"/>
      <c r="BR172" s="12"/>
      <c r="BS172" s="12"/>
      <c r="BT172" s="12"/>
      <c r="BU172" s="12"/>
      <c r="BV172" s="12"/>
      <c r="BW172" s="12"/>
      <c r="BX172" s="12"/>
      <c r="BY172" s="9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</row>
    <row r="173" spans="1:88" ht="40.5" customHeight="1">
      <c r="A173" s="9">
        <f t="shared" si="0"/>
        <v>171</v>
      </c>
      <c r="B173" s="9" t="str">
        <f t="shared" si="5"/>
        <v xml:space="preserve">MA
</v>
      </c>
      <c r="C173" s="9" t="s">
        <v>592</v>
      </c>
      <c r="D173" s="9" t="s">
        <v>370</v>
      </c>
      <c r="E173" s="12">
        <v>0</v>
      </c>
      <c r="F173" s="9">
        <v>1</v>
      </c>
      <c r="G173" s="9" t="s">
        <v>89</v>
      </c>
      <c r="H173" s="12"/>
      <c r="I173" s="9" t="s">
        <v>593</v>
      </c>
      <c r="J173" s="9" t="s">
        <v>594</v>
      </c>
      <c r="K173" s="12"/>
      <c r="L173" s="9" t="s">
        <v>595</v>
      </c>
      <c r="M173" s="12"/>
      <c r="N173" s="13" t="str">
        <f t="shared" si="1"/>
        <v xml:space="preserve">ALMA Aluminum &amp; Steel Co.
</v>
      </c>
      <c r="O173" s="16" t="s">
        <v>78</v>
      </c>
      <c r="P173" s="14">
        <v>3</v>
      </c>
      <c r="Q173" s="25">
        <v>44922</v>
      </c>
      <c r="R173" s="17"/>
      <c r="S173" s="17"/>
      <c r="T173" s="16" t="s">
        <v>101</v>
      </c>
      <c r="U173" s="17" t="str">
        <f t="shared" si="2"/>
        <v xml:space="preserve">ALMA Aluminum &amp; Steel Co.
</v>
      </c>
      <c r="V173" s="16" t="s">
        <v>78</v>
      </c>
      <c r="W173" s="16">
        <v>4</v>
      </c>
      <c r="X173" s="25">
        <v>44935</v>
      </c>
      <c r="Y173" s="13"/>
      <c r="Z173" s="13"/>
      <c r="AA173" s="16" t="s">
        <v>101</v>
      </c>
      <c r="AB173" s="18" t="str">
        <f t="shared" si="3"/>
        <v xml:space="preserve">ALMA Aluminum &amp; Steel Co.
</v>
      </c>
      <c r="AC173" s="19" t="s">
        <v>78</v>
      </c>
      <c r="AD173" s="19">
        <v>5</v>
      </c>
      <c r="AE173" s="27">
        <v>44942</v>
      </c>
      <c r="AF173" s="19">
        <v>5</v>
      </c>
      <c r="AG173" s="47">
        <v>0.25</v>
      </c>
      <c r="AH173" s="16" t="s">
        <v>108</v>
      </c>
      <c r="AI173" s="18"/>
      <c r="AJ173" s="16" t="s">
        <v>98</v>
      </c>
      <c r="AK173" s="19">
        <v>6</v>
      </c>
      <c r="AL173" s="27">
        <v>44943</v>
      </c>
      <c r="AM173" s="18"/>
      <c r="AN173" s="18"/>
      <c r="AO173" s="19" t="s">
        <v>86</v>
      </c>
      <c r="AP173" s="18"/>
      <c r="AQ173" s="19" t="s">
        <v>78</v>
      </c>
      <c r="AR173" s="20" t="s">
        <v>121</v>
      </c>
      <c r="AS173" s="20" t="s">
        <v>510</v>
      </c>
      <c r="AT173" s="20" t="s">
        <v>228</v>
      </c>
      <c r="AU173" s="20" t="s">
        <v>596</v>
      </c>
      <c r="AV173" s="19" t="s">
        <v>86</v>
      </c>
      <c r="AW173" s="18"/>
      <c r="AX173" s="16" t="s">
        <v>78</v>
      </c>
      <c r="AY173" s="19" t="s">
        <v>79</v>
      </c>
      <c r="AZ173" s="20" t="s">
        <v>80</v>
      </c>
      <c r="BA173" s="19" t="s">
        <v>75</v>
      </c>
      <c r="BB173" s="19" t="s">
        <v>75</v>
      </c>
      <c r="BC173" s="19" t="s">
        <v>153</v>
      </c>
      <c r="BD173" s="18"/>
      <c r="BE173" s="18"/>
      <c r="BF173" s="18"/>
      <c r="BG173" s="18"/>
      <c r="BH173" s="18"/>
      <c r="BI173" s="18"/>
      <c r="BJ173" s="12"/>
      <c r="BK173" s="12"/>
      <c r="BL173" s="12"/>
      <c r="BM173" s="9"/>
      <c r="BN173" s="9"/>
      <c r="BO173" s="9"/>
      <c r="BP173" s="12"/>
      <c r="BQ173" s="12"/>
      <c r="BR173" s="12"/>
      <c r="BS173" s="12"/>
      <c r="BT173" s="12"/>
      <c r="BU173" s="12"/>
      <c r="BV173" s="12"/>
      <c r="BW173" s="12"/>
      <c r="BX173" s="12"/>
      <c r="BY173" s="9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</row>
    <row r="174" spans="1:88" ht="40.5" customHeight="1">
      <c r="A174" s="9">
        <f t="shared" si="0"/>
        <v>172</v>
      </c>
      <c r="B174" s="9" t="str">
        <f t="shared" si="5"/>
        <v xml:space="preserve">MA
</v>
      </c>
      <c r="C174" s="48" t="s">
        <v>597</v>
      </c>
      <c r="D174" s="9" t="s">
        <v>370</v>
      </c>
      <c r="E174" s="12">
        <v>0</v>
      </c>
      <c r="F174" s="12">
        <v>0</v>
      </c>
      <c r="G174" s="9" t="s">
        <v>89</v>
      </c>
      <c r="H174" s="9" t="s">
        <v>598</v>
      </c>
      <c r="I174" s="9" t="s">
        <v>599</v>
      </c>
      <c r="J174" s="12"/>
      <c r="K174" s="12"/>
      <c r="L174" s="12"/>
      <c r="M174" s="12"/>
      <c r="N174" s="13" t="str">
        <f t="shared" si="1"/>
        <v xml:space="preserve">jarray </v>
      </c>
      <c r="O174" s="16" t="s">
        <v>78</v>
      </c>
      <c r="P174" s="14">
        <v>4</v>
      </c>
      <c r="Q174" s="25">
        <v>44922</v>
      </c>
      <c r="R174" s="17"/>
      <c r="S174" s="17"/>
      <c r="T174" s="16" t="s">
        <v>101</v>
      </c>
      <c r="U174" s="17" t="str">
        <f t="shared" si="2"/>
        <v xml:space="preserve">jarray </v>
      </c>
      <c r="V174" s="16" t="s">
        <v>78</v>
      </c>
      <c r="W174" s="16">
        <v>5</v>
      </c>
      <c r="X174" s="25">
        <v>44935</v>
      </c>
      <c r="Y174" s="13"/>
      <c r="Z174" s="13"/>
      <c r="AA174" s="16" t="s">
        <v>101</v>
      </c>
      <c r="AB174" s="18" t="str">
        <f t="shared" si="3"/>
        <v xml:space="preserve">jarray </v>
      </c>
      <c r="AC174" s="19" t="s">
        <v>78</v>
      </c>
      <c r="AD174" s="19">
        <v>6</v>
      </c>
      <c r="AE174" s="27">
        <v>44942</v>
      </c>
      <c r="AF174" s="19">
        <v>3</v>
      </c>
      <c r="AG174" s="47">
        <v>3.1944444444444442E-2</v>
      </c>
      <c r="AH174" s="16" t="s">
        <v>86</v>
      </c>
      <c r="AI174" s="18"/>
      <c r="AJ174" s="16" t="s">
        <v>98</v>
      </c>
      <c r="AK174" s="20" t="s">
        <v>121</v>
      </c>
      <c r="AL174" s="20" t="s">
        <v>510</v>
      </c>
      <c r="AM174" s="19" t="s">
        <v>75</v>
      </c>
      <c r="AN174" s="19" t="s">
        <v>75</v>
      </c>
      <c r="AO174" s="19" t="s">
        <v>86</v>
      </c>
      <c r="AP174" s="18"/>
      <c r="AQ174" s="19" t="s">
        <v>78</v>
      </c>
      <c r="AR174" s="19" t="s">
        <v>79</v>
      </c>
      <c r="AS174" s="20" t="s">
        <v>80</v>
      </c>
      <c r="AT174" s="19" t="s">
        <v>75</v>
      </c>
      <c r="AU174" s="19" t="s">
        <v>75</v>
      </c>
      <c r="AV174" s="19" t="s">
        <v>101</v>
      </c>
      <c r="AW174" s="18"/>
      <c r="AX174" s="13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2"/>
      <c r="BK174" s="12"/>
      <c r="BL174" s="12"/>
      <c r="BM174" s="9"/>
      <c r="BN174" s="9"/>
      <c r="BO174" s="9"/>
      <c r="BP174" s="12"/>
      <c r="BQ174" s="12"/>
      <c r="BR174" s="12"/>
      <c r="BS174" s="12"/>
      <c r="BT174" s="12"/>
      <c r="BU174" s="12"/>
      <c r="BV174" s="12"/>
      <c r="BW174" s="12"/>
      <c r="BX174" s="12"/>
      <c r="BY174" s="9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</row>
    <row r="175" spans="1:88" ht="40.5" customHeight="1">
      <c r="A175" s="9">
        <f t="shared" si="0"/>
        <v>173</v>
      </c>
      <c r="B175" s="9" t="str">
        <f t="shared" si="5"/>
        <v xml:space="preserve">MA
</v>
      </c>
      <c r="C175" s="28" t="s">
        <v>600</v>
      </c>
      <c r="D175" s="9" t="s">
        <v>601</v>
      </c>
      <c r="E175" s="12">
        <v>0</v>
      </c>
      <c r="F175" s="12">
        <v>0</v>
      </c>
      <c r="G175" s="9" t="s">
        <v>375</v>
      </c>
      <c r="H175" s="12"/>
      <c r="I175" s="9" t="s">
        <v>602</v>
      </c>
      <c r="J175" s="12"/>
      <c r="K175" s="12"/>
      <c r="L175" s="12"/>
      <c r="M175" s="12"/>
      <c r="N175" s="13" t="str">
        <f t="shared" si="1"/>
        <v>الجزيرة العربية لتجارة الالمنيوم ومستلزماته</v>
      </c>
      <c r="O175" s="16" t="s">
        <v>78</v>
      </c>
      <c r="P175" s="14">
        <v>2</v>
      </c>
      <c r="Q175" s="25">
        <v>44915</v>
      </c>
      <c r="R175" s="14">
        <v>3</v>
      </c>
      <c r="S175" s="26">
        <v>8.3333333333333329E-2</v>
      </c>
      <c r="T175" s="16" t="s">
        <v>86</v>
      </c>
      <c r="U175" s="17" t="str">
        <f t="shared" si="2"/>
        <v>الجزيرة العربية لتجارة الالمنيوم ومستلزماته</v>
      </c>
      <c r="V175" s="16" t="s">
        <v>78</v>
      </c>
      <c r="W175" s="16">
        <v>4</v>
      </c>
      <c r="X175" s="25">
        <v>44935</v>
      </c>
      <c r="Y175" s="13"/>
      <c r="Z175" s="13"/>
      <c r="AA175" s="16" t="s">
        <v>101</v>
      </c>
      <c r="AB175" s="18" t="str">
        <f t="shared" si="3"/>
        <v>الجزيرة العربية لتجارة الالمنيوم ومستلزماته</v>
      </c>
      <c r="AC175" s="19" t="s">
        <v>98</v>
      </c>
      <c r="AD175" s="19">
        <v>5</v>
      </c>
      <c r="AE175" s="27">
        <v>44942</v>
      </c>
      <c r="AF175" s="19">
        <v>3</v>
      </c>
      <c r="AG175" s="18"/>
      <c r="AH175" s="16" t="s">
        <v>86</v>
      </c>
      <c r="AI175" s="18"/>
      <c r="AJ175" s="13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3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2"/>
      <c r="BK175" s="12"/>
      <c r="BL175" s="12"/>
      <c r="BM175" s="9"/>
      <c r="BN175" s="9"/>
      <c r="BO175" s="9"/>
      <c r="BP175" s="12"/>
      <c r="BQ175" s="12"/>
      <c r="BR175" s="12"/>
      <c r="BS175" s="12"/>
      <c r="BT175" s="12"/>
      <c r="BU175" s="12"/>
      <c r="BV175" s="12"/>
      <c r="BW175" s="12"/>
      <c r="BX175" s="12"/>
      <c r="BY175" s="9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</row>
    <row r="176" spans="1:88" ht="40.5" customHeight="1">
      <c r="A176" s="9">
        <f t="shared" si="0"/>
        <v>174</v>
      </c>
      <c r="B176" s="9" t="str">
        <f t="shared" si="5"/>
        <v xml:space="preserve">MA
</v>
      </c>
      <c r="C176" s="24" t="s">
        <v>603</v>
      </c>
      <c r="D176" s="9" t="s">
        <v>370</v>
      </c>
      <c r="E176" s="12">
        <v>0</v>
      </c>
      <c r="F176" s="12">
        <v>0</v>
      </c>
      <c r="G176" s="9" t="s">
        <v>89</v>
      </c>
      <c r="H176" s="12"/>
      <c r="I176" s="12">
        <f>97440067060</f>
        <v>97440067060</v>
      </c>
      <c r="J176" s="12"/>
      <c r="K176" s="12"/>
      <c r="L176" s="12"/>
      <c r="M176" s="12"/>
      <c r="N176" s="13" t="str">
        <f t="shared" si="1"/>
        <v>Eiffel Group</v>
      </c>
      <c r="O176" s="16" t="s">
        <v>78</v>
      </c>
      <c r="P176" s="14">
        <v>3</v>
      </c>
      <c r="Q176" s="25">
        <v>44922</v>
      </c>
      <c r="R176" s="14"/>
      <c r="S176" s="17"/>
      <c r="T176" s="16" t="s">
        <v>126</v>
      </c>
      <c r="U176" s="17" t="str">
        <f t="shared" si="2"/>
        <v>Eiffel Group</v>
      </c>
      <c r="V176" s="16" t="s">
        <v>78</v>
      </c>
      <c r="W176" s="16" t="s">
        <v>79</v>
      </c>
      <c r="X176" s="15" t="s">
        <v>80</v>
      </c>
      <c r="Y176" s="16" t="s">
        <v>75</v>
      </c>
      <c r="Z176" s="16" t="s">
        <v>75</v>
      </c>
      <c r="AA176" s="16" t="s">
        <v>4</v>
      </c>
      <c r="AB176" s="18" t="str">
        <f t="shared" si="3"/>
        <v>Eiffel Group</v>
      </c>
      <c r="AC176" s="18"/>
      <c r="AD176" s="18"/>
      <c r="AE176" s="18"/>
      <c r="AF176" s="18"/>
      <c r="AG176" s="18"/>
      <c r="AH176" s="13"/>
      <c r="AI176" s="18"/>
      <c r="AJ176" s="13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3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2"/>
      <c r="BK176" s="12"/>
      <c r="BL176" s="12"/>
      <c r="BM176" s="9"/>
      <c r="BN176" s="9"/>
      <c r="BO176" s="9"/>
      <c r="BP176" s="12"/>
      <c r="BQ176" s="12"/>
      <c r="BR176" s="12"/>
      <c r="BS176" s="12"/>
      <c r="BT176" s="12"/>
      <c r="BU176" s="12"/>
      <c r="BV176" s="12"/>
      <c r="BW176" s="12"/>
      <c r="BX176" s="12"/>
      <c r="BY176" s="9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</row>
    <row r="177" spans="1:88" ht="40.5" customHeight="1">
      <c r="A177" s="9">
        <f t="shared" si="0"/>
        <v>175</v>
      </c>
      <c r="B177" s="9" t="str">
        <f t="shared" si="5"/>
        <v xml:space="preserve">MA
</v>
      </c>
      <c r="C177" s="9" t="s">
        <v>604</v>
      </c>
      <c r="D177" s="9" t="s">
        <v>370</v>
      </c>
      <c r="E177" s="12">
        <v>0</v>
      </c>
      <c r="F177" s="12">
        <v>0</v>
      </c>
      <c r="G177" s="9" t="s">
        <v>89</v>
      </c>
      <c r="H177" s="9" t="s">
        <v>605</v>
      </c>
      <c r="I177" s="9">
        <v>97450079044</v>
      </c>
      <c r="J177" s="12"/>
      <c r="K177" s="12"/>
      <c r="L177" s="12"/>
      <c r="M177" s="12"/>
      <c r="N177" s="13" t="str">
        <f t="shared" si="1"/>
        <v xml:space="preserve">Al Jazeers Aluminium &amp; Steel Co.
</v>
      </c>
      <c r="O177" s="16" t="s">
        <v>78</v>
      </c>
      <c r="P177" s="14">
        <v>2</v>
      </c>
      <c r="Q177" s="25">
        <v>44922</v>
      </c>
      <c r="R177" s="14">
        <v>3</v>
      </c>
      <c r="S177" s="14" t="s">
        <v>606</v>
      </c>
      <c r="T177" s="16" t="s">
        <v>81</v>
      </c>
      <c r="U177" s="17" t="str">
        <f t="shared" si="2"/>
        <v xml:space="preserve">Al Jazeers Aluminium &amp; Steel Co.
</v>
      </c>
      <c r="V177" s="16" t="s">
        <v>78</v>
      </c>
      <c r="W177" s="16">
        <v>4</v>
      </c>
      <c r="X177" s="25">
        <v>44935</v>
      </c>
      <c r="Y177" s="16">
        <v>3</v>
      </c>
      <c r="Z177" s="29">
        <v>4.5138888888888888E-2</v>
      </c>
      <c r="AA177" s="16" t="s">
        <v>153</v>
      </c>
      <c r="AB177" s="18" t="str">
        <f t="shared" si="3"/>
        <v xml:space="preserve">Al Jazeers Aluminium &amp; Steel Co.
</v>
      </c>
      <c r="AC177" s="19" t="s">
        <v>78</v>
      </c>
      <c r="AD177" s="19">
        <v>5</v>
      </c>
      <c r="AE177" s="27">
        <v>44942</v>
      </c>
      <c r="AF177" s="19">
        <v>3</v>
      </c>
      <c r="AG177" s="47">
        <v>0.17708333333333334</v>
      </c>
      <c r="AH177" s="16" t="s">
        <v>108</v>
      </c>
      <c r="AI177" s="18"/>
      <c r="AJ177" s="16" t="s">
        <v>98</v>
      </c>
      <c r="AK177" s="20" t="s">
        <v>144</v>
      </c>
      <c r="AL177" s="20" t="s">
        <v>510</v>
      </c>
      <c r="AM177" s="19" t="s">
        <v>75</v>
      </c>
      <c r="AN177" s="19" t="s">
        <v>75</v>
      </c>
      <c r="AO177" s="19" t="s">
        <v>4</v>
      </c>
      <c r="AP177" s="18"/>
      <c r="AQ177" s="18"/>
      <c r="AR177" s="18"/>
      <c r="AS177" s="18"/>
      <c r="AT177" s="18"/>
      <c r="AU177" s="18"/>
      <c r="AV177" s="18"/>
      <c r="AW177" s="18"/>
      <c r="AX177" s="13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2"/>
      <c r="BK177" s="12"/>
      <c r="BL177" s="12"/>
      <c r="BM177" s="9"/>
      <c r="BN177" s="9"/>
      <c r="BO177" s="9"/>
      <c r="BP177" s="12"/>
      <c r="BQ177" s="12"/>
      <c r="BR177" s="12"/>
      <c r="BS177" s="12"/>
      <c r="BT177" s="12"/>
      <c r="BU177" s="12"/>
      <c r="BV177" s="12"/>
      <c r="BW177" s="12"/>
      <c r="BX177" s="12"/>
      <c r="BY177" s="9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</row>
    <row r="178" spans="1:88" ht="40.5" customHeight="1">
      <c r="A178" s="9">
        <f t="shared" si="0"/>
        <v>176</v>
      </c>
      <c r="B178" s="9" t="str">
        <f t="shared" si="5"/>
        <v xml:space="preserve">MA
</v>
      </c>
      <c r="C178" s="9" t="s">
        <v>607</v>
      </c>
      <c r="D178" s="9" t="s">
        <v>370</v>
      </c>
      <c r="E178" s="12">
        <v>0</v>
      </c>
      <c r="F178" s="12">
        <v>0</v>
      </c>
      <c r="G178" s="9" t="s">
        <v>89</v>
      </c>
      <c r="H178" s="12"/>
      <c r="I178" s="9">
        <v>97455662245</v>
      </c>
      <c r="J178" s="12"/>
      <c r="K178" s="12"/>
      <c r="L178" s="12"/>
      <c r="M178" s="12"/>
      <c r="N178" s="13" t="str">
        <f t="shared" si="1"/>
        <v xml:space="preserve">AL-DERISHA DECOR &amp; ALUMINIUM
</v>
      </c>
      <c r="O178" s="16" t="s">
        <v>78</v>
      </c>
      <c r="P178" s="14">
        <v>2</v>
      </c>
      <c r="Q178" s="25">
        <v>44922</v>
      </c>
      <c r="R178" s="17"/>
      <c r="S178" s="17"/>
      <c r="T178" s="16" t="s">
        <v>101</v>
      </c>
      <c r="U178" s="17" t="str">
        <f t="shared" si="2"/>
        <v xml:space="preserve">AL-DERISHA DECOR &amp; ALUMINIUM
</v>
      </c>
      <c r="V178" s="16" t="s">
        <v>78</v>
      </c>
      <c r="W178" s="16">
        <v>3</v>
      </c>
      <c r="X178" s="25">
        <v>44935</v>
      </c>
      <c r="Y178" s="13"/>
      <c r="Z178" s="13"/>
      <c r="AA178" s="16" t="s">
        <v>101</v>
      </c>
      <c r="AB178" s="18" t="str">
        <f t="shared" si="3"/>
        <v xml:space="preserve">AL-DERISHA DECOR &amp; ALUMINIUM
</v>
      </c>
      <c r="AC178" s="19" t="s">
        <v>78</v>
      </c>
      <c r="AD178" s="19">
        <v>4</v>
      </c>
      <c r="AE178" s="27">
        <v>44942</v>
      </c>
      <c r="AF178" s="18"/>
      <c r="AG178" s="47">
        <v>7.2222222222222215E-2</v>
      </c>
      <c r="AH178" s="16" t="s">
        <v>153</v>
      </c>
      <c r="AI178" s="18"/>
      <c r="AJ178" s="16" t="s">
        <v>98</v>
      </c>
      <c r="AK178" s="20" t="s">
        <v>486</v>
      </c>
      <c r="AL178" s="20" t="s">
        <v>510</v>
      </c>
      <c r="AM178" s="19" t="s">
        <v>75</v>
      </c>
      <c r="AN178" s="19" t="s">
        <v>75</v>
      </c>
      <c r="AO178" s="19" t="s">
        <v>86</v>
      </c>
      <c r="AP178" s="18"/>
      <c r="AQ178" s="19" t="s">
        <v>78</v>
      </c>
      <c r="AR178" s="19" t="s">
        <v>79</v>
      </c>
      <c r="AS178" s="20" t="s">
        <v>80</v>
      </c>
      <c r="AT178" s="19" t="s">
        <v>75</v>
      </c>
      <c r="AU178" s="19" t="s">
        <v>75</v>
      </c>
      <c r="AV178" s="19" t="s">
        <v>4</v>
      </c>
      <c r="AW178" s="18"/>
      <c r="AX178" s="13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2"/>
      <c r="BK178" s="12"/>
      <c r="BL178" s="12"/>
      <c r="BM178" s="9"/>
      <c r="BN178" s="9"/>
      <c r="BO178" s="9"/>
      <c r="BP178" s="12"/>
      <c r="BQ178" s="12"/>
      <c r="BR178" s="12"/>
      <c r="BS178" s="12"/>
      <c r="BT178" s="12"/>
      <c r="BU178" s="12"/>
      <c r="BV178" s="12"/>
      <c r="BW178" s="12"/>
      <c r="BX178" s="12"/>
      <c r="BY178" s="9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</row>
    <row r="179" spans="1:88" ht="40.5" customHeight="1">
      <c r="A179" s="9">
        <f t="shared" si="0"/>
        <v>177</v>
      </c>
      <c r="B179" s="9" t="str">
        <f t="shared" si="5"/>
        <v xml:space="preserve">MA
</v>
      </c>
      <c r="C179" s="9" t="s">
        <v>608</v>
      </c>
      <c r="D179" s="9" t="s">
        <v>370</v>
      </c>
      <c r="E179" s="12">
        <v>0</v>
      </c>
      <c r="F179" s="12">
        <v>0</v>
      </c>
      <c r="G179" s="9" t="s">
        <v>89</v>
      </c>
      <c r="H179" s="12"/>
      <c r="I179" s="9" t="s">
        <v>609</v>
      </c>
      <c r="J179" s="12"/>
      <c r="K179" s="12"/>
      <c r="L179" s="12"/>
      <c r="M179" s="12"/>
      <c r="N179" s="13" t="str">
        <f t="shared" si="1"/>
        <v xml:space="preserve">Station aluminium and steel
</v>
      </c>
      <c r="O179" s="16" t="s">
        <v>78</v>
      </c>
      <c r="P179" s="14">
        <v>2</v>
      </c>
      <c r="Q179" s="25">
        <v>44922</v>
      </c>
      <c r="R179" s="17"/>
      <c r="S179" s="17"/>
      <c r="T179" s="16" t="s">
        <v>126</v>
      </c>
      <c r="U179" s="17" t="str">
        <f t="shared" si="2"/>
        <v xml:space="preserve">Station aluminium and steel
</v>
      </c>
      <c r="V179" s="16" t="s">
        <v>78</v>
      </c>
      <c r="W179" s="16">
        <v>3</v>
      </c>
      <c r="X179" s="25">
        <v>44935</v>
      </c>
      <c r="Y179" s="13"/>
      <c r="Z179" s="13"/>
      <c r="AA179" s="16" t="s">
        <v>101</v>
      </c>
      <c r="AB179" s="18" t="str">
        <f t="shared" si="3"/>
        <v xml:space="preserve">Station aluminium and steel
</v>
      </c>
      <c r="AC179" s="19" t="s">
        <v>78</v>
      </c>
      <c r="AD179" s="19">
        <v>4</v>
      </c>
      <c r="AE179" s="27">
        <v>44942</v>
      </c>
      <c r="AF179" s="18"/>
      <c r="AG179" s="18"/>
      <c r="AH179" s="16" t="s">
        <v>126</v>
      </c>
      <c r="AI179" s="18"/>
      <c r="AJ179" s="16" t="s">
        <v>78</v>
      </c>
      <c r="AK179" s="20" t="s">
        <v>486</v>
      </c>
      <c r="AL179" s="20" t="s">
        <v>510</v>
      </c>
      <c r="AM179" s="19" t="s">
        <v>75</v>
      </c>
      <c r="AN179" s="19" t="s">
        <v>75</v>
      </c>
      <c r="AO179" s="19" t="s">
        <v>126</v>
      </c>
      <c r="AP179" s="18"/>
      <c r="AQ179" s="19" t="s">
        <v>78</v>
      </c>
      <c r="AR179" s="19" t="s">
        <v>79</v>
      </c>
      <c r="AS179" s="20" t="s">
        <v>80</v>
      </c>
      <c r="AT179" s="19" t="s">
        <v>75</v>
      </c>
      <c r="AU179" s="19" t="s">
        <v>75</v>
      </c>
      <c r="AV179" s="19" t="s">
        <v>4</v>
      </c>
      <c r="AW179" s="18"/>
      <c r="AX179" s="13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2"/>
      <c r="BK179" s="12"/>
      <c r="BL179" s="12"/>
      <c r="BM179" s="9"/>
      <c r="BN179" s="9"/>
      <c r="BO179" s="9"/>
      <c r="BP179" s="12"/>
      <c r="BQ179" s="12"/>
      <c r="BR179" s="12"/>
      <c r="BS179" s="12"/>
      <c r="BT179" s="12"/>
      <c r="BU179" s="12"/>
      <c r="BV179" s="12"/>
      <c r="BW179" s="12"/>
      <c r="BX179" s="12"/>
      <c r="BY179" s="9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</row>
    <row r="180" spans="1:88" ht="40.5" customHeight="1">
      <c r="A180" s="24">
        <f t="shared" si="0"/>
        <v>178</v>
      </c>
      <c r="B180" s="24" t="str">
        <f t="shared" si="5"/>
        <v xml:space="preserve">MA
</v>
      </c>
      <c r="C180" s="24" t="s">
        <v>610</v>
      </c>
      <c r="D180" s="24" t="s">
        <v>370</v>
      </c>
      <c r="E180" s="30">
        <v>0</v>
      </c>
      <c r="F180" s="30">
        <v>0</v>
      </c>
      <c r="G180" s="24" t="s">
        <v>89</v>
      </c>
      <c r="H180" s="30"/>
      <c r="I180" s="24">
        <v>97444602842</v>
      </c>
      <c r="J180" s="30"/>
      <c r="K180" s="30"/>
      <c r="L180" s="30"/>
      <c r="M180" s="30"/>
      <c r="N180" s="33" t="str">
        <f t="shared" si="1"/>
        <v xml:space="preserve">ALUMINIUM TECHNOLOGY AUXILIARY INDUSTRIES ( ALU TEC ) WLL IN QATAR
</v>
      </c>
      <c r="O180" s="34" t="s">
        <v>78</v>
      </c>
      <c r="P180" s="35">
        <v>2</v>
      </c>
      <c r="Q180" s="36">
        <v>44922</v>
      </c>
      <c r="R180" s="38"/>
      <c r="S180" s="38"/>
      <c r="T180" s="34" t="s">
        <v>126</v>
      </c>
      <c r="U180" s="38" t="str">
        <f t="shared" si="2"/>
        <v xml:space="preserve">ALUMINIUM TECHNOLOGY AUXILIARY INDUSTRIES ( ALU TEC ) WLL IN QATAR
</v>
      </c>
      <c r="V180" s="34" t="s">
        <v>78</v>
      </c>
      <c r="W180" s="34">
        <v>3</v>
      </c>
      <c r="X180" s="36">
        <v>44935</v>
      </c>
      <c r="Y180" s="33"/>
      <c r="Z180" s="33"/>
      <c r="AA180" s="34" t="s">
        <v>101</v>
      </c>
      <c r="AB180" s="39" t="str">
        <f t="shared" si="3"/>
        <v xml:space="preserve">ALUMINIUM TECHNOLOGY AUXILIARY INDUSTRIES ( ALU TEC ) WLL IN QATAR
</v>
      </c>
      <c r="AC180" s="40" t="s">
        <v>78</v>
      </c>
      <c r="AD180" s="40">
        <v>4</v>
      </c>
      <c r="AE180" s="41">
        <v>44942</v>
      </c>
      <c r="AF180" s="39"/>
      <c r="AG180" s="39"/>
      <c r="AH180" s="34" t="s">
        <v>126</v>
      </c>
      <c r="AI180" s="39"/>
      <c r="AJ180" s="34" t="s">
        <v>78</v>
      </c>
      <c r="AK180" s="45" t="s">
        <v>486</v>
      </c>
      <c r="AL180" s="45" t="s">
        <v>479</v>
      </c>
      <c r="AM180" s="40" t="s">
        <v>75</v>
      </c>
      <c r="AN180" s="40" t="s">
        <v>75</v>
      </c>
      <c r="AO180" s="40" t="s">
        <v>126</v>
      </c>
      <c r="AP180" s="39"/>
      <c r="AQ180" s="40" t="s">
        <v>78</v>
      </c>
      <c r="AR180" s="40" t="s">
        <v>79</v>
      </c>
      <c r="AS180" s="45" t="s">
        <v>80</v>
      </c>
      <c r="AT180" s="40" t="s">
        <v>75</v>
      </c>
      <c r="AU180" s="40" t="s">
        <v>75</v>
      </c>
      <c r="AV180" s="40" t="s">
        <v>126</v>
      </c>
      <c r="AW180" s="39"/>
      <c r="AX180" s="34" t="s">
        <v>78</v>
      </c>
      <c r="AY180" s="40" t="s">
        <v>79</v>
      </c>
      <c r="AZ180" s="45" t="s">
        <v>80</v>
      </c>
      <c r="BA180" s="40" t="s">
        <v>75</v>
      </c>
      <c r="BB180" s="40" t="s">
        <v>75</v>
      </c>
      <c r="BC180" s="40" t="s">
        <v>153</v>
      </c>
      <c r="BD180" s="39"/>
      <c r="BE180" s="39"/>
      <c r="BF180" s="39"/>
      <c r="BG180" s="39"/>
      <c r="BH180" s="39"/>
      <c r="BI180" s="39"/>
      <c r="BJ180" s="30"/>
      <c r="BK180" s="30"/>
      <c r="BL180" s="30"/>
      <c r="BM180" s="24"/>
      <c r="BN180" s="24"/>
      <c r="BO180" s="24"/>
      <c r="BP180" s="30"/>
      <c r="BQ180" s="30"/>
      <c r="BR180" s="30"/>
      <c r="BS180" s="30"/>
      <c r="BT180" s="30"/>
      <c r="BU180" s="30"/>
      <c r="BV180" s="30"/>
      <c r="BW180" s="30"/>
      <c r="BX180" s="30"/>
      <c r="BY180" s="24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</row>
    <row r="181" spans="1:88" ht="40.5" customHeight="1">
      <c r="A181" s="9">
        <f t="shared" si="0"/>
        <v>179</v>
      </c>
      <c r="B181" s="9" t="str">
        <f t="shared" si="5"/>
        <v xml:space="preserve">MA
</v>
      </c>
      <c r="C181" s="24" t="s">
        <v>611</v>
      </c>
      <c r="D181" s="9" t="s">
        <v>370</v>
      </c>
      <c r="E181" s="12">
        <v>0</v>
      </c>
      <c r="F181" s="12">
        <v>0</v>
      </c>
      <c r="G181" s="9" t="s">
        <v>89</v>
      </c>
      <c r="H181" s="12"/>
      <c r="I181" s="9" t="s">
        <v>612</v>
      </c>
      <c r="J181" s="12"/>
      <c r="K181" s="12"/>
      <c r="L181" s="12"/>
      <c r="M181" s="12"/>
      <c r="N181" s="13" t="str">
        <f t="shared" si="1"/>
        <v xml:space="preserve">Al Khair Trading &amp; Aluminium Co. W.L.L.
</v>
      </c>
      <c r="O181" s="16" t="s">
        <v>78</v>
      </c>
      <c r="P181" s="14">
        <v>2</v>
      </c>
      <c r="Q181" s="25">
        <v>44922</v>
      </c>
      <c r="R181" s="14">
        <v>4</v>
      </c>
      <c r="S181" s="26">
        <v>0.20833333333333334</v>
      </c>
      <c r="T181" s="16" t="s">
        <v>108</v>
      </c>
      <c r="U181" s="17" t="str">
        <f t="shared" si="2"/>
        <v xml:space="preserve">Al Khair Trading &amp; Aluminium Co. W.L.L.
</v>
      </c>
      <c r="V181" s="16" t="s">
        <v>98</v>
      </c>
      <c r="W181" s="16">
        <v>3</v>
      </c>
      <c r="X181" s="25">
        <v>44935</v>
      </c>
      <c r="Y181" s="13"/>
      <c r="Z181" s="13"/>
      <c r="AA181" s="16" t="s">
        <v>4</v>
      </c>
      <c r="AB181" s="18" t="str">
        <f t="shared" si="3"/>
        <v xml:space="preserve">Al Khair Trading &amp; Aluminium Co. W.L.L.
</v>
      </c>
      <c r="AC181" s="18"/>
      <c r="AD181" s="18"/>
      <c r="AE181" s="18"/>
      <c r="AF181" s="18"/>
      <c r="AG181" s="18"/>
      <c r="AH181" s="13"/>
      <c r="AI181" s="18"/>
      <c r="AJ181" s="13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3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2"/>
      <c r="BK181" s="12"/>
      <c r="BL181" s="12"/>
      <c r="BM181" s="9"/>
      <c r="BN181" s="9"/>
      <c r="BO181" s="9"/>
      <c r="BP181" s="12"/>
      <c r="BQ181" s="12"/>
      <c r="BR181" s="12"/>
      <c r="BS181" s="12"/>
      <c r="BT181" s="12"/>
      <c r="BU181" s="12"/>
      <c r="BV181" s="12"/>
      <c r="BW181" s="12"/>
      <c r="BX181" s="12"/>
      <c r="BY181" s="9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</row>
    <row r="182" spans="1:88" ht="40.5" customHeight="1">
      <c r="A182" s="9">
        <f t="shared" si="0"/>
        <v>180</v>
      </c>
      <c r="B182" s="9" t="str">
        <f t="shared" si="5"/>
        <v xml:space="preserve">MA
</v>
      </c>
      <c r="C182" s="9" t="s">
        <v>613</v>
      </c>
      <c r="D182" s="9" t="s">
        <v>370</v>
      </c>
      <c r="E182" s="12">
        <v>0</v>
      </c>
      <c r="F182" s="12">
        <v>0</v>
      </c>
      <c r="G182" s="9" t="s">
        <v>89</v>
      </c>
      <c r="H182" s="12"/>
      <c r="I182" s="9">
        <v>97450266629</v>
      </c>
      <c r="J182" s="12"/>
      <c r="K182" s="12"/>
      <c r="L182" s="12"/>
      <c r="M182" s="12"/>
      <c r="N182" s="13" t="str">
        <f t="shared" si="1"/>
        <v>PEARL GLASS &amp; ALUMINIUM COMPANY</v>
      </c>
      <c r="O182" s="16" t="s">
        <v>78</v>
      </c>
      <c r="P182" s="14">
        <v>2</v>
      </c>
      <c r="Q182" s="25">
        <v>44922</v>
      </c>
      <c r="R182" s="17"/>
      <c r="S182" s="17"/>
      <c r="T182" s="16" t="s">
        <v>101</v>
      </c>
      <c r="U182" s="17" t="str">
        <f t="shared" si="2"/>
        <v>PEARL GLASS &amp; ALUMINIUM COMPANY</v>
      </c>
      <c r="V182" s="16" t="s">
        <v>78</v>
      </c>
      <c r="W182" s="16">
        <v>3</v>
      </c>
      <c r="X182" s="25">
        <v>44935</v>
      </c>
      <c r="Y182" s="13"/>
      <c r="Z182" s="13"/>
      <c r="AA182" s="16" t="s">
        <v>101</v>
      </c>
      <c r="AB182" s="18" t="str">
        <f t="shared" si="3"/>
        <v>PEARL GLASS &amp; ALUMINIUM COMPANY</v>
      </c>
      <c r="AC182" s="19" t="s">
        <v>78</v>
      </c>
      <c r="AD182" s="19">
        <v>4</v>
      </c>
      <c r="AE182" s="27">
        <v>44942</v>
      </c>
      <c r="AF182" s="18"/>
      <c r="AG182" s="18"/>
      <c r="AH182" s="16" t="s">
        <v>101</v>
      </c>
      <c r="AI182" s="18"/>
      <c r="AJ182" s="16" t="s">
        <v>78</v>
      </c>
      <c r="AK182" s="20" t="s">
        <v>486</v>
      </c>
      <c r="AL182" s="20" t="s">
        <v>479</v>
      </c>
      <c r="AM182" s="19" t="s">
        <v>75</v>
      </c>
      <c r="AN182" s="19" t="s">
        <v>75</v>
      </c>
      <c r="AO182" s="19" t="s">
        <v>101</v>
      </c>
      <c r="AP182" s="18"/>
      <c r="AQ182" s="19" t="s">
        <v>78</v>
      </c>
      <c r="AR182" s="19" t="s">
        <v>79</v>
      </c>
      <c r="AS182" s="20" t="s">
        <v>80</v>
      </c>
      <c r="AT182" s="19" t="s">
        <v>75</v>
      </c>
      <c r="AU182" s="19" t="s">
        <v>75</v>
      </c>
      <c r="AV182" s="19" t="s">
        <v>4</v>
      </c>
      <c r="AW182" s="18"/>
      <c r="AX182" s="13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2"/>
      <c r="BK182" s="12"/>
      <c r="BL182" s="12"/>
      <c r="BM182" s="9"/>
      <c r="BN182" s="9"/>
      <c r="BO182" s="9"/>
      <c r="BP182" s="12"/>
      <c r="BQ182" s="12"/>
      <c r="BR182" s="12"/>
      <c r="BS182" s="12"/>
      <c r="BT182" s="12"/>
      <c r="BU182" s="12"/>
      <c r="BV182" s="12"/>
      <c r="BW182" s="12"/>
      <c r="BX182" s="12"/>
      <c r="BY182" s="9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</row>
    <row r="183" spans="1:88" ht="40.5" customHeight="1">
      <c r="A183" s="24">
        <f t="shared" si="0"/>
        <v>181</v>
      </c>
      <c r="B183" s="24" t="str">
        <f t="shared" si="5"/>
        <v xml:space="preserve">MA
</v>
      </c>
      <c r="C183" s="24" t="s">
        <v>614</v>
      </c>
      <c r="D183" s="24" t="s">
        <v>370</v>
      </c>
      <c r="E183" s="24">
        <v>1</v>
      </c>
      <c r="F183" s="30">
        <v>0</v>
      </c>
      <c r="G183" s="24" t="s">
        <v>89</v>
      </c>
      <c r="H183" s="30"/>
      <c r="I183" s="24">
        <v>97433009244</v>
      </c>
      <c r="J183" s="30"/>
      <c r="K183" s="30"/>
      <c r="L183" s="30"/>
      <c r="M183" s="30"/>
      <c r="N183" s="33" t="str">
        <f t="shared" si="1"/>
        <v xml:space="preserve">Saad Al Kaabi Steel and Aluminium
</v>
      </c>
      <c r="O183" s="33"/>
      <c r="P183" s="38"/>
      <c r="Q183" s="33"/>
      <c r="R183" s="38"/>
      <c r="S183" s="38"/>
      <c r="T183" s="33"/>
      <c r="U183" s="38" t="str">
        <f t="shared" si="2"/>
        <v xml:space="preserve">Saad Al Kaabi Steel and Aluminium
</v>
      </c>
      <c r="V183" s="33"/>
      <c r="W183" s="33"/>
      <c r="X183" s="33"/>
      <c r="Y183" s="33"/>
      <c r="Z183" s="33"/>
      <c r="AA183" s="33"/>
      <c r="AB183" s="18" t="str">
        <f t="shared" si="3"/>
        <v xml:space="preserve">Saad Al Kaabi Steel and Aluminium
</v>
      </c>
      <c r="AC183" s="39"/>
      <c r="AD183" s="39"/>
      <c r="AE183" s="39"/>
      <c r="AF183" s="39"/>
      <c r="AG183" s="39"/>
      <c r="AH183" s="33"/>
      <c r="AI183" s="39"/>
      <c r="AJ183" s="33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3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0"/>
      <c r="BK183" s="30"/>
      <c r="BL183" s="30"/>
      <c r="BM183" s="24"/>
      <c r="BN183" s="24"/>
      <c r="BO183" s="24"/>
      <c r="BP183" s="30"/>
      <c r="BQ183" s="30"/>
      <c r="BR183" s="30"/>
      <c r="BS183" s="30"/>
      <c r="BT183" s="30"/>
      <c r="BU183" s="30"/>
      <c r="BV183" s="30"/>
      <c r="BW183" s="30"/>
      <c r="BX183" s="30"/>
      <c r="BY183" s="24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</row>
    <row r="184" spans="1:88" ht="40.5" customHeight="1">
      <c r="A184" s="24">
        <f t="shared" si="0"/>
        <v>182</v>
      </c>
      <c r="B184" s="24" t="str">
        <f t="shared" si="5"/>
        <v xml:space="preserve">MA
</v>
      </c>
      <c r="C184" s="24" t="s">
        <v>615</v>
      </c>
      <c r="D184" s="24" t="s">
        <v>370</v>
      </c>
      <c r="E184" s="24">
        <v>1</v>
      </c>
      <c r="F184" s="30">
        <v>0</v>
      </c>
      <c r="G184" s="24" t="s">
        <v>89</v>
      </c>
      <c r="H184" s="30"/>
      <c r="I184" s="24" t="s">
        <v>616</v>
      </c>
      <c r="J184" s="30"/>
      <c r="K184" s="30"/>
      <c r="L184" s="30"/>
      <c r="M184" s="30"/>
      <c r="N184" s="33" t="str">
        <f t="shared" si="1"/>
        <v xml:space="preserve">Castello Cast Aluminum W.L.L
</v>
      </c>
      <c r="O184" s="33"/>
      <c r="P184" s="38"/>
      <c r="Q184" s="33"/>
      <c r="R184" s="38"/>
      <c r="S184" s="38"/>
      <c r="T184" s="33"/>
      <c r="U184" s="38" t="str">
        <f t="shared" si="2"/>
        <v xml:space="preserve">Castello Cast Aluminum W.L.L
</v>
      </c>
      <c r="V184" s="33"/>
      <c r="W184" s="33"/>
      <c r="X184" s="33"/>
      <c r="Y184" s="33"/>
      <c r="Z184" s="33"/>
      <c r="AA184" s="33"/>
      <c r="AB184" s="18" t="str">
        <f t="shared" si="3"/>
        <v xml:space="preserve">Castello Cast Aluminum W.L.L
</v>
      </c>
      <c r="AC184" s="39"/>
      <c r="AD184" s="39"/>
      <c r="AE184" s="39"/>
      <c r="AF184" s="39"/>
      <c r="AG184" s="39"/>
      <c r="AH184" s="33"/>
      <c r="AI184" s="39"/>
      <c r="AJ184" s="33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3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0"/>
      <c r="BK184" s="30"/>
      <c r="BL184" s="30"/>
      <c r="BM184" s="24"/>
      <c r="BN184" s="24"/>
      <c r="BO184" s="24"/>
      <c r="BP184" s="30"/>
      <c r="BQ184" s="30"/>
      <c r="BR184" s="30"/>
      <c r="BS184" s="30"/>
      <c r="BT184" s="30"/>
      <c r="BU184" s="30"/>
      <c r="BV184" s="30"/>
      <c r="BW184" s="30"/>
      <c r="BX184" s="30"/>
      <c r="BY184" s="24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</row>
    <row r="185" spans="1:88" ht="40.5" customHeight="1">
      <c r="A185" s="9">
        <f t="shared" si="0"/>
        <v>183</v>
      </c>
      <c r="B185" s="9" t="str">
        <f t="shared" si="5"/>
        <v xml:space="preserve">MA
</v>
      </c>
      <c r="C185" s="9" t="s">
        <v>617</v>
      </c>
      <c r="D185" s="9" t="s">
        <v>370</v>
      </c>
      <c r="E185" s="12">
        <v>0</v>
      </c>
      <c r="F185" s="12">
        <v>0</v>
      </c>
      <c r="G185" s="9" t="s">
        <v>89</v>
      </c>
      <c r="H185" s="12"/>
      <c r="I185" s="12">
        <f>97466443315</f>
        <v>97466443315</v>
      </c>
      <c r="J185" s="12"/>
      <c r="K185" s="12"/>
      <c r="L185" s="12"/>
      <c r="M185" s="12"/>
      <c r="N185" s="13" t="str">
        <f t="shared" si="1"/>
        <v xml:space="preserve">Techstar Aluminium and steel
</v>
      </c>
      <c r="O185" s="16" t="s">
        <v>78</v>
      </c>
      <c r="P185" s="14">
        <v>2</v>
      </c>
      <c r="Q185" s="25">
        <v>44922</v>
      </c>
      <c r="R185" s="17"/>
      <c r="S185" s="17"/>
      <c r="T185" s="16" t="s">
        <v>101</v>
      </c>
      <c r="U185" s="17" t="str">
        <f t="shared" si="2"/>
        <v xml:space="preserve">Techstar Aluminium and steel
</v>
      </c>
      <c r="V185" s="16" t="s">
        <v>78</v>
      </c>
      <c r="W185" s="16">
        <v>3</v>
      </c>
      <c r="X185" s="25">
        <v>44935</v>
      </c>
      <c r="Y185" s="13"/>
      <c r="Z185" s="13"/>
      <c r="AA185" s="16" t="s">
        <v>101</v>
      </c>
      <c r="AB185" s="18" t="str">
        <f t="shared" si="3"/>
        <v xml:space="preserve">Techstar Aluminium and steel
</v>
      </c>
      <c r="AC185" s="19" t="s">
        <v>78</v>
      </c>
      <c r="AD185" s="19">
        <v>4</v>
      </c>
      <c r="AE185" s="27">
        <v>44942</v>
      </c>
      <c r="AF185" s="18"/>
      <c r="AG185" s="18"/>
      <c r="AH185" s="16" t="s">
        <v>101</v>
      </c>
      <c r="AI185" s="18"/>
      <c r="AJ185" s="16" t="s">
        <v>78</v>
      </c>
      <c r="AK185" s="20" t="s">
        <v>486</v>
      </c>
      <c r="AL185" s="20" t="s">
        <v>479</v>
      </c>
      <c r="AM185" s="19" t="s">
        <v>75</v>
      </c>
      <c r="AN185" s="19" t="s">
        <v>75</v>
      </c>
      <c r="AO185" s="19" t="s">
        <v>101</v>
      </c>
      <c r="AP185" s="18"/>
      <c r="AQ185" s="19" t="s">
        <v>78</v>
      </c>
      <c r="AR185" s="19" t="s">
        <v>79</v>
      </c>
      <c r="AS185" s="20" t="s">
        <v>80</v>
      </c>
      <c r="AT185" s="19" t="s">
        <v>75</v>
      </c>
      <c r="AU185" s="19" t="s">
        <v>75</v>
      </c>
      <c r="AV185" s="19" t="s">
        <v>4</v>
      </c>
      <c r="AW185" s="18"/>
      <c r="AX185" s="13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2"/>
      <c r="BK185" s="12"/>
      <c r="BL185" s="12"/>
      <c r="BM185" s="9"/>
      <c r="BN185" s="9"/>
      <c r="BO185" s="9"/>
      <c r="BP185" s="12"/>
      <c r="BQ185" s="12"/>
      <c r="BR185" s="12"/>
      <c r="BS185" s="12"/>
      <c r="BT185" s="12"/>
      <c r="BU185" s="12"/>
      <c r="BV185" s="12"/>
      <c r="BW185" s="12"/>
      <c r="BX185" s="12"/>
      <c r="BY185" s="9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</row>
    <row r="186" spans="1:88" ht="40.5" customHeight="1">
      <c r="A186" s="9">
        <f t="shared" si="0"/>
        <v>184</v>
      </c>
      <c r="B186" s="9" t="str">
        <f t="shared" si="5"/>
        <v xml:space="preserve">MA
</v>
      </c>
      <c r="C186" s="9" t="s">
        <v>618</v>
      </c>
      <c r="D186" s="9" t="s">
        <v>370</v>
      </c>
      <c r="E186" s="12">
        <v>0</v>
      </c>
      <c r="F186" s="12">
        <v>0</v>
      </c>
      <c r="G186" s="9" t="s">
        <v>89</v>
      </c>
      <c r="H186" s="12"/>
      <c r="I186" s="9" t="s">
        <v>619</v>
      </c>
      <c r="J186" s="12"/>
      <c r="K186" s="9" t="s">
        <v>620</v>
      </c>
      <c r="L186" s="9" t="s">
        <v>621</v>
      </c>
      <c r="M186" s="12"/>
      <c r="N186" s="13" t="str">
        <f t="shared" si="1"/>
        <v xml:space="preserve">Qatar Technical Aluminium
</v>
      </c>
      <c r="O186" s="16" t="s">
        <v>78</v>
      </c>
      <c r="P186" s="14">
        <v>2</v>
      </c>
      <c r="Q186" s="25">
        <v>44922</v>
      </c>
      <c r="R186" s="17"/>
      <c r="S186" s="17"/>
      <c r="T186" s="16" t="s">
        <v>126</v>
      </c>
      <c r="U186" s="17" t="str">
        <f t="shared" si="2"/>
        <v xml:space="preserve">Qatar Technical Aluminium
</v>
      </c>
      <c r="V186" s="16" t="s">
        <v>78</v>
      </c>
      <c r="W186" s="16">
        <v>3</v>
      </c>
      <c r="X186" s="25">
        <v>44935</v>
      </c>
      <c r="Y186" s="13"/>
      <c r="Z186" s="13"/>
      <c r="AA186" s="16" t="s">
        <v>101</v>
      </c>
      <c r="AB186" s="18" t="str">
        <f t="shared" si="3"/>
        <v xml:space="preserve">Qatar Technical Aluminium
</v>
      </c>
      <c r="AC186" s="19" t="s">
        <v>7</v>
      </c>
      <c r="AD186" s="19">
        <v>4</v>
      </c>
      <c r="AE186" s="27">
        <v>44942</v>
      </c>
      <c r="AF186" s="18"/>
      <c r="AG186" s="18"/>
      <c r="AH186" s="16" t="s">
        <v>81</v>
      </c>
      <c r="AI186" s="18"/>
      <c r="AJ186" s="16" t="s">
        <v>78</v>
      </c>
      <c r="AK186" s="20" t="s">
        <v>486</v>
      </c>
      <c r="AL186" s="20" t="s">
        <v>510</v>
      </c>
      <c r="AM186" s="19" t="s">
        <v>75</v>
      </c>
      <c r="AN186" s="19" t="s">
        <v>75</v>
      </c>
      <c r="AO186" s="19" t="s">
        <v>126</v>
      </c>
      <c r="AP186" s="18"/>
      <c r="AQ186" s="19" t="s">
        <v>7</v>
      </c>
      <c r="AR186" s="19" t="s">
        <v>79</v>
      </c>
      <c r="AS186" s="20" t="s">
        <v>80</v>
      </c>
      <c r="AT186" s="19" t="s">
        <v>75</v>
      </c>
      <c r="AU186" s="19" t="s">
        <v>75</v>
      </c>
      <c r="AV186" s="19" t="s">
        <v>86</v>
      </c>
      <c r="AW186" s="18"/>
      <c r="AX186" s="13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2"/>
      <c r="BK186" s="12"/>
      <c r="BL186" s="12"/>
      <c r="BM186" s="9"/>
      <c r="BN186" s="9"/>
      <c r="BO186" s="9"/>
      <c r="BP186" s="12"/>
      <c r="BQ186" s="12"/>
      <c r="BR186" s="12"/>
      <c r="BS186" s="12"/>
      <c r="BT186" s="12"/>
      <c r="BU186" s="12"/>
      <c r="BV186" s="12"/>
      <c r="BW186" s="12"/>
      <c r="BX186" s="12"/>
      <c r="BY186" s="9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</row>
    <row r="187" spans="1:88" ht="40.5" customHeight="1">
      <c r="A187" s="24">
        <f t="shared" si="0"/>
        <v>185</v>
      </c>
      <c r="B187" s="24" t="str">
        <f t="shared" si="5"/>
        <v xml:space="preserve">MA
</v>
      </c>
      <c r="C187" s="24" t="s">
        <v>622</v>
      </c>
      <c r="D187" s="24" t="s">
        <v>370</v>
      </c>
      <c r="E187" s="30">
        <v>0</v>
      </c>
      <c r="F187" s="30">
        <v>0</v>
      </c>
      <c r="G187" s="24" t="s">
        <v>89</v>
      </c>
      <c r="H187" s="30"/>
      <c r="I187" s="24">
        <v>97430162213</v>
      </c>
      <c r="J187" s="30"/>
      <c r="K187" s="30"/>
      <c r="L187" s="30"/>
      <c r="M187" s="30"/>
      <c r="N187" s="33" t="str">
        <f t="shared" si="1"/>
        <v xml:space="preserve">Royal Aluminium N Steel Showroom
</v>
      </c>
      <c r="O187" s="34" t="s">
        <v>78</v>
      </c>
      <c r="P187" s="35">
        <v>2</v>
      </c>
      <c r="Q187" s="36">
        <v>44922</v>
      </c>
      <c r="R187" s="38"/>
      <c r="S187" s="38"/>
      <c r="T187" s="34" t="s">
        <v>101</v>
      </c>
      <c r="U187" s="38" t="str">
        <f t="shared" si="2"/>
        <v xml:space="preserve">Royal Aluminium N Steel Showroom
</v>
      </c>
      <c r="V187" s="34" t="s">
        <v>78</v>
      </c>
      <c r="W187" s="34">
        <v>3</v>
      </c>
      <c r="X187" s="36">
        <v>44935</v>
      </c>
      <c r="Y187" s="34">
        <v>2</v>
      </c>
      <c r="Z187" s="43">
        <v>4.1666666666666664E-2</v>
      </c>
      <c r="AA187" s="34" t="s">
        <v>153</v>
      </c>
      <c r="AB187" s="39" t="str">
        <f t="shared" si="3"/>
        <v xml:space="preserve">Royal Aluminium N Steel Showroom
</v>
      </c>
      <c r="AC187" s="40" t="s">
        <v>78</v>
      </c>
      <c r="AD187" s="40">
        <v>4</v>
      </c>
      <c r="AE187" s="41">
        <v>44942</v>
      </c>
      <c r="AF187" s="39"/>
      <c r="AG187" s="39"/>
      <c r="AH187" s="34" t="s">
        <v>4</v>
      </c>
      <c r="AI187" s="39"/>
      <c r="AJ187" s="34" t="s">
        <v>78</v>
      </c>
      <c r="AK187" s="45" t="s">
        <v>486</v>
      </c>
      <c r="AL187" s="45" t="s">
        <v>479</v>
      </c>
      <c r="AM187" s="40" t="s">
        <v>75</v>
      </c>
      <c r="AN187" s="40" t="s">
        <v>75</v>
      </c>
      <c r="AO187" s="40" t="s">
        <v>101</v>
      </c>
      <c r="AP187" s="39"/>
      <c r="AQ187" s="39"/>
      <c r="AR187" s="39"/>
      <c r="AS187" s="39"/>
      <c r="AT187" s="39"/>
      <c r="AU187" s="39"/>
      <c r="AV187" s="39"/>
      <c r="AW187" s="39"/>
      <c r="AX187" s="33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0"/>
      <c r="BK187" s="30"/>
      <c r="BL187" s="30"/>
      <c r="BM187" s="24"/>
      <c r="BN187" s="24"/>
      <c r="BO187" s="24"/>
      <c r="BP187" s="30"/>
      <c r="BQ187" s="30"/>
      <c r="BR187" s="30"/>
      <c r="BS187" s="30"/>
      <c r="BT187" s="30"/>
      <c r="BU187" s="30"/>
      <c r="BV187" s="30"/>
      <c r="BW187" s="30"/>
      <c r="BX187" s="30"/>
      <c r="BY187" s="24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</row>
    <row r="188" spans="1:88" ht="40.5" customHeight="1">
      <c r="A188" s="9">
        <f t="shared" si="0"/>
        <v>186</v>
      </c>
      <c r="B188" s="9" t="str">
        <f t="shared" si="5"/>
        <v xml:space="preserve">MA
</v>
      </c>
      <c r="C188" s="9" t="s">
        <v>623</v>
      </c>
      <c r="D188" s="9" t="s">
        <v>370</v>
      </c>
      <c r="E188" s="12">
        <v>0</v>
      </c>
      <c r="F188" s="12">
        <v>0</v>
      </c>
      <c r="G188" s="9" t="s">
        <v>89</v>
      </c>
      <c r="H188" s="9" t="s">
        <v>624</v>
      </c>
      <c r="I188" s="9" t="s">
        <v>625</v>
      </c>
      <c r="J188" s="12"/>
      <c r="K188" s="12"/>
      <c r="L188" s="12"/>
      <c r="M188" s="12"/>
      <c r="N188" s="13" t="str">
        <f t="shared" si="1"/>
        <v xml:space="preserve">Skywall Aluminium &amp; Glass
</v>
      </c>
      <c r="O188" s="16" t="s">
        <v>78</v>
      </c>
      <c r="P188" s="14">
        <v>2</v>
      </c>
      <c r="Q188" s="25">
        <v>44922</v>
      </c>
      <c r="R188" s="14">
        <v>3</v>
      </c>
      <c r="S188" s="26">
        <v>0.20972222222222223</v>
      </c>
      <c r="T188" s="16" t="s">
        <v>81</v>
      </c>
      <c r="U188" s="17" t="str">
        <f t="shared" si="2"/>
        <v xml:space="preserve">Skywall Aluminium &amp; Glass
</v>
      </c>
      <c r="V188" s="16" t="s">
        <v>78</v>
      </c>
      <c r="W188" s="16">
        <v>3</v>
      </c>
      <c r="X188" s="25">
        <v>44935</v>
      </c>
      <c r="Y188" s="13"/>
      <c r="Z188" s="13"/>
      <c r="AA188" s="16" t="s">
        <v>126</v>
      </c>
      <c r="AB188" s="18" t="str">
        <f t="shared" si="3"/>
        <v xml:space="preserve">Skywall Aluminium &amp; Glass
</v>
      </c>
      <c r="AC188" s="19" t="s">
        <v>7</v>
      </c>
      <c r="AD188" s="19">
        <v>4</v>
      </c>
      <c r="AE188" s="27">
        <v>44942</v>
      </c>
      <c r="AF188" s="18"/>
      <c r="AG188" s="18"/>
      <c r="AH188" s="16" t="s">
        <v>81</v>
      </c>
      <c r="AI188" s="18"/>
      <c r="AJ188" s="16" t="s">
        <v>78</v>
      </c>
      <c r="AK188" s="20" t="s">
        <v>486</v>
      </c>
      <c r="AL188" s="20" t="s">
        <v>510</v>
      </c>
      <c r="AM188" s="19" t="s">
        <v>75</v>
      </c>
      <c r="AN188" s="19" t="s">
        <v>75</v>
      </c>
      <c r="AO188" s="19" t="s">
        <v>126</v>
      </c>
      <c r="AP188" s="18"/>
      <c r="AQ188" s="19" t="s">
        <v>7</v>
      </c>
      <c r="AR188" s="19" t="s">
        <v>79</v>
      </c>
      <c r="AS188" s="20" t="s">
        <v>80</v>
      </c>
      <c r="AT188" s="19" t="s">
        <v>75</v>
      </c>
      <c r="AU188" s="19" t="s">
        <v>75</v>
      </c>
      <c r="AV188" s="19" t="s">
        <v>86</v>
      </c>
      <c r="AW188" s="18"/>
      <c r="AX188" s="13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2"/>
      <c r="BK188" s="12"/>
      <c r="BL188" s="12"/>
      <c r="BM188" s="9"/>
      <c r="BN188" s="9"/>
      <c r="BO188" s="9"/>
      <c r="BP188" s="12"/>
      <c r="BQ188" s="12"/>
      <c r="BR188" s="12"/>
      <c r="BS188" s="12"/>
      <c r="BT188" s="12"/>
      <c r="BU188" s="12"/>
      <c r="BV188" s="12"/>
      <c r="BW188" s="12"/>
      <c r="BX188" s="12"/>
      <c r="BY188" s="9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</row>
    <row r="189" spans="1:88" ht="40.5" customHeight="1">
      <c r="A189" s="9">
        <f t="shared" si="0"/>
        <v>187</v>
      </c>
      <c r="B189" s="9" t="str">
        <f t="shared" si="5"/>
        <v xml:space="preserve">MA
</v>
      </c>
      <c r="C189" s="9" t="s">
        <v>626</v>
      </c>
      <c r="D189" s="9" t="s">
        <v>627</v>
      </c>
      <c r="E189" s="12">
        <v>0</v>
      </c>
      <c r="F189" s="12">
        <v>0</v>
      </c>
      <c r="G189" s="9" t="s">
        <v>105</v>
      </c>
      <c r="H189" s="12"/>
      <c r="I189" s="9" t="s">
        <v>628</v>
      </c>
      <c r="J189" s="12"/>
      <c r="K189" s="12"/>
      <c r="L189" s="12"/>
      <c r="M189" s="12"/>
      <c r="N189" s="13" t="str">
        <f t="shared" si="1"/>
        <v xml:space="preserve">AL JASSIM ALUMINIUM CO LLC
</v>
      </c>
      <c r="O189" s="16" t="s">
        <v>78</v>
      </c>
      <c r="P189" s="14">
        <v>2</v>
      </c>
      <c r="Q189" s="25">
        <v>44922</v>
      </c>
      <c r="R189" s="14">
        <v>4</v>
      </c>
      <c r="S189" s="26">
        <v>0.12708333333333333</v>
      </c>
      <c r="T189" s="16" t="s">
        <v>81</v>
      </c>
      <c r="U189" s="17" t="str">
        <f t="shared" si="2"/>
        <v xml:space="preserve">AL JASSIM ALUMINIUM CO LLC
</v>
      </c>
      <c r="V189" s="16" t="s">
        <v>78</v>
      </c>
      <c r="W189" s="16">
        <v>3</v>
      </c>
      <c r="X189" s="25">
        <v>44932</v>
      </c>
      <c r="Y189" s="16">
        <v>4</v>
      </c>
      <c r="Z189" s="29">
        <v>0.12708333333333333</v>
      </c>
      <c r="AA189" s="16" t="s">
        <v>190</v>
      </c>
      <c r="AB189" s="18" t="str">
        <f t="shared" si="3"/>
        <v xml:space="preserve">AL JASSIM ALUMINIUM CO LLC
</v>
      </c>
      <c r="AC189" s="19" t="s">
        <v>7</v>
      </c>
      <c r="AD189" s="19">
        <v>4</v>
      </c>
      <c r="AE189" s="27">
        <v>44942</v>
      </c>
      <c r="AF189" s="18"/>
      <c r="AG189" s="18"/>
      <c r="AH189" s="16" t="s">
        <v>86</v>
      </c>
      <c r="AI189" s="18"/>
      <c r="AJ189" s="16" t="s">
        <v>78</v>
      </c>
      <c r="AK189" s="19" t="s">
        <v>79</v>
      </c>
      <c r="AL189" s="20" t="s">
        <v>100</v>
      </c>
      <c r="AM189" s="19" t="s">
        <v>75</v>
      </c>
      <c r="AN189" s="19" t="s">
        <v>75</v>
      </c>
      <c r="AO189" s="19" t="s">
        <v>101</v>
      </c>
      <c r="AP189" s="18"/>
      <c r="AQ189" s="19" t="s">
        <v>7</v>
      </c>
      <c r="AR189" s="19" t="s">
        <v>79</v>
      </c>
      <c r="AS189" s="20" t="s">
        <v>140</v>
      </c>
      <c r="AT189" s="19" t="s">
        <v>75</v>
      </c>
      <c r="AU189" s="19" t="s">
        <v>75</v>
      </c>
      <c r="AV189" s="19" t="s">
        <v>86</v>
      </c>
      <c r="AW189" s="18"/>
      <c r="AX189" s="16" t="s">
        <v>78</v>
      </c>
      <c r="AY189" s="19" t="s">
        <v>79</v>
      </c>
      <c r="AZ189" s="20" t="s">
        <v>629</v>
      </c>
      <c r="BA189" s="19" t="s">
        <v>75</v>
      </c>
      <c r="BB189" s="19" t="s">
        <v>75</v>
      </c>
      <c r="BC189" s="19" t="s">
        <v>86</v>
      </c>
      <c r="BD189" s="18"/>
      <c r="BE189" s="18"/>
      <c r="BF189" s="18"/>
      <c r="BG189" s="18"/>
      <c r="BH189" s="18"/>
      <c r="BI189" s="18"/>
      <c r="BJ189" s="12"/>
      <c r="BK189" s="12"/>
      <c r="BL189" s="12"/>
      <c r="BM189" s="9"/>
      <c r="BN189" s="9"/>
      <c r="BO189" s="9"/>
      <c r="BP189" s="12"/>
      <c r="BQ189" s="12"/>
      <c r="BR189" s="12"/>
      <c r="BS189" s="12"/>
      <c r="BT189" s="12"/>
      <c r="BU189" s="12"/>
      <c r="BV189" s="12"/>
      <c r="BW189" s="12"/>
      <c r="BX189" s="12"/>
      <c r="BY189" s="9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</row>
    <row r="190" spans="1:88" ht="40.5" customHeight="1">
      <c r="A190" s="9">
        <f t="shared" si="0"/>
        <v>188</v>
      </c>
      <c r="B190" s="9" t="str">
        <f t="shared" si="5"/>
        <v xml:space="preserve">MA
</v>
      </c>
      <c r="C190" s="9" t="s">
        <v>630</v>
      </c>
      <c r="D190" s="9" t="s">
        <v>627</v>
      </c>
      <c r="E190" s="12">
        <v>0</v>
      </c>
      <c r="F190" s="12">
        <v>0</v>
      </c>
      <c r="G190" s="9" t="s">
        <v>89</v>
      </c>
      <c r="H190" s="9" t="s">
        <v>631</v>
      </c>
      <c r="I190" s="9" t="s">
        <v>632</v>
      </c>
      <c r="J190" s="9" t="s">
        <v>79</v>
      </c>
      <c r="K190" s="22" t="s">
        <v>633</v>
      </c>
      <c r="L190" s="12"/>
      <c r="M190" s="12"/>
      <c r="N190" s="13" t="str">
        <f t="shared" si="1"/>
        <v>Technical Supplies &amp; Services Co. LLC</v>
      </c>
      <c r="O190" s="16" t="s">
        <v>78</v>
      </c>
      <c r="P190" s="14">
        <v>2</v>
      </c>
      <c r="Q190" s="25">
        <v>44922</v>
      </c>
      <c r="R190" s="17"/>
      <c r="S190" s="17"/>
      <c r="T190" s="16" t="s">
        <v>126</v>
      </c>
      <c r="U190" s="17" t="str">
        <f t="shared" si="2"/>
        <v>Technical Supplies &amp; Services Co. LLC</v>
      </c>
      <c r="V190" s="16" t="s">
        <v>78</v>
      </c>
      <c r="W190" s="16">
        <v>3</v>
      </c>
      <c r="X190" s="25">
        <v>44932</v>
      </c>
      <c r="Y190" s="16">
        <v>2</v>
      </c>
      <c r="Z190" s="29">
        <v>8.1250000000000003E-2</v>
      </c>
      <c r="AA190" s="16" t="s">
        <v>153</v>
      </c>
      <c r="AB190" s="18" t="str">
        <f t="shared" si="3"/>
        <v>Technical Supplies &amp; Services Co. LLC</v>
      </c>
      <c r="AC190" s="19" t="s">
        <v>78</v>
      </c>
      <c r="AD190" s="19">
        <v>3</v>
      </c>
      <c r="AE190" s="27">
        <v>44942</v>
      </c>
      <c r="AF190" s="18"/>
      <c r="AG190" s="18"/>
      <c r="AH190" s="16" t="s">
        <v>126</v>
      </c>
      <c r="AI190" s="18"/>
      <c r="AJ190" s="16" t="s">
        <v>78</v>
      </c>
      <c r="AK190" s="19" t="s">
        <v>79</v>
      </c>
      <c r="AL190" s="20" t="s">
        <v>100</v>
      </c>
      <c r="AM190" s="19" t="s">
        <v>75</v>
      </c>
      <c r="AN190" s="19" t="s">
        <v>75</v>
      </c>
      <c r="AO190" s="19" t="s">
        <v>145</v>
      </c>
      <c r="AP190" s="18"/>
      <c r="AQ190" s="19" t="s">
        <v>7</v>
      </c>
      <c r="AR190" s="19" t="s">
        <v>79</v>
      </c>
      <c r="AS190" s="20" t="s">
        <v>140</v>
      </c>
      <c r="AT190" s="19" t="s">
        <v>75</v>
      </c>
      <c r="AU190" s="19" t="s">
        <v>75</v>
      </c>
      <c r="AV190" s="19" t="s">
        <v>86</v>
      </c>
      <c r="AW190" s="18"/>
      <c r="AX190" s="16" t="s">
        <v>78</v>
      </c>
      <c r="AY190" s="19" t="s">
        <v>79</v>
      </c>
      <c r="AZ190" s="20" t="s">
        <v>629</v>
      </c>
      <c r="BA190" s="19" t="s">
        <v>75</v>
      </c>
      <c r="BB190" s="19" t="s">
        <v>75</v>
      </c>
      <c r="BC190" s="19" t="s">
        <v>145</v>
      </c>
      <c r="BD190" s="18"/>
      <c r="BE190" s="18"/>
      <c r="BF190" s="18"/>
      <c r="BG190" s="18"/>
      <c r="BH190" s="18"/>
      <c r="BI190" s="18"/>
      <c r="BJ190" s="12"/>
      <c r="BK190" s="12"/>
      <c r="BL190" s="12"/>
      <c r="BM190" s="9"/>
      <c r="BN190" s="9"/>
      <c r="BO190" s="9"/>
      <c r="BP190" s="12"/>
      <c r="BQ190" s="12"/>
      <c r="BR190" s="12"/>
      <c r="BS190" s="12"/>
      <c r="BT190" s="12"/>
      <c r="BU190" s="12"/>
      <c r="BV190" s="12"/>
      <c r="BW190" s="12"/>
      <c r="BX190" s="12"/>
      <c r="BY190" s="9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</row>
    <row r="191" spans="1:88" ht="40.5" customHeight="1">
      <c r="A191" s="9">
        <f t="shared" si="0"/>
        <v>189</v>
      </c>
      <c r="B191" s="9" t="str">
        <f t="shared" si="5"/>
        <v xml:space="preserve">MA
</v>
      </c>
      <c r="C191" s="24" t="s">
        <v>634</v>
      </c>
      <c r="D191" s="9" t="s">
        <v>627</v>
      </c>
      <c r="E191" s="9">
        <v>1</v>
      </c>
      <c r="F191" s="12">
        <v>0</v>
      </c>
      <c r="G191" s="9" t="s">
        <v>89</v>
      </c>
      <c r="H191" s="12"/>
      <c r="I191" s="9" t="s">
        <v>635</v>
      </c>
      <c r="J191" s="12"/>
      <c r="K191" s="12"/>
      <c r="L191" s="12"/>
      <c r="M191" s="12"/>
      <c r="N191" s="13" t="str">
        <f t="shared" si="1"/>
        <v>Al Rehman glass And Aluminum</v>
      </c>
      <c r="O191" s="16" t="s">
        <v>78</v>
      </c>
      <c r="P191" s="14">
        <v>2</v>
      </c>
      <c r="Q191" s="25">
        <v>44922</v>
      </c>
      <c r="R191" s="14">
        <v>1</v>
      </c>
      <c r="S191" s="26">
        <v>3.888888888888889E-2</v>
      </c>
      <c r="T191" s="16" t="s">
        <v>4</v>
      </c>
      <c r="U191" s="17" t="str">
        <f t="shared" si="2"/>
        <v>Al Rehman glass And Aluminum</v>
      </c>
      <c r="V191" s="16" t="s">
        <v>78</v>
      </c>
      <c r="W191" s="16">
        <v>3</v>
      </c>
      <c r="X191" s="25">
        <v>44942</v>
      </c>
      <c r="Y191" s="13"/>
      <c r="Z191" s="13"/>
      <c r="AA191" s="16" t="s">
        <v>108</v>
      </c>
      <c r="AB191" s="18" t="str">
        <f t="shared" si="3"/>
        <v>Al Rehman glass And Aluminum</v>
      </c>
      <c r="AC191" s="19" t="s">
        <v>78</v>
      </c>
      <c r="AD191" s="19" t="s">
        <v>79</v>
      </c>
      <c r="AE191" s="20" t="s">
        <v>122</v>
      </c>
      <c r="AF191" s="19" t="s">
        <v>75</v>
      </c>
      <c r="AG191" s="19" t="s">
        <v>75</v>
      </c>
      <c r="AH191" s="16" t="s">
        <v>101</v>
      </c>
      <c r="AI191" s="18"/>
      <c r="AJ191" s="13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3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2"/>
      <c r="BK191" s="12"/>
      <c r="BL191" s="12"/>
      <c r="BM191" s="9"/>
      <c r="BN191" s="9"/>
      <c r="BO191" s="9"/>
      <c r="BP191" s="12"/>
      <c r="BQ191" s="12"/>
      <c r="BR191" s="12"/>
      <c r="BS191" s="12"/>
      <c r="BT191" s="12"/>
      <c r="BU191" s="12"/>
      <c r="BV191" s="12"/>
      <c r="BW191" s="12"/>
      <c r="BX191" s="12"/>
      <c r="BY191" s="9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</row>
    <row r="192" spans="1:88" ht="40.5" customHeight="1">
      <c r="A192" s="9">
        <f t="shared" si="0"/>
        <v>190</v>
      </c>
      <c r="B192" s="9" t="str">
        <f t="shared" si="5"/>
        <v xml:space="preserve">MA
</v>
      </c>
      <c r="C192" s="9" t="s">
        <v>636</v>
      </c>
      <c r="D192" s="9" t="s">
        <v>627</v>
      </c>
      <c r="E192" s="12">
        <v>0</v>
      </c>
      <c r="F192" s="12">
        <v>0</v>
      </c>
      <c r="G192" s="9" t="s">
        <v>89</v>
      </c>
      <c r="H192" s="9" t="s">
        <v>79</v>
      </c>
      <c r="I192" s="10" t="s">
        <v>637</v>
      </c>
      <c r="J192" s="9" t="s">
        <v>79</v>
      </c>
      <c r="K192" s="9" t="s">
        <v>79</v>
      </c>
      <c r="L192" s="9" t="s">
        <v>638</v>
      </c>
      <c r="M192" s="12"/>
      <c r="N192" s="13" t="str">
        <f t="shared" si="1"/>
        <v>National Aluminium &amp; Steel Factory (GINCO)</v>
      </c>
      <c r="O192" s="16" t="s">
        <v>78</v>
      </c>
      <c r="P192" s="14">
        <v>2</v>
      </c>
      <c r="Q192" s="25">
        <v>44922</v>
      </c>
      <c r="R192" s="17"/>
      <c r="S192" s="17"/>
      <c r="T192" s="16" t="s">
        <v>126</v>
      </c>
      <c r="U192" s="17" t="str">
        <f t="shared" si="2"/>
        <v>National Aluminium &amp; Steel Factory (GINCO)</v>
      </c>
      <c r="V192" s="16" t="s">
        <v>78</v>
      </c>
      <c r="W192" s="16">
        <v>3</v>
      </c>
      <c r="X192" s="25">
        <v>44932</v>
      </c>
      <c r="Y192" s="13"/>
      <c r="Z192" s="13"/>
      <c r="AA192" s="16" t="s">
        <v>126</v>
      </c>
      <c r="AB192" s="18" t="str">
        <f t="shared" si="3"/>
        <v>National Aluminium &amp; Steel Factory (GINCO)</v>
      </c>
      <c r="AC192" s="19" t="s">
        <v>78</v>
      </c>
      <c r="AD192" s="19">
        <v>4</v>
      </c>
      <c r="AE192" s="27">
        <v>44942</v>
      </c>
      <c r="AF192" s="18"/>
      <c r="AG192" s="18"/>
      <c r="AH192" s="16" t="s">
        <v>126</v>
      </c>
      <c r="AI192" s="18"/>
      <c r="AJ192" s="16" t="s">
        <v>78</v>
      </c>
      <c r="AK192" s="19" t="s">
        <v>79</v>
      </c>
      <c r="AL192" s="20" t="s">
        <v>100</v>
      </c>
      <c r="AM192" s="19" t="s">
        <v>75</v>
      </c>
      <c r="AN192" s="20" t="s">
        <v>639</v>
      </c>
      <c r="AO192" s="19" t="s">
        <v>166</v>
      </c>
      <c r="AP192" s="18"/>
      <c r="AQ192" s="19" t="s">
        <v>98</v>
      </c>
      <c r="AR192" s="19" t="s">
        <v>79</v>
      </c>
      <c r="AS192" s="20" t="s">
        <v>140</v>
      </c>
      <c r="AT192" s="19" t="s">
        <v>75</v>
      </c>
      <c r="AU192" s="19" t="s">
        <v>75</v>
      </c>
      <c r="AV192" s="19" t="s">
        <v>86</v>
      </c>
      <c r="AW192" s="18"/>
      <c r="AX192" s="16" t="s">
        <v>78</v>
      </c>
      <c r="AY192" s="19" t="s">
        <v>79</v>
      </c>
      <c r="AZ192" s="20" t="s">
        <v>629</v>
      </c>
      <c r="BA192" s="19" t="s">
        <v>75</v>
      </c>
      <c r="BB192" s="19" t="s">
        <v>75</v>
      </c>
      <c r="BC192" s="19" t="s">
        <v>101</v>
      </c>
      <c r="BD192" s="18"/>
      <c r="BE192" s="18"/>
      <c r="BF192" s="18"/>
      <c r="BG192" s="18"/>
      <c r="BH192" s="18"/>
      <c r="BI192" s="18"/>
      <c r="BJ192" s="12"/>
      <c r="BK192" s="12"/>
      <c r="BL192" s="12"/>
      <c r="BM192" s="9"/>
      <c r="BN192" s="9"/>
      <c r="BO192" s="9"/>
      <c r="BP192" s="12"/>
      <c r="BQ192" s="12"/>
      <c r="BR192" s="12"/>
      <c r="BS192" s="12"/>
      <c r="BT192" s="12"/>
      <c r="BU192" s="12"/>
      <c r="BV192" s="12"/>
      <c r="BW192" s="12"/>
      <c r="BX192" s="12"/>
      <c r="BY192" s="9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</row>
    <row r="193" spans="1:88" ht="40.5" customHeight="1">
      <c r="A193" s="9">
        <f t="shared" si="0"/>
        <v>191</v>
      </c>
      <c r="B193" s="9" t="str">
        <f t="shared" si="5"/>
        <v xml:space="preserve">MA
</v>
      </c>
      <c r="C193" s="9" t="s">
        <v>640</v>
      </c>
      <c r="D193" s="9" t="s">
        <v>627</v>
      </c>
      <c r="E193" s="12">
        <v>0</v>
      </c>
      <c r="F193" s="12">
        <v>0</v>
      </c>
      <c r="G193" s="9" t="s">
        <v>89</v>
      </c>
      <c r="H193" s="9" t="s">
        <v>641</v>
      </c>
      <c r="I193" s="9" t="s">
        <v>642</v>
      </c>
      <c r="J193" s="9" t="s">
        <v>643</v>
      </c>
      <c r="K193" s="22" t="s">
        <v>644</v>
      </c>
      <c r="L193" s="12"/>
      <c r="M193" s="12"/>
      <c r="N193" s="13" t="str">
        <f t="shared" si="1"/>
        <v xml:space="preserve">MultiScale Aluminium &amp; Metal Industries
</v>
      </c>
      <c r="O193" s="16" t="s">
        <v>78</v>
      </c>
      <c r="P193" s="14">
        <v>2</v>
      </c>
      <c r="Q193" s="25">
        <v>44922</v>
      </c>
      <c r="R193" s="14">
        <v>3</v>
      </c>
      <c r="S193" s="26">
        <v>9.8611111111111108E-2</v>
      </c>
      <c r="T193" s="16" t="s">
        <v>81</v>
      </c>
      <c r="U193" s="17" t="str">
        <f t="shared" si="2"/>
        <v xml:space="preserve">MultiScale Aluminium &amp; Metal Industries
</v>
      </c>
      <c r="V193" s="16" t="s">
        <v>78</v>
      </c>
      <c r="W193" s="16">
        <v>4</v>
      </c>
      <c r="X193" s="25">
        <v>44932</v>
      </c>
      <c r="Y193" s="16">
        <v>2</v>
      </c>
      <c r="Z193" s="29">
        <v>5.4166666666666669E-2</v>
      </c>
      <c r="AA193" s="16" t="s">
        <v>153</v>
      </c>
      <c r="AB193" s="18" t="str">
        <f t="shared" si="3"/>
        <v xml:space="preserve">MultiScale Aluminium &amp; Metal Industries
</v>
      </c>
      <c r="AC193" s="19" t="s">
        <v>7</v>
      </c>
      <c r="AD193" s="19">
        <v>5</v>
      </c>
      <c r="AE193" s="27">
        <v>44942</v>
      </c>
      <c r="AF193" s="18"/>
      <c r="AG193" s="18"/>
      <c r="AH193" s="16" t="s">
        <v>86</v>
      </c>
      <c r="AI193" s="18"/>
      <c r="AJ193" s="16" t="s">
        <v>78</v>
      </c>
      <c r="AK193" s="19" t="s">
        <v>79</v>
      </c>
      <c r="AL193" s="20" t="s">
        <v>100</v>
      </c>
      <c r="AM193" s="19" t="s">
        <v>75</v>
      </c>
      <c r="AN193" s="19" t="s">
        <v>75</v>
      </c>
      <c r="AO193" s="19" t="s">
        <v>145</v>
      </c>
      <c r="AP193" s="18"/>
      <c r="AQ193" s="19" t="s">
        <v>7</v>
      </c>
      <c r="AR193" s="19" t="s">
        <v>79</v>
      </c>
      <c r="AS193" s="20" t="s">
        <v>140</v>
      </c>
      <c r="AT193" s="19" t="s">
        <v>75</v>
      </c>
      <c r="AU193" s="19" t="s">
        <v>75</v>
      </c>
      <c r="AV193" s="19" t="s">
        <v>86</v>
      </c>
      <c r="AW193" s="18"/>
      <c r="AX193" s="16" t="s">
        <v>7</v>
      </c>
      <c r="AY193" s="19" t="s">
        <v>79</v>
      </c>
      <c r="AZ193" s="20" t="s">
        <v>629</v>
      </c>
      <c r="BA193" s="19" t="s">
        <v>75</v>
      </c>
      <c r="BB193" s="19" t="s">
        <v>75</v>
      </c>
      <c r="BC193" s="19" t="s">
        <v>86</v>
      </c>
      <c r="BD193" s="18"/>
      <c r="BE193" s="18"/>
      <c r="BF193" s="18"/>
      <c r="BG193" s="18"/>
      <c r="BH193" s="18"/>
      <c r="BI193" s="18"/>
      <c r="BJ193" s="12"/>
      <c r="BK193" s="12"/>
      <c r="BL193" s="12"/>
      <c r="BM193" s="9"/>
      <c r="BN193" s="9"/>
      <c r="BO193" s="9"/>
      <c r="BP193" s="12"/>
      <c r="BQ193" s="12"/>
      <c r="BR193" s="12"/>
      <c r="BS193" s="12"/>
      <c r="BT193" s="12"/>
      <c r="BU193" s="12"/>
      <c r="BV193" s="12"/>
      <c r="BW193" s="12"/>
      <c r="BX193" s="12"/>
      <c r="BY193" s="9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</row>
    <row r="194" spans="1:88" ht="40.5" customHeight="1">
      <c r="A194" s="9">
        <f t="shared" si="0"/>
        <v>192</v>
      </c>
      <c r="B194" s="9" t="str">
        <f t="shared" si="5"/>
        <v xml:space="preserve">MA
</v>
      </c>
      <c r="C194" s="9" t="s">
        <v>645</v>
      </c>
      <c r="D194" s="9" t="s">
        <v>627</v>
      </c>
      <c r="E194" s="12">
        <v>0</v>
      </c>
      <c r="F194" s="12">
        <v>0</v>
      </c>
      <c r="G194" s="9" t="s">
        <v>89</v>
      </c>
      <c r="H194" s="9" t="s">
        <v>646</v>
      </c>
      <c r="I194" s="10" t="s">
        <v>647</v>
      </c>
      <c r="J194" s="9" t="s">
        <v>79</v>
      </c>
      <c r="K194" s="11" t="s">
        <v>648</v>
      </c>
      <c r="L194" s="12"/>
      <c r="M194" s="12"/>
      <c r="N194" s="13" t="str">
        <f t="shared" si="1"/>
        <v>WHITE ALUMINIUM CO (L.L.C), Suppliers of Aluminium, Glass and Accessories.</v>
      </c>
      <c r="O194" s="16" t="s">
        <v>78</v>
      </c>
      <c r="P194" s="14">
        <v>2</v>
      </c>
      <c r="Q194" s="25">
        <v>44922</v>
      </c>
      <c r="R194" s="17"/>
      <c r="S194" s="17"/>
      <c r="T194" s="16" t="s">
        <v>126</v>
      </c>
      <c r="U194" s="17" t="str">
        <f t="shared" si="2"/>
        <v>WHITE ALUMINIUM CO (L.L.C), Suppliers of Aluminium, Glass and Accessories.</v>
      </c>
      <c r="V194" s="16" t="s">
        <v>78</v>
      </c>
      <c r="W194" s="16">
        <v>3</v>
      </c>
      <c r="X194" s="25">
        <v>44932</v>
      </c>
      <c r="Y194" s="13"/>
      <c r="Z194" s="13"/>
      <c r="AA194" s="16" t="s">
        <v>126</v>
      </c>
      <c r="AB194" s="18" t="str">
        <f t="shared" si="3"/>
        <v>WHITE ALUMINIUM CO (L.L.C), Suppliers of Aluminium, Glass and Accessories.</v>
      </c>
      <c r="AC194" s="19" t="s">
        <v>78</v>
      </c>
      <c r="AD194" s="19">
        <v>4</v>
      </c>
      <c r="AE194" s="27">
        <v>44942</v>
      </c>
      <c r="AF194" s="18"/>
      <c r="AG194" s="18"/>
      <c r="AH194" s="16" t="s">
        <v>126</v>
      </c>
      <c r="AI194" s="18"/>
      <c r="AJ194" s="16" t="s">
        <v>78</v>
      </c>
      <c r="AK194" s="19" t="s">
        <v>79</v>
      </c>
      <c r="AL194" s="20" t="s">
        <v>100</v>
      </c>
      <c r="AM194" s="19" t="s">
        <v>75</v>
      </c>
      <c r="AN194" s="19" t="s">
        <v>75</v>
      </c>
      <c r="AO194" s="19" t="s">
        <v>145</v>
      </c>
      <c r="AP194" s="18"/>
      <c r="AQ194" s="19" t="s">
        <v>7</v>
      </c>
      <c r="AR194" s="19" t="s">
        <v>79</v>
      </c>
      <c r="AS194" s="20" t="s">
        <v>140</v>
      </c>
      <c r="AT194" s="19" t="s">
        <v>75</v>
      </c>
      <c r="AU194" s="19" t="s">
        <v>75</v>
      </c>
      <c r="AV194" s="19" t="s">
        <v>86</v>
      </c>
      <c r="AW194" s="18"/>
      <c r="AX194" s="16" t="s">
        <v>7</v>
      </c>
      <c r="AY194" s="19" t="s">
        <v>79</v>
      </c>
      <c r="AZ194" s="20" t="s">
        <v>629</v>
      </c>
      <c r="BA194" s="19" t="s">
        <v>75</v>
      </c>
      <c r="BB194" s="19" t="s">
        <v>75</v>
      </c>
      <c r="BC194" s="19" t="s">
        <v>86</v>
      </c>
      <c r="BD194" s="18"/>
      <c r="BE194" s="18"/>
      <c r="BF194" s="18"/>
      <c r="BG194" s="18"/>
      <c r="BH194" s="18"/>
      <c r="BI194" s="18"/>
      <c r="BJ194" s="12"/>
      <c r="BK194" s="12"/>
      <c r="BL194" s="12"/>
      <c r="BM194" s="9"/>
      <c r="BN194" s="9"/>
      <c r="BO194" s="9"/>
      <c r="BP194" s="12"/>
      <c r="BQ194" s="12"/>
      <c r="BR194" s="12"/>
      <c r="BS194" s="12"/>
      <c r="BT194" s="12"/>
      <c r="BU194" s="12"/>
      <c r="BV194" s="12"/>
      <c r="BW194" s="12"/>
      <c r="BX194" s="12"/>
      <c r="BY194" s="9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</row>
    <row r="195" spans="1:88" ht="40.5" customHeight="1">
      <c r="A195" s="9">
        <f t="shared" si="0"/>
        <v>193</v>
      </c>
      <c r="B195" s="9" t="str">
        <f t="shared" si="5"/>
        <v xml:space="preserve">MA
</v>
      </c>
      <c r="C195" s="9" t="s">
        <v>649</v>
      </c>
      <c r="D195" s="9" t="s">
        <v>627</v>
      </c>
      <c r="E195" s="12">
        <v>0</v>
      </c>
      <c r="F195" s="12">
        <v>0</v>
      </c>
      <c r="G195" s="9" t="s">
        <v>89</v>
      </c>
      <c r="H195" s="12"/>
      <c r="I195" s="9" t="s">
        <v>650</v>
      </c>
      <c r="J195" s="12"/>
      <c r="K195" s="9" t="s">
        <v>651</v>
      </c>
      <c r="L195" s="12"/>
      <c r="M195" s="12"/>
      <c r="N195" s="13" t="str">
        <f t="shared" si="1"/>
        <v xml:space="preserve">Al Remal Aluminium &amp; Glass Industries LLC
</v>
      </c>
      <c r="O195" s="16" t="s">
        <v>78</v>
      </c>
      <c r="P195" s="14">
        <v>2</v>
      </c>
      <c r="Q195" s="25">
        <v>44922</v>
      </c>
      <c r="R195" s="17"/>
      <c r="S195" s="17"/>
      <c r="T195" s="16" t="s">
        <v>126</v>
      </c>
      <c r="U195" s="17" t="str">
        <f t="shared" si="2"/>
        <v xml:space="preserve">Al Remal Aluminium &amp; Glass Industries LLC
</v>
      </c>
      <c r="V195" s="16" t="s">
        <v>78</v>
      </c>
      <c r="W195" s="16">
        <v>3</v>
      </c>
      <c r="X195" s="25">
        <v>44932</v>
      </c>
      <c r="Y195" s="16">
        <v>4</v>
      </c>
      <c r="Z195" s="29">
        <v>0.13819444444444445</v>
      </c>
      <c r="AA195" s="16" t="s">
        <v>81</v>
      </c>
      <c r="AB195" s="18" t="str">
        <f t="shared" si="3"/>
        <v xml:space="preserve">Al Remal Aluminium &amp; Glass Industries LLC
</v>
      </c>
      <c r="AC195" s="19" t="s">
        <v>7</v>
      </c>
      <c r="AD195" s="19">
        <v>4</v>
      </c>
      <c r="AE195" s="27">
        <v>44942</v>
      </c>
      <c r="AF195" s="18"/>
      <c r="AG195" s="18"/>
      <c r="AH195" s="16" t="s">
        <v>81</v>
      </c>
      <c r="AI195" s="18"/>
      <c r="AJ195" s="16" t="s">
        <v>78</v>
      </c>
      <c r="AK195" s="19" t="s">
        <v>79</v>
      </c>
      <c r="AL195" s="20" t="s">
        <v>100</v>
      </c>
      <c r="AM195" s="19" t="s">
        <v>75</v>
      </c>
      <c r="AN195" s="19" t="s">
        <v>75</v>
      </c>
      <c r="AO195" s="19" t="s">
        <v>145</v>
      </c>
      <c r="AP195" s="18"/>
      <c r="AQ195" s="19" t="s">
        <v>7</v>
      </c>
      <c r="AR195" s="19" t="s">
        <v>79</v>
      </c>
      <c r="AS195" s="20" t="s">
        <v>140</v>
      </c>
      <c r="AT195" s="19" t="s">
        <v>75</v>
      </c>
      <c r="AU195" s="19" t="s">
        <v>75</v>
      </c>
      <c r="AV195" s="19" t="s">
        <v>86</v>
      </c>
      <c r="AW195" s="18"/>
      <c r="AX195" s="16" t="s">
        <v>7</v>
      </c>
      <c r="AY195" s="19" t="s">
        <v>79</v>
      </c>
      <c r="AZ195" s="20" t="s">
        <v>629</v>
      </c>
      <c r="BA195" s="19" t="s">
        <v>75</v>
      </c>
      <c r="BB195" s="19" t="s">
        <v>75</v>
      </c>
      <c r="BC195" s="19" t="s">
        <v>86</v>
      </c>
      <c r="BD195" s="18"/>
      <c r="BE195" s="18"/>
      <c r="BF195" s="18"/>
      <c r="BG195" s="18"/>
      <c r="BH195" s="18"/>
      <c r="BI195" s="18"/>
      <c r="BJ195" s="12"/>
      <c r="BK195" s="12"/>
      <c r="BL195" s="12"/>
      <c r="BM195" s="9"/>
      <c r="BN195" s="9"/>
      <c r="BO195" s="9"/>
      <c r="BP195" s="12"/>
      <c r="BQ195" s="12"/>
      <c r="BR195" s="12"/>
      <c r="BS195" s="12"/>
      <c r="BT195" s="12"/>
      <c r="BU195" s="12"/>
      <c r="BV195" s="12"/>
      <c r="BW195" s="12"/>
      <c r="BX195" s="12"/>
      <c r="BY195" s="9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</row>
    <row r="196" spans="1:88" ht="40.5" customHeight="1">
      <c r="A196" s="9">
        <f t="shared" si="0"/>
        <v>194</v>
      </c>
      <c r="B196" s="9" t="str">
        <f t="shared" si="5"/>
        <v xml:space="preserve">MA
</v>
      </c>
      <c r="C196" s="9" t="s">
        <v>652</v>
      </c>
      <c r="D196" s="9" t="s">
        <v>627</v>
      </c>
      <c r="E196" s="12">
        <v>0</v>
      </c>
      <c r="F196" s="12">
        <v>0</v>
      </c>
      <c r="G196" s="9" t="s">
        <v>89</v>
      </c>
      <c r="H196" s="12"/>
      <c r="I196" s="9" t="s">
        <v>653</v>
      </c>
      <c r="J196" s="12"/>
      <c r="K196" s="9" t="s">
        <v>654</v>
      </c>
      <c r="L196" s="12"/>
      <c r="M196" s="12"/>
      <c r="N196" s="13" t="str">
        <f t="shared" si="1"/>
        <v>mj</v>
      </c>
      <c r="O196" s="16" t="s">
        <v>78</v>
      </c>
      <c r="P196" s="14">
        <v>2</v>
      </c>
      <c r="Q196" s="25">
        <v>44922</v>
      </c>
      <c r="R196" s="17"/>
      <c r="S196" s="17"/>
      <c r="T196" s="16" t="s">
        <v>126</v>
      </c>
      <c r="U196" s="17" t="str">
        <f t="shared" si="2"/>
        <v>mj</v>
      </c>
      <c r="V196" s="16" t="s">
        <v>78</v>
      </c>
      <c r="W196" s="16">
        <v>3</v>
      </c>
      <c r="X196" s="25">
        <v>44932</v>
      </c>
      <c r="Y196" s="13"/>
      <c r="Z196" s="13"/>
      <c r="AA196" s="16" t="s">
        <v>126</v>
      </c>
      <c r="AB196" s="18" t="str">
        <f t="shared" si="3"/>
        <v>mj</v>
      </c>
      <c r="AC196" s="19" t="s">
        <v>7</v>
      </c>
      <c r="AD196" s="19">
        <v>4</v>
      </c>
      <c r="AE196" s="27">
        <v>44942</v>
      </c>
      <c r="AF196" s="18"/>
      <c r="AG196" s="18"/>
      <c r="AH196" s="16" t="s">
        <v>81</v>
      </c>
      <c r="AI196" s="18"/>
      <c r="AJ196" s="16" t="s">
        <v>78</v>
      </c>
      <c r="AK196" s="19" t="s">
        <v>79</v>
      </c>
      <c r="AL196" s="20" t="s">
        <v>100</v>
      </c>
      <c r="AM196" s="19" t="s">
        <v>75</v>
      </c>
      <c r="AN196" s="19" t="s">
        <v>75</v>
      </c>
      <c r="AO196" s="19" t="s">
        <v>145</v>
      </c>
      <c r="AP196" s="18"/>
      <c r="AQ196" s="19" t="s">
        <v>7</v>
      </c>
      <c r="AR196" s="19" t="s">
        <v>79</v>
      </c>
      <c r="AS196" s="20" t="s">
        <v>140</v>
      </c>
      <c r="AT196" s="19" t="s">
        <v>75</v>
      </c>
      <c r="AU196" s="19" t="s">
        <v>75</v>
      </c>
      <c r="AV196" s="19" t="s">
        <v>86</v>
      </c>
      <c r="AW196" s="18"/>
      <c r="AX196" s="16" t="s">
        <v>7</v>
      </c>
      <c r="AY196" s="19" t="s">
        <v>79</v>
      </c>
      <c r="AZ196" s="20" t="s">
        <v>629</v>
      </c>
      <c r="BA196" s="19" t="s">
        <v>75</v>
      </c>
      <c r="BB196" s="19" t="s">
        <v>75</v>
      </c>
      <c r="BC196" s="19" t="s">
        <v>86</v>
      </c>
      <c r="BD196" s="18"/>
      <c r="BE196" s="18"/>
      <c r="BF196" s="18"/>
      <c r="BG196" s="18"/>
      <c r="BH196" s="18"/>
      <c r="BI196" s="18"/>
      <c r="BJ196" s="12"/>
      <c r="BK196" s="12"/>
      <c r="BL196" s="12"/>
      <c r="BM196" s="9"/>
      <c r="BN196" s="9"/>
      <c r="BO196" s="9"/>
      <c r="BP196" s="12"/>
      <c r="BQ196" s="12"/>
      <c r="BR196" s="12"/>
      <c r="BS196" s="12"/>
      <c r="BT196" s="12"/>
      <c r="BU196" s="12"/>
      <c r="BV196" s="12"/>
      <c r="BW196" s="12"/>
      <c r="BX196" s="12"/>
      <c r="BY196" s="9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</row>
    <row r="197" spans="1:88" ht="40.5" customHeight="1">
      <c r="A197" s="9">
        <f t="shared" si="0"/>
        <v>195</v>
      </c>
      <c r="B197" s="9" t="str">
        <f t="shared" si="5"/>
        <v xml:space="preserve">MA
</v>
      </c>
      <c r="C197" s="28" t="s">
        <v>655</v>
      </c>
      <c r="D197" s="9" t="s">
        <v>627</v>
      </c>
      <c r="E197" s="12">
        <v>0</v>
      </c>
      <c r="F197" s="12">
        <v>0</v>
      </c>
      <c r="G197" s="9" t="s">
        <v>375</v>
      </c>
      <c r="H197" s="12"/>
      <c r="I197" s="9" t="s">
        <v>656</v>
      </c>
      <c r="J197" s="9" t="s">
        <v>657</v>
      </c>
      <c r="K197" s="12"/>
      <c r="L197" s="12"/>
      <c r="M197" s="12"/>
      <c r="N197" s="13" t="str">
        <f t="shared" si="1"/>
        <v xml:space="preserve">Khalid Al Arabid Trd. Co. L.L.C (KATCO) شركة خالد العرابيد التجارية ذ.م.م
</v>
      </c>
      <c r="O197" s="16" t="s">
        <v>78</v>
      </c>
      <c r="P197" s="14">
        <v>4</v>
      </c>
      <c r="Q197" s="25">
        <v>44922</v>
      </c>
      <c r="R197" s="17"/>
      <c r="S197" s="17"/>
      <c r="T197" s="16" t="s">
        <v>101</v>
      </c>
      <c r="U197" s="17" t="str">
        <f t="shared" si="2"/>
        <v xml:space="preserve">Khalid Al Arabid Trd. Co. L.L.C (KATCO) شركة خالد العرابيد التجارية ذ.م.م
</v>
      </c>
      <c r="V197" s="16" t="s">
        <v>78</v>
      </c>
      <c r="W197" s="16">
        <v>5</v>
      </c>
      <c r="X197" s="25">
        <v>44932</v>
      </c>
      <c r="Y197" s="13"/>
      <c r="Z197" s="13"/>
      <c r="AA197" s="16" t="s">
        <v>101</v>
      </c>
      <c r="AB197" s="18" t="str">
        <f t="shared" si="3"/>
        <v xml:space="preserve">Khalid Al Arabid Trd. Co. L.L.C (KATCO) شركة خالد العرابيد التجارية ذ.م.م
</v>
      </c>
      <c r="AC197" s="19" t="s">
        <v>98</v>
      </c>
      <c r="AD197" s="19">
        <v>6</v>
      </c>
      <c r="AE197" s="27">
        <v>44942</v>
      </c>
      <c r="AF197" s="18"/>
      <c r="AG197" s="18"/>
      <c r="AH197" s="16" t="s">
        <v>86</v>
      </c>
      <c r="AI197" s="18"/>
      <c r="AJ197" s="16" t="s">
        <v>78</v>
      </c>
      <c r="AK197" s="19" t="s">
        <v>79</v>
      </c>
      <c r="AL197" s="20" t="s">
        <v>100</v>
      </c>
      <c r="AM197" s="19" t="s">
        <v>75</v>
      </c>
      <c r="AN197" s="19" t="s">
        <v>75</v>
      </c>
      <c r="AO197" s="19" t="s">
        <v>101</v>
      </c>
      <c r="AP197" s="18"/>
      <c r="AQ197" s="19" t="s">
        <v>98</v>
      </c>
      <c r="AR197" s="19" t="s">
        <v>79</v>
      </c>
      <c r="AS197" s="20" t="s">
        <v>140</v>
      </c>
      <c r="AT197" s="19" t="s">
        <v>75</v>
      </c>
      <c r="AU197" s="19" t="s">
        <v>75</v>
      </c>
      <c r="AV197" s="19" t="s">
        <v>86</v>
      </c>
      <c r="AW197" s="18"/>
      <c r="AX197" s="16" t="s">
        <v>78</v>
      </c>
      <c r="AY197" s="19" t="s">
        <v>79</v>
      </c>
      <c r="AZ197" s="20" t="s">
        <v>629</v>
      </c>
      <c r="BA197" s="19" t="s">
        <v>75</v>
      </c>
      <c r="BB197" s="19" t="s">
        <v>75</v>
      </c>
      <c r="BC197" s="19" t="s">
        <v>101</v>
      </c>
      <c r="BD197" s="18"/>
      <c r="BE197" s="18"/>
      <c r="BF197" s="18"/>
      <c r="BG197" s="18"/>
      <c r="BH197" s="18"/>
      <c r="BI197" s="18"/>
      <c r="BJ197" s="12"/>
      <c r="BK197" s="12"/>
      <c r="BL197" s="12"/>
      <c r="BM197" s="9"/>
      <c r="BN197" s="9"/>
      <c r="BO197" s="9"/>
      <c r="BP197" s="12"/>
      <c r="BQ197" s="12"/>
      <c r="BR197" s="12"/>
      <c r="BS197" s="12"/>
      <c r="BT197" s="12"/>
      <c r="BU197" s="12"/>
      <c r="BV197" s="12"/>
      <c r="BW197" s="12"/>
      <c r="BX197" s="12"/>
      <c r="BY197" s="9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</row>
    <row r="198" spans="1:88" ht="40.5" customHeight="1">
      <c r="A198" s="9">
        <f t="shared" si="0"/>
        <v>196</v>
      </c>
      <c r="B198" s="9" t="str">
        <f t="shared" si="5"/>
        <v xml:space="preserve">MA
</v>
      </c>
      <c r="C198" s="9" t="s">
        <v>658</v>
      </c>
      <c r="D198" s="9" t="s">
        <v>627</v>
      </c>
      <c r="E198" s="12">
        <v>0</v>
      </c>
      <c r="F198" s="12">
        <v>0</v>
      </c>
      <c r="G198" s="9" t="s">
        <v>89</v>
      </c>
      <c r="H198" s="9" t="s">
        <v>79</v>
      </c>
      <c r="I198" s="10" t="s">
        <v>659</v>
      </c>
      <c r="J198" s="9" t="s">
        <v>79</v>
      </c>
      <c r="K198" s="9" t="s">
        <v>79</v>
      </c>
      <c r="L198" s="12"/>
      <c r="M198" s="12"/>
      <c r="N198" s="13" t="str">
        <f t="shared" si="1"/>
        <v>Al Milad Hardware Trading</v>
      </c>
      <c r="O198" s="16" t="s">
        <v>78</v>
      </c>
      <c r="P198" s="14">
        <v>2</v>
      </c>
      <c r="Q198" s="25">
        <v>44922</v>
      </c>
      <c r="R198" s="17"/>
      <c r="S198" s="17"/>
      <c r="T198" s="16" t="s">
        <v>126</v>
      </c>
      <c r="U198" s="17" t="str">
        <f t="shared" si="2"/>
        <v>Al Milad Hardware Trading</v>
      </c>
      <c r="V198" s="16" t="s">
        <v>78</v>
      </c>
      <c r="W198" s="16">
        <v>3</v>
      </c>
      <c r="X198" s="25">
        <v>44932</v>
      </c>
      <c r="Y198" s="16">
        <v>3</v>
      </c>
      <c r="Z198" s="29">
        <v>8.7499999999999994E-2</v>
      </c>
      <c r="AA198" s="16" t="s">
        <v>108</v>
      </c>
      <c r="AB198" s="18" t="str">
        <f t="shared" si="3"/>
        <v>Al Milad Hardware Trading</v>
      </c>
      <c r="AC198" s="19" t="s">
        <v>98</v>
      </c>
      <c r="AD198" s="19">
        <v>4</v>
      </c>
      <c r="AE198" s="27">
        <v>44942</v>
      </c>
      <c r="AF198" s="18"/>
      <c r="AG198" s="18"/>
      <c r="AH198" s="16" t="s">
        <v>86</v>
      </c>
      <c r="AI198" s="18"/>
      <c r="AJ198" s="16" t="s">
        <v>78</v>
      </c>
      <c r="AK198" s="19" t="s">
        <v>79</v>
      </c>
      <c r="AL198" s="20" t="s">
        <v>100</v>
      </c>
      <c r="AM198" s="19" t="s">
        <v>75</v>
      </c>
      <c r="AN198" s="19" t="s">
        <v>75</v>
      </c>
      <c r="AO198" s="19" t="s">
        <v>101</v>
      </c>
      <c r="AP198" s="18"/>
      <c r="AQ198" s="19" t="s">
        <v>98</v>
      </c>
      <c r="AR198" s="19" t="s">
        <v>79</v>
      </c>
      <c r="AS198" s="20" t="s">
        <v>140</v>
      </c>
      <c r="AT198" s="19" t="s">
        <v>75</v>
      </c>
      <c r="AU198" s="19" t="s">
        <v>75</v>
      </c>
      <c r="AV198" s="19" t="s">
        <v>86</v>
      </c>
      <c r="AW198" s="18"/>
      <c r="AX198" s="16" t="s">
        <v>78</v>
      </c>
      <c r="AY198" s="19" t="s">
        <v>79</v>
      </c>
      <c r="AZ198" s="20" t="s">
        <v>629</v>
      </c>
      <c r="BA198" s="19" t="s">
        <v>75</v>
      </c>
      <c r="BB198" s="19" t="s">
        <v>75</v>
      </c>
      <c r="BC198" s="19" t="s">
        <v>101</v>
      </c>
      <c r="BD198" s="18"/>
      <c r="BE198" s="18"/>
      <c r="BF198" s="18"/>
      <c r="BG198" s="18"/>
      <c r="BH198" s="18"/>
      <c r="BI198" s="18"/>
      <c r="BJ198" s="12"/>
      <c r="BK198" s="12"/>
      <c r="BL198" s="12"/>
      <c r="BM198" s="9"/>
      <c r="BN198" s="9"/>
      <c r="BO198" s="9"/>
      <c r="BP198" s="12"/>
      <c r="BQ198" s="12"/>
      <c r="BR198" s="12"/>
      <c r="BS198" s="12"/>
      <c r="BT198" s="12"/>
      <c r="BU198" s="12"/>
      <c r="BV198" s="12"/>
      <c r="BW198" s="12"/>
      <c r="BX198" s="12"/>
      <c r="BY198" s="9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</row>
    <row r="199" spans="1:88" ht="40.5" customHeight="1">
      <c r="A199" s="9">
        <f t="shared" si="0"/>
        <v>197</v>
      </c>
      <c r="B199" s="9" t="str">
        <f t="shared" si="5"/>
        <v xml:space="preserve">MA
</v>
      </c>
      <c r="C199" s="9" t="s">
        <v>660</v>
      </c>
      <c r="D199" s="9" t="s">
        <v>627</v>
      </c>
      <c r="E199" s="12">
        <v>0</v>
      </c>
      <c r="F199" s="12">
        <v>0</v>
      </c>
      <c r="G199" s="9" t="s">
        <v>89</v>
      </c>
      <c r="H199" s="12"/>
      <c r="I199" s="9" t="s">
        <v>661</v>
      </c>
      <c r="J199" s="9" t="s">
        <v>662</v>
      </c>
      <c r="K199" s="12"/>
      <c r="L199" s="12"/>
      <c r="M199" s="12"/>
      <c r="N199" s="13" t="str">
        <f t="shared" si="1"/>
        <v xml:space="preserve">Alphaglass LLC
</v>
      </c>
      <c r="O199" s="16" t="s">
        <v>78</v>
      </c>
      <c r="P199" s="14">
        <v>3</v>
      </c>
      <c r="Q199" s="25">
        <v>44932</v>
      </c>
      <c r="R199" s="14">
        <v>4</v>
      </c>
      <c r="S199" s="26">
        <v>7.2222222222222215E-2</v>
      </c>
      <c r="T199" s="16" t="s">
        <v>108</v>
      </c>
      <c r="U199" s="17" t="str">
        <f t="shared" si="2"/>
        <v xml:space="preserve">Alphaglass LLC
</v>
      </c>
      <c r="V199" s="16" t="s">
        <v>78</v>
      </c>
      <c r="W199" s="16">
        <v>5</v>
      </c>
      <c r="X199" s="25">
        <v>44942</v>
      </c>
      <c r="Y199" s="13"/>
      <c r="Z199" s="13"/>
      <c r="AA199" s="16" t="s">
        <v>101</v>
      </c>
      <c r="AB199" s="18" t="str">
        <f t="shared" si="3"/>
        <v xml:space="preserve">Alphaglass LLC
</v>
      </c>
      <c r="AC199" s="19" t="s">
        <v>78</v>
      </c>
      <c r="AD199" s="19" t="s">
        <v>79</v>
      </c>
      <c r="AE199" s="20" t="s">
        <v>100</v>
      </c>
      <c r="AF199" s="19" t="s">
        <v>75</v>
      </c>
      <c r="AG199" s="20" t="s">
        <v>663</v>
      </c>
      <c r="AH199" s="16" t="s">
        <v>86</v>
      </c>
      <c r="AI199" s="18"/>
      <c r="AJ199" s="16" t="s">
        <v>98</v>
      </c>
      <c r="AK199" s="19" t="s">
        <v>79</v>
      </c>
      <c r="AL199" s="20" t="s">
        <v>140</v>
      </c>
      <c r="AM199" s="19" t="s">
        <v>75</v>
      </c>
      <c r="AN199" s="19" t="s">
        <v>75</v>
      </c>
      <c r="AO199" s="19" t="s">
        <v>86</v>
      </c>
      <c r="AP199" s="18"/>
      <c r="AQ199" s="19" t="s">
        <v>78</v>
      </c>
      <c r="AR199" s="19" t="s">
        <v>79</v>
      </c>
      <c r="AS199" s="20" t="s">
        <v>629</v>
      </c>
      <c r="AT199" s="19" t="s">
        <v>75</v>
      </c>
      <c r="AU199" s="19" t="s">
        <v>75</v>
      </c>
      <c r="AV199" s="19" t="s">
        <v>86</v>
      </c>
      <c r="AW199" s="18"/>
      <c r="AX199" s="13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2"/>
      <c r="BK199" s="12"/>
      <c r="BL199" s="12"/>
      <c r="BM199" s="9"/>
      <c r="BN199" s="9"/>
      <c r="BO199" s="9"/>
      <c r="BP199" s="12"/>
      <c r="BQ199" s="12"/>
      <c r="BR199" s="12"/>
      <c r="BS199" s="12"/>
      <c r="BT199" s="12"/>
      <c r="BU199" s="12"/>
      <c r="BV199" s="12"/>
      <c r="BW199" s="12"/>
      <c r="BX199" s="12"/>
      <c r="BY199" s="9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</row>
    <row r="200" spans="1:88" ht="40.5" customHeight="1">
      <c r="A200" s="9">
        <f t="shared" si="0"/>
        <v>198</v>
      </c>
      <c r="B200" s="9" t="str">
        <f t="shared" si="5"/>
        <v xml:space="preserve">MA
</v>
      </c>
      <c r="C200" s="9" t="s">
        <v>664</v>
      </c>
      <c r="D200" s="9" t="s">
        <v>665</v>
      </c>
      <c r="E200" s="12">
        <v>0</v>
      </c>
      <c r="F200" s="12">
        <v>0</v>
      </c>
      <c r="G200" s="9" t="s">
        <v>89</v>
      </c>
      <c r="H200" s="9" t="s">
        <v>79</v>
      </c>
      <c r="I200" s="10" t="s">
        <v>666</v>
      </c>
      <c r="J200" s="9" t="s">
        <v>79</v>
      </c>
      <c r="K200" s="11" t="s">
        <v>667</v>
      </c>
      <c r="L200" s="12"/>
      <c r="M200" s="12"/>
      <c r="N200" s="13" t="str">
        <f t="shared" si="1"/>
        <v>Royal Aluminium CO. W.L.L Bahrain</v>
      </c>
      <c r="O200" s="16" t="s">
        <v>78</v>
      </c>
      <c r="P200" s="14">
        <v>1</v>
      </c>
      <c r="Q200" s="25">
        <v>44931</v>
      </c>
      <c r="R200" s="17"/>
      <c r="S200" s="17"/>
      <c r="T200" s="16" t="s">
        <v>101</v>
      </c>
      <c r="U200" s="17" t="str">
        <f t="shared" si="2"/>
        <v>Royal Aluminium CO. W.L.L Bahrain</v>
      </c>
      <c r="V200" s="16" t="s">
        <v>78</v>
      </c>
      <c r="W200" s="16">
        <v>2</v>
      </c>
      <c r="X200" s="25">
        <v>44942</v>
      </c>
      <c r="Y200" s="13"/>
      <c r="Z200" s="13"/>
      <c r="AA200" s="16" t="s">
        <v>101</v>
      </c>
      <c r="AB200" s="18" t="str">
        <f t="shared" si="3"/>
        <v>Royal Aluminium CO. W.L.L Bahrain</v>
      </c>
      <c r="AC200" s="19" t="s">
        <v>78</v>
      </c>
      <c r="AD200" s="20" t="s">
        <v>527</v>
      </c>
      <c r="AE200" s="20" t="s">
        <v>122</v>
      </c>
      <c r="AF200" s="19" t="s">
        <v>75</v>
      </c>
      <c r="AG200" s="19" t="s">
        <v>75</v>
      </c>
      <c r="AH200" s="16" t="s">
        <v>101</v>
      </c>
      <c r="AI200" s="18"/>
      <c r="AJ200" s="16" t="s">
        <v>78</v>
      </c>
      <c r="AK200" s="19" t="s">
        <v>79</v>
      </c>
      <c r="AL200" s="20" t="s">
        <v>668</v>
      </c>
      <c r="AM200" s="19" t="s">
        <v>75</v>
      </c>
      <c r="AN200" s="19" t="s">
        <v>75</v>
      </c>
      <c r="AO200" s="19" t="s">
        <v>101</v>
      </c>
      <c r="AP200" s="18"/>
      <c r="AQ200" s="18"/>
      <c r="AR200" s="18"/>
      <c r="AS200" s="18"/>
      <c r="AT200" s="18"/>
      <c r="AU200" s="18"/>
      <c r="AV200" s="18"/>
      <c r="AW200" s="18"/>
      <c r="AX200" s="13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2"/>
      <c r="BK200" s="12"/>
      <c r="BL200" s="12"/>
      <c r="BM200" s="9"/>
      <c r="BN200" s="9"/>
      <c r="BO200" s="9"/>
      <c r="BP200" s="12"/>
      <c r="BQ200" s="12"/>
      <c r="BR200" s="12"/>
      <c r="BS200" s="12"/>
      <c r="BT200" s="12"/>
      <c r="BU200" s="12"/>
      <c r="BV200" s="12"/>
      <c r="BW200" s="12"/>
      <c r="BX200" s="12"/>
      <c r="BY200" s="9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</row>
    <row r="201" spans="1:88" ht="40.5" customHeight="1">
      <c r="A201" s="9">
        <f t="shared" si="0"/>
        <v>199</v>
      </c>
      <c r="B201" s="9" t="str">
        <f t="shared" si="5"/>
        <v xml:space="preserve">MA
</v>
      </c>
      <c r="C201" s="9" t="s">
        <v>669</v>
      </c>
      <c r="D201" s="9" t="s">
        <v>665</v>
      </c>
      <c r="E201" s="12">
        <v>0</v>
      </c>
      <c r="F201" s="12">
        <v>0</v>
      </c>
      <c r="G201" s="9" t="s">
        <v>89</v>
      </c>
      <c r="H201" s="9" t="s">
        <v>79</v>
      </c>
      <c r="I201" s="10" t="s">
        <v>670</v>
      </c>
      <c r="J201" s="9" t="s">
        <v>79</v>
      </c>
      <c r="K201" s="11" t="s">
        <v>671</v>
      </c>
      <c r="L201" s="12"/>
      <c r="M201" s="12"/>
      <c r="N201" s="13" t="str">
        <f t="shared" si="1"/>
        <v>Al Neel Aluminium W.L.L.</v>
      </c>
      <c r="O201" s="16" t="s">
        <v>78</v>
      </c>
      <c r="P201" s="14">
        <v>1</v>
      </c>
      <c r="Q201" s="25">
        <v>44931</v>
      </c>
      <c r="R201" s="17"/>
      <c r="S201" s="17"/>
      <c r="T201" s="16" t="s">
        <v>101</v>
      </c>
      <c r="U201" s="17" t="str">
        <f t="shared" si="2"/>
        <v>Al Neel Aluminium W.L.L.</v>
      </c>
      <c r="V201" s="16" t="s">
        <v>78</v>
      </c>
      <c r="W201" s="15" t="s">
        <v>232</v>
      </c>
      <c r="X201" s="15" t="s">
        <v>122</v>
      </c>
      <c r="Y201" s="16" t="s">
        <v>75</v>
      </c>
      <c r="Z201" s="16" t="s">
        <v>75</v>
      </c>
      <c r="AA201" s="16" t="s">
        <v>101</v>
      </c>
      <c r="AB201" s="18" t="str">
        <f t="shared" si="3"/>
        <v>Al Neel Aluminium W.L.L.</v>
      </c>
      <c r="AC201" s="19" t="s">
        <v>78</v>
      </c>
      <c r="AD201" s="19" t="s">
        <v>79</v>
      </c>
      <c r="AE201" s="20" t="s">
        <v>668</v>
      </c>
      <c r="AF201" s="19" t="s">
        <v>75</v>
      </c>
      <c r="AG201" s="19" t="s">
        <v>75</v>
      </c>
      <c r="AH201" s="16" t="s">
        <v>101</v>
      </c>
      <c r="AI201" s="18"/>
      <c r="AJ201" s="13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3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2"/>
      <c r="BK201" s="12"/>
      <c r="BL201" s="12"/>
      <c r="BM201" s="9"/>
      <c r="BN201" s="9"/>
      <c r="BO201" s="9"/>
      <c r="BP201" s="12"/>
      <c r="BQ201" s="12"/>
      <c r="BR201" s="12"/>
      <c r="BS201" s="12"/>
      <c r="BT201" s="12"/>
      <c r="BU201" s="12"/>
      <c r="BV201" s="12"/>
      <c r="BW201" s="12"/>
      <c r="BX201" s="12"/>
      <c r="BY201" s="9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</row>
    <row r="202" spans="1:88" ht="40.5" customHeight="1">
      <c r="A202" s="9">
        <f t="shared" si="0"/>
        <v>200</v>
      </c>
      <c r="B202" s="9" t="str">
        <f t="shared" si="5"/>
        <v xml:space="preserve">MA
</v>
      </c>
      <c r="C202" s="9" t="s">
        <v>672</v>
      </c>
      <c r="D202" s="9" t="s">
        <v>665</v>
      </c>
      <c r="E202" s="12">
        <v>0</v>
      </c>
      <c r="F202" s="12">
        <v>0</v>
      </c>
      <c r="G202" s="9" t="s">
        <v>89</v>
      </c>
      <c r="H202" s="9" t="s">
        <v>79</v>
      </c>
      <c r="I202" s="10" t="s">
        <v>673</v>
      </c>
      <c r="J202" s="9" t="s">
        <v>79</v>
      </c>
      <c r="K202" s="9" t="s">
        <v>79</v>
      </c>
      <c r="L202" s="12"/>
      <c r="M202" s="12"/>
      <c r="N202" s="13" t="str">
        <f t="shared" si="1"/>
        <v>Gulfhaven Aluminium Factory</v>
      </c>
      <c r="O202" s="16" t="s">
        <v>78</v>
      </c>
      <c r="P202" s="14">
        <v>1</v>
      </c>
      <c r="Q202" s="25">
        <v>44931</v>
      </c>
      <c r="R202" s="14">
        <v>1</v>
      </c>
      <c r="S202" s="26">
        <v>8.3333333333333329E-2</v>
      </c>
      <c r="T202" s="16" t="s">
        <v>153</v>
      </c>
      <c r="U202" s="17" t="str">
        <f t="shared" si="2"/>
        <v>Gulfhaven Aluminium Factory</v>
      </c>
      <c r="V202" s="16" t="s">
        <v>78</v>
      </c>
      <c r="W202" s="16">
        <v>2</v>
      </c>
      <c r="X202" s="25">
        <v>44943</v>
      </c>
      <c r="Y202" s="13"/>
      <c r="Z202" s="29">
        <v>1.0416666666666666E-2</v>
      </c>
      <c r="AA202" s="16" t="s">
        <v>153</v>
      </c>
      <c r="AB202" s="18" t="str">
        <f t="shared" si="3"/>
        <v>Gulfhaven Aluminium Factory</v>
      </c>
      <c r="AC202" s="19" t="s">
        <v>78</v>
      </c>
      <c r="AD202" s="20" t="s">
        <v>359</v>
      </c>
      <c r="AE202" s="20" t="s">
        <v>479</v>
      </c>
      <c r="AF202" s="19" t="s">
        <v>75</v>
      </c>
      <c r="AG202" s="19" t="s">
        <v>75</v>
      </c>
      <c r="AH202" s="16" t="s">
        <v>101</v>
      </c>
      <c r="AI202" s="18"/>
      <c r="AJ202" s="16" t="s">
        <v>78</v>
      </c>
      <c r="AK202" s="20" t="s">
        <v>486</v>
      </c>
      <c r="AL202" s="20" t="s">
        <v>122</v>
      </c>
      <c r="AM202" s="19" t="s">
        <v>75</v>
      </c>
      <c r="AN202" s="19" t="s">
        <v>75</v>
      </c>
      <c r="AO202" s="19" t="s">
        <v>101</v>
      </c>
      <c r="AP202" s="18"/>
      <c r="AQ202" s="19" t="s">
        <v>78</v>
      </c>
      <c r="AR202" s="19" t="s">
        <v>79</v>
      </c>
      <c r="AS202" s="20" t="s">
        <v>668</v>
      </c>
      <c r="AT202" s="19" t="s">
        <v>75</v>
      </c>
      <c r="AU202" s="19" t="s">
        <v>75</v>
      </c>
      <c r="AV202" s="19" t="s">
        <v>101</v>
      </c>
      <c r="AW202" s="18"/>
      <c r="AX202" s="13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2"/>
      <c r="BK202" s="12"/>
      <c r="BL202" s="12"/>
      <c r="BM202" s="9"/>
      <c r="BN202" s="9"/>
      <c r="BO202" s="9"/>
      <c r="BP202" s="12"/>
      <c r="BQ202" s="12"/>
      <c r="BR202" s="12"/>
      <c r="BS202" s="12"/>
      <c r="BT202" s="12"/>
      <c r="BU202" s="12"/>
      <c r="BV202" s="12"/>
      <c r="BW202" s="12"/>
      <c r="BX202" s="12"/>
      <c r="BY202" s="9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</row>
    <row r="203" spans="1:88" ht="40.5" customHeight="1">
      <c r="A203" s="9">
        <f t="shared" si="0"/>
        <v>201</v>
      </c>
      <c r="B203" s="9" t="str">
        <f t="shared" si="5"/>
        <v xml:space="preserve">MA
</v>
      </c>
      <c r="C203" s="9" t="s">
        <v>674</v>
      </c>
      <c r="D203" s="9" t="s">
        <v>665</v>
      </c>
      <c r="E203" s="12">
        <v>0</v>
      </c>
      <c r="F203" s="12">
        <v>0</v>
      </c>
      <c r="G203" s="9" t="s">
        <v>89</v>
      </c>
      <c r="H203" s="12"/>
      <c r="I203" s="9" t="s">
        <v>675</v>
      </c>
      <c r="J203" s="12"/>
      <c r="K203" s="11" t="s">
        <v>676</v>
      </c>
      <c r="L203" s="12"/>
      <c r="M203" s="12"/>
      <c r="N203" s="13" t="str">
        <f t="shared" si="1"/>
        <v xml:space="preserve">faris aluminium
</v>
      </c>
      <c r="O203" s="16" t="s">
        <v>78</v>
      </c>
      <c r="P203" s="14">
        <v>1</v>
      </c>
      <c r="Q203" s="25">
        <v>44931</v>
      </c>
      <c r="R203" s="17"/>
      <c r="S203" s="17"/>
      <c r="T203" s="16" t="s">
        <v>101</v>
      </c>
      <c r="U203" s="17" t="str">
        <f t="shared" si="2"/>
        <v xml:space="preserve">faris aluminium
</v>
      </c>
      <c r="V203" s="16" t="s">
        <v>78</v>
      </c>
      <c r="W203" s="16">
        <v>2</v>
      </c>
      <c r="X203" s="25">
        <v>44943</v>
      </c>
      <c r="Y203" s="13"/>
      <c r="Z203" s="13"/>
      <c r="AA203" s="16" t="s">
        <v>101</v>
      </c>
      <c r="AB203" s="18" t="str">
        <f t="shared" si="3"/>
        <v xml:space="preserve">faris aluminium
</v>
      </c>
      <c r="AC203" s="19" t="s">
        <v>78</v>
      </c>
      <c r="AD203" s="20" t="s">
        <v>93</v>
      </c>
      <c r="AE203" s="20" t="s">
        <v>479</v>
      </c>
      <c r="AF203" s="19" t="s">
        <v>75</v>
      </c>
      <c r="AG203" s="19" t="s">
        <v>75</v>
      </c>
      <c r="AH203" s="16" t="s">
        <v>101</v>
      </c>
      <c r="AI203" s="18"/>
      <c r="AJ203" s="16" t="s">
        <v>78</v>
      </c>
      <c r="AK203" s="20" t="s">
        <v>486</v>
      </c>
      <c r="AL203" s="20" t="s">
        <v>122</v>
      </c>
      <c r="AM203" s="19" t="s">
        <v>75</v>
      </c>
      <c r="AN203" s="19" t="s">
        <v>75</v>
      </c>
      <c r="AO203" s="19" t="s">
        <v>101</v>
      </c>
      <c r="AP203" s="18"/>
      <c r="AQ203" s="19" t="s">
        <v>78</v>
      </c>
      <c r="AR203" s="19" t="s">
        <v>79</v>
      </c>
      <c r="AS203" s="20" t="s">
        <v>668</v>
      </c>
      <c r="AT203" s="19" t="s">
        <v>75</v>
      </c>
      <c r="AU203" s="19" t="s">
        <v>75</v>
      </c>
      <c r="AV203" s="19" t="s">
        <v>86</v>
      </c>
      <c r="AW203" s="18"/>
      <c r="AX203" s="13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2"/>
      <c r="BK203" s="12"/>
      <c r="BL203" s="12"/>
      <c r="BM203" s="9"/>
      <c r="BN203" s="9"/>
      <c r="BO203" s="9"/>
      <c r="BP203" s="12"/>
      <c r="BQ203" s="12"/>
      <c r="BR203" s="12"/>
      <c r="BS203" s="12"/>
      <c r="BT203" s="12"/>
      <c r="BU203" s="12"/>
      <c r="BV203" s="12"/>
      <c r="BW203" s="12"/>
      <c r="BX203" s="12"/>
      <c r="BY203" s="9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</row>
    <row r="204" spans="1:88" ht="40.5" customHeight="1">
      <c r="A204" s="9">
        <f t="shared" si="0"/>
        <v>202</v>
      </c>
      <c r="B204" s="9" t="str">
        <f t="shared" si="5"/>
        <v xml:space="preserve">MA
</v>
      </c>
      <c r="C204" s="60" t="s">
        <v>677</v>
      </c>
      <c r="D204" s="9" t="s">
        <v>665</v>
      </c>
      <c r="E204" s="12">
        <v>0</v>
      </c>
      <c r="F204" s="12">
        <v>0</v>
      </c>
      <c r="G204" s="9" t="s">
        <v>89</v>
      </c>
      <c r="H204" s="12"/>
      <c r="I204" s="9" t="s">
        <v>678</v>
      </c>
      <c r="J204" s="12"/>
      <c r="K204" s="12"/>
      <c r="L204" s="12"/>
      <c r="M204" s="12"/>
      <c r="N204" s="13" t="str">
        <f t="shared" si="1"/>
        <v xml:space="preserve">Al dheya aluminium
</v>
      </c>
      <c r="O204" s="16" t="s">
        <v>78</v>
      </c>
      <c r="P204" s="14">
        <v>1</v>
      </c>
      <c r="Q204" s="25">
        <v>44931</v>
      </c>
      <c r="R204" s="17"/>
      <c r="S204" s="17"/>
      <c r="T204" s="16" t="s">
        <v>101</v>
      </c>
      <c r="U204" s="17" t="str">
        <f t="shared" si="2"/>
        <v xml:space="preserve">Al dheya aluminium
</v>
      </c>
      <c r="V204" s="16" t="s">
        <v>78</v>
      </c>
      <c r="W204" s="16">
        <v>2</v>
      </c>
      <c r="X204" s="25">
        <v>44943</v>
      </c>
      <c r="Y204" s="13"/>
      <c r="Z204" s="13"/>
      <c r="AA204" s="16" t="s">
        <v>101</v>
      </c>
      <c r="AB204" s="18" t="str">
        <f t="shared" si="3"/>
        <v xml:space="preserve">Al dheya aluminium
</v>
      </c>
      <c r="AC204" s="19" t="s">
        <v>78</v>
      </c>
      <c r="AD204" s="20" t="s">
        <v>359</v>
      </c>
      <c r="AE204" s="20" t="s">
        <v>479</v>
      </c>
      <c r="AF204" s="19" t="s">
        <v>75</v>
      </c>
      <c r="AG204" s="19" t="s">
        <v>75</v>
      </c>
      <c r="AH204" s="16" t="s">
        <v>101</v>
      </c>
      <c r="AI204" s="18"/>
      <c r="AJ204" s="16" t="s">
        <v>78</v>
      </c>
      <c r="AK204" s="20" t="s">
        <v>486</v>
      </c>
      <c r="AL204" s="20" t="s">
        <v>122</v>
      </c>
      <c r="AM204" s="19" t="s">
        <v>75</v>
      </c>
      <c r="AN204" s="19" t="s">
        <v>75</v>
      </c>
      <c r="AO204" s="19" t="s">
        <v>101</v>
      </c>
      <c r="AP204" s="18"/>
      <c r="AQ204" s="19" t="s">
        <v>78</v>
      </c>
      <c r="AR204" s="19" t="s">
        <v>79</v>
      </c>
      <c r="AS204" s="20" t="s">
        <v>668</v>
      </c>
      <c r="AT204" s="19" t="s">
        <v>75</v>
      </c>
      <c r="AU204" s="19" t="s">
        <v>75</v>
      </c>
      <c r="AV204" s="19" t="s">
        <v>101</v>
      </c>
      <c r="AW204" s="18"/>
      <c r="AX204" s="13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2"/>
      <c r="BK204" s="12"/>
      <c r="BL204" s="12"/>
      <c r="BM204" s="9"/>
      <c r="BN204" s="9"/>
      <c r="BO204" s="9"/>
      <c r="BP204" s="12"/>
      <c r="BQ204" s="12"/>
      <c r="BR204" s="12"/>
      <c r="BS204" s="12"/>
      <c r="BT204" s="12"/>
      <c r="BU204" s="12"/>
      <c r="BV204" s="12"/>
      <c r="BW204" s="12"/>
      <c r="BX204" s="12"/>
      <c r="BY204" s="9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</row>
    <row r="205" spans="1:88" ht="40.5" customHeight="1">
      <c r="A205" s="9">
        <f t="shared" si="0"/>
        <v>203</v>
      </c>
      <c r="B205" s="9" t="str">
        <f t="shared" si="5"/>
        <v xml:space="preserve">MA
</v>
      </c>
      <c r="C205" s="61" t="s">
        <v>679</v>
      </c>
      <c r="D205" s="9" t="s">
        <v>665</v>
      </c>
      <c r="E205" s="12">
        <v>0</v>
      </c>
      <c r="F205" s="12">
        <v>0</v>
      </c>
      <c r="G205" s="9" t="s">
        <v>89</v>
      </c>
      <c r="H205" s="12"/>
      <c r="I205" s="9" t="s">
        <v>680</v>
      </c>
      <c r="J205" s="12"/>
      <c r="K205" s="11" t="s">
        <v>681</v>
      </c>
      <c r="L205" s="12"/>
      <c r="M205" s="12"/>
      <c r="N205" s="13" t="str">
        <f t="shared" si="1"/>
        <v xml:space="preserve">Jelmmod Aluminium
</v>
      </c>
      <c r="O205" s="16" t="s">
        <v>78</v>
      </c>
      <c r="P205" s="14">
        <v>1</v>
      </c>
      <c r="Q205" s="25">
        <v>44931</v>
      </c>
      <c r="R205" s="17"/>
      <c r="S205" s="17"/>
      <c r="T205" s="16" t="s">
        <v>101</v>
      </c>
      <c r="U205" s="17" t="str">
        <f t="shared" si="2"/>
        <v xml:space="preserve">Jelmmod Aluminium
</v>
      </c>
      <c r="V205" s="16" t="s">
        <v>78</v>
      </c>
      <c r="W205" s="16">
        <v>2</v>
      </c>
      <c r="X205" s="25">
        <v>44943</v>
      </c>
      <c r="Y205" s="13"/>
      <c r="Z205" s="13"/>
      <c r="AA205" s="16" t="s">
        <v>101</v>
      </c>
      <c r="AB205" s="18" t="str">
        <f t="shared" si="3"/>
        <v xml:space="preserve">Jelmmod Aluminium
</v>
      </c>
      <c r="AC205" s="19" t="s">
        <v>78</v>
      </c>
      <c r="AD205" s="20" t="s">
        <v>359</v>
      </c>
      <c r="AE205" s="20" t="s">
        <v>479</v>
      </c>
      <c r="AF205" s="19" t="s">
        <v>75</v>
      </c>
      <c r="AG205" s="19" t="s">
        <v>75</v>
      </c>
      <c r="AH205" s="16" t="s">
        <v>86</v>
      </c>
      <c r="AI205" s="18"/>
      <c r="AJ205" s="16" t="s">
        <v>78</v>
      </c>
      <c r="AK205" s="20" t="s">
        <v>486</v>
      </c>
      <c r="AL205" s="20" t="s">
        <v>122</v>
      </c>
      <c r="AM205" s="19" t="s">
        <v>75</v>
      </c>
      <c r="AN205" s="20" t="s">
        <v>175</v>
      </c>
      <c r="AO205" s="19" t="s">
        <v>4</v>
      </c>
      <c r="AP205" s="18"/>
      <c r="AQ205" s="18"/>
      <c r="AR205" s="18"/>
      <c r="AS205" s="18"/>
      <c r="AT205" s="18"/>
      <c r="AU205" s="18"/>
      <c r="AV205" s="18"/>
      <c r="AW205" s="18"/>
      <c r="AX205" s="13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2"/>
      <c r="BK205" s="12"/>
      <c r="BL205" s="12"/>
      <c r="BM205" s="9"/>
      <c r="BN205" s="9"/>
      <c r="BO205" s="9"/>
      <c r="BP205" s="12"/>
      <c r="BQ205" s="12"/>
      <c r="BR205" s="12"/>
      <c r="BS205" s="12"/>
      <c r="BT205" s="12"/>
      <c r="BU205" s="12"/>
      <c r="BV205" s="12"/>
      <c r="BW205" s="12"/>
      <c r="BX205" s="12"/>
      <c r="BY205" s="9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</row>
    <row r="206" spans="1:88" ht="40.5" customHeight="1">
      <c r="A206" s="9">
        <f t="shared" si="0"/>
        <v>204</v>
      </c>
      <c r="B206" s="9" t="str">
        <f t="shared" si="5"/>
        <v xml:space="preserve">MA
</v>
      </c>
      <c r="C206" s="9" t="s">
        <v>682</v>
      </c>
      <c r="D206" s="9" t="s">
        <v>665</v>
      </c>
      <c r="E206" s="12">
        <v>0</v>
      </c>
      <c r="F206" s="12">
        <v>0</v>
      </c>
      <c r="G206" s="9" t="s">
        <v>89</v>
      </c>
      <c r="H206" s="9" t="s">
        <v>683</v>
      </c>
      <c r="I206" s="9" t="s">
        <v>684</v>
      </c>
      <c r="J206" s="12"/>
      <c r="K206" s="12"/>
      <c r="L206" s="12"/>
      <c r="M206" s="12"/>
      <c r="N206" s="13" t="str">
        <f t="shared" si="1"/>
        <v xml:space="preserve">Vorx Bahrain Aluminium
</v>
      </c>
      <c r="O206" s="16" t="s">
        <v>78</v>
      </c>
      <c r="P206" s="14">
        <v>1</v>
      </c>
      <c r="Q206" s="25">
        <v>44931</v>
      </c>
      <c r="R206" s="17"/>
      <c r="S206" s="17"/>
      <c r="T206" s="16" t="s">
        <v>126</v>
      </c>
      <c r="U206" s="17" t="str">
        <f t="shared" si="2"/>
        <v xml:space="preserve">Vorx Bahrain Aluminium
</v>
      </c>
      <c r="V206" s="16" t="s">
        <v>7</v>
      </c>
      <c r="W206" s="16">
        <v>2</v>
      </c>
      <c r="X206" s="25">
        <v>44943</v>
      </c>
      <c r="Y206" s="13"/>
      <c r="Z206" s="13"/>
      <c r="AA206" s="16" t="s">
        <v>81</v>
      </c>
      <c r="AB206" s="18" t="str">
        <f t="shared" si="3"/>
        <v xml:space="preserve">Vorx Bahrain Aluminium
</v>
      </c>
      <c r="AC206" s="19" t="s">
        <v>78</v>
      </c>
      <c r="AD206" s="19">
        <v>3</v>
      </c>
      <c r="AE206" s="27">
        <v>44957</v>
      </c>
      <c r="AF206" s="18"/>
      <c r="AG206" s="18"/>
      <c r="AH206" s="16" t="s">
        <v>126</v>
      </c>
      <c r="AI206" s="18"/>
      <c r="AJ206" s="16" t="s">
        <v>78</v>
      </c>
      <c r="AK206" s="20" t="s">
        <v>359</v>
      </c>
      <c r="AL206" s="20" t="s">
        <v>479</v>
      </c>
      <c r="AM206" s="19" t="s">
        <v>75</v>
      </c>
      <c r="AN206" s="19" t="s">
        <v>75</v>
      </c>
      <c r="AO206" s="19" t="s">
        <v>126</v>
      </c>
      <c r="AP206" s="18"/>
      <c r="AQ206" s="19" t="s">
        <v>78</v>
      </c>
      <c r="AR206" s="20" t="s">
        <v>486</v>
      </c>
      <c r="AS206" s="20" t="s">
        <v>122</v>
      </c>
      <c r="AT206" s="19" t="s">
        <v>75</v>
      </c>
      <c r="AU206" s="19" t="s">
        <v>75</v>
      </c>
      <c r="AV206" s="19" t="s">
        <v>145</v>
      </c>
      <c r="AW206" s="18"/>
      <c r="AX206" s="16" t="s">
        <v>78</v>
      </c>
      <c r="AY206" s="19" t="s">
        <v>79</v>
      </c>
      <c r="AZ206" s="20" t="s">
        <v>668</v>
      </c>
      <c r="BA206" s="19" t="s">
        <v>75</v>
      </c>
      <c r="BB206" s="19" t="s">
        <v>75</v>
      </c>
      <c r="BC206" s="19" t="s">
        <v>4</v>
      </c>
      <c r="BD206" s="18"/>
      <c r="BE206" s="18"/>
      <c r="BF206" s="18"/>
      <c r="BG206" s="18"/>
      <c r="BH206" s="18"/>
      <c r="BI206" s="18"/>
      <c r="BJ206" s="12"/>
      <c r="BK206" s="12"/>
      <c r="BL206" s="12"/>
      <c r="BM206" s="9"/>
      <c r="BN206" s="9"/>
      <c r="BO206" s="9"/>
      <c r="BP206" s="12"/>
      <c r="BQ206" s="12"/>
      <c r="BR206" s="12"/>
      <c r="BS206" s="12"/>
      <c r="BT206" s="12"/>
      <c r="BU206" s="12"/>
      <c r="BV206" s="12"/>
      <c r="BW206" s="12"/>
      <c r="BX206" s="12"/>
      <c r="BY206" s="9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</row>
    <row r="207" spans="1:88" ht="40.5" customHeight="1">
      <c r="A207" s="24">
        <f t="shared" si="0"/>
        <v>205</v>
      </c>
      <c r="B207" s="24" t="str">
        <f t="shared" si="5"/>
        <v xml:space="preserve">MA
</v>
      </c>
      <c r="C207" s="24" t="s">
        <v>685</v>
      </c>
      <c r="D207" s="24" t="s">
        <v>665</v>
      </c>
      <c r="E207" s="30">
        <v>0</v>
      </c>
      <c r="F207" s="30">
        <v>0</v>
      </c>
      <c r="G207" s="24" t="s">
        <v>89</v>
      </c>
      <c r="H207" s="30"/>
      <c r="I207" s="24" t="s">
        <v>686</v>
      </c>
      <c r="J207" s="30"/>
      <c r="K207" s="32" t="s">
        <v>687</v>
      </c>
      <c r="L207" s="30"/>
      <c r="M207" s="30"/>
      <c r="N207" s="33" t="str">
        <f t="shared" si="1"/>
        <v xml:space="preserve">Reynaers Middle East (Reynaers Aluminium)
</v>
      </c>
      <c r="O207" s="34" t="s">
        <v>78</v>
      </c>
      <c r="P207" s="35">
        <v>1</v>
      </c>
      <c r="Q207" s="36">
        <v>44931</v>
      </c>
      <c r="R207" s="35">
        <v>2</v>
      </c>
      <c r="S207" s="37">
        <v>7.7777777777777779E-2</v>
      </c>
      <c r="T207" s="34" t="s">
        <v>4</v>
      </c>
      <c r="U207" s="38" t="str">
        <f t="shared" si="2"/>
        <v xml:space="preserve">Reynaers Middle East (Reynaers Aluminium)
</v>
      </c>
      <c r="V207" s="33"/>
      <c r="W207" s="33"/>
      <c r="X207" s="33"/>
      <c r="Y207" s="33"/>
      <c r="Z207" s="33"/>
      <c r="AA207" s="33"/>
      <c r="AB207" s="39" t="str">
        <f t="shared" si="3"/>
        <v xml:space="preserve">Reynaers Middle East (Reynaers Aluminium)
</v>
      </c>
      <c r="AC207" s="39"/>
      <c r="AD207" s="39"/>
      <c r="AE207" s="39"/>
      <c r="AF207" s="39"/>
      <c r="AG207" s="39"/>
      <c r="AH207" s="33"/>
      <c r="AI207" s="39"/>
      <c r="AJ207" s="33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3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0"/>
      <c r="BK207" s="30"/>
      <c r="BL207" s="30"/>
      <c r="BM207" s="24"/>
      <c r="BN207" s="24"/>
      <c r="BO207" s="24"/>
      <c r="BP207" s="30"/>
      <c r="BQ207" s="30"/>
      <c r="BR207" s="30"/>
      <c r="BS207" s="30"/>
      <c r="BT207" s="30"/>
      <c r="BU207" s="30"/>
      <c r="BV207" s="30"/>
      <c r="BW207" s="30"/>
      <c r="BX207" s="30"/>
      <c r="BY207" s="24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</row>
    <row r="208" spans="1:88" ht="40.5" customHeight="1">
      <c r="A208" s="24">
        <f t="shared" si="0"/>
        <v>206</v>
      </c>
      <c r="B208" s="24" t="str">
        <f t="shared" si="5"/>
        <v xml:space="preserve">MA
</v>
      </c>
      <c r="C208" s="24" t="s">
        <v>688</v>
      </c>
      <c r="D208" s="24" t="s">
        <v>665</v>
      </c>
      <c r="E208" s="30">
        <v>0</v>
      </c>
      <c r="F208" s="30">
        <v>0</v>
      </c>
      <c r="G208" s="24" t="s">
        <v>89</v>
      </c>
      <c r="H208" s="30"/>
      <c r="I208" s="24" t="s">
        <v>689</v>
      </c>
      <c r="J208" s="30"/>
      <c r="K208" s="32" t="s">
        <v>690</v>
      </c>
      <c r="L208" s="30"/>
      <c r="M208" s="30"/>
      <c r="N208" s="33" t="str">
        <f t="shared" si="1"/>
        <v xml:space="preserve">Robin Aluminium W.L.L
</v>
      </c>
      <c r="O208" s="34" t="s">
        <v>78</v>
      </c>
      <c r="P208" s="35">
        <v>1</v>
      </c>
      <c r="Q208" s="36">
        <v>44931</v>
      </c>
      <c r="R208" s="38"/>
      <c r="S208" s="38"/>
      <c r="T208" s="34" t="s">
        <v>101</v>
      </c>
      <c r="U208" s="38" t="str">
        <f t="shared" si="2"/>
        <v xml:space="preserve">Robin Aluminium W.L.L
</v>
      </c>
      <c r="V208" s="34" t="s">
        <v>78</v>
      </c>
      <c r="W208" s="34">
        <v>2</v>
      </c>
      <c r="X208" s="36">
        <v>44943</v>
      </c>
      <c r="Y208" s="34">
        <v>3</v>
      </c>
      <c r="Z208" s="43">
        <v>0.35069444444444442</v>
      </c>
      <c r="AA208" s="34" t="s">
        <v>99</v>
      </c>
      <c r="AB208" s="39" t="str">
        <f t="shared" si="3"/>
        <v xml:space="preserve">Robin Aluminium W.L.L
</v>
      </c>
      <c r="AC208" s="40" t="s">
        <v>98</v>
      </c>
      <c r="AD208" s="40">
        <v>3</v>
      </c>
      <c r="AE208" s="41">
        <v>44957</v>
      </c>
      <c r="AF208" s="39"/>
      <c r="AG208" s="39"/>
      <c r="AH208" s="34" t="s">
        <v>86</v>
      </c>
      <c r="AI208" s="39"/>
      <c r="AJ208" s="34" t="s">
        <v>98</v>
      </c>
      <c r="AK208" s="45" t="s">
        <v>93</v>
      </c>
      <c r="AL208" s="45" t="s">
        <v>479</v>
      </c>
      <c r="AM208" s="40" t="s">
        <v>75</v>
      </c>
      <c r="AN208" s="40" t="s">
        <v>75</v>
      </c>
      <c r="AO208" s="40" t="s">
        <v>86</v>
      </c>
      <c r="AP208" s="39"/>
      <c r="AQ208" s="40" t="s">
        <v>78</v>
      </c>
      <c r="AR208" s="45" t="s">
        <v>486</v>
      </c>
      <c r="AS208" s="45" t="s">
        <v>122</v>
      </c>
      <c r="AT208" s="40" t="s">
        <v>75</v>
      </c>
      <c r="AU208" s="40" t="s">
        <v>75</v>
      </c>
      <c r="AV208" s="40" t="s">
        <v>4</v>
      </c>
      <c r="AW208" s="39"/>
      <c r="AX208" s="33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0"/>
      <c r="BK208" s="30"/>
      <c r="BL208" s="30"/>
      <c r="BM208" s="24"/>
      <c r="BN208" s="24"/>
      <c r="BO208" s="24"/>
      <c r="BP208" s="30"/>
      <c r="BQ208" s="30"/>
      <c r="BR208" s="30"/>
      <c r="BS208" s="30"/>
      <c r="BT208" s="30"/>
      <c r="BU208" s="30"/>
      <c r="BV208" s="30"/>
      <c r="BW208" s="30"/>
      <c r="BX208" s="30"/>
      <c r="BY208" s="24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</row>
    <row r="209" spans="1:88" ht="40.5" customHeight="1">
      <c r="A209" s="9">
        <f t="shared" si="0"/>
        <v>207</v>
      </c>
      <c r="B209" s="9" t="str">
        <f t="shared" si="5"/>
        <v xml:space="preserve">MA
</v>
      </c>
      <c r="C209" s="9" t="s">
        <v>691</v>
      </c>
      <c r="D209" s="9" t="s">
        <v>665</v>
      </c>
      <c r="E209" s="12">
        <v>0</v>
      </c>
      <c r="F209" s="12">
        <v>0</v>
      </c>
      <c r="G209" s="9" t="s">
        <v>89</v>
      </c>
      <c r="H209" s="12"/>
      <c r="I209" s="9" t="s">
        <v>692</v>
      </c>
      <c r="J209" s="12"/>
      <c r="K209" s="12"/>
      <c r="L209" s="12"/>
      <c r="M209" s="12"/>
      <c r="N209" s="13" t="str">
        <f t="shared" si="1"/>
        <v xml:space="preserve">Golden gate aluminium
</v>
      </c>
      <c r="O209" s="16" t="s">
        <v>78</v>
      </c>
      <c r="P209" s="14">
        <v>1</v>
      </c>
      <c r="Q209" s="25">
        <v>44931</v>
      </c>
      <c r="R209" s="14">
        <v>4</v>
      </c>
      <c r="S209" s="26">
        <v>0.3034722222222222</v>
      </c>
      <c r="T209" s="16" t="s">
        <v>190</v>
      </c>
      <c r="U209" s="17" t="str">
        <f t="shared" si="2"/>
        <v xml:space="preserve">Golden gate aluminium
</v>
      </c>
      <c r="V209" s="16" t="s">
        <v>98</v>
      </c>
      <c r="W209" s="16">
        <v>2</v>
      </c>
      <c r="X209" s="25">
        <v>44943</v>
      </c>
      <c r="Y209" s="13"/>
      <c r="Z209" s="13"/>
      <c r="AA209" s="16" t="s">
        <v>86</v>
      </c>
      <c r="AB209" s="18" t="str">
        <f t="shared" si="3"/>
        <v xml:space="preserve">Golden gate aluminium
</v>
      </c>
      <c r="AC209" s="19" t="s">
        <v>78</v>
      </c>
      <c r="AD209" s="19">
        <v>3</v>
      </c>
      <c r="AE209" s="27">
        <v>44957</v>
      </c>
      <c r="AF209" s="19">
        <v>3</v>
      </c>
      <c r="AG209" s="47">
        <v>1.0416666666666666E-2</v>
      </c>
      <c r="AH209" s="16" t="s">
        <v>153</v>
      </c>
      <c r="AI209" s="18"/>
      <c r="AJ209" s="16" t="s">
        <v>98</v>
      </c>
      <c r="AK209" s="20" t="s">
        <v>359</v>
      </c>
      <c r="AL209" s="20" t="s">
        <v>479</v>
      </c>
      <c r="AM209" s="19" t="s">
        <v>75</v>
      </c>
      <c r="AN209" s="19" t="s">
        <v>75</v>
      </c>
      <c r="AO209" s="19" t="s">
        <v>190</v>
      </c>
      <c r="AP209" s="18"/>
      <c r="AQ209" s="19" t="s">
        <v>78</v>
      </c>
      <c r="AR209" s="19" t="s">
        <v>79</v>
      </c>
      <c r="AS209" s="20" t="s">
        <v>668</v>
      </c>
      <c r="AT209" s="19" t="s">
        <v>75</v>
      </c>
      <c r="AU209" s="19" t="s">
        <v>75</v>
      </c>
      <c r="AV209" s="19" t="s">
        <v>101</v>
      </c>
      <c r="AW209" s="18"/>
      <c r="AX209" s="13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2"/>
      <c r="BK209" s="12"/>
      <c r="BL209" s="12"/>
      <c r="BM209" s="9"/>
      <c r="BN209" s="9"/>
      <c r="BO209" s="9"/>
      <c r="BP209" s="12"/>
      <c r="BQ209" s="12"/>
      <c r="BR209" s="12"/>
      <c r="BS209" s="12"/>
      <c r="BT209" s="12"/>
      <c r="BU209" s="12"/>
      <c r="BV209" s="12"/>
      <c r="BW209" s="12"/>
      <c r="BX209" s="12"/>
      <c r="BY209" s="9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</row>
    <row r="210" spans="1:88" ht="40.5" customHeight="1">
      <c r="A210" s="9">
        <f t="shared" si="0"/>
        <v>208</v>
      </c>
      <c r="B210" s="9" t="str">
        <f t="shared" si="5"/>
        <v xml:space="preserve">MA
</v>
      </c>
      <c r="C210" s="9" t="s">
        <v>693</v>
      </c>
      <c r="D210" s="9" t="s">
        <v>665</v>
      </c>
      <c r="E210" s="12">
        <v>0</v>
      </c>
      <c r="F210" s="12">
        <v>0</v>
      </c>
      <c r="G210" s="9" t="s">
        <v>89</v>
      </c>
      <c r="H210" s="12"/>
      <c r="I210" s="9" t="s">
        <v>694</v>
      </c>
      <c r="J210" s="9" t="s">
        <v>695</v>
      </c>
      <c r="K210" s="12"/>
      <c r="L210" s="12"/>
      <c r="M210" s="12"/>
      <c r="N210" s="13" t="str">
        <f t="shared" si="1"/>
        <v xml:space="preserve">Elias Aluminium Centre
</v>
      </c>
      <c r="O210" s="16" t="s">
        <v>78</v>
      </c>
      <c r="P210" s="14">
        <v>1</v>
      </c>
      <c r="Q210" s="25">
        <v>44931</v>
      </c>
      <c r="R210" s="14">
        <v>5</v>
      </c>
      <c r="S210" s="26">
        <v>0.18680555555555556</v>
      </c>
      <c r="T210" s="16" t="s">
        <v>108</v>
      </c>
      <c r="U210" s="17" t="str">
        <f t="shared" si="2"/>
        <v xml:space="preserve">Elias Aluminium Centre
</v>
      </c>
      <c r="V210" s="16" t="s">
        <v>78</v>
      </c>
      <c r="W210" s="16">
        <v>2</v>
      </c>
      <c r="X210" s="25">
        <v>44943</v>
      </c>
      <c r="Y210" s="16">
        <v>3</v>
      </c>
      <c r="Z210" s="29">
        <v>6.8750000000000006E-2</v>
      </c>
      <c r="AA210" s="16" t="s">
        <v>86</v>
      </c>
      <c r="AB210" s="18" t="str">
        <f t="shared" si="3"/>
        <v xml:space="preserve">Elias Aluminium Centre
</v>
      </c>
      <c r="AC210" s="19" t="s">
        <v>78</v>
      </c>
      <c r="AD210" s="19">
        <v>3</v>
      </c>
      <c r="AE210" s="27">
        <v>44957</v>
      </c>
      <c r="AF210" s="19">
        <v>5</v>
      </c>
      <c r="AG210" s="47">
        <v>4.1666666666666664E-2</v>
      </c>
      <c r="AH210" s="16" t="s">
        <v>190</v>
      </c>
      <c r="AI210" s="18"/>
      <c r="AJ210" s="16" t="s">
        <v>78</v>
      </c>
      <c r="AK210" s="20" t="s">
        <v>359</v>
      </c>
      <c r="AL210" s="20" t="s">
        <v>479</v>
      </c>
      <c r="AM210" s="19" t="s">
        <v>75</v>
      </c>
      <c r="AN210" s="19" t="s">
        <v>75</v>
      </c>
      <c r="AO210" s="19" t="s">
        <v>101</v>
      </c>
      <c r="AP210" s="18"/>
      <c r="AQ210" s="19" t="s">
        <v>78</v>
      </c>
      <c r="AR210" s="20" t="s">
        <v>121</v>
      </c>
      <c r="AS210" s="20" t="s">
        <v>122</v>
      </c>
      <c r="AT210" s="19" t="s">
        <v>75</v>
      </c>
      <c r="AU210" s="19" t="s">
        <v>75</v>
      </c>
      <c r="AV210" s="19" t="s">
        <v>101</v>
      </c>
      <c r="AW210" s="18"/>
      <c r="AX210" s="16" t="s">
        <v>78</v>
      </c>
      <c r="AY210" s="19" t="s">
        <v>79</v>
      </c>
      <c r="AZ210" s="20" t="s">
        <v>668</v>
      </c>
      <c r="BA210" s="19" t="s">
        <v>75</v>
      </c>
      <c r="BB210" s="19" t="s">
        <v>75</v>
      </c>
      <c r="BC210" s="19" t="s">
        <v>101</v>
      </c>
      <c r="BD210" s="18"/>
      <c r="BE210" s="18"/>
      <c r="BF210" s="18"/>
      <c r="BG210" s="18"/>
      <c r="BH210" s="18"/>
      <c r="BI210" s="18"/>
      <c r="BJ210" s="12"/>
      <c r="BK210" s="12"/>
      <c r="BL210" s="12"/>
      <c r="BM210" s="9"/>
      <c r="BN210" s="9"/>
      <c r="BO210" s="9"/>
      <c r="BP210" s="12"/>
      <c r="BQ210" s="12"/>
      <c r="BR210" s="12"/>
      <c r="BS210" s="12"/>
      <c r="BT210" s="12"/>
      <c r="BU210" s="12"/>
      <c r="BV210" s="12"/>
      <c r="BW210" s="12"/>
      <c r="BX210" s="12"/>
      <c r="BY210" s="9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</row>
    <row r="211" spans="1:88" ht="40.5" customHeight="1">
      <c r="A211" s="9">
        <f t="shared" si="0"/>
        <v>209</v>
      </c>
      <c r="B211" s="9" t="str">
        <f t="shared" si="5"/>
        <v xml:space="preserve">MA
</v>
      </c>
      <c r="C211" s="9" t="s">
        <v>696</v>
      </c>
      <c r="D211" s="9" t="s">
        <v>665</v>
      </c>
      <c r="E211" s="12">
        <v>0</v>
      </c>
      <c r="F211" s="12">
        <v>0</v>
      </c>
      <c r="G211" s="9" t="s">
        <v>89</v>
      </c>
      <c r="H211" s="12"/>
      <c r="I211" s="9" t="s">
        <v>697</v>
      </c>
      <c r="J211" s="9" t="s">
        <v>698</v>
      </c>
      <c r="K211" s="12"/>
      <c r="L211" s="12"/>
      <c r="M211" s="12"/>
      <c r="N211" s="13" t="str">
        <f t="shared" si="1"/>
        <v xml:space="preserve">Dream Workshop Company W. L. L
</v>
      </c>
      <c r="O211" s="16" t="s">
        <v>78</v>
      </c>
      <c r="P211" s="14">
        <v>1</v>
      </c>
      <c r="Q211" s="25">
        <v>44931</v>
      </c>
      <c r="R211" s="14">
        <v>5</v>
      </c>
      <c r="S211" s="26">
        <v>0.25138888888888888</v>
      </c>
      <c r="T211" s="16" t="s">
        <v>108</v>
      </c>
      <c r="U211" s="17" t="str">
        <f t="shared" si="2"/>
        <v xml:space="preserve">Dream Workshop Company W. L. L
</v>
      </c>
      <c r="V211" s="16" t="s">
        <v>78</v>
      </c>
      <c r="W211" s="16">
        <v>2</v>
      </c>
      <c r="X211" s="25">
        <v>44943</v>
      </c>
      <c r="Y211" s="13"/>
      <c r="Z211" s="13"/>
      <c r="AA211" s="16" t="s">
        <v>101</v>
      </c>
      <c r="AB211" s="18" t="str">
        <f t="shared" si="3"/>
        <v xml:space="preserve">Dream Workshop Company W. L. L
</v>
      </c>
      <c r="AC211" s="19" t="s">
        <v>78</v>
      </c>
      <c r="AD211" s="19">
        <v>3</v>
      </c>
      <c r="AE211" s="27">
        <v>44957</v>
      </c>
      <c r="AF211" s="18"/>
      <c r="AG211" s="18"/>
      <c r="AH211" s="16" t="s">
        <v>101</v>
      </c>
      <c r="AI211" s="18"/>
      <c r="AJ211" s="16" t="s">
        <v>78</v>
      </c>
      <c r="AK211" s="20" t="s">
        <v>359</v>
      </c>
      <c r="AL211" s="20" t="s">
        <v>479</v>
      </c>
      <c r="AM211" s="19" t="s">
        <v>75</v>
      </c>
      <c r="AN211" s="19" t="s">
        <v>75</v>
      </c>
      <c r="AO211" s="19" t="s">
        <v>101</v>
      </c>
      <c r="AP211" s="18"/>
      <c r="AQ211" s="19" t="s">
        <v>78</v>
      </c>
      <c r="AR211" s="20" t="s">
        <v>486</v>
      </c>
      <c r="AS211" s="20" t="s">
        <v>122</v>
      </c>
      <c r="AT211" s="19" t="s">
        <v>75</v>
      </c>
      <c r="AU211" s="19" t="s">
        <v>75</v>
      </c>
      <c r="AV211" s="19" t="s">
        <v>101</v>
      </c>
      <c r="AW211" s="18"/>
      <c r="AX211" s="16" t="s">
        <v>78</v>
      </c>
      <c r="AY211" s="19" t="s">
        <v>79</v>
      </c>
      <c r="AZ211" s="20" t="s">
        <v>668</v>
      </c>
      <c r="BA211" s="19" t="s">
        <v>75</v>
      </c>
      <c r="BB211" s="19" t="s">
        <v>75</v>
      </c>
      <c r="BC211" s="19" t="s">
        <v>153</v>
      </c>
      <c r="BD211" s="18"/>
      <c r="BE211" s="18"/>
      <c r="BF211" s="18"/>
      <c r="BG211" s="18"/>
      <c r="BH211" s="18"/>
      <c r="BI211" s="18"/>
      <c r="BJ211" s="12"/>
      <c r="BK211" s="12"/>
      <c r="BL211" s="12"/>
      <c r="BM211" s="9"/>
      <c r="BN211" s="9"/>
      <c r="BO211" s="9"/>
      <c r="BP211" s="12"/>
      <c r="BQ211" s="12"/>
      <c r="BR211" s="12"/>
      <c r="BS211" s="12"/>
      <c r="BT211" s="12"/>
      <c r="BU211" s="12"/>
      <c r="BV211" s="12"/>
      <c r="BW211" s="12"/>
      <c r="BX211" s="12"/>
      <c r="BY211" s="9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</row>
    <row r="212" spans="1:88" ht="40.5" customHeight="1">
      <c r="A212" s="9">
        <f t="shared" si="0"/>
        <v>210</v>
      </c>
      <c r="B212" s="9" t="str">
        <f t="shared" si="5"/>
        <v xml:space="preserve">MA
</v>
      </c>
      <c r="C212" s="9" t="s">
        <v>699</v>
      </c>
      <c r="D212" s="9" t="s">
        <v>665</v>
      </c>
      <c r="E212" s="12">
        <v>0</v>
      </c>
      <c r="F212" s="12">
        <v>0</v>
      </c>
      <c r="G212" s="9" t="s">
        <v>89</v>
      </c>
      <c r="H212" s="12"/>
      <c r="I212" s="9" t="s">
        <v>700</v>
      </c>
      <c r="J212" s="9" t="s">
        <v>701</v>
      </c>
      <c r="K212" s="12"/>
      <c r="L212" s="12"/>
      <c r="M212" s="12"/>
      <c r="N212" s="13" t="str">
        <f t="shared" si="1"/>
        <v xml:space="preserve">taylos aluminium
</v>
      </c>
      <c r="O212" s="16" t="s">
        <v>78</v>
      </c>
      <c r="P212" s="14">
        <v>1</v>
      </c>
      <c r="Q212" s="25">
        <v>44931</v>
      </c>
      <c r="R212" s="14">
        <v>5</v>
      </c>
      <c r="S212" s="26">
        <v>0.27083333333333331</v>
      </c>
      <c r="T212" s="16" t="s">
        <v>190</v>
      </c>
      <c r="U212" s="17" t="str">
        <f t="shared" si="2"/>
        <v xml:space="preserve">taylos aluminium
</v>
      </c>
      <c r="V212" s="16" t="s">
        <v>78</v>
      </c>
      <c r="W212" s="16">
        <v>2</v>
      </c>
      <c r="X212" s="25">
        <v>44943</v>
      </c>
      <c r="Y212" s="13"/>
      <c r="Z212" s="13"/>
      <c r="AA212" s="16" t="s">
        <v>101</v>
      </c>
      <c r="AB212" s="18" t="str">
        <f t="shared" si="3"/>
        <v xml:space="preserve">taylos aluminium
</v>
      </c>
      <c r="AC212" s="19" t="s">
        <v>78</v>
      </c>
      <c r="AD212" s="19">
        <v>3</v>
      </c>
      <c r="AE212" s="27">
        <v>44957</v>
      </c>
      <c r="AF212" s="18"/>
      <c r="AG212" s="18"/>
      <c r="AH212" s="16" t="s">
        <v>101</v>
      </c>
      <c r="AI212" s="18"/>
      <c r="AJ212" s="16" t="s">
        <v>98</v>
      </c>
      <c r="AK212" s="19" t="s">
        <v>79</v>
      </c>
      <c r="AL212" s="20" t="s">
        <v>668</v>
      </c>
      <c r="AM212" s="19" t="s">
        <v>75</v>
      </c>
      <c r="AN212" s="19" t="s">
        <v>75</v>
      </c>
      <c r="AO212" s="19" t="s">
        <v>86</v>
      </c>
      <c r="AP212" s="18"/>
      <c r="AQ212" s="18"/>
      <c r="AR212" s="18"/>
      <c r="AS212" s="18"/>
      <c r="AT212" s="18"/>
      <c r="AU212" s="18"/>
      <c r="AV212" s="18"/>
      <c r="AW212" s="18"/>
      <c r="AX212" s="13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2"/>
      <c r="BK212" s="12"/>
      <c r="BL212" s="12"/>
      <c r="BM212" s="9"/>
      <c r="BN212" s="9"/>
      <c r="BO212" s="9"/>
      <c r="BP212" s="12"/>
      <c r="BQ212" s="12"/>
      <c r="BR212" s="12"/>
      <c r="BS212" s="12"/>
      <c r="BT212" s="12"/>
      <c r="BU212" s="12"/>
      <c r="BV212" s="12"/>
      <c r="BW212" s="12"/>
      <c r="BX212" s="12"/>
      <c r="BY212" s="9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</row>
    <row r="213" spans="1:88" ht="40.5" customHeight="1">
      <c r="A213" s="9">
        <f t="shared" si="0"/>
        <v>211</v>
      </c>
      <c r="B213" s="9" t="str">
        <f t="shared" si="5"/>
        <v xml:space="preserve">MA
</v>
      </c>
      <c r="C213" s="9" t="s">
        <v>702</v>
      </c>
      <c r="D213" s="9" t="s">
        <v>665</v>
      </c>
      <c r="E213" s="12">
        <v>0</v>
      </c>
      <c r="F213" s="12">
        <v>0</v>
      </c>
      <c r="G213" s="9" t="s">
        <v>89</v>
      </c>
      <c r="H213" s="12"/>
      <c r="I213" s="9" t="s">
        <v>703</v>
      </c>
      <c r="J213" s="12"/>
      <c r="K213" s="12"/>
      <c r="L213" s="12"/>
      <c r="M213" s="12"/>
      <c r="N213" s="13" t="str">
        <f t="shared" si="1"/>
        <v xml:space="preserve">Al sadiq Aluminium &amp; Glass And Steel
</v>
      </c>
      <c r="O213" s="16" t="s">
        <v>78</v>
      </c>
      <c r="P213" s="14">
        <v>1</v>
      </c>
      <c r="Q213" s="25">
        <v>44931</v>
      </c>
      <c r="R213" s="17"/>
      <c r="S213" s="17"/>
      <c r="T213" s="16" t="s">
        <v>126</v>
      </c>
      <c r="U213" s="17" t="str">
        <f t="shared" si="2"/>
        <v xml:space="preserve">Al sadiq Aluminium &amp; Glass And Steel
</v>
      </c>
      <c r="V213" s="16" t="s">
        <v>78</v>
      </c>
      <c r="W213" s="16">
        <v>2</v>
      </c>
      <c r="X213" s="25">
        <v>44943</v>
      </c>
      <c r="Y213" s="13"/>
      <c r="Z213" s="13"/>
      <c r="AA213" s="16" t="s">
        <v>126</v>
      </c>
      <c r="AB213" s="18" t="str">
        <f t="shared" si="3"/>
        <v xml:space="preserve">Al sadiq Aluminium &amp; Glass And Steel
</v>
      </c>
      <c r="AC213" s="19" t="s">
        <v>78</v>
      </c>
      <c r="AD213" s="19">
        <v>3</v>
      </c>
      <c r="AE213" s="27">
        <v>44957</v>
      </c>
      <c r="AF213" s="18"/>
      <c r="AG213" s="18"/>
      <c r="AH213" s="16" t="s">
        <v>126</v>
      </c>
      <c r="AI213" s="18"/>
      <c r="AJ213" s="16" t="s">
        <v>78</v>
      </c>
      <c r="AK213" s="20" t="s">
        <v>359</v>
      </c>
      <c r="AL213" s="20" t="s">
        <v>479</v>
      </c>
      <c r="AM213" s="19" t="s">
        <v>75</v>
      </c>
      <c r="AN213" s="19" t="s">
        <v>75</v>
      </c>
      <c r="AO213" s="19" t="s">
        <v>126</v>
      </c>
      <c r="AP213" s="18"/>
      <c r="AQ213" s="19" t="s">
        <v>78</v>
      </c>
      <c r="AR213" s="20" t="s">
        <v>486</v>
      </c>
      <c r="AS213" s="20" t="s">
        <v>122</v>
      </c>
      <c r="AT213" s="19" t="s">
        <v>75</v>
      </c>
      <c r="AU213" s="19" t="s">
        <v>75</v>
      </c>
      <c r="AV213" s="19" t="s">
        <v>126</v>
      </c>
      <c r="AW213" s="18"/>
      <c r="AX213" s="16" t="s">
        <v>78</v>
      </c>
      <c r="AY213" s="19" t="s">
        <v>79</v>
      </c>
      <c r="AZ213" s="20" t="s">
        <v>668</v>
      </c>
      <c r="BA213" s="19" t="s">
        <v>75</v>
      </c>
      <c r="BB213" s="19" t="s">
        <v>75</v>
      </c>
      <c r="BC213" s="19" t="s">
        <v>4</v>
      </c>
      <c r="BD213" s="18"/>
      <c r="BE213" s="18"/>
      <c r="BF213" s="18"/>
      <c r="BG213" s="18"/>
      <c r="BH213" s="18"/>
      <c r="BI213" s="18"/>
      <c r="BJ213" s="12"/>
      <c r="BK213" s="12"/>
      <c r="BL213" s="12"/>
      <c r="BM213" s="9"/>
      <c r="BN213" s="9"/>
      <c r="BO213" s="9"/>
      <c r="BP213" s="12"/>
      <c r="BQ213" s="12"/>
      <c r="BR213" s="12"/>
      <c r="BS213" s="12"/>
      <c r="BT213" s="12"/>
      <c r="BU213" s="12"/>
      <c r="BV213" s="12"/>
      <c r="BW213" s="12"/>
      <c r="BX213" s="12"/>
      <c r="BY213" s="9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</row>
    <row r="214" spans="1:88" ht="40.5" customHeight="1">
      <c r="A214" s="24">
        <f t="shared" si="0"/>
        <v>212</v>
      </c>
      <c r="B214" s="24" t="str">
        <f t="shared" si="5"/>
        <v xml:space="preserve">MA
</v>
      </c>
      <c r="C214" s="24" t="s">
        <v>704</v>
      </c>
      <c r="D214" s="24" t="s">
        <v>665</v>
      </c>
      <c r="E214" s="30">
        <v>0</v>
      </c>
      <c r="F214" s="30">
        <v>0</v>
      </c>
      <c r="G214" s="24" t="s">
        <v>89</v>
      </c>
      <c r="H214" s="30"/>
      <c r="I214" s="24" t="s">
        <v>705</v>
      </c>
      <c r="J214" s="30"/>
      <c r="K214" s="30"/>
      <c r="L214" s="30"/>
      <c r="M214" s="30"/>
      <c r="N214" s="33" t="str">
        <f t="shared" si="1"/>
        <v xml:space="preserve">AL HELLI ALUMINIUM&amp; WELDING WORKSHOP
</v>
      </c>
      <c r="O214" s="34" t="s">
        <v>78</v>
      </c>
      <c r="P214" s="35">
        <v>1</v>
      </c>
      <c r="Q214" s="36">
        <v>44931</v>
      </c>
      <c r="R214" s="35">
        <v>1</v>
      </c>
      <c r="S214" s="37">
        <v>5.347222222222222E-2</v>
      </c>
      <c r="T214" s="34" t="s">
        <v>4</v>
      </c>
      <c r="U214" s="38" t="str">
        <f t="shared" si="2"/>
        <v xml:space="preserve">AL HELLI ALUMINIUM&amp; WELDING WORKSHOP
</v>
      </c>
      <c r="V214" s="33"/>
      <c r="W214" s="33"/>
      <c r="X214" s="33"/>
      <c r="Y214" s="33"/>
      <c r="Z214" s="33"/>
      <c r="AA214" s="33"/>
      <c r="AB214" s="39" t="str">
        <f t="shared" si="3"/>
        <v xml:space="preserve">AL HELLI ALUMINIUM&amp; WELDING WORKSHOP
</v>
      </c>
      <c r="AC214" s="39"/>
      <c r="AD214" s="39"/>
      <c r="AE214" s="39"/>
      <c r="AF214" s="39"/>
      <c r="AG214" s="39"/>
      <c r="AH214" s="33"/>
      <c r="AI214" s="39"/>
      <c r="AJ214" s="33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3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0"/>
      <c r="BK214" s="30"/>
      <c r="BL214" s="30"/>
      <c r="BM214" s="24"/>
      <c r="BN214" s="24"/>
      <c r="BO214" s="24"/>
      <c r="BP214" s="30"/>
      <c r="BQ214" s="30"/>
      <c r="BR214" s="30"/>
      <c r="BS214" s="30"/>
      <c r="BT214" s="30"/>
      <c r="BU214" s="30"/>
      <c r="BV214" s="30"/>
      <c r="BW214" s="30"/>
      <c r="BX214" s="30"/>
      <c r="BY214" s="24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</row>
    <row r="215" spans="1:88" ht="40.5" customHeight="1">
      <c r="A215" s="9">
        <f t="shared" si="0"/>
        <v>213</v>
      </c>
      <c r="B215" s="9" t="str">
        <f t="shared" si="5"/>
        <v xml:space="preserve">MA
</v>
      </c>
      <c r="C215" s="9" t="s">
        <v>706</v>
      </c>
      <c r="D215" s="9" t="s">
        <v>665</v>
      </c>
      <c r="E215" s="12">
        <v>0</v>
      </c>
      <c r="F215" s="12">
        <v>0</v>
      </c>
      <c r="G215" s="9" t="s">
        <v>89</v>
      </c>
      <c r="H215" s="12"/>
      <c r="I215" s="9" t="s">
        <v>707</v>
      </c>
      <c r="J215" s="12"/>
      <c r="K215" s="12"/>
      <c r="L215" s="12"/>
      <c r="M215" s="12"/>
      <c r="N215" s="13" t="str">
        <f t="shared" si="1"/>
        <v xml:space="preserve">Al Sultan Gate Aluminium
</v>
      </c>
      <c r="O215" s="16" t="s">
        <v>78</v>
      </c>
      <c r="P215" s="14">
        <v>1</v>
      </c>
      <c r="Q215" s="25">
        <v>44931</v>
      </c>
      <c r="R215" s="14">
        <v>5</v>
      </c>
      <c r="S215" s="26">
        <v>8.8888888888888892E-2</v>
      </c>
      <c r="T215" s="16" t="s">
        <v>190</v>
      </c>
      <c r="U215" s="17" t="str">
        <f t="shared" si="2"/>
        <v xml:space="preserve">Al Sultan Gate Aluminium
</v>
      </c>
      <c r="V215" s="16" t="s">
        <v>78</v>
      </c>
      <c r="W215" s="16">
        <v>2</v>
      </c>
      <c r="X215" s="25">
        <v>44943</v>
      </c>
      <c r="Y215" s="13"/>
      <c r="Z215" s="13"/>
      <c r="AA215" s="16" t="s">
        <v>101</v>
      </c>
      <c r="AB215" s="18" t="str">
        <f t="shared" si="3"/>
        <v xml:space="preserve">Al Sultan Gate Aluminium
</v>
      </c>
      <c r="AC215" s="19" t="s">
        <v>78</v>
      </c>
      <c r="AD215" s="19">
        <v>3</v>
      </c>
      <c r="AE215" s="27">
        <v>44957</v>
      </c>
      <c r="AF215" s="18"/>
      <c r="AG215" s="18"/>
      <c r="AH215" s="16" t="s">
        <v>101</v>
      </c>
      <c r="AI215" s="18"/>
      <c r="AJ215" s="16" t="s">
        <v>78</v>
      </c>
      <c r="AK215" s="20" t="s">
        <v>359</v>
      </c>
      <c r="AL215" s="20" t="s">
        <v>479</v>
      </c>
      <c r="AM215" s="19" t="s">
        <v>75</v>
      </c>
      <c r="AN215" s="19" t="s">
        <v>75</v>
      </c>
      <c r="AO215" s="19" t="s">
        <v>101</v>
      </c>
      <c r="AP215" s="18"/>
      <c r="AQ215" s="19" t="s">
        <v>78</v>
      </c>
      <c r="AR215" s="19" t="s">
        <v>79</v>
      </c>
      <c r="AS215" s="20" t="s">
        <v>122</v>
      </c>
      <c r="AT215" s="19" t="s">
        <v>75</v>
      </c>
      <c r="AU215" s="19" t="s">
        <v>75</v>
      </c>
      <c r="AV215" s="19" t="s">
        <v>126</v>
      </c>
      <c r="AW215" s="18"/>
      <c r="AX215" s="16" t="s">
        <v>98</v>
      </c>
      <c r="AY215" s="19" t="s">
        <v>79</v>
      </c>
      <c r="AZ215" s="20" t="s">
        <v>668</v>
      </c>
      <c r="BA215" s="19" t="s">
        <v>75</v>
      </c>
      <c r="BB215" s="19" t="s">
        <v>75</v>
      </c>
      <c r="BC215" s="19" t="s">
        <v>86</v>
      </c>
      <c r="BD215" s="18"/>
      <c r="BE215" s="18"/>
      <c r="BF215" s="18"/>
      <c r="BG215" s="18"/>
      <c r="BH215" s="18"/>
      <c r="BI215" s="18"/>
      <c r="BJ215" s="12"/>
      <c r="BK215" s="12"/>
      <c r="BL215" s="12"/>
      <c r="BM215" s="9"/>
      <c r="BN215" s="9"/>
      <c r="BO215" s="9"/>
      <c r="BP215" s="12"/>
      <c r="BQ215" s="12"/>
      <c r="BR215" s="12"/>
      <c r="BS215" s="12"/>
      <c r="BT215" s="12"/>
      <c r="BU215" s="12"/>
      <c r="BV215" s="12"/>
      <c r="BW215" s="12"/>
      <c r="BX215" s="12"/>
      <c r="BY215" s="9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</row>
    <row r="216" spans="1:88" ht="40.5" customHeight="1">
      <c r="A216" s="24">
        <f t="shared" si="0"/>
        <v>214</v>
      </c>
      <c r="B216" s="24" t="str">
        <f t="shared" si="5"/>
        <v xml:space="preserve">MA
</v>
      </c>
      <c r="C216" s="24" t="s">
        <v>708</v>
      </c>
      <c r="D216" s="24" t="s">
        <v>665</v>
      </c>
      <c r="E216" s="30">
        <v>0</v>
      </c>
      <c r="F216" s="30">
        <v>0</v>
      </c>
      <c r="G216" s="24" t="s">
        <v>89</v>
      </c>
      <c r="H216" s="30"/>
      <c r="I216" s="24" t="s">
        <v>709</v>
      </c>
      <c r="J216" s="30"/>
      <c r="K216" s="30"/>
      <c r="L216" s="30"/>
      <c r="M216" s="30"/>
      <c r="N216" s="33" t="str">
        <f t="shared" si="1"/>
        <v xml:space="preserve">Royal Glass &amp; Door Control
</v>
      </c>
      <c r="O216" s="34" t="s">
        <v>78</v>
      </c>
      <c r="P216" s="35">
        <v>1</v>
      </c>
      <c r="Q216" s="36">
        <v>44931</v>
      </c>
      <c r="R216" s="35">
        <v>4</v>
      </c>
      <c r="S216" s="37">
        <v>8.611111111111111E-2</v>
      </c>
      <c r="T216" s="34" t="s">
        <v>108</v>
      </c>
      <c r="U216" s="38" t="str">
        <f t="shared" si="2"/>
        <v xml:space="preserve">Royal Glass &amp; Door Control
</v>
      </c>
      <c r="V216" s="34" t="s">
        <v>78</v>
      </c>
      <c r="W216" s="34">
        <v>2</v>
      </c>
      <c r="X216" s="36">
        <v>44943</v>
      </c>
      <c r="Y216" s="33"/>
      <c r="Z216" s="43">
        <v>4.3749999999999997E-2</v>
      </c>
      <c r="AA216" s="34" t="s">
        <v>4</v>
      </c>
      <c r="AB216" s="39" t="str">
        <f t="shared" si="3"/>
        <v xml:space="preserve">Royal Glass &amp; Door Control
</v>
      </c>
      <c r="AC216" s="39"/>
      <c r="AD216" s="39"/>
      <c r="AE216" s="39"/>
      <c r="AF216" s="39"/>
      <c r="AG216" s="39"/>
      <c r="AH216" s="33"/>
      <c r="AI216" s="39"/>
      <c r="AJ216" s="33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3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0"/>
      <c r="BK216" s="30"/>
      <c r="BL216" s="30"/>
      <c r="BM216" s="24"/>
      <c r="BN216" s="24"/>
      <c r="BO216" s="24"/>
      <c r="BP216" s="30"/>
      <c r="BQ216" s="30"/>
      <c r="BR216" s="30"/>
      <c r="BS216" s="30"/>
      <c r="BT216" s="30"/>
      <c r="BU216" s="30"/>
      <c r="BV216" s="30"/>
      <c r="BW216" s="30"/>
      <c r="BX216" s="30"/>
      <c r="BY216" s="24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</row>
    <row r="217" spans="1:88" ht="40.5" customHeight="1">
      <c r="A217" s="9">
        <f t="shared" si="0"/>
        <v>215</v>
      </c>
      <c r="B217" s="9" t="str">
        <f t="shared" si="5"/>
        <v xml:space="preserve">MA
</v>
      </c>
      <c r="C217" s="9" t="s">
        <v>710</v>
      </c>
      <c r="D217" s="9" t="s">
        <v>665</v>
      </c>
      <c r="E217" s="12">
        <v>0</v>
      </c>
      <c r="F217" s="12">
        <v>0</v>
      </c>
      <c r="G217" s="9" t="s">
        <v>89</v>
      </c>
      <c r="H217" s="9" t="s">
        <v>711</v>
      </c>
      <c r="I217" s="9" t="s">
        <v>712</v>
      </c>
      <c r="J217" s="12"/>
      <c r="K217" s="12"/>
      <c r="L217" s="12"/>
      <c r="M217" s="12"/>
      <c r="N217" s="13" t="str">
        <f t="shared" si="1"/>
        <v xml:space="preserve">Leo Metal Cladding Co.W.L.L
</v>
      </c>
      <c r="O217" s="16" t="s">
        <v>78</v>
      </c>
      <c r="P217" s="14">
        <v>1</v>
      </c>
      <c r="Q217" s="25">
        <v>44931</v>
      </c>
      <c r="R217" s="14">
        <v>4</v>
      </c>
      <c r="S217" s="26">
        <v>9.7916666666666666E-2</v>
      </c>
      <c r="T217" s="16" t="s">
        <v>108</v>
      </c>
      <c r="U217" s="17" t="str">
        <f t="shared" si="2"/>
        <v xml:space="preserve">Leo Metal Cladding Co.W.L.L
</v>
      </c>
      <c r="V217" s="16" t="s">
        <v>7</v>
      </c>
      <c r="W217" s="16">
        <v>2</v>
      </c>
      <c r="X217" s="25">
        <v>44943</v>
      </c>
      <c r="Y217" s="13"/>
      <c r="Z217" s="13"/>
      <c r="AA217" s="16" t="s">
        <v>86</v>
      </c>
      <c r="AB217" s="18" t="str">
        <f t="shared" si="3"/>
        <v xml:space="preserve">Leo Metal Cladding Co.W.L.L
</v>
      </c>
      <c r="AC217" s="19" t="s">
        <v>78</v>
      </c>
      <c r="AD217" s="19">
        <v>3</v>
      </c>
      <c r="AE217" s="27">
        <v>44957</v>
      </c>
      <c r="AF217" s="19">
        <v>3</v>
      </c>
      <c r="AG217" s="47">
        <v>2.6388888888888889E-2</v>
      </c>
      <c r="AH217" s="16" t="s">
        <v>153</v>
      </c>
      <c r="AI217" s="18"/>
      <c r="AJ217" s="16" t="s">
        <v>78</v>
      </c>
      <c r="AK217" s="20" t="s">
        <v>359</v>
      </c>
      <c r="AL217" s="20" t="s">
        <v>479</v>
      </c>
      <c r="AM217" s="20" t="s">
        <v>228</v>
      </c>
      <c r="AN217" s="20" t="s">
        <v>713</v>
      </c>
      <c r="AO217" s="19" t="s">
        <v>86</v>
      </c>
      <c r="AP217" s="18"/>
      <c r="AQ217" s="19" t="s">
        <v>98</v>
      </c>
      <c r="AR217" s="19" t="s">
        <v>79</v>
      </c>
      <c r="AS217" s="20" t="s">
        <v>122</v>
      </c>
      <c r="AT217" s="19" t="s">
        <v>75</v>
      </c>
      <c r="AU217" s="19" t="s">
        <v>75</v>
      </c>
      <c r="AV217" s="19" t="s">
        <v>86</v>
      </c>
      <c r="AW217" s="18"/>
      <c r="AX217" s="13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2"/>
      <c r="BK217" s="12"/>
      <c r="BL217" s="12"/>
      <c r="BM217" s="9"/>
      <c r="BN217" s="9"/>
      <c r="BO217" s="9"/>
      <c r="BP217" s="12"/>
      <c r="BQ217" s="12"/>
      <c r="BR217" s="12"/>
      <c r="BS217" s="12"/>
      <c r="BT217" s="12"/>
      <c r="BU217" s="12"/>
      <c r="BV217" s="12"/>
      <c r="BW217" s="12"/>
      <c r="BX217" s="12"/>
      <c r="BY217" s="9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</row>
    <row r="218" spans="1:88" ht="40.5" customHeight="1">
      <c r="A218" s="9">
        <f t="shared" si="0"/>
        <v>216</v>
      </c>
      <c r="B218" s="9" t="str">
        <f t="shared" si="5"/>
        <v xml:space="preserve">MA
</v>
      </c>
      <c r="C218" s="9" t="s">
        <v>714</v>
      </c>
      <c r="D218" s="9" t="s">
        <v>665</v>
      </c>
      <c r="E218" s="12">
        <v>0</v>
      </c>
      <c r="F218" s="12">
        <v>0</v>
      </c>
      <c r="G218" s="9" t="s">
        <v>89</v>
      </c>
      <c r="H218" s="12"/>
      <c r="I218" s="9" t="s">
        <v>715</v>
      </c>
      <c r="J218" s="12"/>
      <c r="K218" s="12"/>
      <c r="L218" s="12"/>
      <c r="M218" s="12"/>
      <c r="N218" s="13" t="str">
        <f t="shared" si="1"/>
        <v>Atlas Aluminum Showroom</v>
      </c>
      <c r="O218" s="16" t="s">
        <v>78</v>
      </c>
      <c r="P218" s="14">
        <v>1</v>
      </c>
      <c r="Q218" s="25">
        <v>44931</v>
      </c>
      <c r="R218" s="17"/>
      <c r="S218" s="17"/>
      <c r="T218" s="16" t="s">
        <v>126</v>
      </c>
      <c r="U218" s="17" t="str">
        <f t="shared" si="2"/>
        <v>Atlas Aluminum Showroom</v>
      </c>
      <c r="V218" s="16" t="s">
        <v>78</v>
      </c>
      <c r="W218" s="16">
        <v>2</v>
      </c>
      <c r="X218" s="25">
        <v>44943</v>
      </c>
      <c r="Y218" s="13"/>
      <c r="Z218" s="13"/>
      <c r="AA218" s="16" t="s">
        <v>126</v>
      </c>
      <c r="AB218" s="18" t="str">
        <f t="shared" si="3"/>
        <v>Atlas Aluminum Showroom</v>
      </c>
      <c r="AC218" s="19" t="s">
        <v>78</v>
      </c>
      <c r="AD218" s="19">
        <v>3</v>
      </c>
      <c r="AE218" s="27">
        <v>44957</v>
      </c>
      <c r="AF218" s="18"/>
      <c r="AG218" s="18"/>
      <c r="AH218" s="16" t="s">
        <v>126</v>
      </c>
      <c r="AI218" s="18"/>
      <c r="AJ218" s="16" t="s">
        <v>78</v>
      </c>
      <c r="AK218" s="20" t="s">
        <v>359</v>
      </c>
      <c r="AL218" s="20" t="s">
        <v>479</v>
      </c>
      <c r="AM218" s="20" t="s">
        <v>82</v>
      </c>
      <c r="AN218" s="20" t="s">
        <v>213</v>
      </c>
      <c r="AO218" s="19" t="s">
        <v>81</v>
      </c>
      <c r="AP218" s="18"/>
      <c r="AQ218" s="19" t="s">
        <v>78</v>
      </c>
      <c r="AR218" s="19" t="s">
        <v>79</v>
      </c>
      <c r="AS218" s="20" t="s">
        <v>122</v>
      </c>
      <c r="AT218" s="19" t="s">
        <v>75</v>
      </c>
      <c r="AU218" s="19" t="s">
        <v>75</v>
      </c>
      <c r="AV218" s="19" t="s">
        <v>145</v>
      </c>
      <c r="AW218" s="18"/>
      <c r="AX218" s="16" t="s">
        <v>78</v>
      </c>
      <c r="AY218" s="19" t="s">
        <v>79</v>
      </c>
      <c r="AZ218" s="20" t="s">
        <v>668</v>
      </c>
      <c r="BA218" s="19" t="s">
        <v>75</v>
      </c>
      <c r="BB218" s="19" t="s">
        <v>75</v>
      </c>
      <c r="BC218" s="19" t="s">
        <v>81</v>
      </c>
      <c r="BD218" s="18"/>
      <c r="BE218" s="18"/>
      <c r="BF218" s="18"/>
      <c r="BG218" s="18"/>
      <c r="BH218" s="18"/>
      <c r="BI218" s="18"/>
      <c r="BJ218" s="12"/>
      <c r="BK218" s="12"/>
      <c r="BL218" s="12"/>
      <c r="BM218" s="9"/>
      <c r="BN218" s="9"/>
      <c r="BO218" s="9"/>
      <c r="BP218" s="12"/>
      <c r="BQ218" s="12"/>
      <c r="BR218" s="12"/>
      <c r="BS218" s="12"/>
      <c r="BT218" s="12"/>
      <c r="BU218" s="12"/>
      <c r="BV218" s="12"/>
      <c r="BW218" s="12"/>
      <c r="BX218" s="12"/>
      <c r="BY218" s="9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</row>
    <row r="219" spans="1:88" ht="40.5" customHeight="1">
      <c r="A219" s="9">
        <f t="shared" si="0"/>
        <v>217</v>
      </c>
      <c r="B219" s="9" t="str">
        <f t="shared" si="5"/>
        <v xml:space="preserve">MA
</v>
      </c>
      <c r="C219" s="9" t="s">
        <v>716</v>
      </c>
      <c r="D219" s="9" t="s">
        <v>665</v>
      </c>
      <c r="E219" s="12">
        <v>0</v>
      </c>
      <c r="F219" s="12">
        <v>0</v>
      </c>
      <c r="G219" s="9" t="s">
        <v>89</v>
      </c>
      <c r="H219" s="12"/>
      <c r="I219" s="9" t="s">
        <v>717</v>
      </c>
      <c r="J219" s="12"/>
      <c r="K219" s="12"/>
      <c r="L219" s="12"/>
      <c r="M219" s="12"/>
      <c r="N219" s="13" t="str">
        <f t="shared" si="1"/>
        <v xml:space="preserve">TSMA ALUMINIUM
</v>
      </c>
      <c r="O219" s="16" t="s">
        <v>78</v>
      </c>
      <c r="P219" s="14">
        <v>1</v>
      </c>
      <c r="Q219" s="25">
        <v>44931</v>
      </c>
      <c r="R219" s="17"/>
      <c r="S219" s="17"/>
      <c r="T219" s="16" t="s">
        <v>101</v>
      </c>
      <c r="U219" s="17" t="str">
        <f t="shared" si="2"/>
        <v xml:space="preserve">TSMA ALUMINIUM
</v>
      </c>
      <c r="V219" s="16" t="s">
        <v>78</v>
      </c>
      <c r="W219" s="16">
        <v>2</v>
      </c>
      <c r="X219" s="25">
        <v>44943</v>
      </c>
      <c r="Y219" s="13"/>
      <c r="Z219" s="13"/>
      <c r="AA219" s="16" t="s">
        <v>101</v>
      </c>
      <c r="AB219" s="18" t="str">
        <f t="shared" si="3"/>
        <v xml:space="preserve">TSMA ALUMINIUM
</v>
      </c>
      <c r="AC219" s="19" t="s">
        <v>78</v>
      </c>
      <c r="AD219" s="19">
        <v>3</v>
      </c>
      <c r="AE219" s="27">
        <v>44957</v>
      </c>
      <c r="AF219" s="18"/>
      <c r="AG219" s="18"/>
      <c r="AH219" s="16" t="s">
        <v>101</v>
      </c>
      <c r="AI219" s="18"/>
      <c r="AJ219" s="16" t="s">
        <v>78</v>
      </c>
      <c r="AK219" s="20" t="s">
        <v>359</v>
      </c>
      <c r="AL219" s="20" t="s">
        <v>479</v>
      </c>
      <c r="AM219" s="19" t="s">
        <v>75</v>
      </c>
      <c r="AN219" s="19" t="s">
        <v>75</v>
      </c>
      <c r="AO219" s="19" t="s">
        <v>101</v>
      </c>
      <c r="AP219" s="18"/>
      <c r="AQ219" s="19" t="s">
        <v>78</v>
      </c>
      <c r="AR219" s="19" t="s">
        <v>79</v>
      </c>
      <c r="AS219" s="20" t="s">
        <v>122</v>
      </c>
      <c r="AT219" s="19" t="s">
        <v>75</v>
      </c>
      <c r="AU219" s="19" t="s">
        <v>75</v>
      </c>
      <c r="AV219" s="19" t="s">
        <v>101</v>
      </c>
      <c r="AW219" s="18"/>
      <c r="AX219" s="16" t="s">
        <v>78</v>
      </c>
      <c r="AY219" s="19" t="s">
        <v>79</v>
      </c>
      <c r="AZ219" s="20" t="s">
        <v>668</v>
      </c>
      <c r="BA219" s="19" t="s">
        <v>75</v>
      </c>
      <c r="BB219" s="19" t="s">
        <v>75</v>
      </c>
      <c r="BC219" s="19" t="s">
        <v>101</v>
      </c>
      <c r="BD219" s="18"/>
      <c r="BE219" s="18"/>
      <c r="BF219" s="18"/>
      <c r="BG219" s="18"/>
      <c r="BH219" s="18"/>
      <c r="BI219" s="18"/>
      <c r="BJ219" s="12"/>
      <c r="BK219" s="12"/>
      <c r="BL219" s="12"/>
      <c r="BM219" s="9"/>
      <c r="BN219" s="9"/>
      <c r="BO219" s="9"/>
      <c r="BP219" s="12"/>
      <c r="BQ219" s="12"/>
      <c r="BR219" s="12"/>
      <c r="BS219" s="12"/>
      <c r="BT219" s="12"/>
      <c r="BU219" s="12"/>
      <c r="BV219" s="12"/>
      <c r="BW219" s="12"/>
      <c r="BX219" s="12"/>
      <c r="BY219" s="9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</row>
    <row r="220" spans="1:88" ht="40.5" customHeight="1">
      <c r="A220" s="9">
        <f t="shared" si="0"/>
        <v>218</v>
      </c>
      <c r="B220" s="9" t="str">
        <f t="shared" si="5"/>
        <v xml:space="preserve">MA
</v>
      </c>
      <c r="C220" s="9" t="s">
        <v>718</v>
      </c>
      <c r="D220" s="9" t="s">
        <v>665</v>
      </c>
      <c r="E220" s="12">
        <v>0</v>
      </c>
      <c r="F220" s="12">
        <v>0</v>
      </c>
      <c r="G220" s="9" t="s">
        <v>89</v>
      </c>
      <c r="H220" s="12"/>
      <c r="I220" s="9" t="s">
        <v>719</v>
      </c>
      <c r="J220" s="12"/>
      <c r="K220" s="12"/>
      <c r="L220" s="12"/>
      <c r="M220" s="12"/>
      <c r="N220" s="13" t="str">
        <f t="shared" si="1"/>
        <v xml:space="preserve">Gulf Aluminium Factory W.L.L
</v>
      </c>
      <c r="O220" s="16" t="s">
        <v>78</v>
      </c>
      <c r="P220" s="14">
        <v>1</v>
      </c>
      <c r="Q220" s="25">
        <v>44931</v>
      </c>
      <c r="R220" s="17"/>
      <c r="S220" s="17"/>
      <c r="T220" s="16" t="s">
        <v>101</v>
      </c>
      <c r="U220" s="17" t="str">
        <f t="shared" si="2"/>
        <v xml:space="preserve">Gulf Aluminium Factory W.L.L
</v>
      </c>
      <c r="V220" s="16" t="s">
        <v>78</v>
      </c>
      <c r="W220" s="16">
        <v>2</v>
      </c>
      <c r="X220" s="25">
        <v>44943</v>
      </c>
      <c r="Y220" s="13"/>
      <c r="Z220" s="13"/>
      <c r="AA220" s="16" t="s">
        <v>101</v>
      </c>
      <c r="AB220" s="18" t="str">
        <f t="shared" si="3"/>
        <v xml:space="preserve">Gulf Aluminium Factory W.L.L
</v>
      </c>
      <c r="AC220" s="19" t="s">
        <v>98</v>
      </c>
      <c r="AD220" s="19">
        <v>3</v>
      </c>
      <c r="AE220" s="27">
        <v>44957</v>
      </c>
      <c r="AF220" s="18"/>
      <c r="AG220" s="18"/>
      <c r="AH220" s="16" t="s">
        <v>86</v>
      </c>
      <c r="AI220" s="18"/>
      <c r="AJ220" s="16" t="s">
        <v>78</v>
      </c>
      <c r="AK220" s="20" t="s">
        <v>359</v>
      </c>
      <c r="AL220" s="20" t="s">
        <v>479</v>
      </c>
      <c r="AM220" s="19" t="s">
        <v>75</v>
      </c>
      <c r="AN220" s="19" t="s">
        <v>75</v>
      </c>
      <c r="AO220" s="19" t="s">
        <v>101</v>
      </c>
      <c r="AP220" s="18"/>
      <c r="AQ220" s="19" t="s">
        <v>78</v>
      </c>
      <c r="AR220" s="19" t="s">
        <v>79</v>
      </c>
      <c r="AS220" s="20" t="s">
        <v>122</v>
      </c>
      <c r="AT220" s="19" t="s">
        <v>75</v>
      </c>
      <c r="AU220" s="19" t="s">
        <v>75</v>
      </c>
      <c r="AV220" s="19" t="s">
        <v>101</v>
      </c>
      <c r="AW220" s="18"/>
      <c r="AX220" s="16" t="s">
        <v>78</v>
      </c>
      <c r="AY220" s="19" t="s">
        <v>79</v>
      </c>
      <c r="AZ220" s="20" t="s">
        <v>668</v>
      </c>
      <c r="BA220" s="19" t="s">
        <v>75</v>
      </c>
      <c r="BB220" s="20" t="s">
        <v>84</v>
      </c>
      <c r="BC220" s="19" t="s">
        <v>81</v>
      </c>
      <c r="BD220" s="18"/>
      <c r="BE220" s="18"/>
      <c r="BF220" s="18"/>
      <c r="BG220" s="18"/>
      <c r="BH220" s="18"/>
      <c r="BI220" s="18"/>
      <c r="BJ220" s="12"/>
      <c r="BK220" s="12"/>
      <c r="BL220" s="12"/>
      <c r="BM220" s="9"/>
      <c r="BN220" s="9"/>
      <c r="BO220" s="9"/>
      <c r="BP220" s="12"/>
      <c r="BQ220" s="12"/>
      <c r="BR220" s="12"/>
      <c r="BS220" s="12"/>
      <c r="BT220" s="12"/>
      <c r="BU220" s="12"/>
      <c r="BV220" s="12"/>
      <c r="BW220" s="12"/>
      <c r="BX220" s="12"/>
      <c r="BY220" s="9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</row>
    <row r="221" spans="1:88" ht="40.5" customHeight="1">
      <c r="A221" s="9">
        <f t="shared" si="0"/>
        <v>219</v>
      </c>
      <c r="B221" s="9" t="str">
        <f t="shared" si="5"/>
        <v xml:space="preserve">MA
</v>
      </c>
      <c r="C221" s="9">
        <v>967777360944</v>
      </c>
      <c r="D221" s="9" t="s">
        <v>665</v>
      </c>
      <c r="E221" s="12">
        <v>0</v>
      </c>
      <c r="F221" s="12">
        <v>0</v>
      </c>
      <c r="G221" s="9" t="s">
        <v>89</v>
      </c>
      <c r="H221" s="12"/>
      <c r="I221" s="9" t="s">
        <v>720</v>
      </c>
      <c r="J221" s="12"/>
      <c r="K221" s="12"/>
      <c r="L221" s="12"/>
      <c r="M221" s="12"/>
      <c r="N221" s="13">
        <f t="shared" si="1"/>
        <v>967777360944</v>
      </c>
      <c r="O221" s="16" t="s">
        <v>78</v>
      </c>
      <c r="P221" s="14">
        <v>1</v>
      </c>
      <c r="Q221" s="25">
        <v>44931</v>
      </c>
      <c r="R221" s="17"/>
      <c r="S221" s="17"/>
      <c r="T221" s="16" t="s">
        <v>101</v>
      </c>
      <c r="U221" s="17">
        <f t="shared" si="2"/>
        <v>967777360944</v>
      </c>
      <c r="V221" s="16" t="s">
        <v>78</v>
      </c>
      <c r="W221" s="16">
        <v>2</v>
      </c>
      <c r="X221" s="25">
        <v>44943</v>
      </c>
      <c r="Y221" s="13"/>
      <c r="Z221" s="13"/>
      <c r="AA221" s="16" t="s">
        <v>101</v>
      </c>
      <c r="AB221" s="18">
        <f t="shared" si="3"/>
        <v>967777360944</v>
      </c>
      <c r="AC221" s="19" t="s">
        <v>78</v>
      </c>
      <c r="AD221" s="19" t="s">
        <v>79</v>
      </c>
      <c r="AE221" s="20" t="s">
        <v>668</v>
      </c>
      <c r="AF221" s="19" t="s">
        <v>75</v>
      </c>
      <c r="AG221" s="19" t="s">
        <v>75</v>
      </c>
      <c r="AH221" s="16" t="s">
        <v>4</v>
      </c>
      <c r="AI221" s="18"/>
      <c r="AJ221" s="13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3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2"/>
      <c r="BK221" s="12"/>
      <c r="BL221" s="12"/>
      <c r="BM221" s="9"/>
      <c r="BN221" s="9"/>
      <c r="BO221" s="9"/>
      <c r="BP221" s="12"/>
      <c r="BQ221" s="12"/>
      <c r="BR221" s="12"/>
      <c r="BS221" s="12"/>
      <c r="BT221" s="12"/>
      <c r="BU221" s="12"/>
      <c r="BV221" s="12"/>
      <c r="BW221" s="12"/>
      <c r="BX221" s="12"/>
      <c r="BY221" s="9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</row>
    <row r="222" spans="1:88" ht="40.5" customHeight="1">
      <c r="A222" s="9">
        <f t="shared" si="0"/>
        <v>220</v>
      </c>
      <c r="B222" s="9" t="str">
        <f t="shared" si="5"/>
        <v xml:space="preserve">MA
</v>
      </c>
      <c r="C222" s="9" t="s">
        <v>721</v>
      </c>
      <c r="D222" s="9" t="s">
        <v>627</v>
      </c>
      <c r="E222" s="12">
        <v>0</v>
      </c>
      <c r="F222" s="12">
        <v>0</v>
      </c>
      <c r="G222" s="9" t="s">
        <v>89</v>
      </c>
      <c r="H222" s="12"/>
      <c r="I222" s="9" t="s">
        <v>722</v>
      </c>
      <c r="J222" s="12"/>
      <c r="K222" s="11" t="s">
        <v>723</v>
      </c>
      <c r="L222" s="12"/>
      <c r="M222" s="12"/>
      <c r="N222" s="13" t="str">
        <f t="shared" si="1"/>
        <v xml:space="preserve">AHLIA ALUMINIUM
</v>
      </c>
      <c r="O222" s="16" t="s">
        <v>7</v>
      </c>
      <c r="P222" s="14">
        <v>3</v>
      </c>
      <c r="Q222" s="25">
        <v>44943</v>
      </c>
      <c r="R222" s="17"/>
      <c r="S222" s="17"/>
      <c r="T222" s="16" t="s">
        <v>86</v>
      </c>
      <c r="U222" s="17" t="str">
        <f t="shared" si="2"/>
        <v xml:space="preserve">AHLIA ALUMINIUM
</v>
      </c>
      <c r="V222" s="16" t="s">
        <v>78</v>
      </c>
      <c r="W222" s="16" t="s">
        <v>79</v>
      </c>
      <c r="X222" s="15" t="s">
        <v>100</v>
      </c>
      <c r="Y222" s="16" t="s">
        <v>75</v>
      </c>
      <c r="Z222" s="16" t="s">
        <v>75</v>
      </c>
      <c r="AA222" s="16" t="s">
        <v>101</v>
      </c>
      <c r="AB222" s="18" t="str">
        <f t="shared" si="3"/>
        <v xml:space="preserve">AHLIA ALUMINIUM
</v>
      </c>
      <c r="AC222" s="19" t="s">
        <v>98</v>
      </c>
      <c r="AD222" s="19" t="s">
        <v>79</v>
      </c>
      <c r="AE222" s="20" t="s">
        <v>140</v>
      </c>
      <c r="AF222" s="19" t="s">
        <v>75</v>
      </c>
      <c r="AG222" s="19" t="s">
        <v>75</v>
      </c>
      <c r="AH222" s="16" t="s">
        <v>86</v>
      </c>
      <c r="AI222" s="18"/>
      <c r="AJ222" s="16" t="s">
        <v>78</v>
      </c>
      <c r="AK222" s="19" t="s">
        <v>79</v>
      </c>
      <c r="AL222" s="20" t="s">
        <v>629</v>
      </c>
      <c r="AM222" s="19" t="s">
        <v>75</v>
      </c>
      <c r="AN222" s="19" t="s">
        <v>75</v>
      </c>
      <c r="AO222" s="19" t="s">
        <v>101</v>
      </c>
      <c r="AP222" s="18"/>
      <c r="AQ222" s="18"/>
      <c r="AR222" s="18"/>
      <c r="AS222" s="18"/>
      <c r="AT222" s="18"/>
      <c r="AU222" s="18"/>
      <c r="AV222" s="18"/>
      <c r="AW222" s="18"/>
      <c r="AX222" s="13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2"/>
      <c r="BK222" s="12"/>
      <c r="BL222" s="12"/>
      <c r="BM222" s="9"/>
      <c r="BN222" s="9"/>
      <c r="BO222" s="9"/>
      <c r="BP222" s="12"/>
      <c r="BQ222" s="12"/>
      <c r="BR222" s="12"/>
      <c r="BS222" s="12"/>
      <c r="BT222" s="12"/>
      <c r="BU222" s="12"/>
      <c r="BV222" s="12"/>
      <c r="BW222" s="12"/>
      <c r="BX222" s="12"/>
      <c r="BY222" s="9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</row>
    <row r="223" spans="1:88" ht="40.5" customHeight="1">
      <c r="A223" s="9">
        <f t="shared" si="0"/>
        <v>221</v>
      </c>
      <c r="B223" s="9" t="str">
        <f t="shared" si="5"/>
        <v xml:space="preserve">MA
</v>
      </c>
      <c r="C223" s="9" t="s">
        <v>724</v>
      </c>
      <c r="D223" s="9" t="s">
        <v>725</v>
      </c>
      <c r="E223" s="12">
        <v>0</v>
      </c>
      <c r="F223" s="12">
        <v>0</v>
      </c>
      <c r="G223" s="9" t="s">
        <v>89</v>
      </c>
      <c r="H223" s="12"/>
      <c r="I223" s="9">
        <v>4917622108634</v>
      </c>
      <c r="J223" s="9" t="s">
        <v>726</v>
      </c>
      <c r="K223" s="12"/>
      <c r="L223" s="12"/>
      <c r="M223" s="12"/>
      <c r="N223" s="13" t="str">
        <f t="shared" si="1"/>
        <v xml:space="preserve">Fenster Hannover
</v>
      </c>
      <c r="O223" s="16" t="s">
        <v>98</v>
      </c>
      <c r="P223" s="14">
        <v>5</v>
      </c>
      <c r="Q223" s="25">
        <v>44925</v>
      </c>
      <c r="R223" s="17"/>
      <c r="S223" s="17"/>
      <c r="T223" s="16" t="s">
        <v>86</v>
      </c>
      <c r="U223" s="17" t="str">
        <f t="shared" si="2"/>
        <v xml:space="preserve">Fenster Hannover
</v>
      </c>
      <c r="V223" s="16" t="s">
        <v>78</v>
      </c>
      <c r="W223" s="16">
        <v>6</v>
      </c>
      <c r="X223" s="25">
        <v>44943</v>
      </c>
      <c r="Y223" s="16">
        <v>5</v>
      </c>
      <c r="Z223" s="29">
        <v>2.7083333333333334E-2</v>
      </c>
      <c r="AA223" s="16" t="s">
        <v>86</v>
      </c>
      <c r="AB223" s="18" t="str">
        <f t="shared" si="3"/>
        <v xml:space="preserve">Fenster Hannover
</v>
      </c>
      <c r="AC223" s="19" t="s">
        <v>98</v>
      </c>
      <c r="AD223" s="19" t="s">
        <v>79</v>
      </c>
      <c r="AE223" s="20" t="s">
        <v>140</v>
      </c>
      <c r="AF223" s="19" t="s">
        <v>75</v>
      </c>
      <c r="AG223" s="19" t="s">
        <v>75</v>
      </c>
      <c r="AH223" s="16" t="s">
        <v>86</v>
      </c>
      <c r="AI223" s="18"/>
      <c r="AJ223" s="13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3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2"/>
      <c r="BK223" s="12"/>
      <c r="BL223" s="12"/>
      <c r="BM223" s="9"/>
      <c r="BN223" s="9"/>
      <c r="BO223" s="9"/>
      <c r="BP223" s="12"/>
      <c r="BQ223" s="12"/>
      <c r="BR223" s="12"/>
      <c r="BS223" s="12"/>
      <c r="BT223" s="12"/>
      <c r="BU223" s="12"/>
      <c r="BV223" s="12"/>
      <c r="BW223" s="12"/>
      <c r="BX223" s="12"/>
      <c r="BY223" s="9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</row>
    <row r="224" spans="1:88" ht="40.5" customHeight="1">
      <c r="A224" s="9">
        <f t="shared" si="0"/>
        <v>222</v>
      </c>
      <c r="B224" s="9" t="str">
        <f t="shared" si="5"/>
        <v xml:space="preserve">MA
</v>
      </c>
      <c r="C224" s="28" t="s">
        <v>727</v>
      </c>
      <c r="D224" s="9" t="s">
        <v>601</v>
      </c>
      <c r="E224" s="12">
        <v>0</v>
      </c>
      <c r="F224" s="12">
        <v>0</v>
      </c>
      <c r="G224" s="9" t="s">
        <v>89</v>
      </c>
      <c r="H224" s="12"/>
      <c r="I224" s="12">
        <f>967777360944</f>
        <v>967777360944</v>
      </c>
      <c r="J224" s="12"/>
      <c r="K224" s="12"/>
      <c r="L224" s="12"/>
      <c r="M224" s="12"/>
      <c r="N224" s="13" t="str">
        <f t="shared" si="1"/>
        <v xml:space="preserve">الاندلس للالمنيوم
</v>
      </c>
      <c r="O224" s="16" t="s">
        <v>78</v>
      </c>
      <c r="P224" s="14">
        <v>1</v>
      </c>
      <c r="Q224" s="25">
        <v>44943</v>
      </c>
      <c r="R224" s="17"/>
      <c r="S224" s="17"/>
      <c r="T224" s="16" t="s">
        <v>101</v>
      </c>
      <c r="U224" s="17" t="str">
        <f t="shared" si="2"/>
        <v xml:space="preserve">الاندلس للالمنيوم
</v>
      </c>
      <c r="V224" s="13"/>
      <c r="W224" s="13"/>
      <c r="X224" s="13"/>
      <c r="Y224" s="13"/>
      <c r="Z224" s="13"/>
      <c r="AA224" s="13"/>
      <c r="AB224" s="18" t="str">
        <f t="shared" si="3"/>
        <v xml:space="preserve">الاندلس للالمنيوم
</v>
      </c>
      <c r="AC224" s="18"/>
      <c r="AD224" s="18"/>
      <c r="AE224" s="18"/>
      <c r="AF224" s="18"/>
      <c r="AG224" s="18"/>
      <c r="AH224" s="13"/>
      <c r="AI224" s="18"/>
      <c r="AJ224" s="13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3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2"/>
      <c r="BK224" s="12"/>
      <c r="BL224" s="12"/>
      <c r="BM224" s="9"/>
      <c r="BN224" s="9"/>
      <c r="BO224" s="9"/>
      <c r="BP224" s="12"/>
      <c r="BQ224" s="12"/>
      <c r="BR224" s="12"/>
      <c r="BS224" s="12"/>
      <c r="BT224" s="12"/>
      <c r="BU224" s="12"/>
      <c r="BV224" s="12"/>
      <c r="BW224" s="12"/>
      <c r="BX224" s="12"/>
      <c r="BY224" s="9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</row>
    <row r="225" spans="1:88" ht="40.5" customHeight="1">
      <c r="A225" s="9">
        <f t="shared" si="0"/>
        <v>223</v>
      </c>
      <c r="B225" s="9" t="str">
        <f t="shared" si="5"/>
        <v xml:space="preserve">MA
</v>
      </c>
      <c r="C225" s="28" t="s">
        <v>728</v>
      </c>
      <c r="D225" s="9" t="s">
        <v>601</v>
      </c>
      <c r="E225" s="12">
        <v>0</v>
      </c>
      <c r="F225" s="12">
        <v>0</v>
      </c>
      <c r="G225" s="9" t="s">
        <v>89</v>
      </c>
      <c r="H225" s="12"/>
      <c r="I225" s="12">
        <f>9675361220</f>
        <v>9675361220</v>
      </c>
      <c r="J225" s="12"/>
      <c r="K225" s="12"/>
      <c r="L225" s="12"/>
      <c r="M225" s="12"/>
      <c r="N225" s="13" t="str">
        <f t="shared" si="1"/>
        <v xml:space="preserve">المنيوم العاقل
</v>
      </c>
      <c r="O225" s="16" t="s">
        <v>98</v>
      </c>
      <c r="P225" s="14">
        <v>1</v>
      </c>
      <c r="Q225" s="25">
        <v>44943</v>
      </c>
      <c r="R225" s="17"/>
      <c r="S225" s="17"/>
      <c r="T225" s="16" t="s">
        <v>108</v>
      </c>
      <c r="U225" s="17" t="str">
        <f t="shared" si="2"/>
        <v xml:space="preserve">المنيوم العاقل
</v>
      </c>
      <c r="V225" s="13"/>
      <c r="W225" s="13"/>
      <c r="X225" s="13"/>
      <c r="Y225" s="13"/>
      <c r="Z225" s="13"/>
      <c r="AA225" s="13"/>
      <c r="AB225" s="18" t="str">
        <f t="shared" si="3"/>
        <v xml:space="preserve">المنيوم العاقل
</v>
      </c>
      <c r="AC225" s="18"/>
      <c r="AD225" s="18"/>
      <c r="AE225" s="18"/>
      <c r="AF225" s="18"/>
      <c r="AG225" s="18"/>
      <c r="AH225" s="13"/>
      <c r="AI225" s="18"/>
      <c r="AJ225" s="13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3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2"/>
      <c r="BK225" s="12"/>
      <c r="BL225" s="12"/>
      <c r="BM225" s="9"/>
      <c r="BN225" s="9"/>
      <c r="BO225" s="9"/>
      <c r="BP225" s="12"/>
      <c r="BQ225" s="12"/>
      <c r="BR225" s="12"/>
      <c r="BS225" s="12"/>
      <c r="BT225" s="12"/>
      <c r="BU225" s="12"/>
      <c r="BV225" s="12"/>
      <c r="BW225" s="12"/>
      <c r="BX225" s="12"/>
      <c r="BY225" s="9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</row>
    <row r="226" spans="1:88" ht="40.5" customHeight="1">
      <c r="A226" s="9">
        <f t="shared" si="0"/>
        <v>224</v>
      </c>
      <c r="B226" s="9" t="str">
        <f t="shared" si="5"/>
        <v xml:space="preserve">MA
</v>
      </c>
      <c r="C226" s="28" t="s">
        <v>729</v>
      </c>
      <c r="D226" s="9" t="s">
        <v>601</v>
      </c>
      <c r="E226" s="12">
        <v>0</v>
      </c>
      <c r="F226" s="12">
        <v>0</v>
      </c>
      <c r="G226" s="9" t="s">
        <v>89</v>
      </c>
      <c r="H226" s="12"/>
      <c r="I226" s="12">
        <f>9675330980</f>
        <v>9675330980</v>
      </c>
      <c r="J226" s="12"/>
      <c r="K226" s="12"/>
      <c r="L226" s="12"/>
      <c r="M226" s="12"/>
      <c r="N226" s="13" t="str">
        <f t="shared" si="1"/>
        <v xml:space="preserve">المنيوم الانوار
</v>
      </c>
      <c r="O226" s="16" t="s">
        <v>78</v>
      </c>
      <c r="P226" s="14">
        <v>1</v>
      </c>
      <c r="Q226" s="25">
        <v>44943</v>
      </c>
      <c r="R226" s="17"/>
      <c r="S226" s="26">
        <v>2.4305555555555556E-2</v>
      </c>
      <c r="T226" s="16" t="s">
        <v>153</v>
      </c>
      <c r="U226" s="17" t="str">
        <f t="shared" si="2"/>
        <v xml:space="preserve">المنيوم الانوار
</v>
      </c>
      <c r="V226" s="13"/>
      <c r="W226" s="13"/>
      <c r="X226" s="13"/>
      <c r="Y226" s="13"/>
      <c r="Z226" s="13"/>
      <c r="AA226" s="13"/>
      <c r="AB226" s="18" t="str">
        <f t="shared" si="3"/>
        <v xml:space="preserve">المنيوم الانوار
</v>
      </c>
      <c r="AC226" s="18"/>
      <c r="AD226" s="18"/>
      <c r="AE226" s="18"/>
      <c r="AF226" s="18"/>
      <c r="AG226" s="18"/>
      <c r="AH226" s="13"/>
      <c r="AI226" s="18"/>
      <c r="AJ226" s="13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3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2"/>
      <c r="BK226" s="12"/>
      <c r="BL226" s="12"/>
      <c r="BM226" s="9"/>
      <c r="BN226" s="9"/>
      <c r="BO226" s="9"/>
      <c r="BP226" s="12"/>
      <c r="BQ226" s="12"/>
      <c r="BR226" s="12"/>
      <c r="BS226" s="12"/>
      <c r="BT226" s="12"/>
      <c r="BU226" s="12"/>
      <c r="BV226" s="12"/>
      <c r="BW226" s="12"/>
      <c r="BX226" s="12"/>
      <c r="BY226" s="9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</row>
    <row r="227" spans="1:88" ht="40.5" customHeight="1">
      <c r="A227" s="9">
        <f t="shared" si="0"/>
        <v>225</v>
      </c>
      <c r="B227" s="9" t="str">
        <f t="shared" si="5"/>
        <v xml:space="preserve">MA
</v>
      </c>
      <c r="C227" s="28" t="s">
        <v>730</v>
      </c>
      <c r="D227" s="9" t="s">
        <v>601</v>
      </c>
      <c r="E227" s="12">
        <v>0</v>
      </c>
      <c r="F227" s="12">
        <v>0</v>
      </c>
      <c r="G227" s="9" t="s">
        <v>89</v>
      </c>
      <c r="H227" s="12"/>
      <c r="I227" s="12">
        <f>9675447044</f>
        <v>9675447044</v>
      </c>
      <c r="J227" s="12"/>
      <c r="K227" s="12"/>
      <c r="L227" s="12"/>
      <c r="M227" s="12"/>
      <c r="N227" s="13" t="str">
        <f t="shared" si="1"/>
        <v xml:space="preserve">مركز القمه للألمنيوم والاكسسوارات
</v>
      </c>
      <c r="O227" s="16" t="s">
        <v>78</v>
      </c>
      <c r="P227" s="14">
        <v>1</v>
      </c>
      <c r="Q227" s="25">
        <v>44943</v>
      </c>
      <c r="R227" s="17"/>
      <c r="S227" s="26">
        <v>0.29166666666666669</v>
      </c>
      <c r="T227" s="16" t="s">
        <v>354</v>
      </c>
      <c r="U227" s="17" t="str">
        <f t="shared" si="2"/>
        <v xml:space="preserve">مركز القمه للألمنيوم والاكسسوارات
</v>
      </c>
      <c r="V227" s="13"/>
      <c r="W227" s="13"/>
      <c r="X227" s="13"/>
      <c r="Y227" s="13"/>
      <c r="Z227" s="13"/>
      <c r="AA227" s="13"/>
      <c r="AB227" s="18" t="str">
        <f t="shared" si="3"/>
        <v xml:space="preserve">مركز القمه للألمنيوم والاكسسوارات
</v>
      </c>
      <c r="AC227" s="18"/>
      <c r="AD227" s="18"/>
      <c r="AE227" s="18"/>
      <c r="AF227" s="18"/>
      <c r="AG227" s="18"/>
      <c r="AH227" s="13"/>
      <c r="AI227" s="18"/>
      <c r="AJ227" s="13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3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2"/>
      <c r="BK227" s="12"/>
      <c r="BL227" s="12"/>
      <c r="BM227" s="9"/>
      <c r="BN227" s="9"/>
      <c r="BO227" s="9"/>
      <c r="BP227" s="12"/>
      <c r="BQ227" s="12"/>
      <c r="BR227" s="12"/>
      <c r="BS227" s="12"/>
      <c r="BT227" s="12"/>
      <c r="BU227" s="12"/>
      <c r="BV227" s="12"/>
      <c r="BW227" s="12"/>
      <c r="BX227" s="12"/>
      <c r="BY227" s="9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</row>
    <row r="228" spans="1:88" ht="40.5" customHeight="1">
      <c r="A228" s="9">
        <f t="shared" si="0"/>
        <v>226</v>
      </c>
      <c r="B228" s="9" t="str">
        <f t="shared" si="5"/>
        <v xml:space="preserve">MA
</v>
      </c>
      <c r="C228" s="28" t="s">
        <v>731</v>
      </c>
      <c r="D228" s="9" t="s">
        <v>601</v>
      </c>
      <c r="E228" s="12">
        <v>0</v>
      </c>
      <c r="F228" s="12">
        <v>0</v>
      </c>
      <c r="G228" s="9" t="s">
        <v>89</v>
      </c>
      <c r="H228" s="12"/>
      <c r="I228" s="12">
        <f>967738638859</f>
        <v>967738638859</v>
      </c>
      <c r="J228" s="12"/>
      <c r="K228" s="12"/>
      <c r="L228" s="12"/>
      <c r="M228" s="12"/>
      <c r="N228" s="13" t="str">
        <f t="shared" si="1"/>
        <v xml:space="preserve">الحارث لأنظمة الألمنيوم والزجاج
</v>
      </c>
      <c r="O228" s="13"/>
      <c r="P228" s="17"/>
      <c r="Q228" s="13"/>
      <c r="R228" s="17"/>
      <c r="S228" s="17"/>
      <c r="T228" s="13"/>
      <c r="U228" s="17" t="str">
        <f t="shared" si="2"/>
        <v xml:space="preserve">الحارث لأنظمة الألمنيوم والزجاج
</v>
      </c>
      <c r="V228" s="13"/>
      <c r="W228" s="13"/>
      <c r="X228" s="13"/>
      <c r="Y228" s="13"/>
      <c r="Z228" s="13"/>
      <c r="AA228" s="13"/>
      <c r="AB228" s="18" t="str">
        <f t="shared" si="3"/>
        <v xml:space="preserve">الحارث لأنظمة الألمنيوم والزجاج
</v>
      </c>
      <c r="AC228" s="18"/>
      <c r="AD228" s="18"/>
      <c r="AE228" s="18"/>
      <c r="AF228" s="18"/>
      <c r="AG228" s="18"/>
      <c r="AH228" s="13"/>
      <c r="AI228" s="18"/>
      <c r="AJ228" s="13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3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2"/>
      <c r="BK228" s="12"/>
      <c r="BL228" s="12"/>
      <c r="BM228" s="9"/>
      <c r="BN228" s="9"/>
      <c r="BO228" s="9"/>
      <c r="BP228" s="12"/>
      <c r="BQ228" s="12"/>
      <c r="BR228" s="12"/>
      <c r="BS228" s="12"/>
      <c r="BT228" s="12"/>
      <c r="BU228" s="12"/>
      <c r="BV228" s="12"/>
      <c r="BW228" s="12"/>
      <c r="BX228" s="12"/>
      <c r="BY228" s="9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</row>
    <row r="229" spans="1:88" ht="40.5" customHeight="1">
      <c r="A229" s="9">
        <f t="shared" si="0"/>
        <v>227</v>
      </c>
      <c r="B229" s="9" t="str">
        <f t="shared" si="5"/>
        <v xml:space="preserve">MA
</v>
      </c>
      <c r="C229" s="28" t="s">
        <v>732</v>
      </c>
      <c r="D229" s="9" t="s">
        <v>601</v>
      </c>
      <c r="E229" s="12">
        <v>0</v>
      </c>
      <c r="F229" s="12">
        <v>0</v>
      </c>
      <c r="G229" s="9" t="s">
        <v>89</v>
      </c>
      <c r="H229" s="12"/>
      <c r="I229" s="12">
        <f>967777456666</f>
        <v>967777456666</v>
      </c>
      <c r="J229" s="12"/>
      <c r="K229" s="12"/>
      <c r="L229" s="12"/>
      <c r="M229" s="12"/>
      <c r="N229" s="13" t="str">
        <f t="shared" si="1"/>
        <v xml:space="preserve">المنيوم العاقل، بلبحيث
</v>
      </c>
      <c r="O229" s="13"/>
      <c r="P229" s="17"/>
      <c r="Q229" s="13"/>
      <c r="R229" s="17"/>
      <c r="S229" s="17"/>
      <c r="T229" s="13"/>
      <c r="U229" s="17" t="str">
        <f t="shared" si="2"/>
        <v xml:space="preserve">المنيوم العاقل، بلبحيث
</v>
      </c>
      <c r="V229" s="13"/>
      <c r="W229" s="13"/>
      <c r="X229" s="13"/>
      <c r="Y229" s="13"/>
      <c r="Z229" s="13"/>
      <c r="AA229" s="13"/>
      <c r="AB229" s="18" t="str">
        <f t="shared" si="3"/>
        <v xml:space="preserve">المنيوم العاقل، بلبحيث
</v>
      </c>
      <c r="AC229" s="18"/>
      <c r="AD229" s="18"/>
      <c r="AE229" s="18"/>
      <c r="AF229" s="18"/>
      <c r="AG229" s="18"/>
      <c r="AH229" s="13"/>
      <c r="AI229" s="18"/>
      <c r="AJ229" s="13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3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2"/>
      <c r="BK229" s="12"/>
      <c r="BL229" s="12"/>
      <c r="BM229" s="9"/>
      <c r="BN229" s="9"/>
      <c r="BO229" s="9"/>
      <c r="BP229" s="12"/>
      <c r="BQ229" s="12"/>
      <c r="BR229" s="12"/>
      <c r="BS229" s="12"/>
      <c r="BT229" s="12"/>
      <c r="BU229" s="12"/>
      <c r="BV229" s="12"/>
      <c r="BW229" s="12"/>
      <c r="BX229" s="12"/>
      <c r="BY229" s="9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</row>
    <row r="230" spans="1:88" ht="40.5" customHeight="1">
      <c r="A230" s="9">
        <f t="shared" si="0"/>
        <v>228</v>
      </c>
      <c r="B230" s="9" t="str">
        <f t="shared" si="5"/>
        <v xml:space="preserve">MA
</v>
      </c>
      <c r="C230" s="28" t="s">
        <v>733</v>
      </c>
      <c r="D230" s="9" t="s">
        <v>601</v>
      </c>
      <c r="E230" s="12">
        <v>0</v>
      </c>
      <c r="F230" s="12">
        <v>0</v>
      </c>
      <c r="G230" s="9" t="s">
        <v>89</v>
      </c>
      <c r="H230" s="12"/>
      <c r="I230" s="12">
        <f>967712292858</f>
        <v>967712292858</v>
      </c>
      <c r="J230" s="12"/>
      <c r="K230" s="12"/>
      <c r="L230" s="12"/>
      <c r="M230" s="12"/>
      <c r="N230" s="13" t="str">
        <f t="shared" si="1"/>
        <v xml:space="preserve">معرض مهدي باحاج للألمنيوم و الرخام شبوة
</v>
      </c>
      <c r="O230" s="13"/>
      <c r="P230" s="17"/>
      <c r="Q230" s="13"/>
      <c r="R230" s="17"/>
      <c r="S230" s="17"/>
      <c r="T230" s="13"/>
      <c r="U230" s="17" t="str">
        <f t="shared" si="2"/>
        <v xml:space="preserve">معرض مهدي باحاج للألمنيوم و الرخام شبوة
</v>
      </c>
      <c r="V230" s="13"/>
      <c r="W230" s="13"/>
      <c r="X230" s="13"/>
      <c r="Y230" s="13"/>
      <c r="Z230" s="13"/>
      <c r="AA230" s="13"/>
      <c r="AB230" s="18" t="str">
        <f t="shared" si="3"/>
        <v xml:space="preserve">معرض مهدي باحاج للألمنيوم و الرخام شبوة
</v>
      </c>
      <c r="AC230" s="18"/>
      <c r="AD230" s="18"/>
      <c r="AE230" s="18"/>
      <c r="AF230" s="18"/>
      <c r="AG230" s="18"/>
      <c r="AH230" s="13"/>
      <c r="AI230" s="18"/>
      <c r="AJ230" s="13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3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2"/>
      <c r="BK230" s="12"/>
      <c r="BL230" s="12"/>
      <c r="BM230" s="9"/>
      <c r="BN230" s="9"/>
      <c r="BO230" s="9"/>
      <c r="BP230" s="12"/>
      <c r="BQ230" s="12"/>
      <c r="BR230" s="12"/>
      <c r="BS230" s="12"/>
      <c r="BT230" s="12"/>
      <c r="BU230" s="12"/>
      <c r="BV230" s="12"/>
      <c r="BW230" s="12"/>
      <c r="BX230" s="12"/>
      <c r="BY230" s="9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</row>
    <row r="231" spans="1:88" ht="40.5" customHeight="1">
      <c r="A231" s="9">
        <f t="shared" si="0"/>
        <v>229</v>
      </c>
      <c r="B231" s="9" t="str">
        <f t="shared" si="5"/>
        <v xml:space="preserve">MA
</v>
      </c>
      <c r="C231" s="28" t="s">
        <v>734</v>
      </c>
      <c r="D231" s="9" t="s">
        <v>601</v>
      </c>
      <c r="E231" s="12">
        <v>0</v>
      </c>
      <c r="F231" s="12">
        <v>0</v>
      </c>
      <c r="G231" s="9" t="s">
        <v>89</v>
      </c>
      <c r="H231" s="12"/>
      <c r="I231" s="12">
        <f>967772012646</f>
        <v>967772012646</v>
      </c>
      <c r="J231" s="12"/>
      <c r="K231" s="12"/>
      <c r="L231" s="12"/>
      <c r="M231" s="12"/>
      <c r="N231" s="13" t="str">
        <f t="shared" si="1"/>
        <v xml:space="preserve">الخليدي المنيوم
</v>
      </c>
      <c r="O231" s="13"/>
      <c r="P231" s="17"/>
      <c r="Q231" s="13"/>
      <c r="R231" s="17"/>
      <c r="S231" s="17"/>
      <c r="T231" s="13"/>
      <c r="U231" s="17" t="str">
        <f t="shared" si="2"/>
        <v xml:space="preserve">الخليدي المنيوم
</v>
      </c>
      <c r="V231" s="13"/>
      <c r="W231" s="13"/>
      <c r="X231" s="13"/>
      <c r="Y231" s="13"/>
      <c r="Z231" s="13"/>
      <c r="AA231" s="13"/>
      <c r="AB231" s="18" t="str">
        <f t="shared" si="3"/>
        <v xml:space="preserve">الخليدي المنيوم
</v>
      </c>
      <c r="AC231" s="18"/>
      <c r="AD231" s="18"/>
      <c r="AE231" s="18"/>
      <c r="AF231" s="18"/>
      <c r="AG231" s="18"/>
      <c r="AH231" s="13"/>
      <c r="AI231" s="18"/>
      <c r="AJ231" s="13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3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2"/>
      <c r="BK231" s="12"/>
      <c r="BL231" s="12"/>
      <c r="BM231" s="9"/>
      <c r="BN231" s="9"/>
      <c r="BO231" s="9"/>
      <c r="BP231" s="12"/>
      <c r="BQ231" s="12"/>
      <c r="BR231" s="12"/>
      <c r="BS231" s="12"/>
      <c r="BT231" s="12"/>
      <c r="BU231" s="12"/>
      <c r="BV231" s="12"/>
      <c r="BW231" s="12"/>
      <c r="BX231" s="12"/>
      <c r="BY231" s="9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</row>
    <row r="232" spans="1:88" ht="40.5" customHeight="1">
      <c r="A232" s="9">
        <f t="shared" si="0"/>
        <v>230</v>
      </c>
      <c r="B232" s="9" t="str">
        <f t="shared" si="5"/>
        <v xml:space="preserve">MA
</v>
      </c>
      <c r="C232" s="28" t="s">
        <v>735</v>
      </c>
      <c r="D232" s="9" t="s">
        <v>601</v>
      </c>
      <c r="E232" s="12">
        <v>0</v>
      </c>
      <c r="F232" s="12">
        <v>0</v>
      </c>
      <c r="G232" s="9" t="s">
        <v>89</v>
      </c>
      <c r="H232" s="12"/>
      <c r="I232" s="12">
        <f>967771984798</f>
        <v>967771984798</v>
      </c>
      <c r="J232" s="12"/>
      <c r="K232" s="12"/>
      <c r="L232" s="12"/>
      <c r="M232" s="12"/>
      <c r="N232" s="13" t="str">
        <f t="shared" si="1"/>
        <v xml:space="preserve">المنيوم الاتقان
</v>
      </c>
      <c r="O232" s="13"/>
      <c r="P232" s="17"/>
      <c r="Q232" s="13"/>
      <c r="R232" s="17"/>
      <c r="S232" s="17"/>
      <c r="T232" s="13"/>
      <c r="U232" s="17" t="str">
        <f t="shared" si="2"/>
        <v xml:space="preserve">المنيوم الاتقان
</v>
      </c>
      <c r="V232" s="13"/>
      <c r="W232" s="13"/>
      <c r="X232" s="13"/>
      <c r="Y232" s="13"/>
      <c r="Z232" s="13"/>
      <c r="AA232" s="13"/>
      <c r="AB232" s="18" t="str">
        <f t="shared" si="3"/>
        <v xml:space="preserve">المنيوم الاتقان
</v>
      </c>
      <c r="AC232" s="18"/>
      <c r="AD232" s="18"/>
      <c r="AE232" s="18"/>
      <c r="AF232" s="18"/>
      <c r="AG232" s="18"/>
      <c r="AH232" s="13"/>
      <c r="AI232" s="18"/>
      <c r="AJ232" s="13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3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2"/>
      <c r="BK232" s="12"/>
      <c r="BL232" s="12"/>
      <c r="BM232" s="9"/>
      <c r="BN232" s="9"/>
      <c r="BO232" s="9"/>
      <c r="BP232" s="12"/>
      <c r="BQ232" s="12"/>
      <c r="BR232" s="12"/>
      <c r="BS232" s="12"/>
      <c r="BT232" s="12"/>
      <c r="BU232" s="12"/>
      <c r="BV232" s="12"/>
      <c r="BW232" s="12"/>
      <c r="BX232" s="12"/>
      <c r="BY232" s="9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</row>
    <row r="233" spans="1:88" ht="40.5" customHeight="1">
      <c r="A233" s="9">
        <f t="shared" si="0"/>
        <v>231</v>
      </c>
      <c r="B233" s="9" t="str">
        <f t="shared" si="5"/>
        <v xml:space="preserve">MA
</v>
      </c>
      <c r="C233" s="28" t="s">
        <v>736</v>
      </c>
      <c r="D233" s="9" t="s">
        <v>601</v>
      </c>
      <c r="E233" s="12">
        <v>0</v>
      </c>
      <c r="F233" s="12">
        <v>0</v>
      </c>
      <c r="G233" s="9" t="s">
        <v>89</v>
      </c>
      <c r="H233" s="12"/>
      <c r="I233" s="12">
        <f>967774408717</f>
        <v>967774408717</v>
      </c>
      <c r="J233" s="12"/>
      <c r="K233" s="12"/>
      <c r="L233" s="12"/>
      <c r="M233" s="12"/>
      <c r="N233" s="13" t="str">
        <f t="shared" si="1"/>
        <v xml:space="preserve">ورشة التفوق لجميع أعمال الألمنيوم
</v>
      </c>
      <c r="O233" s="13"/>
      <c r="P233" s="17"/>
      <c r="Q233" s="13"/>
      <c r="R233" s="17"/>
      <c r="S233" s="17"/>
      <c r="T233" s="13"/>
      <c r="U233" s="17" t="str">
        <f t="shared" si="2"/>
        <v xml:space="preserve">ورشة التفوق لجميع أعمال الألمنيوم
</v>
      </c>
      <c r="V233" s="13"/>
      <c r="W233" s="13"/>
      <c r="X233" s="13"/>
      <c r="Y233" s="13"/>
      <c r="Z233" s="13"/>
      <c r="AA233" s="13"/>
      <c r="AB233" s="18" t="str">
        <f t="shared" si="3"/>
        <v xml:space="preserve">ورشة التفوق لجميع أعمال الألمنيوم
</v>
      </c>
      <c r="AC233" s="18"/>
      <c r="AD233" s="18"/>
      <c r="AE233" s="18"/>
      <c r="AF233" s="18"/>
      <c r="AG233" s="18"/>
      <c r="AH233" s="13"/>
      <c r="AI233" s="18"/>
      <c r="AJ233" s="13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3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2"/>
      <c r="BK233" s="12"/>
      <c r="BL233" s="12"/>
      <c r="BM233" s="9"/>
      <c r="BN233" s="9"/>
      <c r="BO233" s="9"/>
      <c r="BP233" s="12"/>
      <c r="BQ233" s="12"/>
      <c r="BR233" s="12"/>
      <c r="BS233" s="12"/>
      <c r="BT233" s="12"/>
      <c r="BU233" s="12"/>
      <c r="BV233" s="12"/>
      <c r="BW233" s="12"/>
      <c r="BX233" s="12"/>
      <c r="BY233" s="9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</row>
    <row r="234" spans="1:88" ht="40.5" customHeight="1">
      <c r="A234" s="9">
        <f t="shared" si="0"/>
        <v>232</v>
      </c>
      <c r="B234" s="9" t="str">
        <f t="shared" si="5"/>
        <v xml:space="preserve">MA
</v>
      </c>
      <c r="C234" s="28" t="s">
        <v>737</v>
      </c>
      <c r="D234" s="9" t="s">
        <v>601</v>
      </c>
      <c r="E234" s="12">
        <v>0</v>
      </c>
      <c r="F234" s="12">
        <v>0</v>
      </c>
      <c r="G234" s="9" t="s">
        <v>89</v>
      </c>
      <c r="H234" s="12"/>
      <c r="I234" s="12">
        <f>967773458687</f>
        <v>967773458687</v>
      </c>
      <c r="J234" s="12"/>
      <c r="K234" s="12"/>
      <c r="L234" s="12"/>
      <c r="M234" s="12"/>
      <c r="N234" s="13" t="str">
        <f t="shared" si="1"/>
        <v xml:space="preserve">المنيوم النهضة
</v>
      </c>
      <c r="O234" s="13"/>
      <c r="P234" s="17"/>
      <c r="Q234" s="13"/>
      <c r="R234" s="17"/>
      <c r="S234" s="17"/>
      <c r="T234" s="13"/>
      <c r="U234" s="17" t="str">
        <f t="shared" si="2"/>
        <v xml:space="preserve">المنيوم النهضة
</v>
      </c>
      <c r="V234" s="13"/>
      <c r="W234" s="13"/>
      <c r="X234" s="13"/>
      <c r="Y234" s="13"/>
      <c r="Z234" s="13"/>
      <c r="AA234" s="13"/>
      <c r="AB234" s="18" t="str">
        <f t="shared" si="3"/>
        <v xml:space="preserve">المنيوم النهضة
</v>
      </c>
      <c r="AC234" s="18"/>
      <c r="AD234" s="18"/>
      <c r="AE234" s="18"/>
      <c r="AF234" s="18"/>
      <c r="AG234" s="18"/>
      <c r="AH234" s="13"/>
      <c r="AI234" s="18"/>
      <c r="AJ234" s="13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3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2"/>
      <c r="BK234" s="12"/>
      <c r="BL234" s="12"/>
      <c r="BM234" s="9"/>
      <c r="BN234" s="9"/>
      <c r="BO234" s="9"/>
      <c r="BP234" s="12"/>
      <c r="BQ234" s="12"/>
      <c r="BR234" s="12"/>
      <c r="BS234" s="12"/>
      <c r="BT234" s="12"/>
      <c r="BU234" s="12"/>
      <c r="BV234" s="12"/>
      <c r="BW234" s="12"/>
      <c r="BX234" s="12"/>
      <c r="BY234" s="9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</row>
    <row r="235" spans="1:88" ht="40.5" customHeight="1">
      <c r="A235" s="9">
        <f t="shared" si="0"/>
        <v>233</v>
      </c>
      <c r="B235" s="9" t="str">
        <f t="shared" si="5"/>
        <v xml:space="preserve">MA
</v>
      </c>
      <c r="C235" s="28" t="s">
        <v>738</v>
      </c>
      <c r="D235" s="9" t="s">
        <v>601</v>
      </c>
      <c r="E235" s="12">
        <v>0</v>
      </c>
      <c r="F235" s="12">
        <v>0</v>
      </c>
      <c r="G235" s="9" t="s">
        <v>89</v>
      </c>
      <c r="H235" s="12"/>
      <c r="I235" s="12">
        <f>967736462742</f>
        <v>967736462742</v>
      </c>
      <c r="J235" s="12"/>
      <c r="K235" s="12"/>
      <c r="L235" s="12"/>
      <c r="M235" s="12"/>
      <c r="N235" s="13" t="str">
        <f t="shared" si="1"/>
        <v xml:space="preserve">المنيوم البيتين للتجاره
</v>
      </c>
      <c r="O235" s="13"/>
      <c r="P235" s="17"/>
      <c r="Q235" s="13"/>
      <c r="R235" s="17"/>
      <c r="S235" s="17"/>
      <c r="T235" s="13"/>
      <c r="U235" s="17" t="str">
        <f t="shared" si="2"/>
        <v xml:space="preserve">المنيوم البيتين للتجاره
</v>
      </c>
      <c r="V235" s="13"/>
      <c r="W235" s="13"/>
      <c r="X235" s="13"/>
      <c r="Y235" s="13"/>
      <c r="Z235" s="13"/>
      <c r="AA235" s="13"/>
      <c r="AB235" s="18" t="str">
        <f t="shared" si="3"/>
        <v xml:space="preserve">المنيوم البيتين للتجاره
</v>
      </c>
      <c r="AC235" s="18"/>
      <c r="AD235" s="18"/>
      <c r="AE235" s="18"/>
      <c r="AF235" s="18"/>
      <c r="AG235" s="18"/>
      <c r="AH235" s="13"/>
      <c r="AI235" s="18"/>
      <c r="AJ235" s="13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3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2"/>
      <c r="BK235" s="12"/>
      <c r="BL235" s="12"/>
      <c r="BM235" s="9"/>
      <c r="BN235" s="9"/>
      <c r="BO235" s="9"/>
      <c r="BP235" s="12"/>
      <c r="BQ235" s="12"/>
      <c r="BR235" s="12"/>
      <c r="BS235" s="12"/>
      <c r="BT235" s="12"/>
      <c r="BU235" s="12"/>
      <c r="BV235" s="12"/>
      <c r="BW235" s="12"/>
      <c r="BX235" s="12"/>
      <c r="BY235" s="9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</row>
    <row r="236" spans="1:88" ht="40.5" customHeight="1">
      <c r="A236" s="9">
        <f t="shared" si="0"/>
        <v>234</v>
      </c>
      <c r="B236" s="9" t="str">
        <f t="shared" si="5"/>
        <v xml:space="preserve">MA
</v>
      </c>
      <c r="C236" s="28" t="s">
        <v>739</v>
      </c>
      <c r="D236" s="9" t="s">
        <v>104</v>
      </c>
      <c r="E236" s="12">
        <v>0</v>
      </c>
      <c r="F236" s="12">
        <v>0</v>
      </c>
      <c r="G236" s="9" t="s">
        <v>89</v>
      </c>
      <c r="H236" s="12"/>
      <c r="I236" s="9" t="s">
        <v>740</v>
      </c>
      <c r="J236" s="12"/>
      <c r="K236" s="12"/>
      <c r="L236" s="12"/>
      <c r="M236" s="12"/>
      <c r="N236" s="13" t="str">
        <f t="shared" si="1"/>
        <v xml:space="preserve">المنارة لاعمال الألمنيوم والديكور
</v>
      </c>
      <c r="O236" s="16" t="s">
        <v>78</v>
      </c>
      <c r="P236" s="14">
        <v>1</v>
      </c>
      <c r="Q236" s="25">
        <v>44933</v>
      </c>
      <c r="R236" s="17"/>
      <c r="S236" s="17"/>
      <c r="T236" s="16" t="s">
        <v>101</v>
      </c>
      <c r="U236" s="17" t="str">
        <f t="shared" si="2"/>
        <v xml:space="preserve">المنارة لاعمال الألمنيوم والديكور
</v>
      </c>
      <c r="V236" s="13"/>
      <c r="W236" s="13"/>
      <c r="X236" s="13"/>
      <c r="Y236" s="13"/>
      <c r="Z236" s="13"/>
      <c r="AA236" s="13"/>
      <c r="AB236" s="18" t="str">
        <f t="shared" si="3"/>
        <v xml:space="preserve">المنارة لاعمال الألمنيوم والديكور
</v>
      </c>
      <c r="AC236" s="18"/>
      <c r="AD236" s="18"/>
      <c r="AE236" s="18"/>
      <c r="AF236" s="18"/>
      <c r="AG236" s="18"/>
      <c r="AH236" s="13"/>
      <c r="AI236" s="18"/>
      <c r="AJ236" s="13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3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2"/>
      <c r="BK236" s="12"/>
      <c r="BL236" s="12"/>
      <c r="BM236" s="9"/>
      <c r="BN236" s="9"/>
      <c r="BO236" s="9"/>
      <c r="BP236" s="12"/>
      <c r="BQ236" s="12"/>
      <c r="BR236" s="12"/>
      <c r="BS236" s="12"/>
      <c r="BT236" s="12"/>
      <c r="BU236" s="12"/>
      <c r="BV236" s="12"/>
      <c r="BW236" s="12"/>
      <c r="BX236" s="12"/>
      <c r="BY236" s="9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</row>
    <row r="237" spans="1:88" ht="40.5" customHeight="1">
      <c r="A237" s="9">
        <f t="shared" si="0"/>
        <v>235</v>
      </c>
      <c r="B237" s="9" t="str">
        <f t="shared" si="5"/>
        <v xml:space="preserve">MA
</v>
      </c>
      <c r="C237" s="28" t="s">
        <v>741</v>
      </c>
      <c r="D237" s="9" t="s">
        <v>104</v>
      </c>
      <c r="E237" s="12">
        <v>0</v>
      </c>
      <c r="F237" s="12">
        <v>0</v>
      </c>
      <c r="G237" s="9" t="s">
        <v>89</v>
      </c>
      <c r="H237" s="12"/>
      <c r="I237" s="9" t="s">
        <v>742</v>
      </c>
      <c r="J237" s="12"/>
      <c r="K237" s="12"/>
      <c r="L237" s="12"/>
      <c r="M237" s="12"/>
      <c r="N237" s="13" t="str">
        <f t="shared" si="1"/>
        <v xml:space="preserve">مصنع الفرجاني الألمنيوم
</v>
      </c>
      <c r="O237" s="16" t="s">
        <v>78</v>
      </c>
      <c r="P237" s="14">
        <v>1</v>
      </c>
      <c r="Q237" s="25">
        <v>44933</v>
      </c>
      <c r="R237" s="17"/>
      <c r="S237" s="17"/>
      <c r="T237" s="16" t="s">
        <v>101</v>
      </c>
      <c r="U237" s="17" t="str">
        <f t="shared" si="2"/>
        <v xml:space="preserve">مصنع الفرجاني الألمنيوم
</v>
      </c>
      <c r="V237" s="13"/>
      <c r="W237" s="13"/>
      <c r="X237" s="13"/>
      <c r="Y237" s="13"/>
      <c r="Z237" s="13"/>
      <c r="AA237" s="13"/>
      <c r="AB237" s="18" t="str">
        <f t="shared" si="3"/>
        <v xml:space="preserve">مصنع الفرجاني الألمنيوم
</v>
      </c>
      <c r="AC237" s="18"/>
      <c r="AD237" s="18"/>
      <c r="AE237" s="18"/>
      <c r="AF237" s="18"/>
      <c r="AG237" s="18"/>
      <c r="AH237" s="13"/>
      <c r="AI237" s="18"/>
      <c r="AJ237" s="13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3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2"/>
      <c r="BK237" s="12"/>
      <c r="BL237" s="12"/>
      <c r="BM237" s="9"/>
      <c r="BN237" s="9"/>
      <c r="BO237" s="9"/>
      <c r="BP237" s="12"/>
      <c r="BQ237" s="12"/>
      <c r="BR237" s="12"/>
      <c r="BS237" s="12"/>
      <c r="BT237" s="12"/>
      <c r="BU237" s="12"/>
      <c r="BV237" s="12"/>
      <c r="BW237" s="12"/>
      <c r="BX237" s="12"/>
      <c r="BY237" s="9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</row>
    <row r="238" spans="1:88" ht="40.5" customHeight="1">
      <c r="A238" s="9">
        <f t="shared" si="0"/>
        <v>236</v>
      </c>
      <c r="B238" s="9" t="str">
        <f t="shared" si="5"/>
        <v xml:space="preserve">MA
</v>
      </c>
      <c r="C238" s="28" t="s">
        <v>743</v>
      </c>
      <c r="D238" s="9" t="s">
        <v>104</v>
      </c>
      <c r="E238" s="12">
        <v>0</v>
      </c>
      <c r="F238" s="12">
        <v>0</v>
      </c>
      <c r="G238" s="9" t="s">
        <v>89</v>
      </c>
      <c r="H238" s="12"/>
      <c r="I238" s="9" t="s">
        <v>744</v>
      </c>
      <c r="J238" s="12"/>
      <c r="K238" s="12"/>
      <c r="L238" s="12"/>
      <c r="M238" s="12"/>
      <c r="N238" s="13" t="str">
        <f t="shared" si="1"/>
        <v xml:space="preserve">صالح الصريمي لي بيع و تصنيع قطاعات ال pvc و الالمنيوم و المطابخ⁶
</v>
      </c>
      <c r="O238" s="16" t="s">
        <v>78</v>
      </c>
      <c r="P238" s="14">
        <v>1</v>
      </c>
      <c r="Q238" s="25">
        <v>44933</v>
      </c>
      <c r="R238" s="17"/>
      <c r="S238" s="17"/>
      <c r="T238" s="16" t="s">
        <v>101</v>
      </c>
      <c r="U238" s="17" t="str">
        <f t="shared" si="2"/>
        <v xml:space="preserve">صالح الصريمي لي بيع و تصنيع قطاعات ال pvc و الالمنيوم و المطابخ⁶
</v>
      </c>
      <c r="V238" s="13"/>
      <c r="W238" s="13"/>
      <c r="X238" s="13"/>
      <c r="Y238" s="13"/>
      <c r="Z238" s="13"/>
      <c r="AA238" s="13"/>
      <c r="AB238" s="18" t="str">
        <f t="shared" si="3"/>
        <v xml:space="preserve">صالح الصريمي لي بيع و تصنيع قطاعات ال pvc و الالمنيوم و المطابخ⁶
</v>
      </c>
      <c r="AC238" s="18"/>
      <c r="AD238" s="18"/>
      <c r="AE238" s="18"/>
      <c r="AF238" s="18"/>
      <c r="AG238" s="18"/>
      <c r="AH238" s="13"/>
      <c r="AI238" s="18"/>
      <c r="AJ238" s="13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3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2"/>
      <c r="BK238" s="12"/>
      <c r="BL238" s="12"/>
      <c r="BM238" s="9"/>
      <c r="BN238" s="9"/>
      <c r="BO238" s="9"/>
      <c r="BP238" s="12"/>
      <c r="BQ238" s="12"/>
      <c r="BR238" s="12"/>
      <c r="BS238" s="12"/>
      <c r="BT238" s="12"/>
      <c r="BU238" s="12"/>
      <c r="BV238" s="12"/>
      <c r="BW238" s="12"/>
      <c r="BX238" s="12"/>
      <c r="BY238" s="9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</row>
    <row r="239" spans="1:88" ht="40.5" customHeight="1">
      <c r="A239" s="9">
        <f t="shared" si="0"/>
        <v>237</v>
      </c>
      <c r="B239" s="9" t="str">
        <f t="shared" si="5"/>
        <v xml:space="preserve">MA
</v>
      </c>
      <c r="C239" s="9" t="s">
        <v>745</v>
      </c>
      <c r="D239" s="9" t="s">
        <v>746</v>
      </c>
      <c r="E239" s="12">
        <v>0</v>
      </c>
      <c r="F239" s="12">
        <v>0</v>
      </c>
      <c r="G239" s="9" t="s">
        <v>89</v>
      </c>
      <c r="H239" s="12"/>
      <c r="I239" s="9" t="s">
        <v>747</v>
      </c>
      <c r="J239" s="12"/>
      <c r="K239" s="12"/>
      <c r="L239" s="12"/>
      <c r="M239" s="12"/>
      <c r="N239" s="13" t="str">
        <f t="shared" si="1"/>
        <v>Green Ladder</v>
      </c>
      <c r="O239" s="16" t="s">
        <v>78</v>
      </c>
      <c r="P239" s="14">
        <v>1</v>
      </c>
      <c r="Q239" s="25">
        <v>44933</v>
      </c>
      <c r="R239" s="17"/>
      <c r="S239" s="17"/>
      <c r="T239" s="16" t="s">
        <v>101</v>
      </c>
      <c r="U239" s="17" t="str">
        <f t="shared" si="2"/>
        <v>Green Ladder</v>
      </c>
      <c r="V239" s="13"/>
      <c r="W239" s="13"/>
      <c r="X239" s="13"/>
      <c r="Y239" s="13"/>
      <c r="Z239" s="13"/>
      <c r="AA239" s="13"/>
      <c r="AB239" s="18" t="str">
        <f t="shared" si="3"/>
        <v>Green Ladder</v>
      </c>
      <c r="AC239" s="18"/>
      <c r="AD239" s="18"/>
      <c r="AE239" s="18"/>
      <c r="AF239" s="18"/>
      <c r="AG239" s="18"/>
      <c r="AH239" s="13"/>
      <c r="AI239" s="18"/>
      <c r="AJ239" s="13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3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2"/>
      <c r="BK239" s="12"/>
      <c r="BL239" s="12"/>
      <c r="BM239" s="9"/>
      <c r="BN239" s="9"/>
      <c r="BO239" s="9"/>
      <c r="BP239" s="12"/>
      <c r="BQ239" s="12"/>
      <c r="BR239" s="12"/>
      <c r="BS239" s="12"/>
      <c r="BT239" s="12"/>
      <c r="BU239" s="12"/>
      <c r="BV239" s="12"/>
      <c r="BW239" s="12"/>
      <c r="BX239" s="12"/>
      <c r="BY239" s="9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</row>
    <row r="240" spans="1:88" ht="40.5" customHeight="1">
      <c r="A240" s="9">
        <f t="shared" si="0"/>
        <v>238</v>
      </c>
      <c r="B240" s="9" t="str">
        <f t="shared" si="5"/>
        <v xml:space="preserve">MA
</v>
      </c>
      <c r="C240" s="28" t="s">
        <v>748</v>
      </c>
      <c r="D240" s="9" t="s">
        <v>104</v>
      </c>
      <c r="E240" s="12">
        <v>0</v>
      </c>
      <c r="F240" s="12">
        <v>0</v>
      </c>
      <c r="G240" s="9" t="s">
        <v>89</v>
      </c>
      <c r="H240" s="12"/>
      <c r="I240" s="9" t="s">
        <v>749</v>
      </c>
      <c r="J240" s="12"/>
      <c r="K240" s="12"/>
      <c r="L240" s="12"/>
      <c r="M240" s="12"/>
      <c r="N240" s="13" t="str">
        <f t="shared" si="1"/>
        <v xml:space="preserve">شركة الشويهدي
</v>
      </c>
      <c r="O240" s="16" t="s">
        <v>78</v>
      </c>
      <c r="P240" s="14">
        <v>1</v>
      </c>
      <c r="Q240" s="25">
        <v>44933</v>
      </c>
      <c r="R240" s="17"/>
      <c r="S240" s="17"/>
      <c r="T240" s="16" t="s">
        <v>101</v>
      </c>
      <c r="U240" s="17" t="str">
        <f t="shared" si="2"/>
        <v xml:space="preserve">شركة الشويهدي
</v>
      </c>
      <c r="V240" s="13"/>
      <c r="W240" s="13"/>
      <c r="X240" s="13"/>
      <c r="Y240" s="13"/>
      <c r="Z240" s="13"/>
      <c r="AA240" s="13"/>
      <c r="AB240" s="18" t="str">
        <f t="shared" si="3"/>
        <v xml:space="preserve">شركة الشويهدي
</v>
      </c>
      <c r="AC240" s="18"/>
      <c r="AD240" s="18"/>
      <c r="AE240" s="18"/>
      <c r="AF240" s="18"/>
      <c r="AG240" s="18"/>
      <c r="AH240" s="13"/>
      <c r="AI240" s="18"/>
      <c r="AJ240" s="13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3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2"/>
      <c r="BK240" s="12"/>
      <c r="BL240" s="12"/>
      <c r="BM240" s="9"/>
      <c r="BN240" s="9"/>
      <c r="BO240" s="9"/>
      <c r="BP240" s="12"/>
      <c r="BQ240" s="12"/>
      <c r="BR240" s="12"/>
      <c r="BS240" s="12"/>
      <c r="BT240" s="12"/>
      <c r="BU240" s="12"/>
      <c r="BV240" s="12"/>
      <c r="BW240" s="12"/>
      <c r="BX240" s="12"/>
      <c r="BY240" s="9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</row>
    <row r="241" spans="1:88" ht="40.5" customHeight="1">
      <c r="A241" s="9">
        <f t="shared" si="0"/>
        <v>239</v>
      </c>
      <c r="B241" s="9" t="str">
        <f t="shared" si="5"/>
        <v xml:space="preserve">MA
</v>
      </c>
      <c r="C241" s="28" t="s">
        <v>750</v>
      </c>
      <c r="D241" s="9" t="s">
        <v>104</v>
      </c>
      <c r="E241" s="12">
        <v>0</v>
      </c>
      <c r="F241" s="12">
        <v>0</v>
      </c>
      <c r="G241" s="9" t="s">
        <v>89</v>
      </c>
      <c r="H241" s="12"/>
      <c r="I241" s="9" t="s">
        <v>751</v>
      </c>
      <c r="J241" s="12"/>
      <c r="K241" s="12"/>
      <c r="L241" s="12"/>
      <c r="M241" s="12"/>
      <c r="N241" s="13" t="str">
        <f t="shared" si="1"/>
        <v xml:space="preserve">ورشة أبناء الحاج فرج بوعزة
</v>
      </c>
      <c r="O241" s="16" t="s">
        <v>78</v>
      </c>
      <c r="P241" s="14">
        <v>1</v>
      </c>
      <c r="Q241" s="25">
        <v>44933</v>
      </c>
      <c r="R241" s="17"/>
      <c r="S241" s="17"/>
      <c r="T241" s="16" t="s">
        <v>101</v>
      </c>
      <c r="U241" s="17" t="str">
        <f t="shared" si="2"/>
        <v xml:space="preserve">ورشة أبناء الحاج فرج بوعزة
</v>
      </c>
      <c r="V241" s="13"/>
      <c r="W241" s="13"/>
      <c r="X241" s="13"/>
      <c r="Y241" s="13"/>
      <c r="Z241" s="13"/>
      <c r="AA241" s="13"/>
      <c r="AB241" s="18" t="str">
        <f t="shared" si="3"/>
        <v xml:space="preserve">ورشة أبناء الحاج فرج بوعزة
</v>
      </c>
      <c r="AC241" s="18"/>
      <c r="AD241" s="18"/>
      <c r="AE241" s="18"/>
      <c r="AF241" s="18"/>
      <c r="AG241" s="18"/>
      <c r="AH241" s="13"/>
      <c r="AI241" s="18"/>
      <c r="AJ241" s="13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3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2"/>
      <c r="BK241" s="12"/>
      <c r="BL241" s="12"/>
      <c r="BM241" s="9"/>
      <c r="BN241" s="9"/>
      <c r="BO241" s="9"/>
      <c r="BP241" s="12"/>
      <c r="BQ241" s="12"/>
      <c r="BR241" s="12"/>
      <c r="BS241" s="12"/>
      <c r="BT241" s="12"/>
      <c r="BU241" s="12"/>
      <c r="BV241" s="12"/>
      <c r="BW241" s="12"/>
      <c r="BX241" s="12"/>
      <c r="BY241" s="9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</row>
    <row r="242" spans="1:88" ht="40.5" customHeight="1">
      <c r="A242" s="9">
        <f t="shared" si="0"/>
        <v>240</v>
      </c>
      <c r="B242" s="9" t="str">
        <f t="shared" si="5"/>
        <v xml:space="preserve">MA
</v>
      </c>
      <c r="C242" s="28" t="s">
        <v>752</v>
      </c>
      <c r="D242" s="9" t="s">
        <v>104</v>
      </c>
      <c r="E242" s="12">
        <v>0</v>
      </c>
      <c r="F242" s="12">
        <v>0</v>
      </c>
      <c r="G242" s="9" t="s">
        <v>89</v>
      </c>
      <c r="H242" s="12"/>
      <c r="I242" s="9" t="s">
        <v>753</v>
      </c>
      <c r="J242" s="12"/>
      <c r="K242" s="12"/>
      <c r="L242" s="12"/>
      <c r="M242" s="12"/>
      <c r="N242" s="13" t="str">
        <f t="shared" si="1"/>
        <v xml:space="preserve">ورشة الأبداع لأعمال الألمنيوم/pvc
</v>
      </c>
      <c r="O242" s="16" t="s">
        <v>78</v>
      </c>
      <c r="P242" s="14">
        <v>1</v>
      </c>
      <c r="Q242" s="25">
        <v>44933</v>
      </c>
      <c r="R242" s="17"/>
      <c r="S242" s="17"/>
      <c r="T242" s="16" t="s">
        <v>101</v>
      </c>
      <c r="U242" s="17" t="str">
        <f t="shared" si="2"/>
        <v xml:space="preserve">ورشة الأبداع لأعمال الألمنيوم/pvc
</v>
      </c>
      <c r="V242" s="13"/>
      <c r="W242" s="13"/>
      <c r="X242" s="13"/>
      <c r="Y242" s="13"/>
      <c r="Z242" s="13"/>
      <c r="AA242" s="13"/>
      <c r="AB242" s="18" t="str">
        <f t="shared" si="3"/>
        <v xml:space="preserve">ورشة الأبداع لأعمال الألمنيوم/pvc
</v>
      </c>
      <c r="AC242" s="18"/>
      <c r="AD242" s="18"/>
      <c r="AE242" s="18"/>
      <c r="AF242" s="18"/>
      <c r="AG242" s="18"/>
      <c r="AH242" s="13"/>
      <c r="AI242" s="18"/>
      <c r="AJ242" s="13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3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2"/>
      <c r="BK242" s="12"/>
      <c r="BL242" s="12"/>
      <c r="BM242" s="9"/>
      <c r="BN242" s="9"/>
      <c r="BO242" s="9"/>
      <c r="BP242" s="12"/>
      <c r="BQ242" s="12"/>
      <c r="BR242" s="12"/>
      <c r="BS242" s="12"/>
      <c r="BT242" s="12"/>
      <c r="BU242" s="12"/>
      <c r="BV242" s="12"/>
      <c r="BW242" s="12"/>
      <c r="BX242" s="12"/>
      <c r="BY242" s="9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</row>
    <row r="243" spans="1:88" ht="40.5" customHeight="1">
      <c r="A243" s="9">
        <f t="shared" si="0"/>
        <v>241</v>
      </c>
      <c r="B243" s="9" t="str">
        <f t="shared" si="5"/>
        <v xml:space="preserve">MA
</v>
      </c>
      <c r="C243" s="28" t="s">
        <v>754</v>
      </c>
      <c r="D243" s="9" t="s">
        <v>104</v>
      </c>
      <c r="E243" s="12">
        <v>0</v>
      </c>
      <c r="F243" s="12">
        <v>0</v>
      </c>
      <c r="G243" s="9" t="s">
        <v>89</v>
      </c>
      <c r="H243" s="12"/>
      <c r="I243" s="9" t="s">
        <v>755</v>
      </c>
      <c r="J243" s="12"/>
      <c r="K243" s="12"/>
      <c r="L243" s="12"/>
      <c r="M243" s="12"/>
      <c r="N243" s="13" t="str">
        <f t="shared" si="1"/>
        <v xml:space="preserve">شركة ارسنيم الالمنيوم و PVC
</v>
      </c>
      <c r="O243" s="16" t="s">
        <v>78</v>
      </c>
      <c r="P243" s="14">
        <v>1</v>
      </c>
      <c r="Q243" s="25">
        <v>44933</v>
      </c>
      <c r="R243" s="14">
        <v>4</v>
      </c>
      <c r="S243" s="26">
        <v>0.10138888888888889</v>
      </c>
      <c r="T243" s="16" t="s">
        <v>108</v>
      </c>
      <c r="U243" s="17" t="str">
        <f t="shared" si="2"/>
        <v xml:space="preserve">شركة ارسنيم الالمنيوم و PVC
</v>
      </c>
      <c r="V243" s="13"/>
      <c r="W243" s="13"/>
      <c r="X243" s="13"/>
      <c r="Y243" s="13"/>
      <c r="Z243" s="13"/>
      <c r="AA243" s="13"/>
      <c r="AB243" s="18" t="str">
        <f t="shared" si="3"/>
        <v xml:space="preserve">شركة ارسنيم الالمنيوم و PVC
</v>
      </c>
      <c r="AC243" s="18"/>
      <c r="AD243" s="18"/>
      <c r="AE243" s="18"/>
      <c r="AF243" s="18"/>
      <c r="AG243" s="18"/>
      <c r="AH243" s="13"/>
      <c r="AI243" s="18"/>
      <c r="AJ243" s="13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3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2"/>
      <c r="BK243" s="12"/>
      <c r="BL243" s="12"/>
      <c r="BM243" s="9"/>
      <c r="BN243" s="9"/>
      <c r="BO243" s="9"/>
      <c r="BP243" s="12"/>
      <c r="BQ243" s="12"/>
      <c r="BR243" s="12"/>
      <c r="BS243" s="12"/>
      <c r="BT243" s="12"/>
      <c r="BU243" s="12"/>
      <c r="BV243" s="12"/>
      <c r="BW243" s="12"/>
      <c r="BX243" s="12"/>
      <c r="BY243" s="9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</row>
    <row r="244" spans="1:88" ht="40.5" customHeight="1">
      <c r="A244" s="9">
        <f t="shared" si="0"/>
        <v>242</v>
      </c>
      <c r="B244" s="9" t="str">
        <f t="shared" si="5"/>
        <v xml:space="preserve">MA
</v>
      </c>
      <c r="C244" s="28" t="s">
        <v>756</v>
      </c>
      <c r="D244" s="9" t="s">
        <v>104</v>
      </c>
      <c r="E244" s="12">
        <v>0</v>
      </c>
      <c r="F244" s="12">
        <v>0</v>
      </c>
      <c r="G244" s="9" t="s">
        <v>89</v>
      </c>
      <c r="H244" s="12"/>
      <c r="I244" s="9" t="s">
        <v>757</v>
      </c>
      <c r="J244" s="12"/>
      <c r="K244" s="12"/>
      <c r="L244" s="12"/>
      <c r="M244" s="12"/>
      <c r="N244" s="13" t="str">
        <f t="shared" si="1"/>
        <v xml:space="preserve">يامن لاعمال الالمنيوم
</v>
      </c>
      <c r="O244" s="16" t="s">
        <v>78</v>
      </c>
      <c r="P244" s="14">
        <v>1</v>
      </c>
      <c r="Q244" s="25">
        <v>44933</v>
      </c>
      <c r="R244" s="14">
        <v>3</v>
      </c>
      <c r="S244" s="26">
        <v>8.1944444444444445E-2</v>
      </c>
      <c r="T244" s="16" t="s">
        <v>108</v>
      </c>
      <c r="U244" s="17" t="str">
        <f t="shared" si="2"/>
        <v xml:space="preserve">يامن لاعمال الالمنيوم
</v>
      </c>
      <c r="V244" s="13"/>
      <c r="W244" s="13"/>
      <c r="X244" s="13"/>
      <c r="Y244" s="13"/>
      <c r="Z244" s="13"/>
      <c r="AA244" s="13"/>
      <c r="AB244" s="18" t="str">
        <f t="shared" si="3"/>
        <v xml:space="preserve">يامن لاعمال الالمنيوم
</v>
      </c>
      <c r="AC244" s="18"/>
      <c r="AD244" s="18"/>
      <c r="AE244" s="18"/>
      <c r="AF244" s="18"/>
      <c r="AG244" s="18"/>
      <c r="AH244" s="13"/>
      <c r="AI244" s="18"/>
      <c r="AJ244" s="13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3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2"/>
      <c r="BK244" s="12"/>
      <c r="BL244" s="12"/>
      <c r="BM244" s="9"/>
      <c r="BN244" s="9"/>
      <c r="BO244" s="9"/>
      <c r="BP244" s="12"/>
      <c r="BQ244" s="12"/>
      <c r="BR244" s="12"/>
      <c r="BS244" s="12"/>
      <c r="BT244" s="12"/>
      <c r="BU244" s="12"/>
      <c r="BV244" s="12"/>
      <c r="BW244" s="12"/>
      <c r="BX244" s="12"/>
      <c r="BY244" s="9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</row>
    <row r="245" spans="1:88" ht="40.5" customHeight="1">
      <c r="A245" s="9">
        <f t="shared" si="0"/>
        <v>243</v>
      </c>
      <c r="B245" s="9" t="str">
        <f t="shared" si="5"/>
        <v xml:space="preserve">MA
</v>
      </c>
      <c r="C245" s="28" t="s">
        <v>758</v>
      </c>
      <c r="D245" s="9" t="s">
        <v>104</v>
      </c>
      <c r="E245" s="12">
        <v>0</v>
      </c>
      <c r="F245" s="12">
        <v>0</v>
      </c>
      <c r="G245" s="9" t="s">
        <v>89</v>
      </c>
      <c r="H245" s="12"/>
      <c r="I245" s="9" t="s">
        <v>759</v>
      </c>
      <c r="J245" s="12"/>
      <c r="K245" s="12"/>
      <c r="L245" s="12"/>
      <c r="M245" s="12"/>
      <c r="N245" s="13" t="str">
        <f t="shared" si="1"/>
        <v>تشاركية افريقيا لاعمال الالمنيوم</v>
      </c>
      <c r="O245" s="16" t="s">
        <v>78</v>
      </c>
      <c r="P245" s="14">
        <v>1</v>
      </c>
      <c r="Q245" s="25">
        <v>44933</v>
      </c>
      <c r="R245" s="17"/>
      <c r="S245" s="17"/>
      <c r="T245" s="16" t="s">
        <v>101</v>
      </c>
      <c r="U245" s="17" t="str">
        <f t="shared" si="2"/>
        <v>تشاركية افريقيا لاعمال الالمنيوم</v>
      </c>
      <c r="V245" s="13"/>
      <c r="W245" s="13"/>
      <c r="X245" s="13"/>
      <c r="Y245" s="13"/>
      <c r="Z245" s="13"/>
      <c r="AA245" s="13"/>
      <c r="AB245" s="18" t="str">
        <f t="shared" si="3"/>
        <v>تشاركية افريقيا لاعمال الالمنيوم</v>
      </c>
      <c r="AC245" s="18"/>
      <c r="AD245" s="18"/>
      <c r="AE245" s="18"/>
      <c r="AF245" s="18"/>
      <c r="AG245" s="18"/>
      <c r="AH245" s="13"/>
      <c r="AI245" s="18"/>
      <c r="AJ245" s="13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3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2"/>
      <c r="BK245" s="12"/>
      <c r="BL245" s="12"/>
      <c r="BM245" s="9"/>
      <c r="BN245" s="9"/>
      <c r="BO245" s="9"/>
      <c r="BP245" s="12"/>
      <c r="BQ245" s="12"/>
      <c r="BR245" s="12"/>
      <c r="BS245" s="12"/>
      <c r="BT245" s="12"/>
      <c r="BU245" s="12"/>
      <c r="BV245" s="12"/>
      <c r="BW245" s="12"/>
      <c r="BX245" s="12"/>
      <c r="BY245" s="9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</row>
    <row r="246" spans="1:88" ht="40.5" customHeight="1">
      <c r="A246" s="9">
        <f t="shared" si="0"/>
        <v>244</v>
      </c>
      <c r="B246" s="9" t="str">
        <f t="shared" si="5"/>
        <v xml:space="preserve">MA
</v>
      </c>
      <c r="C246" s="28" t="s">
        <v>760</v>
      </c>
      <c r="D246" s="9" t="s">
        <v>104</v>
      </c>
      <c r="E246" s="12">
        <v>0</v>
      </c>
      <c r="F246" s="12">
        <v>0</v>
      </c>
      <c r="G246" s="9" t="s">
        <v>89</v>
      </c>
      <c r="H246" s="12"/>
      <c r="I246" s="9" t="s">
        <v>761</v>
      </c>
      <c r="J246" s="12"/>
      <c r="K246" s="12"/>
      <c r="L246" s="12"/>
      <c r="M246" s="12"/>
      <c r="N246" s="13" t="str">
        <f t="shared" si="1"/>
        <v xml:space="preserve">ورشةالأندلس للألومنيوم
</v>
      </c>
      <c r="O246" s="16" t="s">
        <v>78</v>
      </c>
      <c r="P246" s="14">
        <v>1</v>
      </c>
      <c r="Q246" s="25">
        <v>44933</v>
      </c>
      <c r="R246" s="17"/>
      <c r="S246" s="17"/>
      <c r="T246" s="16" t="s">
        <v>101</v>
      </c>
      <c r="U246" s="17" t="str">
        <f t="shared" si="2"/>
        <v xml:space="preserve">ورشةالأندلس للألومنيوم
</v>
      </c>
      <c r="V246" s="13"/>
      <c r="W246" s="13"/>
      <c r="X246" s="13"/>
      <c r="Y246" s="13"/>
      <c r="Z246" s="13"/>
      <c r="AA246" s="13"/>
      <c r="AB246" s="18" t="str">
        <f t="shared" si="3"/>
        <v xml:space="preserve">ورشةالأندلس للألومنيوم
</v>
      </c>
      <c r="AC246" s="18"/>
      <c r="AD246" s="18"/>
      <c r="AE246" s="18"/>
      <c r="AF246" s="18"/>
      <c r="AG246" s="18"/>
      <c r="AH246" s="13"/>
      <c r="AI246" s="18"/>
      <c r="AJ246" s="13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3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2"/>
      <c r="BK246" s="12"/>
      <c r="BL246" s="12"/>
      <c r="BM246" s="9"/>
      <c r="BN246" s="9"/>
      <c r="BO246" s="9"/>
      <c r="BP246" s="12"/>
      <c r="BQ246" s="12"/>
      <c r="BR246" s="12"/>
      <c r="BS246" s="12"/>
      <c r="BT246" s="12"/>
      <c r="BU246" s="12"/>
      <c r="BV246" s="12"/>
      <c r="BW246" s="12"/>
      <c r="BX246" s="12"/>
      <c r="BY246" s="9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</row>
    <row r="247" spans="1:88" ht="40.5" customHeight="1">
      <c r="A247" s="9">
        <f t="shared" si="0"/>
        <v>245</v>
      </c>
      <c r="B247" s="9" t="str">
        <f t="shared" si="5"/>
        <v xml:space="preserve">MA
</v>
      </c>
      <c r="C247" s="28" t="s">
        <v>762</v>
      </c>
      <c r="D247" s="9" t="s">
        <v>104</v>
      </c>
      <c r="E247" s="12">
        <v>0</v>
      </c>
      <c r="F247" s="12">
        <v>0</v>
      </c>
      <c r="G247" s="9" t="s">
        <v>89</v>
      </c>
      <c r="H247" s="12"/>
      <c r="I247" s="9" t="s">
        <v>763</v>
      </c>
      <c r="J247" s="12"/>
      <c r="K247" s="12"/>
      <c r="L247" s="12"/>
      <c r="M247" s="12"/>
      <c r="N247" s="13" t="str">
        <f t="shared" si="1"/>
        <v xml:space="preserve">شركة نافذة لأعمال الألمنيوم و الزجاج
</v>
      </c>
      <c r="O247" s="16" t="s">
        <v>78</v>
      </c>
      <c r="P247" s="14">
        <v>1</v>
      </c>
      <c r="Q247" s="25">
        <v>44933</v>
      </c>
      <c r="R247" s="17"/>
      <c r="S247" s="17"/>
      <c r="T247" s="16" t="s">
        <v>101</v>
      </c>
      <c r="U247" s="17" t="str">
        <f t="shared" si="2"/>
        <v xml:space="preserve">شركة نافذة لأعمال الألمنيوم و الزجاج
</v>
      </c>
      <c r="V247" s="13"/>
      <c r="W247" s="13"/>
      <c r="X247" s="13"/>
      <c r="Y247" s="13"/>
      <c r="Z247" s="13"/>
      <c r="AA247" s="13"/>
      <c r="AB247" s="18" t="str">
        <f t="shared" si="3"/>
        <v xml:space="preserve">شركة نافذة لأعمال الألمنيوم و الزجاج
</v>
      </c>
      <c r="AC247" s="18"/>
      <c r="AD247" s="18"/>
      <c r="AE247" s="18"/>
      <c r="AF247" s="18"/>
      <c r="AG247" s="18"/>
      <c r="AH247" s="13"/>
      <c r="AI247" s="18"/>
      <c r="AJ247" s="13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3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2"/>
      <c r="BK247" s="12"/>
      <c r="BL247" s="12"/>
      <c r="BM247" s="9"/>
      <c r="BN247" s="9"/>
      <c r="BO247" s="9"/>
      <c r="BP247" s="12"/>
      <c r="BQ247" s="12"/>
      <c r="BR247" s="12"/>
      <c r="BS247" s="12"/>
      <c r="BT247" s="12"/>
      <c r="BU247" s="12"/>
      <c r="BV247" s="12"/>
      <c r="BW247" s="12"/>
      <c r="BX247" s="12"/>
      <c r="BY247" s="9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</row>
    <row r="248" spans="1:88" ht="40.5" customHeight="1">
      <c r="A248" s="24">
        <f t="shared" si="0"/>
        <v>246</v>
      </c>
      <c r="B248" s="24" t="str">
        <f t="shared" si="5"/>
        <v xml:space="preserve">MA
</v>
      </c>
      <c r="C248" s="49" t="s">
        <v>764</v>
      </c>
      <c r="D248" s="24" t="s">
        <v>104</v>
      </c>
      <c r="E248" s="30">
        <v>0</v>
      </c>
      <c r="F248" s="30">
        <v>0</v>
      </c>
      <c r="G248" s="24" t="s">
        <v>89</v>
      </c>
      <c r="H248" s="30"/>
      <c r="I248" s="24" t="s">
        <v>765</v>
      </c>
      <c r="J248" s="30"/>
      <c r="K248" s="30"/>
      <c r="L248" s="30"/>
      <c r="M248" s="30"/>
      <c r="N248" s="33" t="str">
        <f t="shared" si="1"/>
        <v xml:space="preserve">بلال لأعمال الالمنيوم
</v>
      </c>
      <c r="O248" s="34" t="s">
        <v>78</v>
      </c>
      <c r="P248" s="35">
        <v>1</v>
      </c>
      <c r="Q248" s="36">
        <v>44933</v>
      </c>
      <c r="R248" s="38"/>
      <c r="S248" s="38"/>
      <c r="T248" s="34" t="s">
        <v>101</v>
      </c>
      <c r="U248" s="38" t="str">
        <f t="shared" si="2"/>
        <v xml:space="preserve">بلال لأعمال الالمنيوم
</v>
      </c>
      <c r="V248" s="34" t="s">
        <v>78</v>
      </c>
      <c r="W248" s="34">
        <v>2</v>
      </c>
      <c r="X248" s="36">
        <v>44939</v>
      </c>
      <c r="Y248" s="33"/>
      <c r="Z248" s="33"/>
      <c r="AA248" s="34" t="s">
        <v>408</v>
      </c>
      <c r="AB248" s="39" t="str">
        <f t="shared" si="3"/>
        <v xml:space="preserve">بلال لأعمال الالمنيوم
</v>
      </c>
      <c r="AC248" s="39"/>
      <c r="AD248" s="39"/>
      <c r="AE248" s="39"/>
      <c r="AF248" s="39"/>
      <c r="AG248" s="39"/>
      <c r="AH248" s="33"/>
      <c r="AI248" s="39"/>
      <c r="AJ248" s="33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3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0"/>
      <c r="BK248" s="30"/>
      <c r="BL248" s="30"/>
      <c r="BM248" s="24"/>
      <c r="BN248" s="24"/>
      <c r="BO248" s="24"/>
      <c r="BP248" s="30"/>
      <c r="BQ248" s="30"/>
      <c r="BR248" s="30"/>
      <c r="BS248" s="30"/>
      <c r="BT248" s="30"/>
      <c r="BU248" s="30"/>
      <c r="BV248" s="30"/>
      <c r="BW248" s="30"/>
      <c r="BX248" s="30"/>
      <c r="BY248" s="24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</row>
    <row r="249" spans="1:88" ht="40.5" customHeight="1">
      <c r="A249" s="9">
        <f t="shared" si="0"/>
        <v>247</v>
      </c>
      <c r="B249" s="9" t="str">
        <f t="shared" si="5"/>
        <v xml:space="preserve">MA
</v>
      </c>
      <c r="C249" s="28" t="s">
        <v>766</v>
      </c>
      <c r="D249" s="9" t="s">
        <v>104</v>
      </c>
      <c r="E249" s="12">
        <v>0</v>
      </c>
      <c r="F249" s="12">
        <v>0</v>
      </c>
      <c r="G249" s="9" t="s">
        <v>89</v>
      </c>
      <c r="H249" s="12"/>
      <c r="I249" s="9" t="s">
        <v>767</v>
      </c>
      <c r="J249" s="12"/>
      <c r="K249" s="12"/>
      <c r="L249" s="12"/>
      <c r="M249" s="12"/>
      <c r="N249" s="13" t="str">
        <f t="shared" si="1"/>
        <v xml:space="preserve">ورشة التقدم الألمنيوم وPVC
</v>
      </c>
      <c r="O249" s="16" t="s">
        <v>78</v>
      </c>
      <c r="P249" s="14">
        <v>1</v>
      </c>
      <c r="Q249" s="25">
        <v>44933</v>
      </c>
      <c r="R249" s="14">
        <v>3</v>
      </c>
      <c r="S249" s="26">
        <v>8.611111111111111E-2</v>
      </c>
      <c r="T249" s="16" t="s">
        <v>108</v>
      </c>
      <c r="U249" s="17" t="str">
        <f t="shared" si="2"/>
        <v xml:space="preserve">ورشة التقدم الألمنيوم وPVC
</v>
      </c>
      <c r="V249" s="13"/>
      <c r="W249" s="13"/>
      <c r="X249" s="13"/>
      <c r="Y249" s="13"/>
      <c r="Z249" s="13"/>
      <c r="AA249" s="13"/>
      <c r="AB249" s="18" t="str">
        <f t="shared" si="3"/>
        <v xml:space="preserve">ورشة التقدم الألمنيوم وPVC
</v>
      </c>
      <c r="AC249" s="18"/>
      <c r="AD249" s="18"/>
      <c r="AE249" s="18"/>
      <c r="AF249" s="18"/>
      <c r="AG249" s="18"/>
      <c r="AH249" s="13"/>
      <c r="AI249" s="18"/>
      <c r="AJ249" s="13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3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2"/>
      <c r="BK249" s="12"/>
      <c r="BL249" s="12"/>
      <c r="BM249" s="9"/>
      <c r="BN249" s="9"/>
      <c r="BO249" s="9"/>
      <c r="BP249" s="12"/>
      <c r="BQ249" s="12"/>
      <c r="BR249" s="12"/>
      <c r="BS249" s="12"/>
      <c r="BT249" s="12"/>
      <c r="BU249" s="12"/>
      <c r="BV249" s="12"/>
      <c r="BW249" s="12"/>
      <c r="BX249" s="12"/>
      <c r="BY249" s="9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</row>
    <row r="250" spans="1:88" ht="40.5" customHeight="1">
      <c r="A250" s="9">
        <f t="shared" si="0"/>
        <v>248</v>
      </c>
      <c r="B250" s="9" t="str">
        <f t="shared" si="5"/>
        <v xml:space="preserve">MA
</v>
      </c>
      <c r="C250" s="28" t="s">
        <v>768</v>
      </c>
      <c r="D250" s="9" t="s">
        <v>104</v>
      </c>
      <c r="E250" s="12">
        <v>0</v>
      </c>
      <c r="F250" s="12">
        <v>0</v>
      </c>
      <c r="G250" s="9" t="s">
        <v>89</v>
      </c>
      <c r="H250" s="12"/>
      <c r="I250" s="9" t="s">
        <v>769</v>
      </c>
      <c r="J250" s="12"/>
      <c r="K250" s="12"/>
      <c r="L250" s="12"/>
      <c r="M250" s="12"/>
      <c r="N250" s="13" t="str">
        <f t="shared" si="1"/>
        <v xml:space="preserve">شادي لأعمال البي في سي والمطابخ
</v>
      </c>
      <c r="O250" s="16" t="s">
        <v>78</v>
      </c>
      <c r="P250" s="14">
        <v>1</v>
      </c>
      <c r="Q250" s="25">
        <v>44933</v>
      </c>
      <c r="R250" s="14">
        <v>3</v>
      </c>
      <c r="S250" s="26">
        <v>0.10277777777777777</v>
      </c>
      <c r="T250" s="16" t="s">
        <v>108</v>
      </c>
      <c r="U250" s="17" t="str">
        <f t="shared" si="2"/>
        <v xml:space="preserve">شادي لأعمال البي في سي والمطابخ
</v>
      </c>
      <c r="V250" s="13"/>
      <c r="W250" s="13"/>
      <c r="X250" s="13"/>
      <c r="Y250" s="13"/>
      <c r="Z250" s="13"/>
      <c r="AA250" s="13"/>
      <c r="AB250" s="18" t="str">
        <f t="shared" si="3"/>
        <v xml:space="preserve">شادي لأعمال البي في سي والمطابخ
</v>
      </c>
      <c r="AC250" s="18"/>
      <c r="AD250" s="18"/>
      <c r="AE250" s="18"/>
      <c r="AF250" s="18"/>
      <c r="AG250" s="18"/>
      <c r="AH250" s="13"/>
      <c r="AI250" s="18"/>
      <c r="AJ250" s="13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3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2"/>
      <c r="BK250" s="12"/>
      <c r="BL250" s="12"/>
      <c r="BM250" s="9"/>
      <c r="BN250" s="9"/>
      <c r="BO250" s="9"/>
      <c r="BP250" s="12"/>
      <c r="BQ250" s="12"/>
      <c r="BR250" s="12"/>
      <c r="BS250" s="12"/>
      <c r="BT250" s="12"/>
      <c r="BU250" s="12"/>
      <c r="BV250" s="12"/>
      <c r="BW250" s="12"/>
      <c r="BX250" s="12"/>
      <c r="BY250" s="9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</row>
    <row r="251" spans="1:88" ht="40.5" customHeight="1">
      <c r="A251" s="9">
        <f t="shared" si="0"/>
        <v>249</v>
      </c>
      <c r="B251" s="9" t="str">
        <f t="shared" si="5"/>
        <v xml:space="preserve">MA
</v>
      </c>
      <c r="C251" s="28" t="s">
        <v>770</v>
      </c>
      <c r="D251" s="9" t="s">
        <v>104</v>
      </c>
      <c r="E251" s="12">
        <v>0</v>
      </c>
      <c r="F251" s="12">
        <v>0</v>
      </c>
      <c r="G251" s="9" t="s">
        <v>89</v>
      </c>
      <c r="H251" s="12"/>
      <c r="I251" s="9" t="s">
        <v>771</v>
      </c>
      <c r="J251" s="12"/>
      <c r="K251" s="12"/>
      <c r="L251" s="12"/>
      <c r="M251" s="12"/>
      <c r="N251" s="13" t="str">
        <f t="shared" si="1"/>
        <v xml:space="preserve">مصنع النور المبين...للآلمنيوم
</v>
      </c>
      <c r="O251" s="16" t="s">
        <v>78</v>
      </c>
      <c r="P251" s="14">
        <v>1</v>
      </c>
      <c r="Q251" s="25">
        <v>44933</v>
      </c>
      <c r="R251" s="14">
        <v>1</v>
      </c>
      <c r="S251" s="26">
        <v>9.7222222222222224E-3</v>
      </c>
      <c r="T251" s="16" t="s">
        <v>108</v>
      </c>
      <c r="U251" s="17" t="str">
        <f t="shared" si="2"/>
        <v xml:space="preserve">مصنع النور المبين...للآلمنيوم
</v>
      </c>
      <c r="V251" s="13"/>
      <c r="W251" s="13"/>
      <c r="X251" s="13"/>
      <c r="Y251" s="13"/>
      <c r="Z251" s="13"/>
      <c r="AA251" s="13"/>
      <c r="AB251" s="18" t="str">
        <f t="shared" si="3"/>
        <v xml:space="preserve">مصنع النور المبين...للآلمنيوم
</v>
      </c>
      <c r="AC251" s="18"/>
      <c r="AD251" s="18"/>
      <c r="AE251" s="18"/>
      <c r="AF251" s="18"/>
      <c r="AG251" s="18"/>
      <c r="AH251" s="13"/>
      <c r="AI251" s="18"/>
      <c r="AJ251" s="13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3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2"/>
      <c r="BK251" s="12"/>
      <c r="BL251" s="12"/>
      <c r="BM251" s="9"/>
      <c r="BN251" s="9"/>
      <c r="BO251" s="9"/>
      <c r="BP251" s="12"/>
      <c r="BQ251" s="12"/>
      <c r="BR251" s="12"/>
      <c r="BS251" s="12"/>
      <c r="BT251" s="12"/>
      <c r="BU251" s="12"/>
      <c r="BV251" s="12"/>
      <c r="BW251" s="12"/>
      <c r="BX251" s="12"/>
      <c r="BY251" s="9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</row>
    <row r="252" spans="1:88" ht="40.5" customHeight="1">
      <c r="A252" s="9">
        <f t="shared" si="0"/>
        <v>250</v>
      </c>
      <c r="B252" s="9" t="str">
        <f t="shared" si="5"/>
        <v xml:space="preserve">MA
</v>
      </c>
      <c r="C252" s="28" t="s">
        <v>772</v>
      </c>
      <c r="D252" s="9" t="s">
        <v>104</v>
      </c>
      <c r="E252" s="12">
        <v>0</v>
      </c>
      <c r="F252" s="12">
        <v>0</v>
      </c>
      <c r="G252" s="9" t="s">
        <v>89</v>
      </c>
      <c r="H252" s="12"/>
      <c r="I252" s="9" t="s">
        <v>773</v>
      </c>
      <c r="J252" s="12"/>
      <c r="K252" s="12"/>
      <c r="L252" s="12"/>
      <c r="M252" s="12"/>
      <c r="N252" s="13" t="str">
        <f t="shared" si="1"/>
        <v xml:space="preserve">شركة أساس الجديدة
</v>
      </c>
      <c r="O252" s="16" t="s">
        <v>78</v>
      </c>
      <c r="P252" s="14">
        <v>1</v>
      </c>
      <c r="Q252" s="25">
        <v>44933</v>
      </c>
      <c r="R252" s="14">
        <v>1</v>
      </c>
      <c r="S252" s="17"/>
      <c r="T252" s="16" t="s">
        <v>101</v>
      </c>
      <c r="U252" s="17" t="str">
        <f t="shared" si="2"/>
        <v xml:space="preserve">شركة أساس الجديدة
</v>
      </c>
      <c r="V252" s="16" t="s">
        <v>98</v>
      </c>
      <c r="W252" s="16">
        <v>2</v>
      </c>
      <c r="X252" s="25">
        <v>44939</v>
      </c>
      <c r="Y252" s="13"/>
      <c r="Z252" s="13"/>
      <c r="AA252" s="16" t="s">
        <v>86</v>
      </c>
      <c r="AB252" s="18" t="str">
        <f t="shared" si="3"/>
        <v xml:space="preserve">شركة أساس الجديدة
</v>
      </c>
      <c r="AC252" s="18"/>
      <c r="AD252" s="18"/>
      <c r="AE252" s="18"/>
      <c r="AF252" s="18"/>
      <c r="AG252" s="18"/>
      <c r="AH252" s="13"/>
      <c r="AI252" s="18"/>
      <c r="AJ252" s="13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3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2"/>
      <c r="BK252" s="12"/>
      <c r="BL252" s="12"/>
      <c r="BM252" s="9"/>
      <c r="BN252" s="9"/>
      <c r="BO252" s="9"/>
      <c r="BP252" s="12"/>
      <c r="BQ252" s="12"/>
      <c r="BR252" s="12"/>
      <c r="BS252" s="12"/>
      <c r="BT252" s="12"/>
      <c r="BU252" s="12"/>
      <c r="BV252" s="12"/>
      <c r="BW252" s="12"/>
      <c r="BX252" s="12"/>
      <c r="BY252" s="9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</row>
    <row r="253" spans="1:88" ht="40.5" customHeight="1">
      <c r="A253" s="9">
        <f t="shared" si="0"/>
        <v>251</v>
      </c>
      <c r="B253" s="9" t="str">
        <f t="shared" si="5"/>
        <v xml:space="preserve">MA
</v>
      </c>
      <c r="C253" s="28" t="s">
        <v>774</v>
      </c>
      <c r="D253" s="9" t="s">
        <v>104</v>
      </c>
      <c r="E253" s="12">
        <v>0</v>
      </c>
      <c r="F253" s="12">
        <v>0</v>
      </c>
      <c r="G253" s="9" t="s">
        <v>89</v>
      </c>
      <c r="H253" s="12"/>
      <c r="I253" s="9" t="s">
        <v>775</v>
      </c>
      <c r="J253" s="12"/>
      <c r="K253" s="12"/>
      <c r="L253" s="12"/>
      <c r="M253" s="12"/>
      <c r="N253" s="13" t="str">
        <f t="shared" si="1"/>
        <v>ورشة عالم الإبداع للالمنيوم</v>
      </c>
      <c r="O253" s="16" t="s">
        <v>78</v>
      </c>
      <c r="P253" s="14">
        <v>1</v>
      </c>
      <c r="Q253" s="25">
        <v>44933</v>
      </c>
      <c r="R253" s="17"/>
      <c r="S253" s="17"/>
      <c r="T253" s="16" t="s">
        <v>101</v>
      </c>
      <c r="U253" s="17" t="str">
        <f t="shared" si="2"/>
        <v>ورشة عالم الإبداع للالمنيوم</v>
      </c>
      <c r="V253" s="13"/>
      <c r="W253" s="13"/>
      <c r="X253" s="13"/>
      <c r="Y253" s="13"/>
      <c r="Z253" s="13"/>
      <c r="AA253" s="13"/>
      <c r="AB253" s="18" t="str">
        <f t="shared" si="3"/>
        <v>ورشة عالم الإبداع للالمنيوم</v>
      </c>
      <c r="AC253" s="18"/>
      <c r="AD253" s="18"/>
      <c r="AE253" s="18"/>
      <c r="AF253" s="18"/>
      <c r="AG253" s="18"/>
      <c r="AH253" s="13"/>
      <c r="AI253" s="18"/>
      <c r="AJ253" s="13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3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2"/>
      <c r="BK253" s="12"/>
      <c r="BL253" s="12"/>
      <c r="BM253" s="9"/>
      <c r="BN253" s="9"/>
      <c r="BO253" s="9"/>
      <c r="BP253" s="12"/>
      <c r="BQ253" s="12"/>
      <c r="BR253" s="12"/>
      <c r="BS253" s="12"/>
      <c r="BT253" s="12"/>
      <c r="BU253" s="12"/>
      <c r="BV253" s="12"/>
      <c r="BW253" s="12"/>
      <c r="BX253" s="12"/>
      <c r="BY253" s="9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</row>
    <row r="254" spans="1:88" ht="40.5" customHeight="1">
      <c r="A254" s="9">
        <f t="shared" si="0"/>
        <v>252</v>
      </c>
      <c r="B254" s="9" t="str">
        <f t="shared" si="5"/>
        <v xml:space="preserve">MA
</v>
      </c>
      <c r="C254" s="28" t="s">
        <v>776</v>
      </c>
      <c r="D254" s="9" t="s">
        <v>104</v>
      </c>
      <c r="E254" s="12">
        <v>0</v>
      </c>
      <c r="F254" s="12">
        <v>0</v>
      </c>
      <c r="G254" s="9" t="s">
        <v>89</v>
      </c>
      <c r="H254" s="12"/>
      <c r="I254" s="9" t="s">
        <v>777</v>
      </c>
      <c r="J254" s="12"/>
      <c r="K254" s="12"/>
      <c r="L254" s="12"/>
      <c r="M254" s="12"/>
      <c r="N254" s="13" t="str">
        <f t="shared" si="1"/>
        <v xml:space="preserve">المدى الصناعي
</v>
      </c>
      <c r="O254" s="16" t="s">
        <v>78</v>
      </c>
      <c r="P254" s="14">
        <v>1</v>
      </c>
      <c r="Q254" s="25">
        <v>44933</v>
      </c>
      <c r="R254" s="17"/>
      <c r="S254" s="17"/>
      <c r="T254" s="16" t="s">
        <v>101</v>
      </c>
      <c r="U254" s="17" t="str">
        <f t="shared" si="2"/>
        <v xml:space="preserve">المدى الصناعي
</v>
      </c>
      <c r="V254" s="13"/>
      <c r="W254" s="13"/>
      <c r="X254" s="13"/>
      <c r="Y254" s="13"/>
      <c r="Z254" s="13"/>
      <c r="AA254" s="13"/>
      <c r="AB254" s="18" t="str">
        <f t="shared" si="3"/>
        <v xml:space="preserve">المدى الصناعي
</v>
      </c>
      <c r="AC254" s="18"/>
      <c r="AD254" s="18"/>
      <c r="AE254" s="18"/>
      <c r="AF254" s="18"/>
      <c r="AG254" s="18"/>
      <c r="AH254" s="13"/>
      <c r="AI254" s="18"/>
      <c r="AJ254" s="13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3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2"/>
      <c r="BK254" s="12"/>
      <c r="BL254" s="12"/>
      <c r="BM254" s="9"/>
      <c r="BN254" s="9"/>
      <c r="BO254" s="9"/>
      <c r="BP254" s="12"/>
      <c r="BQ254" s="12"/>
      <c r="BR254" s="12"/>
      <c r="BS254" s="12"/>
      <c r="BT254" s="12"/>
      <c r="BU254" s="12"/>
      <c r="BV254" s="12"/>
      <c r="BW254" s="12"/>
      <c r="BX254" s="12"/>
      <c r="BY254" s="9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</row>
    <row r="255" spans="1:88" ht="40.5" customHeight="1">
      <c r="A255" s="9">
        <f t="shared" si="0"/>
        <v>253</v>
      </c>
      <c r="B255" s="9" t="str">
        <f t="shared" si="5"/>
        <v xml:space="preserve">MA
</v>
      </c>
      <c r="C255" s="28" t="s">
        <v>778</v>
      </c>
      <c r="D255" s="9" t="s">
        <v>104</v>
      </c>
      <c r="E255" s="12">
        <v>0</v>
      </c>
      <c r="F255" s="12">
        <v>0</v>
      </c>
      <c r="G255" s="9" t="s">
        <v>89</v>
      </c>
      <c r="H255" s="12"/>
      <c r="I255" s="9" t="s">
        <v>779</v>
      </c>
      <c r="J255" s="12"/>
      <c r="K255" s="12"/>
      <c r="L255" s="12"/>
      <c r="M255" s="12"/>
      <c r="N255" s="13" t="str">
        <f t="shared" si="1"/>
        <v xml:space="preserve">شركة البروج البيضاء
</v>
      </c>
      <c r="O255" s="16" t="s">
        <v>78</v>
      </c>
      <c r="P255" s="14">
        <v>1</v>
      </c>
      <c r="Q255" s="25">
        <v>44933</v>
      </c>
      <c r="R255" s="17"/>
      <c r="S255" s="17"/>
      <c r="T255" s="16" t="s">
        <v>101</v>
      </c>
      <c r="U255" s="17" t="str">
        <f t="shared" si="2"/>
        <v xml:space="preserve">شركة البروج البيضاء
</v>
      </c>
      <c r="V255" s="13"/>
      <c r="W255" s="13"/>
      <c r="X255" s="13"/>
      <c r="Y255" s="13"/>
      <c r="Z255" s="13"/>
      <c r="AA255" s="13"/>
      <c r="AB255" s="18" t="str">
        <f t="shared" si="3"/>
        <v xml:space="preserve">شركة البروج البيضاء
</v>
      </c>
      <c r="AC255" s="18"/>
      <c r="AD255" s="18"/>
      <c r="AE255" s="18"/>
      <c r="AF255" s="18"/>
      <c r="AG255" s="18"/>
      <c r="AH255" s="13"/>
      <c r="AI255" s="18"/>
      <c r="AJ255" s="13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3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2"/>
      <c r="BK255" s="12"/>
      <c r="BL255" s="12"/>
      <c r="BM255" s="9"/>
      <c r="BN255" s="9"/>
      <c r="BO255" s="9"/>
      <c r="BP255" s="12"/>
      <c r="BQ255" s="12"/>
      <c r="BR255" s="12"/>
      <c r="BS255" s="12"/>
      <c r="BT255" s="12"/>
      <c r="BU255" s="12"/>
      <c r="BV255" s="12"/>
      <c r="BW255" s="12"/>
      <c r="BX255" s="12"/>
      <c r="BY255" s="9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</row>
    <row r="256" spans="1:88" ht="40.5" customHeight="1">
      <c r="A256" s="9">
        <f t="shared" si="0"/>
        <v>254</v>
      </c>
      <c r="B256" s="9" t="str">
        <f t="shared" si="5"/>
        <v xml:space="preserve">MA
</v>
      </c>
      <c r="C256" s="9" t="s">
        <v>780</v>
      </c>
      <c r="D256" s="9" t="s">
        <v>781</v>
      </c>
      <c r="E256" s="12">
        <v>0</v>
      </c>
      <c r="F256" s="12">
        <v>0</v>
      </c>
      <c r="G256" s="9" t="s">
        <v>89</v>
      </c>
      <c r="H256" s="9" t="s">
        <v>782</v>
      </c>
      <c r="I256" s="9" t="s">
        <v>783</v>
      </c>
      <c r="J256" s="12"/>
      <c r="K256" s="53" t="s">
        <v>784</v>
      </c>
      <c r="L256" s="12"/>
      <c r="M256" s="12"/>
      <c r="N256" s="13" t="str">
        <f t="shared" si="1"/>
        <v xml:space="preserve">Sky-Frame AG
</v>
      </c>
      <c r="O256" s="16" t="s">
        <v>78</v>
      </c>
      <c r="P256" s="23" t="s">
        <v>785</v>
      </c>
      <c r="Q256" s="15" t="s">
        <v>139</v>
      </c>
      <c r="R256" s="14" t="s">
        <v>75</v>
      </c>
      <c r="S256" s="23" t="s">
        <v>786</v>
      </c>
      <c r="T256" s="16" t="s">
        <v>4</v>
      </c>
      <c r="U256" s="17" t="str">
        <f t="shared" si="2"/>
        <v xml:space="preserve">Sky-Frame AG
</v>
      </c>
      <c r="V256" s="13"/>
      <c r="W256" s="13"/>
      <c r="X256" s="13"/>
      <c r="Y256" s="13"/>
      <c r="Z256" s="13"/>
      <c r="AA256" s="13"/>
      <c r="AB256" s="18" t="str">
        <f t="shared" si="3"/>
        <v xml:space="preserve">Sky-Frame AG
</v>
      </c>
      <c r="AC256" s="18"/>
      <c r="AD256" s="18"/>
      <c r="AE256" s="18"/>
      <c r="AF256" s="18"/>
      <c r="AG256" s="18"/>
      <c r="AH256" s="13"/>
      <c r="AI256" s="18"/>
      <c r="AJ256" s="13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3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2"/>
      <c r="BK256" s="12"/>
      <c r="BL256" s="12"/>
      <c r="BM256" s="9"/>
      <c r="BN256" s="9"/>
      <c r="BO256" s="9"/>
      <c r="BP256" s="12"/>
      <c r="BQ256" s="12"/>
      <c r="BR256" s="12"/>
      <c r="BS256" s="12"/>
      <c r="BT256" s="12"/>
      <c r="BU256" s="12"/>
      <c r="BV256" s="12"/>
      <c r="BW256" s="12"/>
      <c r="BX256" s="12"/>
      <c r="BY256" s="9"/>
      <c r="BZ256" s="21"/>
      <c r="CA256" s="21"/>
      <c r="CB256" s="21"/>
      <c r="CC256" s="21"/>
      <c r="CD256" s="21"/>
      <c r="CE256" s="21"/>
      <c r="CF256" s="21"/>
      <c r="CG256" s="21"/>
      <c r="CH256" s="21"/>
      <c r="CI256" s="21"/>
      <c r="CJ256" s="21"/>
    </row>
    <row r="257" spans="1:88" ht="40.5" customHeight="1">
      <c r="A257" s="9">
        <f t="shared" si="0"/>
        <v>255</v>
      </c>
      <c r="B257" s="9" t="str">
        <f t="shared" si="5"/>
        <v xml:space="preserve">MA
</v>
      </c>
      <c r="C257" s="9" t="s">
        <v>787</v>
      </c>
      <c r="D257" s="9" t="s">
        <v>781</v>
      </c>
      <c r="E257" s="12">
        <v>0</v>
      </c>
      <c r="F257" s="12">
        <v>0</v>
      </c>
      <c r="G257" s="9" t="s">
        <v>89</v>
      </c>
      <c r="H257" s="9" t="s">
        <v>788</v>
      </c>
      <c r="I257" s="10" t="s">
        <v>789</v>
      </c>
      <c r="J257" s="9" t="s">
        <v>790</v>
      </c>
      <c r="K257" s="22" t="s">
        <v>791</v>
      </c>
      <c r="L257" s="12"/>
      <c r="M257" s="12"/>
      <c r="N257" s="13" t="str">
        <f t="shared" si="1"/>
        <v>AluSwiss</v>
      </c>
      <c r="O257" s="16" t="s">
        <v>78</v>
      </c>
      <c r="P257" s="23" t="s">
        <v>785</v>
      </c>
      <c r="Q257" s="15" t="s">
        <v>139</v>
      </c>
      <c r="R257" s="14" t="s">
        <v>75</v>
      </c>
      <c r="S257" s="23" t="s">
        <v>165</v>
      </c>
      <c r="T257" s="16" t="s">
        <v>81</v>
      </c>
      <c r="U257" s="17" t="str">
        <f t="shared" si="2"/>
        <v>AluSwiss</v>
      </c>
      <c r="V257" s="16" t="s">
        <v>78</v>
      </c>
      <c r="W257" s="15" t="s">
        <v>792</v>
      </c>
      <c r="X257" s="15" t="s">
        <v>122</v>
      </c>
      <c r="Y257" s="16" t="s">
        <v>75</v>
      </c>
      <c r="Z257" s="15" t="s">
        <v>793</v>
      </c>
      <c r="AA257" s="16" t="s">
        <v>166</v>
      </c>
      <c r="AB257" s="18" t="str">
        <f t="shared" si="3"/>
        <v>AluSwiss</v>
      </c>
      <c r="AC257" s="19" t="s">
        <v>78</v>
      </c>
      <c r="AD257" s="19" t="s">
        <v>79</v>
      </c>
      <c r="AE257" s="20" t="s">
        <v>80</v>
      </c>
      <c r="AF257" s="19" t="s">
        <v>75</v>
      </c>
      <c r="AG257" s="19" t="s">
        <v>75</v>
      </c>
      <c r="AH257" s="16" t="s">
        <v>86</v>
      </c>
      <c r="AI257" s="18"/>
      <c r="AJ257" s="13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3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2"/>
      <c r="BK257" s="12"/>
      <c r="BL257" s="12"/>
      <c r="BM257" s="9"/>
      <c r="BN257" s="9"/>
      <c r="BO257" s="9"/>
      <c r="BP257" s="12"/>
      <c r="BQ257" s="12"/>
      <c r="BR257" s="12"/>
      <c r="BS257" s="12"/>
      <c r="BT257" s="12"/>
      <c r="BU257" s="12"/>
      <c r="BV257" s="12"/>
      <c r="BW257" s="12"/>
      <c r="BX257" s="12"/>
      <c r="BY257" s="9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</row>
    <row r="258" spans="1:88" ht="40.5" customHeight="1">
      <c r="A258" s="9">
        <f t="shared" si="0"/>
        <v>256</v>
      </c>
      <c r="B258" s="9" t="str">
        <f t="shared" si="5"/>
        <v xml:space="preserve">MA
</v>
      </c>
      <c r="C258" s="9" t="s">
        <v>794</v>
      </c>
      <c r="D258" s="9" t="s">
        <v>781</v>
      </c>
      <c r="E258" s="12">
        <v>0</v>
      </c>
      <c r="F258" s="12">
        <v>0</v>
      </c>
      <c r="G258" s="9" t="s">
        <v>89</v>
      </c>
      <c r="H258" s="9" t="s">
        <v>795</v>
      </c>
      <c r="I258" s="53" t="s">
        <v>796</v>
      </c>
      <c r="J258" s="12"/>
      <c r="K258" s="22" t="s">
        <v>797</v>
      </c>
      <c r="L258" s="12"/>
      <c r="M258" s="12"/>
      <c r="N258" s="13" t="str">
        <f t="shared" si="1"/>
        <v xml:space="preserve">Door Swiss Sagl
</v>
      </c>
      <c r="O258" s="16" t="s">
        <v>78</v>
      </c>
      <c r="P258" s="23" t="s">
        <v>785</v>
      </c>
      <c r="Q258" s="15" t="s">
        <v>139</v>
      </c>
      <c r="R258" s="14" t="s">
        <v>75</v>
      </c>
      <c r="S258" s="23" t="s">
        <v>154</v>
      </c>
      <c r="T258" s="16" t="s">
        <v>4</v>
      </c>
      <c r="U258" s="17" t="str">
        <f t="shared" si="2"/>
        <v xml:space="preserve">Door Swiss Sagl
</v>
      </c>
      <c r="V258" s="13"/>
      <c r="W258" s="13"/>
      <c r="X258" s="13"/>
      <c r="Y258" s="13"/>
      <c r="Z258" s="13"/>
      <c r="AA258" s="13"/>
      <c r="AB258" s="18" t="str">
        <f t="shared" si="3"/>
        <v xml:space="preserve">Door Swiss Sagl
</v>
      </c>
      <c r="AC258" s="18"/>
      <c r="AD258" s="18"/>
      <c r="AE258" s="18"/>
      <c r="AF258" s="18"/>
      <c r="AG258" s="18"/>
      <c r="AH258" s="13"/>
      <c r="AI258" s="18"/>
      <c r="AJ258" s="13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3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2"/>
      <c r="BK258" s="12"/>
      <c r="BL258" s="12"/>
      <c r="BM258" s="9"/>
      <c r="BN258" s="9"/>
      <c r="BO258" s="9"/>
      <c r="BP258" s="12"/>
      <c r="BQ258" s="12"/>
      <c r="BR258" s="12"/>
      <c r="BS258" s="12"/>
      <c r="BT258" s="12"/>
      <c r="BU258" s="12"/>
      <c r="BV258" s="12"/>
      <c r="BW258" s="12"/>
      <c r="BX258" s="12"/>
      <c r="BY258" s="9"/>
      <c r="BZ258" s="21"/>
      <c r="CA258" s="21"/>
      <c r="CB258" s="21"/>
      <c r="CC258" s="21"/>
      <c r="CD258" s="21"/>
      <c r="CE258" s="21"/>
      <c r="CF258" s="21"/>
      <c r="CG258" s="21"/>
      <c r="CH258" s="21"/>
      <c r="CI258" s="21"/>
      <c r="CJ258" s="21"/>
    </row>
    <row r="259" spans="1:88" ht="40.5" customHeight="1">
      <c r="A259" s="9">
        <f t="shared" si="0"/>
        <v>257</v>
      </c>
      <c r="B259" s="9" t="str">
        <f t="shared" si="5"/>
        <v xml:space="preserve">MA
</v>
      </c>
      <c r="C259" s="9" t="s">
        <v>798</v>
      </c>
      <c r="D259" s="9" t="s">
        <v>781</v>
      </c>
      <c r="E259" s="12">
        <v>0</v>
      </c>
      <c r="F259" s="12">
        <v>0</v>
      </c>
      <c r="G259" s="9" t="s">
        <v>89</v>
      </c>
      <c r="H259" s="9" t="s">
        <v>799</v>
      </c>
      <c r="I259" s="9" t="s">
        <v>800</v>
      </c>
      <c r="J259" s="12"/>
      <c r="K259" s="22" t="s">
        <v>801</v>
      </c>
      <c r="L259" s="12"/>
      <c r="M259" s="12"/>
      <c r="N259" s="13" t="str">
        <f t="shared" si="1"/>
        <v xml:space="preserve">Swiss Line Windows
</v>
      </c>
      <c r="O259" s="16" t="s">
        <v>78</v>
      </c>
      <c r="P259" s="23" t="s">
        <v>785</v>
      </c>
      <c r="Q259" s="15" t="s">
        <v>139</v>
      </c>
      <c r="R259" s="23" t="s">
        <v>82</v>
      </c>
      <c r="S259" s="23" t="s">
        <v>802</v>
      </c>
      <c r="T259" s="16" t="s">
        <v>81</v>
      </c>
      <c r="U259" s="17" t="str">
        <f t="shared" si="2"/>
        <v xml:space="preserve">Swiss Line Windows
</v>
      </c>
      <c r="V259" s="13"/>
      <c r="W259" s="13"/>
      <c r="X259" s="13"/>
      <c r="Y259" s="13"/>
      <c r="Z259" s="13"/>
      <c r="AA259" s="13"/>
      <c r="AB259" s="18" t="str">
        <f t="shared" si="3"/>
        <v xml:space="preserve">Swiss Line Windows
</v>
      </c>
      <c r="AC259" s="18"/>
      <c r="AD259" s="18"/>
      <c r="AE259" s="18"/>
      <c r="AF259" s="18"/>
      <c r="AG259" s="18"/>
      <c r="AH259" s="13"/>
      <c r="AI259" s="18"/>
      <c r="AJ259" s="13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3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2"/>
      <c r="BK259" s="12"/>
      <c r="BL259" s="12"/>
      <c r="BM259" s="9"/>
      <c r="BN259" s="9"/>
      <c r="BO259" s="9"/>
      <c r="BP259" s="12"/>
      <c r="BQ259" s="12"/>
      <c r="BR259" s="12"/>
      <c r="BS259" s="12"/>
      <c r="BT259" s="12"/>
      <c r="BU259" s="12"/>
      <c r="BV259" s="12"/>
      <c r="BW259" s="12"/>
      <c r="BX259" s="12"/>
      <c r="BY259" s="9"/>
      <c r="BZ259" s="21"/>
      <c r="CA259" s="21"/>
      <c r="CB259" s="21"/>
      <c r="CC259" s="21"/>
      <c r="CD259" s="21"/>
      <c r="CE259" s="21"/>
      <c r="CF259" s="21"/>
      <c r="CG259" s="21"/>
      <c r="CH259" s="21"/>
      <c r="CI259" s="21"/>
      <c r="CJ259" s="21"/>
    </row>
    <row r="260" spans="1:88" ht="40.5" customHeight="1">
      <c r="A260" s="9">
        <f t="shared" si="0"/>
        <v>258</v>
      </c>
      <c r="B260" s="9" t="str">
        <f t="shared" si="5"/>
        <v xml:space="preserve">MA
</v>
      </c>
      <c r="C260" s="9" t="s">
        <v>803</v>
      </c>
      <c r="D260" s="9" t="s">
        <v>781</v>
      </c>
      <c r="E260" s="12">
        <v>0</v>
      </c>
      <c r="F260" s="12">
        <v>0</v>
      </c>
      <c r="G260" s="9" t="s">
        <v>89</v>
      </c>
      <c r="H260" s="9" t="s">
        <v>804</v>
      </c>
      <c r="I260" s="9" t="s">
        <v>805</v>
      </c>
      <c r="J260" s="12"/>
      <c r="K260" s="22" t="s">
        <v>806</v>
      </c>
      <c r="L260" s="12"/>
      <c r="M260" s="12"/>
      <c r="N260" s="13" t="str">
        <f t="shared" si="1"/>
        <v xml:space="preserve">AC Aluminium Créations SA
</v>
      </c>
      <c r="O260" s="16" t="s">
        <v>78</v>
      </c>
      <c r="P260" s="23" t="s">
        <v>785</v>
      </c>
      <c r="Q260" s="15" t="s">
        <v>139</v>
      </c>
      <c r="R260" s="14" t="s">
        <v>75</v>
      </c>
      <c r="S260" s="14" t="s">
        <v>75</v>
      </c>
      <c r="T260" s="16" t="s">
        <v>126</v>
      </c>
      <c r="U260" s="17" t="str">
        <f t="shared" si="2"/>
        <v xml:space="preserve">AC Aluminium Créations SA
</v>
      </c>
      <c r="V260" s="13"/>
      <c r="W260" s="13"/>
      <c r="X260" s="13"/>
      <c r="Y260" s="13"/>
      <c r="Z260" s="13"/>
      <c r="AA260" s="13"/>
      <c r="AB260" s="18" t="str">
        <f t="shared" si="3"/>
        <v xml:space="preserve">AC Aluminium Créations SA
</v>
      </c>
      <c r="AC260" s="18"/>
      <c r="AD260" s="18"/>
      <c r="AE260" s="18"/>
      <c r="AF260" s="18"/>
      <c r="AG260" s="18"/>
      <c r="AH260" s="13"/>
      <c r="AI260" s="18"/>
      <c r="AJ260" s="13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3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2"/>
      <c r="BK260" s="12"/>
      <c r="BL260" s="12"/>
      <c r="BM260" s="9"/>
      <c r="BN260" s="9"/>
      <c r="BO260" s="9"/>
      <c r="BP260" s="12"/>
      <c r="BQ260" s="12"/>
      <c r="BR260" s="12"/>
      <c r="BS260" s="12"/>
      <c r="BT260" s="12"/>
      <c r="BU260" s="12"/>
      <c r="BV260" s="12"/>
      <c r="BW260" s="12"/>
      <c r="BX260" s="12"/>
      <c r="BY260" s="9"/>
      <c r="BZ260" s="21"/>
      <c r="CA260" s="21"/>
      <c r="CB260" s="21"/>
      <c r="CC260" s="21"/>
      <c r="CD260" s="21"/>
      <c r="CE260" s="21"/>
      <c r="CF260" s="21"/>
      <c r="CG260" s="21"/>
      <c r="CH260" s="21"/>
      <c r="CI260" s="21"/>
      <c r="CJ260" s="21"/>
    </row>
    <row r="261" spans="1:88" ht="40.5" customHeight="1">
      <c r="A261" s="9">
        <f t="shared" si="0"/>
        <v>259</v>
      </c>
      <c r="B261" s="9" t="str">
        <f t="shared" si="5"/>
        <v xml:space="preserve">MA
</v>
      </c>
      <c r="C261" s="9" t="s">
        <v>807</v>
      </c>
      <c r="D261" s="9" t="s">
        <v>781</v>
      </c>
      <c r="E261" s="12">
        <v>0</v>
      </c>
      <c r="F261" s="12">
        <v>0</v>
      </c>
      <c r="G261" s="9" t="s">
        <v>89</v>
      </c>
      <c r="H261" s="12"/>
      <c r="I261" s="9" t="s">
        <v>808</v>
      </c>
      <c r="J261" s="12"/>
      <c r="K261" s="11" t="s">
        <v>809</v>
      </c>
      <c r="L261" s="12"/>
      <c r="M261" s="12"/>
      <c r="N261" s="13" t="str">
        <f t="shared" si="1"/>
        <v xml:space="preserve">Zurbuchen Frères SA
</v>
      </c>
      <c r="O261" s="16" t="s">
        <v>78</v>
      </c>
      <c r="P261" s="23" t="s">
        <v>785</v>
      </c>
      <c r="Q261" s="15" t="s">
        <v>139</v>
      </c>
      <c r="R261" s="14" t="s">
        <v>75</v>
      </c>
      <c r="S261" s="23" t="s">
        <v>810</v>
      </c>
      <c r="T261" s="16" t="s">
        <v>81</v>
      </c>
      <c r="U261" s="17" t="str">
        <f t="shared" si="2"/>
        <v xml:space="preserve">Zurbuchen Frères SA
</v>
      </c>
      <c r="V261" s="13"/>
      <c r="W261" s="13"/>
      <c r="X261" s="13"/>
      <c r="Y261" s="13"/>
      <c r="Z261" s="13"/>
      <c r="AA261" s="13"/>
      <c r="AB261" s="18" t="str">
        <f t="shared" si="3"/>
        <v xml:space="preserve">Zurbuchen Frères SA
</v>
      </c>
      <c r="AC261" s="18"/>
      <c r="AD261" s="18"/>
      <c r="AE261" s="18"/>
      <c r="AF261" s="18"/>
      <c r="AG261" s="18"/>
      <c r="AH261" s="13"/>
      <c r="AI261" s="18"/>
      <c r="AJ261" s="13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3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2"/>
      <c r="BK261" s="12"/>
      <c r="BL261" s="12"/>
      <c r="BM261" s="9"/>
      <c r="BN261" s="9"/>
      <c r="BO261" s="9"/>
      <c r="BP261" s="12"/>
      <c r="BQ261" s="12"/>
      <c r="BR261" s="12"/>
      <c r="BS261" s="12"/>
      <c r="BT261" s="12"/>
      <c r="BU261" s="12"/>
      <c r="BV261" s="12"/>
      <c r="BW261" s="12"/>
      <c r="BX261" s="12"/>
      <c r="BY261" s="9"/>
      <c r="BZ261" s="21"/>
      <c r="CA261" s="21"/>
      <c r="CB261" s="21"/>
      <c r="CC261" s="21"/>
      <c r="CD261" s="21"/>
      <c r="CE261" s="21"/>
      <c r="CF261" s="21"/>
      <c r="CG261" s="21"/>
      <c r="CH261" s="21"/>
      <c r="CI261" s="21"/>
      <c r="CJ261" s="21"/>
    </row>
    <row r="262" spans="1:88" ht="40.5" customHeight="1">
      <c r="A262" s="9">
        <f t="shared" si="0"/>
        <v>260</v>
      </c>
      <c r="B262" s="9" t="str">
        <f t="shared" si="5"/>
        <v xml:space="preserve">MA
</v>
      </c>
      <c r="C262" s="9" t="s">
        <v>811</v>
      </c>
      <c r="D262" s="9" t="s">
        <v>781</v>
      </c>
      <c r="E262" s="12">
        <v>0</v>
      </c>
      <c r="F262" s="12">
        <v>0</v>
      </c>
      <c r="G262" s="9" t="s">
        <v>89</v>
      </c>
      <c r="H262" s="9" t="s">
        <v>812</v>
      </c>
      <c r="I262" s="9" t="s">
        <v>813</v>
      </c>
      <c r="J262" s="12"/>
      <c r="K262" s="22" t="s">
        <v>814</v>
      </c>
      <c r="L262" s="12"/>
      <c r="M262" s="12"/>
      <c r="N262" s="13" t="str">
        <f t="shared" si="1"/>
        <v xml:space="preserve">THEODOOR AG
</v>
      </c>
      <c r="O262" s="16" t="s">
        <v>78</v>
      </c>
      <c r="P262" s="23" t="s">
        <v>785</v>
      </c>
      <c r="Q262" s="15" t="s">
        <v>139</v>
      </c>
      <c r="R262" s="14" t="s">
        <v>75</v>
      </c>
      <c r="S262" s="23" t="s">
        <v>165</v>
      </c>
      <c r="T262" s="16" t="s">
        <v>81</v>
      </c>
      <c r="U262" s="17" t="str">
        <f t="shared" si="2"/>
        <v xml:space="preserve">THEODOOR AG
</v>
      </c>
      <c r="V262" s="13"/>
      <c r="W262" s="13"/>
      <c r="X262" s="13"/>
      <c r="Y262" s="13"/>
      <c r="Z262" s="13"/>
      <c r="AA262" s="13"/>
      <c r="AB262" s="18" t="str">
        <f t="shared" si="3"/>
        <v xml:space="preserve">THEODOOR AG
</v>
      </c>
      <c r="AC262" s="18"/>
      <c r="AD262" s="18"/>
      <c r="AE262" s="18"/>
      <c r="AF262" s="18"/>
      <c r="AG262" s="18"/>
      <c r="AH262" s="13"/>
      <c r="AI262" s="18"/>
      <c r="AJ262" s="13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3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2"/>
      <c r="BK262" s="12"/>
      <c r="BL262" s="12"/>
      <c r="BM262" s="9"/>
      <c r="BN262" s="9"/>
      <c r="BO262" s="9"/>
      <c r="BP262" s="12"/>
      <c r="BQ262" s="12"/>
      <c r="BR262" s="12"/>
      <c r="BS262" s="12"/>
      <c r="BT262" s="12"/>
      <c r="BU262" s="12"/>
      <c r="BV262" s="12"/>
      <c r="BW262" s="12"/>
      <c r="BX262" s="12"/>
      <c r="BY262" s="9"/>
      <c r="BZ262" s="21"/>
      <c r="CA262" s="21"/>
      <c r="CB262" s="21"/>
      <c r="CC262" s="21"/>
      <c r="CD262" s="21"/>
      <c r="CE262" s="21"/>
      <c r="CF262" s="21"/>
      <c r="CG262" s="21"/>
      <c r="CH262" s="21"/>
      <c r="CI262" s="21"/>
      <c r="CJ262" s="21"/>
    </row>
    <row r="263" spans="1:88" ht="40.5" customHeight="1">
      <c r="A263" s="9">
        <f t="shared" si="0"/>
        <v>261</v>
      </c>
      <c r="B263" s="9" t="str">
        <f t="shared" si="5"/>
        <v xml:space="preserve">MA
</v>
      </c>
      <c r="C263" s="9" t="s">
        <v>815</v>
      </c>
      <c r="D263" s="9" t="s">
        <v>781</v>
      </c>
      <c r="E263" s="12">
        <v>0</v>
      </c>
      <c r="F263" s="12">
        <v>0</v>
      </c>
      <c r="G263" s="9" t="s">
        <v>89</v>
      </c>
      <c r="H263" s="9" t="s">
        <v>816</v>
      </c>
      <c r="I263" s="9" t="s">
        <v>817</v>
      </c>
      <c r="J263" s="12"/>
      <c r="K263" s="11" t="s">
        <v>818</v>
      </c>
      <c r="L263" s="12"/>
      <c r="M263" s="12"/>
      <c r="N263" s="13" t="str">
        <f t="shared" si="1"/>
        <v xml:space="preserve">Dafe Plast SA
</v>
      </c>
      <c r="O263" s="16" t="s">
        <v>78</v>
      </c>
      <c r="P263" s="23" t="s">
        <v>785</v>
      </c>
      <c r="Q263" s="15" t="s">
        <v>139</v>
      </c>
      <c r="R263" s="14" t="s">
        <v>75</v>
      </c>
      <c r="S263" s="14" t="s">
        <v>75</v>
      </c>
      <c r="T263" s="16" t="s">
        <v>126</v>
      </c>
      <c r="U263" s="17" t="str">
        <f t="shared" si="2"/>
        <v xml:space="preserve">Dafe Plast SA
</v>
      </c>
      <c r="V263" s="13"/>
      <c r="W263" s="13"/>
      <c r="X263" s="13"/>
      <c r="Y263" s="13"/>
      <c r="Z263" s="13"/>
      <c r="AA263" s="13"/>
      <c r="AB263" s="18" t="str">
        <f t="shared" si="3"/>
        <v xml:space="preserve">Dafe Plast SA
</v>
      </c>
      <c r="AC263" s="18"/>
      <c r="AD263" s="18"/>
      <c r="AE263" s="18"/>
      <c r="AF263" s="18"/>
      <c r="AG263" s="18"/>
      <c r="AH263" s="13"/>
      <c r="AI263" s="18"/>
      <c r="AJ263" s="13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3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2"/>
      <c r="BK263" s="12"/>
      <c r="BL263" s="12"/>
      <c r="BM263" s="9"/>
      <c r="BN263" s="9"/>
      <c r="BO263" s="9"/>
      <c r="BP263" s="12"/>
      <c r="BQ263" s="12"/>
      <c r="BR263" s="12"/>
      <c r="BS263" s="12"/>
      <c r="BT263" s="12"/>
      <c r="BU263" s="12"/>
      <c r="BV263" s="12"/>
      <c r="BW263" s="12"/>
      <c r="BX263" s="12"/>
      <c r="BY263" s="9"/>
      <c r="BZ263" s="21"/>
      <c r="CA263" s="21"/>
      <c r="CB263" s="21"/>
      <c r="CC263" s="21"/>
      <c r="CD263" s="21"/>
      <c r="CE263" s="21"/>
      <c r="CF263" s="21"/>
      <c r="CG263" s="21"/>
      <c r="CH263" s="21"/>
      <c r="CI263" s="21"/>
      <c r="CJ263" s="21"/>
    </row>
    <row r="264" spans="1:88" ht="40.5" customHeight="1">
      <c r="A264" s="9">
        <f t="shared" si="0"/>
        <v>262</v>
      </c>
      <c r="B264" s="9" t="str">
        <f t="shared" si="5"/>
        <v xml:space="preserve">MA
</v>
      </c>
      <c r="C264" s="9" t="s">
        <v>819</v>
      </c>
      <c r="D264" s="9" t="s">
        <v>781</v>
      </c>
      <c r="E264" s="12">
        <v>0</v>
      </c>
      <c r="F264" s="12">
        <v>0</v>
      </c>
      <c r="G264" s="9" t="s">
        <v>89</v>
      </c>
      <c r="H264" s="9" t="s">
        <v>820</v>
      </c>
      <c r="I264" s="9" t="s">
        <v>821</v>
      </c>
      <c r="J264" s="12"/>
      <c r="K264" s="22" t="s">
        <v>822</v>
      </c>
      <c r="L264" s="12"/>
      <c r="M264" s="12"/>
      <c r="N264" s="13" t="str">
        <f t="shared" si="1"/>
        <v xml:space="preserve">SeCasa AG
</v>
      </c>
      <c r="O264" s="16" t="s">
        <v>78</v>
      </c>
      <c r="P264" s="23" t="s">
        <v>785</v>
      </c>
      <c r="Q264" s="15" t="s">
        <v>139</v>
      </c>
      <c r="R264" s="14" t="s">
        <v>75</v>
      </c>
      <c r="S264" s="14" t="s">
        <v>75</v>
      </c>
      <c r="T264" s="16" t="s">
        <v>126</v>
      </c>
      <c r="U264" s="17" t="str">
        <f t="shared" si="2"/>
        <v xml:space="preserve">SeCasa AG
</v>
      </c>
      <c r="V264" s="13"/>
      <c r="W264" s="13"/>
      <c r="X264" s="13"/>
      <c r="Y264" s="13"/>
      <c r="Z264" s="13"/>
      <c r="AA264" s="13"/>
      <c r="AB264" s="18" t="str">
        <f t="shared" si="3"/>
        <v xml:space="preserve">SeCasa AG
</v>
      </c>
      <c r="AC264" s="18"/>
      <c r="AD264" s="18"/>
      <c r="AE264" s="18"/>
      <c r="AF264" s="18"/>
      <c r="AG264" s="18"/>
      <c r="AH264" s="13"/>
      <c r="AI264" s="18"/>
      <c r="AJ264" s="13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3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2"/>
      <c r="BK264" s="12"/>
      <c r="BL264" s="12"/>
      <c r="BM264" s="9"/>
      <c r="BN264" s="9"/>
      <c r="BO264" s="9"/>
      <c r="BP264" s="12"/>
      <c r="BQ264" s="12"/>
      <c r="BR264" s="12"/>
      <c r="BS264" s="12"/>
      <c r="BT264" s="12"/>
      <c r="BU264" s="12"/>
      <c r="BV264" s="12"/>
      <c r="BW264" s="12"/>
      <c r="BX264" s="12"/>
      <c r="BY264" s="9"/>
      <c r="BZ264" s="21"/>
      <c r="CA264" s="21"/>
      <c r="CB264" s="21"/>
      <c r="CC264" s="21"/>
      <c r="CD264" s="21"/>
      <c r="CE264" s="21"/>
      <c r="CF264" s="21"/>
      <c r="CG264" s="21"/>
      <c r="CH264" s="21"/>
      <c r="CI264" s="21"/>
      <c r="CJ264" s="21"/>
    </row>
    <row r="265" spans="1:88" ht="40.5" customHeight="1">
      <c r="A265" s="9">
        <f t="shared" si="0"/>
        <v>263</v>
      </c>
      <c r="B265" s="9" t="str">
        <f t="shared" si="5"/>
        <v xml:space="preserve">MA
</v>
      </c>
      <c r="C265" s="9" t="s">
        <v>823</v>
      </c>
      <c r="D265" s="9" t="s">
        <v>781</v>
      </c>
      <c r="E265" s="12">
        <v>0</v>
      </c>
      <c r="F265" s="12">
        <v>0</v>
      </c>
      <c r="G265" s="9" t="s">
        <v>89</v>
      </c>
      <c r="H265" s="12"/>
      <c r="I265" s="9" t="s">
        <v>824</v>
      </c>
      <c r="J265" s="12"/>
      <c r="K265" s="11" t="s">
        <v>825</v>
      </c>
      <c r="L265" s="12"/>
      <c r="M265" s="12"/>
      <c r="N265" s="13" t="str">
        <f t="shared" si="1"/>
        <v xml:space="preserve">ISP Fenêtres Sàrl en liquidation, Adgay Kable, de Belgique
</v>
      </c>
      <c r="O265" s="16" t="s">
        <v>78</v>
      </c>
      <c r="P265" s="23" t="s">
        <v>785</v>
      </c>
      <c r="Q265" s="15" t="s">
        <v>139</v>
      </c>
      <c r="R265" s="14" t="s">
        <v>75</v>
      </c>
      <c r="S265" s="14" t="s">
        <v>75</v>
      </c>
      <c r="T265" s="16" t="s">
        <v>126</v>
      </c>
      <c r="U265" s="17" t="str">
        <f t="shared" si="2"/>
        <v xml:space="preserve">ISP Fenêtres Sàrl en liquidation, Adgay Kable, de Belgique
</v>
      </c>
      <c r="V265" s="13"/>
      <c r="W265" s="13"/>
      <c r="X265" s="13"/>
      <c r="Y265" s="13"/>
      <c r="Z265" s="13"/>
      <c r="AA265" s="13"/>
      <c r="AB265" s="18" t="str">
        <f t="shared" si="3"/>
        <v xml:space="preserve">ISP Fenêtres Sàrl en liquidation, Adgay Kable, de Belgique
</v>
      </c>
      <c r="AC265" s="18"/>
      <c r="AD265" s="18"/>
      <c r="AE265" s="18"/>
      <c r="AF265" s="18"/>
      <c r="AG265" s="18"/>
      <c r="AH265" s="13"/>
      <c r="AI265" s="18"/>
      <c r="AJ265" s="13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3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2"/>
      <c r="BK265" s="12"/>
      <c r="BL265" s="12"/>
      <c r="BM265" s="9"/>
      <c r="BN265" s="9"/>
      <c r="BO265" s="9"/>
      <c r="BP265" s="12"/>
      <c r="BQ265" s="12"/>
      <c r="BR265" s="12"/>
      <c r="BS265" s="12"/>
      <c r="BT265" s="12"/>
      <c r="BU265" s="12"/>
      <c r="BV265" s="12"/>
      <c r="BW265" s="12"/>
      <c r="BX265" s="12"/>
      <c r="BY265" s="9"/>
      <c r="BZ265" s="21"/>
      <c r="CA265" s="21"/>
      <c r="CB265" s="21"/>
      <c r="CC265" s="21"/>
      <c r="CD265" s="21"/>
      <c r="CE265" s="21"/>
      <c r="CF265" s="21"/>
      <c r="CG265" s="21"/>
      <c r="CH265" s="21"/>
      <c r="CI265" s="21"/>
      <c r="CJ265" s="21"/>
    </row>
    <row r="266" spans="1:88" ht="40.5" customHeight="1">
      <c r="A266" s="9">
        <f t="shared" si="0"/>
        <v>264</v>
      </c>
      <c r="B266" s="9" t="str">
        <f t="shared" si="5"/>
        <v xml:space="preserve">MA
</v>
      </c>
      <c r="C266" s="9" t="s">
        <v>826</v>
      </c>
      <c r="D266" s="9" t="s">
        <v>781</v>
      </c>
      <c r="E266" s="12">
        <v>0</v>
      </c>
      <c r="F266" s="12">
        <v>0</v>
      </c>
      <c r="G266" s="9" t="s">
        <v>89</v>
      </c>
      <c r="H266" s="9" t="s">
        <v>827</v>
      </c>
      <c r="I266" s="9" t="s">
        <v>828</v>
      </c>
      <c r="J266" s="12"/>
      <c r="K266" s="12"/>
      <c r="L266" s="12"/>
      <c r="M266" s="12"/>
      <c r="N266" s="13" t="str">
        <f t="shared" si="1"/>
        <v xml:space="preserve">Panorama Profil line - Fenêtres et Vérandas
</v>
      </c>
      <c r="O266" s="16" t="s">
        <v>78</v>
      </c>
      <c r="P266" s="23" t="s">
        <v>785</v>
      </c>
      <c r="Q266" s="15" t="s">
        <v>139</v>
      </c>
      <c r="R266" s="14" t="s">
        <v>75</v>
      </c>
      <c r="S266" s="14" t="s">
        <v>75</v>
      </c>
      <c r="T266" s="16" t="s">
        <v>126</v>
      </c>
      <c r="U266" s="17" t="str">
        <f t="shared" si="2"/>
        <v xml:space="preserve">Panorama Profil line - Fenêtres et Vérandas
</v>
      </c>
      <c r="V266" s="13"/>
      <c r="W266" s="13"/>
      <c r="X266" s="13"/>
      <c r="Y266" s="13"/>
      <c r="Z266" s="13"/>
      <c r="AA266" s="13"/>
      <c r="AB266" s="18" t="str">
        <f t="shared" si="3"/>
        <v xml:space="preserve">Panorama Profil line - Fenêtres et Vérandas
</v>
      </c>
      <c r="AC266" s="18"/>
      <c r="AD266" s="18"/>
      <c r="AE266" s="18"/>
      <c r="AF266" s="18"/>
      <c r="AG266" s="18"/>
      <c r="AH266" s="13"/>
      <c r="AI266" s="18"/>
      <c r="AJ266" s="13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3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2"/>
      <c r="BK266" s="12"/>
      <c r="BL266" s="12"/>
      <c r="BM266" s="9"/>
      <c r="BN266" s="9"/>
      <c r="BO266" s="9"/>
      <c r="BP266" s="12"/>
      <c r="BQ266" s="12"/>
      <c r="BR266" s="12"/>
      <c r="BS266" s="12"/>
      <c r="BT266" s="12"/>
      <c r="BU266" s="12"/>
      <c r="BV266" s="12"/>
      <c r="BW266" s="12"/>
      <c r="BX266" s="12"/>
      <c r="BY266" s="9"/>
      <c r="BZ266" s="21"/>
      <c r="CA266" s="21"/>
      <c r="CB266" s="21"/>
      <c r="CC266" s="21"/>
      <c r="CD266" s="21"/>
      <c r="CE266" s="21"/>
      <c r="CF266" s="21"/>
      <c r="CG266" s="21"/>
      <c r="CH266" s="21"/>
      <c r="CI266" s="21"/>
      <c r="CJ266" s="21"/>
    </row>
    <row r="267" spans="1:88" ht="40.5" customHeight="1">
      <c r="A267" s="9">
        <f t="shared" si="0"/>
        <v>265</v>
      </c>
      <c r="B267" s="9" t="str">
        <f t="shared" si="5"/>
        <v xml:space="preserve">MA
</v>
      </c>
      <c r="C267" s="9" t="s">
        <v>829</v>
      </c>
      <c r="D267" s="9" t="s">
        <v>781</v>
      </c>
      <c r="E267" s="12">
        <v>0</v>
      </c>
      <c r="F267" s="12">
        <v>0</v>
      </c>
      <c r="G267" s="9" t="s">
        <v>89</v>
      </c>
      <c r="H267" s="12"/>
      <c r="I267" s="9" t="s">
        <v>830</v>
      </c>
      <c r="J267" s="12"/>
      <c r="K267" s="22" t="s">
        <v>809</v>
      </c>
      <c r="L267" s="12"/>
      <c r="M267" s="12"/>
      <c r="N267" s="13" t="str">
        <f t="shared" si="1"/>
        <v xml:space="preserve">Zurbuchen Frères SA
</v>
      </c>
      <c r="O267" s="13"/>
      <c r="P267" s="17"/>
      <c r="Q267" s="13"/>
      <c r="R267" s="17"/>
      <c r="S267" s="17"/>
      <c r="T267" s="13"/>
      <c r="U267" s="17" t="str">
        <f t="shared" si="2"/>
        <v xml:space="preserve">Zurbuchen Frères SA
</v>
      </c>
      <c r="V267" s="13"/>
      <c r="W267" s="13"/>
      <c r="X267" s="13"/>
      <c r="Y267" s="13"/>
      <c r="Z267" s="13"/>
      <c r="AA267" s="13"/>
      <c r="AB267" s="18" t="str">
        <f t="shared" si="3"/>
        <v xml:space="preserve">Zurbuchen Frères SA
</v>
      </c>
      <c r="AC267" s="18"/>
      <c r="AD267" s="18"/>
      <c r="AE267" s="18"/>
      <c r="AF267" s="18"/>
      <c r="AG267" s="18"/>
      <c r="AH267" s="13"/>
      <c r="AI267" s="18"/>
      <c r="AJ267" s="13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3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2"/>
      <c r="BK267" s="12"/>
      <c r="BL267" s="12"/>
      <c r="BM267" s="9"/>
      <c r="BN267" s="9"/>
      <c r="BO267" s="9"/>
      <c r="BP267" s="12"/>
      <c r="BQ267" s="12"/>
      <c r="BR267" s="12"/>
      <c r="BS267" s="12"/>
      <c r="BT267" s="12"/>
      <c r="BU267" s="12"/>
      <c r="BV267" s="12"/>
      <c r="BW267" s="12"/>
      <c r="BX267" s="12"/>
      <c r="BY267" s="9"/>
      <c r="BZ267" s="21"/>
      <c r="CA267" s="21"/>
      <c r="CB267" s="21"/>
      <c r="CC267" s="21"/>
      <c r="CD267" s="21"/>
      <c r="CE267" s="21"/>
      <c r="CF267" s="21"/>
      <c r="CG267" s="21"/>
      <c r="CH267" s="21"/>
      <c r="CI267" s="21"/>
      <c r="CJ267" s="21"/>
    </row>
    <row r="268" spans="1:88" ht="40.5" customHeight="1">
      <c r="A268" s="9">
        <f t="shared" si="0"/>
        <v>266</v>
      </c>
      <c r="B268" s="9" t="str">
        <f t="shared" si="5"/>
        <v xml:space="preserve">MA
</v>
      </c>
      <c r="C268" s="9" t="s">
        <v>831</v>
      </c>
      <c r="D268" s="9" t="s">
        <v>781</v>
      </c>
      <c r="E268" s="12">
        <v>0</v>
      </c>
      <c r="F268" s="12">
        <v>0</v>
      </c>
      <c r="G268" s="9" t="s">
        <v>89</v>
      </c>
      <c r="H268" s="9" t="s">
        <v>832</v>
      </c>
      <c r="I268" s="9" t="s">
        <v>833</v>
      </c>
      <c r="J268" s="12"/>
      <c r="K268" s="11" t="s">
        <v>834</v>
      </c>
      <c r="L268" s="12"/>
      <c r="M268" s="12"/>
      <c r="N268" s="13" t="str">
        <f t="shared" si="1"/>
        <v xml:space="preserve">SW Montagen GmbH
</v>
      </c>
      <c r="O268" s="16" t="s">
        <v>78</v>
      </c>
      <c r="P268" s="23" t="s">
        <v>785</v>
      </c>
      <c r="Q268" s="15" t="s">
        <v>139</v>
      </c>
      <c r="R268" s="14" t="s">
        <v>75</v>
      </c>
      <c r="S268" s="14" t="s">
        <v>75</v>
      </c>
      <c r="T268" s="16" t="s">
        <v>126</v>
      </c>
      <c r="U268" s="17" t="str">
        <f t="shared" si="2"/>
        <v xml:space="preserve">SW Montagen GmbH
</v>
      </c>
      <c r="V268" s="13"/>
      <c r="W268" s="13"/>
      <c r="X268" s="13"/>
      <c r="Y268" s="13"/>
      <c r="Z268" s="13"/>
      <c r="AA268" s="13"/>
      <c r="AB268" s="18" t="str">
        <f t="shared" si="3"/>
        <v xml:space="preserve">SW Montagen GmbH
</v>
      </c>
      <c r="AC268" s="18"/>
      <c r="AD268" s="18"/>
      <c r="AE268" s="18"/>
      <c r="AF268" s="18"/>
      <c r="AG268" s="18"/>
      <c r="AH268" s="13"/>
      <c r="AI268" s="18"/>
      <c r="AJ268" s="13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3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2"/>
      <c r="BK268" s="12"/>
      <c r="BL268" s="12"/>
      <c r="BM268" s="9"/>
      <c r="BN268" s="9"/>
      <c r="BO268" s="9"/>
      <c r="BP268" s="12"/>
      <c r="BQ268" s="12"/>
      <c r="BR268" s="12"/>
      <c r="BS268" s="12"/>
      <c r="BT268" s="12"/>
      <c r="BU268" s="12"/>
      <c r="BV268" s="12"/>
      <c r="BW268" s="12"/>
      <c r="BX268" s="12"/>
      <c r="BY268" s="9"/>
      <c r="BZ268" s="21"/>
      <c r="CA268" s="21"/>
      <c r="CB268" s="21"/>
      <c r="CC268" s="21"/>
      <c r="CD268" s="21"/>
      <c r="CE268" s="21"/>
      <c r="CF268" s="21"/>
      <c r="CG268" s="21"/>
      <c r="CH268" s="21"/>
      <c r="CI268" s="21"/>
      <c r="CJ268" s="21"/>
    </row>
    <row r="269" spans="1:88" ht="40.5" customHeight="1">
      <c r="A269" s="9">
        <f t="shared" si="0"/>
        <v>267</v>
      </c>
      <c r="B269" s="9" t="str">
        <f t="shared" si="5"/>
        <v xml:space="preserve">MA
</v>
      </c>
      <c r="C269" s="9" t="s">
        <v>835</v>
      </c>
      <c r="D269" s="9" t="s">
        <v>781</v>
      </c>
      <c r="E269" s="12">
        <v>0</v>
      </c>
      <c r="F269" s="12">
        <v>0</v>
      </c>
      <c r="G269" s="9" t="s">
        <v>89</v>
      </c>
      <c r="H269" s="9" t="s">
        <v>836</v>
      </c>
      <c r="I269" s="9" t="s">
        <v>837</v>
      </c>
      <c r="J269" s="12"/>
      <c r="K269" s="22" t="s">
        <v>838</v>
      </c>
      <c r="L269" s="12"/>
      <c r="M269" s="12"/>
      <c r="N269" s="13" t="str">
        <f t="shared" si="1"/>
        <v xml:space="preserve">Tech-Fenêtres Sàrl
</v>
      </c>
      <c r="O269" s="13"/>
      <c r="P269" s="17"/>
      <c r="Q269" s="13"/>
      <c r="R269" s="17"/>
      <c r="S269" s="17"/>
      <c r="T269" s="13"/>
      <c r="U269" s="17" t="str">
        <f t="shared" si="2"/>
        <v xml:space="preserve">Tech-Fenêtres Sàrl
</v>
      </c>
      <c r="V269" s="13"/>
      <c r="W269" s="13"/>
      <c r="X269" s="13"/>
      <c r="Y269" s="13"/>
      <c r="Z269" s="13"/>
      <c r="AA269" s="13"/>
      <c r="AB269" s="18" t="str">
        <f t="shared" si="3"/>
        <v xml:space="preserve">Tech-Fenêtres Sàrl
</v>
      </c>
      <c r="AC269" s="18"/>
      <c r="AD269" s="18"/>
      <c r="AE269" s="18"/>
      <c r="AF269" s="18"/>
      <c r="AG269" s="18"/>
      <c r="AH269" s="13"/>
      <c r="AI269" s="18"/>
      <c r="AJ269" s="13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3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2"/>
      <c r="BK269" s="12"/>
      <c r="BL269" s="12"/>
      <c r="BM269" s="9"/>
      <c r="BN269" s="9"/>
      <c r="BO269" s="9"/>
      <c r="BP269" s="12"/>
      <c r="BQ269" s="12"/>
      <c r="BR269" s="12"/>
      <c r="BS269" s="12"/>
      <c r="BT269" s="12"/>
      <c r="BU269" s="12"/>
      <c r="BV269" s="12"/>
      <c r="BW269" s="12"/>
      <c r="BX269" s="12"/>
      <c r="BY269" s="9"/>
      <c r="BZ269" s="21"/>
      <c r="CA269" s="21"/>
      <c r="CB269" s="21"/>
      <c r="CC269" s="21"/>
      <c r="CD269" s="21"/>
      <c r="CE269" s="21"/>
      <c r="CF269" s="21"/>
      <c r="CG269" s="21"/>
      <c r="CH269" s="21"/>
      <c r="CI269" s="21"/>
      <c r="CJ269" s="21"/>
    </row>
    <row r="270" spans="1:88" ht="40.5" customHeight="1">
      <c r="A270" s="9">
        <f t="shared" si="0"/>
        <v>268</v>
      </c>
      <c r="B270" s="9" t="str">
        <f t="shared" si="5"/>
        <v xml:space="preserve">MA
</v>
      </c>
      <c r="C270" s="9" t="s">
        <v>839</v>
      </c>
      <c r="D270" s="9" t="s">
        <v>781</v>
      </c>
      <c r="E270" s="12">
        <v>0</v>
      </c>
      <c r="F270" s="12">
        <v>0</v>
      </c>
      <c r="G270" s="9" t="s">
        <v>89</v>
      </c>
      <c r="H270" s="9" t="s">
        <v>840</v>
      </c>
      <c r="I270" s="9" t="s">
        <v>841</v>
      </c>
      <c r="J270" s="12"/>
      <c r="K270" s="22" t="s">
        <v>842</v>
      </c>
      <c r="L270" s="12"/>
      <c r="M270" s="12"/>
      <c r="N270" s="13" t="str">
        <f t="shared" si="1"/>
        <v xml:space="preserve">Swiss Fermetures - Fenêtres et Portes
</v>
      </c>
      <c r="O270" s="13"/>
      <c r="P270" s="17"/>
      <c r="Q270" s="13"/>
      <c r="R270" s="17"/>
      <c r="S270" s="17"/>
      <c r="T270" s="13"/>
      <c r="U270" s="17" t="str">
        <f t="shared" si="2"/>
        <v xml:space="preserve">Swiss Fermetures - Fenêtres et Portes
</v>
      </c>
      <c r="V270" s="13"/>
      <c r="W270" s="13"/>
      <c r="X270" s="13"/>
      <c r="Y270" s="13"/>
      <c r="Z270" s="13"/>
      <c r="AA270" s="13"/>
      <c r="AB270" s="18" t="str">
        <f t="shared" si="3"/>
        <v xml:space="preserve">Swiss Fermetures - Fenêtres et Portes
</v>
      </c>
      <c r="AC270" s="18"/>
      <c r="AD270" s="18"/>
      <c r="AE270" s="18"/>
      <c r="AF270" s="18"/>
      <c r="AG270" s="18"/>
      <c r="AH270" s="13"/>
      <c r="AI270" s="18"/>
      <c r="AJ270" s="13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3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2"/>
      <c r="BK270" s="12"/>
      <c r="BL270" s="12"/>
      <c r="BM270" s="9"/>
      <c r="BN270" s="9"/>
      <c r="BO270" s="9"/>
      <c r="BP270" s="12"/>
      <c r="BQ270" s="12"/>
      <c r="BR270" s="12"/>
      <c r="BS270" s="12"/>
      <c r="BT270" s="12"/>
      <c r="BU270" s="12"/>
      <c r="BV270" s="12"/>
      <c r="BW270" s="12"/>
      <c r="BX270" s="12"/>
      <c r="BY270" s="9"/>
      <c r="BZ270" s="21"/>
      <c r="CA270" s="21"/>
      <c r="CB270" s="21"/>
      <c r="CC270" s="21"/>
      <c r="CD270" s="21"/>
      <c r="CE270" s="21"/>
      <c r="CF270" s="21"/>
      <c r="CG270" s="21"/>
      <c r="CH270" s="21"/>
      <c r="CI270" s="21"/>
      <c r="CJ270" s="21"/>
    </row>
    <row r="271" spans="1:88" ht="40.5" customHeight="1">
      <c r="A271" s="9">
        <f t="shared" si="0"/>
        <v>269</v>
      </c>
      <c r="B271" s="9" t="str">
        <f t="shared" si="5"/>
        <v xml:space="preserve">MA
</v>
      </c>
      <c r="C271" s="9" t="s">
        <v>843</v>
      </c>
      <c r="D271" s="9" t="s">
        <v>781</v>
      </c>
      <c r="E271" s="12">
        <v>0</v>
      </c>
      <c r="F271" s="12">
        <v>0</v>
      </c>
      <c r="G271" s="9" t="s">
        <v>89</v>
      </c>
      <c r="H271" s="9" t="s">
        <v>844</v>
      </c>
      <c r="I271" s="9" t="s">
        <v>845</v>
      </c>
      <c r="J271" s="12"/>
      <c r="K271" s="22" t="s">
        <v>846</v>
      </c>
      <c r="L271" s="12"/>
      <c r="M271" s="12"/>
      <c r="N271" s="13" t="str">
        <f t="shared" si="1"/>
        <v>ASV fenêtres et portes SA</v>
      </c>
      <c r="O271" s="13"/>
      <c r="P271" s="17"/>
      <c r="Q271" s="13"/>
      <c r="R271" s="17"/>
      <c r="S271" s="17"/>
      <c r="T271" s="13"/>
      <c r="U271" s="17" t="str">
        <f t="shared" si="2"/>
        <v>ASV fenêtres et portes SA</v>
      </c>
      <c r="V271" s="13"/>
      <c r="W271" s="13"/>
      <c r="X271" s="13"/>
      <c r="Y271" s="13"/>
      <c r="Z271" s="13"/>
      <c r="AA271" s="13"/>
      <c r="AB271" s="18" t="str">
        <f t="shared" si="3"/>
        <v>ASV fenêtres et portes SA</v>
      </c>
      <c r="AC271" s="18"/>
      <c r="AD271" s="18"/>
      <c r="AE271" s="18"/>
      <c r="AF271" s="18"/>
      <c r="AG271" s="18"/>
      <c r="AH271" s="13"/>
      <c r="AI271" s="18"/>
      <c r="AJ271" s="13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3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2"/>
      <c r="BK271" s="12"/>
      <c r="BL271" s="12"/>
      <c r="BM271" s="9"/>
      <c r="BN271" s="9"/>
      <c r="BO271" s="9"/>
      <c r="BP271" s="12"/>
      <c r="BQ271" s="12"/>
      <c r="BR271" s="12"/>
      <c r="BS271" s="12"/>
      <c r="BT271" s="12"/>
      <c r="BU271" s="12"/>
      <c r="BV271" s="12"/>
      <c r="BW271" s="12"/>
      <c r="BX271" s="12"/>
      <c r="BY271" s="9"/>
      <c r="BZ271" s="21"/>
      <c r="CA271" s="21"/>
      <c r="CB271" s="21"/>
      <c r="CC271" s="21"/>
      <c r="CD271" s="21"/>
      <c r="CE271" s="21"/>
      <c r="CF271" s="21"/>
      <c r="CG271" s="21"/>
      <c r="CH271" s="21"/>
      <c r="CI271" s="21"/>
      <c r="CJ271" s="21"/>
    </row>
    <row r="272" spans="1:88" ht="40.5" customHeight="1">
      <c r="A272" s="9">
        <f t="shared" si="0"/>
        <v>270</v>
      </c>
      <c r="B272" s="9" t="str">
        <f t="shared" si="5"/>
        <v xml:space="preserve">MA
</v>
      </c>
      <c r="C272" s="48" t="s">
        <v>847</v>
      </c>
      <c r="D272" s="9" t="s">
        <v>725</v>
      </c>
      <c r="E272" s="12">
        <v>0</v>
      </c>
      <c r="F272" s="12">
        <v>0</v>
      </c>
      <c r="G272" s="9" t="s">
        <v>89</v>
      </c>
      <c r="H272" s="9" t="s">
        <v>848</v>
      </c>
      <c r="I272" s="9" t="s">
        <v>849</v>
      </c>
      <c r="J272" s="12"/>
      <c r="K272" s="12"/>
      <c r="L272" s="12"/>
      <c r="M272" s="12"/>
      <c r="N272" s="13" t="str">
        <f t="shared" si="1"/>
        <v>Herr Sladkowski</v>
      </c>
      <c r="O272" s="16" t="s">
        <v>98</v>
      </c>
      <c r="P272" s="14">
        <v>4</v>
      </c>
      <c r="Q272" s="25">
        <v>44942</v>
      </c>
      <c r="R272" s="17"/>
      <c r="S272" s="17"/>
      <c r="T272" s="16" t="s">
        <v>86</v>
      </c>
      <c r="U272" s="17" t="str">
        <f t="shared" si="2"/>
        <v>Herr Sladkowski</v>
      </c>
      <c r="V272" s="13"/>
      <c r="W272" s="13"/>
      <c r="X272" s="13"/>
      <c r="Y272" s="13"/>
      <c r="Z272" s="13"/>
      <c r="AA272" s="13"/>
      <c r="AB272" s="18" t="str">
        <f t="shared" si="3"/>
        <v>Herr Sladkowski</v>
      </c>
      <c r="AC272" s="18"/>
      <c r="AD272" s="18"/>
      <c r="AE272" s="18"/>
      <c r="AF272" s="18"/>
      <c r="AG272" s="18"/>
      <c r="AH272" s="13"/>
      <c r="AI272" s="18"/>
      <c r="AJ272" s="13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3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2"/>
      <c r="BK272" s="12"/>
      <c r="BL272" s="12"/>
      <c r="BM272" s="9"/>
      <c r="BN272" s="9"/>
      <c r="BO272" s="9"/>
      <c r="BP272" s="12"/>
      <c r="BQ272" s="12"/>
      <c r="BR272" s="12"/>
      <c r="BS272" s="12"/>
      <c r="BT272" s="12"/>
      <c r="BU272" s="12"/>
      <c r="BV272" s="12"/>
      <c r="BW272" s="12"/>
      <c r="BX272" s="12"/>
      <c r="BY272" s="9"/>
      <c r="BZ272" s="21"/>
      <c r="CA272" s="21"/>
      <c r="CB272" s="21"/>
      <c r="CC272" s="21"/>
      <c r="CD272" s="21"/>
      <c r="CE272" s="21"/>
      <c r="CF272" s="21"/>
      <c r="CG272" s="21"/>
      <c r="CH272" s="21"/>
      <c r="CI272" s="21"/>
      <c r="CJ272" s="21"/>
    </row>
    <row r="273" spans="1:88" ht="40.5" customHeight="1">
      <c r="A273" s="9">
        <f t="shared" si="0"/>
        <v>271</v>
      </c>
      <c r="B273" s="9" t="str">
        <f t="shared" si="5"/>
        <v xml:space="preserve">MA
</v>
      </c>
      <c r="C273" s="9" t="s">
        <v>850</v>
      </c>
      <c r="D273" s="9" t="s">
        <v>851</v>
      </c>
      <c r="E273" s="12">
        <v>0</v>
      </c>
      <c r="F273" s="12">
        <v>0</v>
      </c>
      <c r="G273" s="9" t="s">
        <v>89</v>
      </c>
      <c r="H273" s="12"/>
      <c r="I273" s="9" t="s">
        <v>852</v>
      </c>
      <c r="J273" s="9" t="s">
        <v>853</v>
      </c>
      <c r="K273" s="12"/>
      <c r="L273" s="12"/>
      <c r="M273" s="12"/>
      <c r="N273" s="13" t="str">
        <f t="shared" si="1"/>
        <v>ATCOALU Europe</v>
      </c>
      <c r="O273" s="16" t="s">
        <v>98</v>
      </c>
      <c r="P273" s="14">
        <v>1</v>
      </c>
      <c r="Q273" s="25">
        <v>44942</v>
      </c>
      <c r="R273" s="17"/>
      <c r="S273" s="17"/>
      <c r="T273" s="16" t="s">
        <v>108</v>
      </c>
      <c r="U273" s="17" t="str">
        <f t="shared" si="2"/>
        <v>ATCOALU Europe</v>
      </c>
      <c r="V273" s="16" t="s">
        <v>78</v>
      </c>
      <c r="W273" s="16">
        <v>2</v>
      </c>
      <c r="X273" s="25">
        <v>44952</v>
      </c>
      <c r="Y273" s="13"/>
      <c r="Z273" s="13"/>
      <c r="AA273" s="16" t="s">
        <v>101</v>
      </c>
      <c r="AB273" s="18" t="str">
        <f t="shared" si="3"/>
        <v>ATCOALU Europe</v>
      </c>
      <c r="AC273" s="19" t="s">
        <v>98</v>
      </c>
      <c r="AD273" s="19">
        <v>3</v>
      </c>
      <c r="AE273" s="27">
        <v>44953</v>
      </c>
      <c r="AF273" s="18"/>
      <c r="AG273" s="18"/>
      <c r="AH273" s="16" t="s">
        <v>86</v>
      </c>
      <c r="AI273" s="18"/>
      <c r="AJ273" s="13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3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2"/>
      <c r="BK273" s="12"/>
      <c r="BL273" s="12"/>
      <c r="BM273" s="9"/>
      <c r="BN273" s="9"/>
      <c r="BO273" s="9"/>
      <c r="BP273" s="12"/>
      <c r="BQ273" s="12"/>
      <c r="BR273" s="12"/>
      <c r="BS273" s="12"/>
      <c r="BT273" s="12"/>
      <c r="BU273" s="12"/>
      <c r="BV273" s="12"/>
      <c r="BW273" s="12"/>
      <c r="BX273" s="12"/>
      <c r="BY273" s="9"/>
      <c r="BZ273" s="21"/>
      <c r="CA273" s="21"/>
      <c r="CB273" s="21"/>
      <c r="CC273" s="21"/>
      <c r="CD273" s="21"/>
      <c r="CE273" s="21"/>
      <c r="CF273" s="21"/>
      <c r="CG273" s="21"/>
      <c r="CH273" s="21"/>
      <c r="CI273" s="21"/>
      <c r="CJ273" s="21"/>
    </row>
    <row r="274" spans="1:88" ht="40.5" customHeight="1">
      <c r="A274" s="9">
        <f t="shared" si="0"/>
        <v>272</v>
      </c>
      <c r="B274" s="9" t="str">
        <f t="shared" si="5"/>
        <v xml:space="preserve">MA
</v>
      </c>
      <c r="C274" s="28" t="s">
        <v>854</v>
      </c>
      <c r="D274" s="9" t="s">
        <v>601</v>
      </c>
      <c r="E274" s="12">
        <v>0</v>
      </c>
      <c r="F274" s="12">
        <v>0</v>
      </c>
      <c r="G274" s="9" t="s">
        <v>89</v>
      </c>
      <c r="H274" s="12"/>
      <c r="I274" s="9" t="s">
        <v>855</v>
      </c>
      <c r="J274" s="12"/>
      <c r="K274" s="12"/>
      <c r="L274" s="12"/>
      <c r="M274" s="12"/>
      <c r="N274" s="13" t="str">
        <f t="shared" si="1"/>
        <v xml:space="preserve">حسن العاقل </v>
      </c>
      <c r="O274" s="16" t="s">
        <v>78</v>
      </c>
      <c r="P274" s="14">
        <v>2</v>
      </c>
      <c r="Q274" s="25">
        <v>44942</v>
      </c>
      <c r="R274" s="17"/>
      <c r="S274" s="17"/>
      <c r="T274" s="16" t="s">
        <v>108</v>
      </c>
      <c r="U274" s="17" t="str">
        <f t="shared" si="2"/>
        <v xml:space="preserve">حسن العاقل </v>
      </c>
      <c r="V274" s="13"/>
      <c r="W274" s="13"/>
      <c r="X274" s="13"/>
      <c r="Y274" s="13"/>
      <c r="Z274" s="13"/>
      <c r="AA274" s="13"/>
      <c r="AB274" s="18" t="str">
        <f t="shared" si="3"/>
        <v xml:space="preserve">حسن العاقل </v>
      </c>
      <c r="AC274" s="18"/>
      <c r="AD274" s="18"/>
      <c r="AE274" s="18"/>
      <c r="AF274" s="18"/>
      <c r="AG274" s="18"/>
      <c r="AH274" s="13"/>
      <c r="AI274" s="18"/>
      <c r="AJ274" s="13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3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2"/>
      <c r="BK274" s="12"/>
      <c r="BL274" s="12"/>
      <c r="BM274" s="9"/>
      <c r="BN274" s="9"/>
      <c r="BO274" s="9"/>
      <c r="BP274" s="12"/>
      <c r="BQ274" s="12"/>
      <c r="BR274" s="12"/>
      <c r="BS274" s="12"/>
      <c r="BT274" s="12"/>
      <c r="BU274" s="12"/>
      <c r="BV274" s="12"/>
      <c r="BW274" s="12"/>
      <c r="BX274" s="12"/>
      <c r="BY274" s="9"/>
      <c r="BZ274" s="21"/>
      <c r="CA274" s="21"/>
      <c r="CB274" s="21"/>
      <c r="CC274" s="21"/>
      <c r="CD274" s="21"/>
      <c r="CE274" s="21"/>
      <c r="CF274" s="21"/>
      <c r="CG274" s="21"/>
      <c r="CH274" s="21"/>
      <c r="CI274" s="21"/>
      <c r="CJ274" s="21"/>
    </row>
    <row r="275" spans="1:88" ht="40.5" customHeight="1">
      <c r="A275" s="9">
        <f t="shared" si="0"/>
        <v>273</v>
      </c>
      <c r="B275" s="9" t="str">
        <f t="shared" si="5"/>
        <v xml:space="preserve">MA
</v>
      </c>
      <c r="C275" s="9" t="s">
        <v>856</v>
      </c>
      <c r="D275" s="9" t="s">
        <v>857</v>
      </c>
      <c r="E275" s="12">
        <v>0</v>
      </c>
      <c r="F275" s="12">
        <v>0</v>
      </c>
      <c r="G275" s="9" t="s">
        <v>89</v>
      </c>
      <c r="H275" s="12"/>
      <c r="I275" s="9" t="s">
        <v>858</v>
      </c>
      <c r="J275" s="9" t="s">
        <v>859</v>
      </c>
      <c r="K275" s="12"/>
      <c r="L275" s="12"/>
      <c r="M275" s="12"/>
      <c r="N275" s="13" t="str">
        <f t="shared" si="1"/>
        <v>Al Arabi for Aluminum</v>
      </c>
      <c r="O275" s="16" t="s">
        <v>78</v>
      </c>
      <c r="P275" s="14">
        <v>1</v>
      </c>
      <c r="Q275" s="25">
        <v>44942</v>
      </c>
      <c r="R275" s="14">
        <v>1</v>
      </c>
      <c r="S275" s="62">
        <v>0.33333333333333331</v>
      </c>
      <c r="T275" s="16" t="s">
        <v>108</v>
      </c>
      <c r="U275" s="17" t="str">
        <f t="shared" si="2"/>
        <v>Al Arabi for Aluminum</v>
      </c>
      <c r="V275" s="16" t="s">
        <v>98</v>
      </c>
      <c r="W275" s="16" t="s">
        <v>79</v>
      </c>
      <c r="X275" s="15" t="s">
        <v>140</v>
      </c>
      <c r="Y275" s="16" t="s">
        <v>75</v>
      </c>
      <c r="Z275" s="16" t="s">
        <v>75</v>
      </c>
      <c r="AA275" s="16" t="s">
        <v>86</v>
      </c>
      <c r="AB275" s="18" t="str">
        <f t="shared" si="3"/>
        <v>Al Arabi for Aluminum</v>
      </c>
      <c r="AC275" s="18"/>
      <c r="AD275" s="18"/>
      <c r="AE275" s="18"/>
      <c r="AF275" s="18"/>
      <c r="AG275" s="18"/>
      <c r="AH275" s="13"/>
      <c r="AI275" s="18"/>
      <c r="AJ275" s="13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3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2"/>
      <c r="BK275" s="12"/>
      <c r="BL275" s="12"/>
      <c r="BM275" s="9"/>
      <c r="BN275" s="9"/>
      <c r="BO275" s="9"/>
      <c r="BP275" s="12"/>
      <c r="BQ275" s="12"/>
      <c r="BR275" s="12"/>
      <c r="BS275" s="12"/>
      <c r="BT275" s="12"/>
      <c r="BU275" s="12"/>
      <c r="BV275" s="12"/>
      <c r="BW275" s="12"/>
      <c r="BX275" s="12"/>
      <c r="BY275" s="9"/>
      <c r="BZ275" s="21"/>
      <c r="CA275" s="21"/>
      <c r="CB275" s="21"/>
      <c r="CC275" s="21"/>
      <c r="CD275" s="21"/>
      <c r="CE275" s="21"/>
      <c r="CF275" s="21"/>
      <c r="CG275" s="21"/>
      <c r="CH275" s="21"/>
      <c r="CI275" s="21"/>
      <c r="CJ275" s="21"/>
    </row>
    <row r="276" spans="1:88" ht="40.5" customHeight="1">
      <c r="A276" s="9">
        <f t="shared" si="0"/>
        <v>274</v>
      </c>
      <c r="B276" s="9" t="str">
        <f t="shared" si="5"/>
        <v xml:space="preserve">MA
</v>
      </c>
      <c r="C276" s="9" t="s">
        <v>860</v>
      </c>
      <c r="D276" s="9" t="s">
        <v>861</v>
      </c>
      <c r="E276" s="12">
        <v>0</v>
      </c>
      <c r="F276" s="12">
        <v>0</v>
      </c>
      <c r="G276" s="9" t="s">
        <v>89</v>
      </c>
      <c r="H276" s="12"/>
      <c r="I276" s="12"/>
      <c r="J276" s="12"/>
      <c r="K276" s="22" t="s">
        <v>862</v>
      </c>
      <c r="L276" s="9" t="s">
        <v>863</v>
      </c>
      <c r="M276" s="12"/>
      <c r="N276" s="13" t="str">
        <f t="shared" si="1"/>
        <v xml:space="preserve">Alico Kuwait
</v>
      </c>
      <c r="O276" s="16" t="s">
        <v>7</v>
      </c>
      <c r="P276" s="14">
        <v>4</v>
      </c>
      <c r="Q276" s="25">
        <v>44944</v>
      </c>
      <c r="R276" s="17"/>
      <c r="S276" s="17"/>
      <c r="T276" s="16" t="s">
        <v>86</v>
      </c>
      <c r="U276" s="17" t="str">
        <f t="shared" si="2"/>
        <v xml:space="preserve">Alico Kuwait
</v>
      </c>
      <c r="V276" s="16" t="s">
        <v>7</v>
      </c>
      <c r="W276" s="16" t="s">
        <v>79</v>
      </c>
      <c r="X276" s="15" t="s">
        <v>221</v>
      </c>
      <c r="Y276" s="16" t="s">
        <v>75</v>
      </c>
      <c r="Z276" s="16" t="s">
        <v>75</v>
      </c>
      <c r="AA276" s="16" t="s">
        <v>81</v>
      </c>
      <c r="AB276" s="18" t="str">
        <f t="shared" si="3"/>
        <v xml:space="preserve">Alico Kuwait
</v>
      </c>
      <c r="AC276" s="18"/>
      <c r="AD276" s="18"/>
      <c r="AE276" s="18"/>
      <c r="AF276" s="18"/>
      <c r="AG276" s="18"/>
      <c r="AH276" s="13"/>
      <c r="AI276" s="18"/>
      <c r="AJ276" s="13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3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2"/>
      <c r="BK276" s="12"/>
      <c r="BL276" s="12"/>
      <c r="BM276" s="9"/>
      <c r="BN276" s="9"/>
      <c r="BO276" s="9"/>
      <c r="BP276" s="12"/>
      <c r="BQ276" s="12"/>
      <c r="BR276" s="12"/>
      <c r="BS276" s="12"/>
      <c r="BT276" s="12"/>
      <c r="BU276" s="12"/>
      <c r="BV276" s="12"/>
      <c r="BW276" s="12"/>
      <c r="BX276" s="12"/>
      <c r="BY276" s="9"/>
      <c r="BZ276" s="21"/>
      <c r="CA276" s="21"/>
      <c r="CB276" s="21"/>
      <c r="CC276" s="21"/>
      <c r="CD276" s="21"/>
      <c r="CE276" s="21"/>
      <c r="CF276" s="21"/>
      <c r="CG276" s="21"/>
      <c r="CH276" s="21"/>
      <c r="CI276" s="21"/>
      <c r="CJ276" s="21"/>
    </row>
    <row r="277" spans="1:88" ht="40.5" customHeight="1">
      <c r="A277" s="9">
        <f t="shared" si="0"/>
        <v>275</v>
      </c>
      <c r="B277" s="9" t="str">
        <f t="shared" si="5"/>
        <v xml:space="preserve">MA
</v>
      </c>
      <c r="C277" s="28" t="s">
        <v>864</v>
      </c>
      <c r="D277" s="9" t="s">
        <v>861</v>
      </c>
      <c r="E277" s="12">
        <v>0</v>
      </c>
      <c r="F277" s="12">
        <v>0</v>
      </c>
      <c r="G277" s="9" t="s">
        <v>89</v>
      </c>
      <c r="H277" s="9" t="s">
        <v>865</v>
      </c>
      <c r="I277" s="9" t="s">
        <v>866</v>
      </c>
      <c r="J277" s="9" t="s">
        <v>867</v>
      </c>
      <c r="K277" s="22" t="s">
        <v>868</v>
      </c>
      <c r="L277" s="12"/>
      <c r="M277" s="12"/>
      <c r="N277" s="13" t="str">
        <f t="shared" si="1"/>
        <v>الشركة الأهلية الكويتية لصناعة الألمنيوم</v>
      </c>
      <c r="O277" s="16" t="s">
        <v>7</v>
      </c>
      <c r="P277" s="14">
        <v>4</v>
      </c>
      <c r="Q277" s="25">
        <v>44944</v>
      </c>
      <c r="R277" s="17"/>
      <c r="S277" s="17"/>
      <c r="T277" s="16" t="s">
        <v>81</v>
      </c>
      <c r="U277" s="17" t="str">
        <f t="shared" si="2"/>
        <v>الشركة الأهلية الكويتية لصناعة الألمنيوم</v>
      </c>
      <c r="V277" s="16" t="s">
        <v>98</v>
      </c>
      <c r="W277" s="16">
        <v>5</v>
      </c>
      <c r="X277" s="25">
        <v>44957</v>
      </c>
      <c r="Y277" s="13"/>
      <c r="Z277" s="13"/>
      <c r="AA277" s="16" t="s">
        <v>86</v>
      </c>
      <c r="AB277" s="18" t="str">
        <f t="shared" si="3"/>
        <v>الشركة الأهلية الكويتية لصناعة الألمنيوم</v>
      </c>
      <c r="AC277" s="19" t="s">
        <v>78</v>
      </c>
      <c r="AD277" s="19" t="s">
        <v>79</v>
      </c>
      <c r="AE277" s="20" t="s">
        <v>221</v>
      </c>
      <c r="AF277" s="19" t="s">
        <v>75</v>
      </c>
      <c r="AG277" s="19" t="s">
        <v>75</v>
      </c>
      <c r="AH277" s="16" t="s">
        <v>86</v>
      </c>
      <c r="AI277" s="18"/>
      <c r="AJ277" s="13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3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2"/>
      <c r="BK277" s="12"/>
      <c r="BL277" s="12"/>
      <c r="BM277" s="9"/>
      <c r="BN277" s="9"/>
      <c r="BO277" s="9"/>
      <c r="BP277" s="12"/>
      <c r="BQ277" s="12"/>
      <c r="BR277" s="12"/>
      <c r="BS277" s="12"/>
      <c r="BT277" s="12"/>
      <c r="BU277" s="12"/>
      <c r="BV277" s="12"/>
      <c r="BW277" s="12"/>
      <c r="BX277" s="12"/>
      <c r="BY277" s="9"/>
      <c r="BZ277" s="21"/>
      <c r="CA277" s="21"/>
      <c r="CB277" s="21"/>
      <c r="CC277" s="21"/>
      <c r="CD277" s="21"/>
      <c r="CE277" s="21"/>
      <c r="CF277" s="21"/>
      <c r="CG277" s="21"/>
      <c r="CH277" s="21"/>
      <c r="CI277" s="21"/>
      <c r="CJ277" s="21"/>
    </row>
    <row r="278" spans="1:88" ht="40.5" customHeight="1">
      <c r="A278" s="9">
        <f t="shared" si="0"/>
        <v>276</v>
      </c>
      <c r="B278" s="9" t="str">
        <f t="shared" si="5"/>
        <v xml:space="preserve">MA
</v>
      </c>
      <c r="C278" s="9" t="s">
        <v>869</v>
      </c>
      <c r="D278" s="9" t="s">
        <v>861</v>
      </c>
      <c r="E278" s="12">
        <v>0</v>
      </c>
      <c r="F278" s="12">
        <v>0</v>
      </c>
      <c r="G278" s="9" t="s">
        <v>89</v>
      </c>
      <c r="H278" s="9" t="s">
        <v>870</v>
      </c>
      <c r="I278" s="9" t="s">
        <v>871</v>
      </c>
      <c r="J278" s="9" t="s">
        <v>872</v>
      </c>
      <c r="K278" s="12"/>
      <c r="L278" s="12"/>
      <c r="M278" s="12"/>
      <c r="N278" s="13" t="str">
        <f t="shared" si="1"/>
        <v>DASSCo</v>
      </c>
      <c r="O278" s="16" t="s">
        <v>78</v>
      </c>
      <c r="P278" s="14">
        <v>4</v>
      </c>
      <c r="Q278" s="25">
        <v>44944</v>
      </c>
      <c r="R278" s="14">
        <v>5</v>
      </c>
      <c r="S278" s="26">
        <v>0.21666666666666667</v>
      </c>
      <c r="T278" s="16" t="s">
        <v>86</v>
      </c>
      <c r="U278" s="17" t="str">
        <f t="shared" si="2"/>
        <v>DASSCo</v>
      </c>
      <c r="V278" s="16" t="s">
        <v>98</v>
      </c>
      <c r="W278" s="16">
        <v>5</v>
      </c>
      <c r="X278" s="25">
        <v>44957</v>
      </c>
      <c r="Y278" s="13"/>
      <c r="Z278" s="13"/>
      <c r="AA278" s="16" t="s">
        <v>86</v>
      </c>
      <c r="AB278" s="18" t="str">
        <f t="shared" si="3"/>
        <v>DASSCo</v>
      </c>
      <c r="AC278" s="19" t="s">
        <v>78</v>
      </c>
      <c r="AD278" s="19" t="s">
        <v>79</v>
      </c>
      <c r="AE278" s="20" t="s">
        <v>221</v>
      </c>
      <c r="AF278" s="19" t="s">
        <v>75</v>
      </c>
      <c r="AG278" s="19" t="s">
        <v>75</v>
      </c>
      <c r="AH278" s="16" t="s">
        <v>86</v>
      </c>
      <c r="AI278" s="18"/>
      <c r="AJ278" s="13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3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2"/>
      <c r="BK278" s="12"/>
      <c r="BL278" s="12"/>
      <c r="BM278" s="9"/>
      <c r="BN278" s="9"/>
      <c r="BO278" s="9"/>
      <c r="BP278" s="12"/>
      <c r="BQ278" s="12"/>
      <c r="BR278" s="12"/>
      <c r="BS278" s="12"/>
      <c r="BT278" s="12"/>
      <c r="BU278" s="12"/>
      <c r="BV278" s="12"/>
      <c r="BW278" s="12"/>
      <c r="BX278" s="12"/>
      <c r="BY278" s="9"/>
      <c r="BZ278" s="21"/>
      <c r="CA278" s="21"/>
      <c r="CB278" s="21"/>
      <c r="CC278" s="21"/>
      <c r="CD278" s="21"/>
      <c r="CE278" s="21"/>
      <c r="CF278" s="21"/>
      <c r="CG278" s="21"/>
      <c r="CH278" s="21"/>
      <c r="CI278" s="21"/>
      <c r="CJ278" s="21"/>
    </row>
    <row r="279" spans="1:88" ht="40.5" customHeight="1">
      <c r="A279" s="9">
        <f t="shared" si="0"/>
        <v>277</v>
      </c>
      <c r="B279" s="9" t="str">
        <f t="shared" si="5"/>
        <v xml:space="preserve">MA
</v>
      </c>
      <c r="C279" s="28" t="s">
        <v>873</v>
      </c>
      <c r="D279" s="9" t="s">
        <v>627</v>
      </c>
      <c r="E279" s="12">
        <v>0</v>
      </c>
      <c r="F279" s="12">
        <v>0</v>
      </c>
      <c r="G279" s="9" t="s">
        <v>89</v>
      </c>
      <c r="H279" s="9" t="s">
        <v>874</v>
      </c>
      <c r="I279" s="9" t="s">
        <v>875</v>
      </c>
      <c r="J279" s="12"/>
      <c r="K279" s="11" t="s">
        <v>876</v>
      </c>
      <c r="L279" s="12"/>
      <c r="M279" s="12"/>
      <c r="N279" s="13" t="str">
        <f t="shared" si="1"/>
        <v xml:space="preserve">شركة أليكو الكويت </v>
      </c>
      <c r="O279" s="16" t="s">
        <v>7</v>
      </c>
      <c r="P279" s="14">
        <v>4</v>
      </c>
      <c r="Q279" s="25">
        <v>44944</v>
      </c>
      <c r="R279" s="17"/>
      <c r="S279" s="17"/>
      <c r="T279" s="16" t="s">
        <v>86</v>
      </c>
      <c r="U279" s="17" t="str">
        <f t="shared" si="2"/>
        <v xml:space="preserve">شركة أليكو الكويت </v>
      </c>
      <c r="V279" s="16" t="s">
        <v>7</v>
      </c>
      <c r="W279" s="16" t="s">
        <v>79</v>
      </c>
      <c r="X279" s="15" t="s">
        <v>100</v>
      </c>
      <c r="Y279" s="16" t="s">
        <v>75</v>
      </c>
      <c r="Z279" s="16" t="s">
        <v>75</v>
      </c>
      <c r="AA279" s="16" t="s">
        <v>86</v>
      </c>
      <c r="AB279" s="18" t="str">
        <f t="shared" si="3"/>
        <v xml:space="preserve">شركة أليكو الكويت </v>
      </c>
      <c r="AC279" s="19" t="s">
        <v>7</v>
      </c>
      <c r="AD279" s="19" t="s">
        <v>79</v>
      </c>
      <c r="AE279" s="20" t="s">
        <v>140</v>
      </c>
      <c r="AF279" s="19" t="s">
        <v>75</v>
      </c>
      <c r="AG279" s="19" t="s">
        <v>75</v>
      </c>
      <c r="AH279" s="16" t="s">
        <v>86</v>
      </c>
      <c r="AI279" s="18"/>
      <c r="AJ279" s="13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3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2"/>
      <c r="BK279" s="12"/>
      <c r="BL279" s="12"/>
      <c r="BM279" s="9"/>
      <c r="BN279" s="9"/>
      <c r="BO279" s="9"/>
      <c r="BP279" s="12"/>
      <c r="BQ279" s="12"/>
      <c r="BR279" s="12"/>
      <c r="BS279" s="12"/>
      <c r="BT279" s="12"/>
      <c r="BU279" s="12"/>
      <c r="BV279" s="12"/>
      <c r="BW279" s="12"/>
      <c r="BX279" s="12"/>
      <c r="BY279" s="9"/>
      <c r="BZ279" s="21"/>
      <c r="CA279" s="21"/>
      <c r="CB279" s="21"/>
      <c r="CC279" s="21"/>
      <c r="CD279" s="21"/>
      <c r="CE279" s="21"/>
      <c r="CF279" s="21"/>
      <c r="CG279" s="21"/>
      <c r="CH279" s="21"/>
      <c r="CI279" s="21"/>
      <c r="CJ279" s="21"/>
    </row>
    <row r="280" spans="1:88" ht="40.5" customHeight="1">
      <c r="A280" s="9">
        <f t="shared" si="0"/>
        <v>278</v>
      </c>
      <c r="B280" s="9" t="str">
        <f t="shared" si="5"/>
        <v xml:space="preserve">MA
</v>
      </c>
      <c r="C280" s="9" t="s">
        <v>877</v>
      </c>
      <c r="D280" s="9" t="s">
        <v>861</v>
      </c>
      <c r="E280" s="12">
        <v>0</v>
      </c>
      <c r="F280" s="12">
        <v>0</v>
      </c>
      <c r="G280" s="9" t="s">
        <v>89</v>
      </c>
      <c r="H280" s="12"/>
      <c r="I280" s="12">
        <f>96550104101</f>
        <v>96550104101</v>
      </c>
      <c r="J280" s="12"/>
      <c r="K280" s="22" t="s">
        <v>878</v>
      </c>
      <c r="L280" s="12"/>
      <c r="M280" s="12"/>
      <c r="N280" s="13" t="str">
        <f t="shared" si="1"/>
        <v>Aluminum professional Company</v>
      </c>
      <c r="O280" s="16" t="s">
        <v>98</v>
      </c>
      <c r="P280" s="14">
        <v>4</v>
      </c>
      <c r="Q280" s="25">
        <v>44944</v>
      </c>
      <c r="R280" s="17"/>
      <c r="S280" s="17"/>
      <c r="T280" s="16" t="s">
        <v>86</v>
      </c>
      <c r="U280" s="17" t="str">
        <f t="shared" si="2"/>
        <v>Aluminum professional Company</v>
      </c>
      <c r="V280" s="13"/>
      <c r="W280" s="13"/>
      <c r="X280" s="13"/>
      <c r="Y280" s="13"/>
      <c r="Z280" s="13"/>
      <c r="AA280" s="13"/>
      <c r="AB280" s="18" t="str">
        <f t="shared" si="3"/>
        <v>Aluminum professional Company</v>
      </c>
      <c r="AC280" s="18"/>
      <c r="AD280" s="18"/>
      <c r="AE280" s="18"/>
      <c r="AF280" s="18"/>
      <c r="AG280" s="18"/>
      <c r="AH280" s="13"/>
      <c r="AI280" s="18"/>
      <c r="AJ280" s="13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3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2"/>
      <c r="BK280" s="12"/>
      <c r="BL280" s="12"/>
      <c r="BM280" s="9"/>
      <c r="BN280" s="9"/>
      <c r="BO280" s="9"/>
      <c r="BP280" s="12"/>
      <c r="BQ280" s="12"/>
      <c r="BR280" s="12"/>
      <c r="BS280" s="12"/>
      <c r="BT280" s="12"/>
      <c r="BU280" s="12"/>
      <c r="BV280" s="12"/>
      <c r="BW280" s="12"/>
      <c r="BX280" s="12"/>
      <c r="BY280" s="9"/>
      <c r="BZ280" s="21"/>
      <c r="CA280" s="21"/>
      <c r="CB280" s="21"/>
      <c r="CC280" s="21"/>
      <c r="CD280" s="21"/>
      <c r="CE280" s="21"/>
      <c r="CF280" s="21"/>
      <c r="CG280" s="21"/>
      <c r="CH280" s="21"/>
      <c r="CI280" s="21"/>
      <c r="CJ280" s="21"/>
    </row>
    <row r="281" spans="1:88" ht="40.5" customHeight="1">
      <c r="A281" s="9">
        <f t="shared" si="0"/>
        <v>279</v>
      </c>
      <c r="B281" s="9" t="str">
        <f t="shared" si="5"/>
        <v xml:space="preserve">MA
</v>
      </c>
      <c r="C281" s="9" t="s">
        <v>879</v>
      </c>
      <c r="D281" s="9" t="s">
        <v>861</v>
      </c>
      <c r="E281" s="12">
        <v>0</v>
      </c>
      <c r="F281" s="12">
        <v>0</v>
      </c>
      <c r="G281" s="9" t="s">
        <v>89</v>
      </c>
      <c r="H281" s="12"/>
      <c r="I281" s="9">
        <v>96596005000</v>
      </c>
      <c r="J281" s="12"/>
      <c r="K281" s="12"/>
      <c r="L281" s="9" t="s">
        <v>880</v>
      </c>
      <c r="M281" s="12"/>
      <c r="N281" s="13" t="str">
        <f t="shared" si="1"/>
        <v xml:space="preserve">Gulf Aluminium Showroom
</v>
      </c>
      <c r="O281" s="16" t="s">
        <v>7</v>
      </c>
      <c r="P281" s="14">
        <v>4</v>
      </c>
      <c r="Q281" s="25">
        <v>44944</v>
      </c>
      <c r="R281" s="17"/>
      <c r="S281" s="17"/>
      <c r="T281" s="16" t="s">
        <v>86</v>
      </c>
      <c r="U281" s="17" t="str">
        <f t="shared" si="2"/>
        <v xml:space="preserve">Gulf Aluminium Showroom
</v>
      </c>
      <c r="V281" s="16" t="s">
        <v>98</v>
      </c>
      <c r="W281" s="16">
        <v>5</v>
      </c>
      <c r="X281" s="25">
        <v>44957</v>
      </c>
      <c r="Y281" s="13"/>
      <c r="Z281" s="13"/>
      <c r="AA281" s="16" t="s">
        <v>86</v>
      </c>
      <c r="AB281" s="18" t="str">
        <f t="shared" si="3"/>
        <v xml:space="preserve">Gulf Aluminium Showroom
</v>
      </c>
      <c r="AC281" s="19" t="s">
        <v>78</v>
      </c>
      <c r="AD281" s="19" t="s">
        <v>79</v>
      </c>
      <c r="AE281" s="20" t="s">
        <v>881</v>
      </c>
      <c r="AF281" s="19" t="s">
        <v>75</v>
      </c>
      <c r="AG281" s="19" t="s">
        <v>75</v>
      </c>
      <c r="AH281" s="16" t="s">
        <v>86</v>
      </c>
      <c r="AI281" s="18"/>
      <c r="AJ281" s="13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3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2"/>
      <c r="BK281" s="12"/>
      <c r="BL281" s="12"/>
      <c r="BM281" s="9"/>
      <c r="BN281" s="9"/>
      <c r="BO281" s="9"/>
      <c r="BP281" s="12"/>
      <c r="BQ281" s="12"/>
      <c r="BR281" s="12"/>
      <c r="BS281" s="12"/>
      <c r="BT281" s="12"/>
      <c r="BU281" s="12"/>
      <c r="BV281" s="12"/>
      <c r="BW281" s="12"/>
      <c r="BX281" s="12"/>
      <c r="BY281" s="9"/>
      <c r="BZ281" s="21"/>
      <c r="CA281" s="21"/>
      <c r="CB281" s="21"/>
      <c r="CC281" s="21"/>
      <c r="CD281" s="21"/>
      <c r="CE281" s="21"/>
      <c r="CF281" s="21"/>
      <c r="CG281" s="21"/>
      <c r="CH281" s="21"/>
      <c r="CI281" s="21"/>
      <c r="CJ281" s="21"/>
    </row>
    <row r="282" spans="1:88" ht="40.5" customHeight="1">
      <c r="A282" s="9">
        <f t="shared" si="0"/>
        <v>280</v>
      </c>
      <c r="B282" s="9" t="str">
        <f t="shared" si="5"/>
        <v xml:space="preserve">MA
</v>
      </c>
      <c r="C282" s="28" t="s">
        <v>882</v>
      </c>
      <c r="D282" s="9" t="s">
        <v>861</v>
      </c>
      <c r="E282" s="12">
        <v>0</v>
      </c>
      <c r="F282" s="12">
        <v>0</v>
      </c>
      <c r="G282" s="9" t="s">
        <v>89</v>
      </c>
      <c r="H282" s="12"/>
      <c r="I282" s="9">
        <v>96596960651</v>
      </c>
      <c r="J282" s="12"/>
      <c r="K282" s="12"/>
      <c r="L282" s="12"/>
      <c r="M282" s="12"/>
      <c r="N282" s="13" t="str">
        <f t="shared" si="1"/>
        <v xml:space="preserve">مصنع شيهانه لأعمال الألمنيوم
</v>
      </c>
      <c r="O282" s="16" t="s">
        <v>98</v>
      </c>
      <c r="P282" s="14">
        <v>3</v>
      </c>
      <c r="Q282" s="25">
        <v>44944</v>
      </c>
      <c r="R282" s="17"/>
      <c r="S282" s="17"/>
      <c r="T282" s="16" t="s">
        <v>86</v>
      </c>
      <c r="U282" s="17" t="str">
        <f t="shared" si="2"/>
        <v xml:space="preserve">مصنع شيهانه لأعمال الألمنيوم
</v>
      </c>
      <c r="V282" s="16" t="s">
        <v>98</v>
      </c>
      <c r="W282" s="16">
        <v>4</v>
      </c>
      <c r="X282" s="25">
        <v>44957</v>
      </c>
      <c r="Y282" s="13"/>
      <c r="Z282" s="13"/>
      <c r="AA282" s="16" t="s">
        <v>86</v>
      </c>
      <c r="AB282" s="18" t="str">
        <f t="shared" si="3"/>
        <v xml:space="preserve">مصنع شيهانه لأعمال الألمنيوم
</v>
      </c>
      <c r="AC282" s="18"/>
      <c r="AD282" s="18"/>
      <c r="AE282" s="18"/>
      <c r="AF282" s="18"/>
      <c r="AG282" s="18"/>
      <c r="AH282" s="13"/>
      <c r="AI282" s="18"/>
      <c r="AJ282" s="13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3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2"/>
      <c r="BK282" s="12"/>
      <c r="BL282" s="12"/>
      <c r="BM282" s="9"/>
      <c r="BN282" s="9"/>
      <c r="BO282" s="9"/>
      <c r="BP282" s="12"/>
      <c r="BQ282" s="12"/>
      <c r="BR282" s="12"/>
      <c r="BS282" s="12"/>
      <c r="BT282" s="12"/>
      <c r="BU282" s="12"/>
      <c r="BV282" s="12"/>
      <c r="BW282" s="12"/>
      <c r="BX282" s="12"/>
      <c r="BY282" s="9"/>
      <c r="BZ282" s="21"/>
      <c r="CA282" s="21"/>
      <c r="CB282" s="21"/>
      <c r="CC282" s="21"/>
      <c r="CD282" s="21"/>
      <c r="CE282" s="21"/>
      <c r="CF282" s="21"/>
      <c r="CG282" s="21"/>
      <c r="CH282" s="21"/>
      <c r="CI282" s="21"/>
      <c r="CJ282" s="21"/>
    </row>
    <row r="283" spans="1:88" ht="40.5" customHeight="1">
      <c r="A283" s="9">
        <f t="shared" si="0"/>
        <v>281</v>
      </c>
      <c r="B283" s="9" t="str">
        <f t="shared" si="5"/>
        <v xml:space="preserve">MA
</v>
      </c>
      <c r="C283" s="28" t="s">
        <v>883</v>
      </c>
      <c r="D283" s="9" t="s">
        <v>861</v>
      </c>
      <c r="E283" s="12">
        <v>0</v>
      </c>
      <c r="F283" s="12">
        <v>0</v>
      </c>
      <c r="G283" s="9" t="s">
        <v>89</v>
      </c>
      <c r="H283" s="12"/>
      <c r="I283" s="9">
        <v>96599990214</v>
      </c>
      <c r="J283" s="12"/>
      <c r="K283" s="12"/>
      <c r="L283" s="12"/>
      <c r="M283" s="12"/>
      <c r="N283" s="13" t="str">
        <f t="shared" si="1"/>
        <v>Aluminum Al Qattan Factory
مصنع القطان الالمنيوم</v>
      </c>
      <c r="O283" s="16" t="s">
        <v>78</v>
      </c>
      <c r="P283" s="14">
        <v>4</v>
      </c>
      <c r="Q283" s="25">
        <v>44944</v>
      </c>
      <c r="R283" s="17"/>
      <c r="S283" s="17"/>
      <c r="T283" s="16" t="s">
        <v>101</v>
      </c>
      <c r="U283" s="17" t="str">
        <f t="shared" si="2"/>
        <v>Aluminum Al Qattan Factory
مصنع القطان الالمنيوم</v>
      </c>
      <c r="V283" s="16" t="s">
        <v>98</v>
      </c>
      <c r="W283" s="16">
        <v>5</v>
      </c>
      <c r="X283" s="25">
        <v>44957</v>
      </c>
      <c r="Y283" s="13"/>
      <c r="Z283" s="13"/>
      <c r="AA283" s="16" t="s">
        <v>86</v>
      </c>
      <c r="AB283" s="18" t="str">
        <f t="shared" si="3"/>
        <v>Aluminum Al Qattan Factory
مصنع القطان الالمنيوم</v>
      </c>
      <c r="AC283" s="19" t="s">
        <v>78</v>
      </c>
      <c r="AD283" s="19" t="s">
        <v>79</v>
      </c>
      <c r="AE283" s="20" t="s">
        <v>881</v>
      </c>
      <c r="AF283" s="19" t="s">
        <v>75</v>
      </c>
      <c r="AG283" s="19" t="s">
        <v>75</v>
      </c>
      <c r="AH283" s="16" t="s">
        <v>86</v>
      </c>
      <c r="AI283" s="18"/>
      <c r="AJ283" s="13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3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2"/>
      <c r="BK283" s="12"/>
      <c r="BL283" s="12"/>
      <c r="BM283" s="9"/>
      <c r="BN283" s="9"/>
      <c r="BO283" s="9"/>
      <c r="BP283" s="12"/>
      <c r="BQ283" s="12"/>
      <c r="BR283" s="12"/>
      <c r="BS283" s="12"/>
      <c r="BT283" s="12"/>
      <c r="BU283" s="12"/>
      <c r="BV283" s="12"/>
      <c r="BW283" s="12"/>
      <c r="BX283" s="12"/>
      <c r="BY283" s="9"/>
      <c r="BZ283" s="21"/>
      <c r="CA283" s="21"/>
      <c r="CB283" s="21"/>
      <c r="CC283" s="21"/>
      <c r="CD283" s="21"/>
      <c r="CE283" s="21"/>
      <c r="CF283" s="21"/>
      <c r="CG283" s="21"/>
      <c r="CH283" s="21"/>
      <c r="CI283" s="21"/>
      <c r="CJ283" s="21"/>
    </row>
    <row r="284" spans="1:88" ht="40.5" customHeight="1">
      <c r="A284" s="9">
        <f t="shared" si="0"/>
        <v>282</v>
      </c>
      <c r="B284" s="9" t="str">
        <f t="shared" si="5"/>
        <v xml:space="preserve">MA
</v>
      </c>
      <c r="C284" s="28" t="s">
        <v>884</v>
      </c>
      <c r="D284" s="9" t="s">
        <v>861</v>
      </c>
      <c r="E284" s="12">
        <v>0</v>
      </c>
      <c r="F284" s="12">
        <v>0</v>
      </c>
      <c r="G284" s="9" t="s">
        <v>89</v>
      </c>
      <c r="H284" s="12"/>
      <c r="I284" s="9" t="s">
        <v>885</v>
      </c>
      <c r="J284" s="12"/>
      <c r="K284" s="12"/>
      <c r="L284" s="9" t="s">
        <v>886</v>
      </c>
      <c r="M284" s="12"/>
      <c r="N284" s="13" t="str">
        <f t="shared" si="1"/>
        <v>معرض امكان العالميه لاعمال الالمنيوم</v>
      </c>
      <c r="O284" s="16" t="s">
        <v>78</v>
      </c>
      <c r="P284" s="14">
        <v>4</v>
      </c>
      <c r="Q284" s="25">
        <v>44944</v>
      </c>
      <c r="R284" s="14">
        <v>4</v>
      </c>
      <c r="S284" s="26">
        <v>6.1111111111111109E-2</v>
      </c>
      <c r="T284" s="16" t="s">
        <v>108</v>
      </c>
      <c r="U284" s="17" t="str">
        <f t="shared" si="2"/>
        <v>معرض امكان العالميه لاعمال الالمنيوم</v>
      </c>
      <c r="V284" s="16" t="s">
        <v>98</v>
      </c>
      <c r="W284" s="16">
        <v>5</v>
      </c>
      <c r="X284" s="25">
        <v>44957</v>
      </c>
      <c r="Y284" s="13"/>
      <c r="Z284" s="13"/>
      <c r="AA284" s="16" t="s">
        <v>86</v>
      </c>
      <c r="AB284" s="18" t="str">
        <f t="shared" si="3"/>
        <v>معرض امكان العالميه لاعمال الالمنيوم</v>
      </c>
      <c r="AC284" s="19" t="s">
        <v>78</v>
      </c>
      <c r="AD284" s="19" t="s">
        <v>79</v>
      </c>
      <c r="AE284" s="20" t="s">
        <v>881</v>
      </c>
      <c r="AF284" s="19" t="s">
        <v>75</v>
      </c>
      <c r="AG284" s="19" t="s">
        <v>75</v>
      </c>
      <c r="AH284" s="16" t="s">
        <v>101</v>
      </c>
      <c r="AI284" s="18"/>
      <c r="AJ284" s="13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3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2"/>
      <c r="BK284" s="12"/>
      <c r="BL284" s="12"/>
      <c r="BM284" s="9"/>
      <c r="BN284" s="9"/>
      <c r="BO284" s="9"/>
      <c r="BP284" s="12"/>
      <c r="BQ284" s="12"/>
      <c r="BR284" s="12"/>
      <c r="BS284" s="12"/>
      <c r="BT284" s="12"/>
      <c r="BU284" s="12"/>
      <c r="BV284" s="12"/>
      <c r="BW284" s="12"/>
      <c r="BX284" s="12"/>
      <c r="BY284" s="9"/>
      <c r="BZ284" s="21"/>
      <c r="CA284" s="21"/>
      <c r="CB284" s="21"/>
      <c r="CC284" s="21"/>
      <c r="CD284" s="21"/>
      <c r="CE284" s="21"/>
      <c r="CF284" s="21"/>
      <c r="CG284" s="21"/>
      <c r="CH284" s="21"/>
      <c r="CI284" s="21"/>
      <c r="CJ284" s="21"/>
    </row>
    <row r="285" spans="1:88" ht="40.5" customHeight="1">
      <c r="A285" s="9">
        <f t="shared" si="0"/>
        <v>283</v>
      </c>
      <c r="B285" s="9" t="str">
        <f t="shared" si="5"/>
        <v xml:space="preserve">MA
</v>
      </c>
      <c r="C285" s="28" t="s">
        <v>887</v>
      </c>
      <c r="D285" s="9" t="s">
        <v>861</v>
      </c>
      <c r="E285" s="12">
        <v>0</v>
      </c>
      <c r="F285" s="12">
        <v>0</v>
      </c>
      <c r="G285" s="9" t="s">
        <v>89</v>
      </c>
      <c r="H285" s="12"/>
      <c r="I285" s="9" t="s">
        <v>888</v>
      </c>
      <c r="J285" s="12"/>
      <c r="K285" s="12"/>
      <c r="L285" s="12"/>
      <c r="M285" s="12"/>
      <c r="N285" s="13" t="str">
        <f t="shared" si="1"/>
        <v xml:space="preserve">ألمنيوم المسباح ش.م.ك.م
</v>
      </c>
      <c r="O285" s="16" t="s">
        <v>78</v>
      </c>
      <c r="P285" s="14">
        <v>4</v>
      </c>
      <c r="Q285" s="25">
        <v>44944</v>
      </c>
      <c r="R285" s="17"/>
      <c r="S285" s="17"/>
      <c r="T285" s="16" t="s">
        <v>101</v>
      </c>
      <c r="U285" s="17" t="str">
        <f t="shared" si="2"/>
        <v xml:space="preserve">ألمنيوم المسباح ش.م.ك.م
</v>
      </c>
      <c r="V285" s="16" t="s">
        <v>98</v>
      </c>
      <c r="W285" s="16">
        <v>5</v>
      </c>
      <c r="X285" s="25">
        <v>44957</v>
      </c>
      <c r="Y285" s="13"/>
      <c r="Z285" s="13"/>
      <c r="AA285" s="16" t="s">
        <v>86</v>
      </c>
      <c r="AB285" s="18" t="str">
        <f t="shared" si="3"/>
        <v xml:space="preserve">ألمنيوم المسباح ش.م.ك.م
</v>
      </c>
      <c r="AC285" s="19" t="s">
        <v>78</v>
      </c>
      <c r="AD285" s="19" t="s">
        <v>79</v>
      </c>
      <c r="AE285" s="20" t="s">
        <v>881</v>
      </c>
      <c r="AF285" s="19" t="s">
        <v>75</v>
      </c>
      <c r="AG285" s="19" t="s">
        <v>75</v>
      </c>
      <c r="AH285" s="16" t="s">
        <v>86</v>
      </c>
      <c r="AI285" s="18"/>
      <c r="AJ285" s="13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3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2"/>
      <c r="BK285" s="12"/>
      <c r="BL285" s="12"/>
      <c r="BM285" s="9"/>
      <c r="BN285" s="9"/>
      <c r="BO285" s="9"/>
      <c r="BP285" s="12"/>
      <c r="BQ285" s="12"/>
      <c r="BR285" s="12"/>
      <c r="BS285" s="12"/>
      <c r="BT285" s="12"/>
      <c r="BU285" s="12"/>
      <c r="BV285" s="12"/>
      <c r="BW285" s="12"/>
      <c r="BX285" s="12"/>
      <c r="BY285" s="9"/>
      <c r="BZ285" s="21"/>
      <c r="CA285" s="21"/>
      <c r="CB285" s="21"/>
      <c r="CC285" s="21"/>
      <c r="CD285" s="21"/>
      <c r="CE285" s="21"/>
      <c r="CF285" s="21"/>
      <c r="CG285" s="21"/>
      <c r="CH285" s="21"/>
      <c r="CI285" s="21"/>
      <c r="CJ285" s="21"/>
    </row>
    <row r="286" spans="1:88" ht="40.5" customHeight="1">
      <c r="A286" s="9">
        <f t="shared" si="0"/>
        <v>284</v>
      </c>
      <c r="B286" s="9" t="str">
        <f t="shared" si="5"/>
        <v xml:space="preserve">MA
</v>
      </c>
      <c r="C286" s="28" t="s">
        <v>889</v>
      </c>
      <c r="D286" s="9" t="s">
        <v>861</v>
      </c>
      <c r="E286" s="12">
        <v>0</v>
      </c>
      <c r="F286" s="12">
        <v>0</v>
      </c>
      <c r="G286" s="9" t="s">
        <v>89</v>
      </c>
      <c r="H286" s="12"/>
      <c r="I286" s="28" t="s">
        <v>890</v>
      </c>
      <c r="J286" s="12"/>
      <c r="K286" s="12"/>
      <c r="L286" s="12"/>
      <c r="M286" s="12"/>
      <c r="N286" s="13" t="str">
        <f t="shared" si="1"/>
        <v xml:space="preserve">ابواب المنيوم ٩٧٧١٠٠٦٤ شبابيك الالمنيوم
</v>
      </c>
      <c r="O286" s="16" t="s">
        <v>78</v>
      </c>
      <c r="P286" s="14">
        <v>4</v>
      </c>
      <c r="Q286" s="25">
        <v>44944</v>
      </c>
      <c r="R286" s="17"/>
      <c r="S286" s="17"/>
      <c r="T286" s="16" t="s">
        <v>101</v>
      </c>
      <c r="U286" s="17" t="str">
        <f t="shared" si="2"/>
        <v xml:space="preserve">ابواب المنيوم ٩٧٧١٠٠٦٤ شبابيك الالمنيوم
</v>
      </c>
      <c r="V286" s="13"/>
      <c r="W286" s="13"/>
      <c r="X286" s="13"/>
      <c r="Y286" s="13"/>
      <c r="Z286" s="13"/>
      <c r="AA286" s="13"/>
      <c r="AB286" s="18" t="str">
        <f t="shared" si="3"/>
        <v xml:space="preserve">ابواب المنيوم ٩٧٧١٠٠٦٤ شبابيك الالمنيوم
</v>
      </c>
      <c r="AC286" s="18"/>
      <c r="AD286" s="18"/>
      <c r="AE286" s="18"/>
      <c r="AF286" s="18"/>
      <c r="AG286" s="18"/>
      <c r="AH286" s="13"/>
      <c r="AI286" s="18"/>
      <c r="AJ286" s="13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3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2"/>
      <c r="BK286" s="12"/>
      <c r="BL286" s="12"/>
      <c r="BM286" s="9"/>
      <c r="BN286" s="9"/>
      <c r="BO286" s="9"/>
      <c r="BP286" s="12"/>
      <c r="BQ286" s="12"/>
      <c r="BR286" s="12"/>
      <c r="BS286" s="12"/>
      <c r="BT286" s="12"/>
      <c r="BU286" s="12"/>
      <c r="BV286" s="12"/>
      <c r="BW286" s="12"/>
      <c r="BX286" s="12"/>
      <c r="BY286" s="9"/>
      <c r="BZ286" s="21"/>
      <c r="CA286" s="21"/>
      <c r="CB286" s="21"/>
      <c r="CC286" s="21"/>
      <c r="CD286" s="21"/>
      <c r="CE286" s="21"/>
      <c r="CF286" s="21"/>
      <c r="CG286" s="21"/>
      <c r="CH286" s="21"/>
      <c r="CI286" s="21"/>
      <c r="CJ286" s="21"/>
    </row>
    <row r="287" spans="1:88" ht="40.5" customHeight="1">
      <c r="A287" s="9">
        <f t="shared" si="0"/>
        <v>285</v>
      </c>
      <c r="B287" s="9" t="str">
        <f t="shared" si="5"/>
        <v xml:space="preserve">MA
</v>
      </c>
      <c r="C287" s="9" t="s">
        <v>891</v>
      </c>
      <c r="D287" s="9" t="s">
        <v>861</v>
      </c>
      <c r="E287" s="12">
        <v>0</v>
      </c>
      <c r="F287" s="12">
        <v>0</v>
      </c>
      <c r="G287" s="9" t="s">
        <v>89</v>
      </c>
      <c r="H287" s="12"/>
      <c r="I287" s="9" t="s">
        <v>892</v>
      </c>
      <c r="J287" s="12"/>
      <c r="K287" s="12"/>
      <c r="L287" s="12"/>
      <c r="M287" s="12"/>
      <c r="N287" s="13" t="str">
        <f t="shared" si="1"/>
        <v xml:space="preserve">Alufix for aluminum
</v>
      </c>
      <c r="O287" s="16" t="s">
        <v>78</v>
      </c>
      <c r="P287" s="14">
        <v>4</v>
      </c>
      <c r="Q287" s="25">
        <v>44944</v>
      </c>
      <c r="R287" s="17"/>
      <c r="S287" s="17"/>
      <c r="T287" s="16" t="s">
        <v>101</v>
      </c>
      <c r="U287" s="17" t="str">
        <f t="shared" si="2"/>
        <v xml:space="preserve">Alufix for aluminum
</v>
      </c>
      <c r="V287" s="16" t="s">
        <v>98</v>
      </c>
      <c r="W287" s="16">
        <v>5</v>
      </c>
      <c r="X287" s="25">
        <v>44957</v>
      </c>
      <c r="Y287" s="13"/>
      <c r="Z287" s="13"/>
      <c r="AA287" s="16" t="s">
        <v>86</v>
      </c>
      <c r="AB287" s="18" t="str">
        <f t="shared" si="3"/>
        <v xml:space="preserve">Alufix for aluminum
</v>
      </c>
      <c r="AC287" s="19" t="s">
        <v>78</v>
      </c>
      <c r="AD287" s="19" t="s">
        <v>79</v>
      </c>
      <c r="AE287" s="20" t="s">
        <v>881</v>
      </c>
      <c r="AF287" s="19" t="s">
        <v>75</v>
      </c>
      <c r="AG287" s="19" t="s">
        <v>75</v>
      </c>
      <c r="AH287" s="16" t="s">
        <v>86</v>
      </c>
      <c r="AI287" s="18"/>
      <c r="AJ287" s="13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3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2"/>
      <c r="BK287" s="12"/>
      <c r="BL287" s="12"/>
      <c r="BM287" s="9"/>
      <c r="BN287" s="9"/>
      <c r="BO287" s="9"/>
      <c r="BP287" s="12"/>
      <c r="BQ287" s="12"/>
      <c r="BR287" s="12"/>
      <c r="BS287" s="12"/>
      <c r="BT287" s="12"/>
      <c r="BU287" s="12"/>
      <c r="BV287" s="12"/>
      <c r="BW287" s="12"/>
      <c r="BX287" s="12"/>
      <c r="BY287" s="9"/>
      <c r="BZ287" s="21"/>
      <c r="CA287" s="21"/>
      <c r="CB287" s="21"/>
      <c r="CC287" s="21"/>
      <c r="CD287" s="21"/>
      <c r="CE287" s="21"/>
      <c r="CF287" s="21"/>
      <c r="CG287" s="21"/>
      <c r="CH287" s="21"/>
      <c r="CI287" s="21"/>
      <c r="CJ287" s="21"/>
    </row>
    <row r="288" spans="1:88" ht="40.5" customHeight="1">
      <c r="A288" s="9">
        <f t="shared" si="0"/>
        <v>286</v>
      </c>
      <c r="B288" s="9" t="str">
        <f t="shared" si="5"/>
        <v xml:space="preserve">MA
</v>
      </c>
      <c r="C288" s="9" t="s">
        <v>893</v>
      </c>
      <c r="D288" s="9" t="s">
        <v>861</v>
      </c>
      <c r="E288" s="12">
        <v>0</v>
      </c>
      <c r="F288" s="12">
        <v>0</v>
      </c>
      <c r="G288" s="9" t="s">
        <v>89</v>
      </c>
      <c r="H288" s="12"/>
      <c r="I288" s="9">
        <v>96590946679</v>
      </c>
      <c r="J288" s="12"/>
      <c r="K288" s="12"/>
      <c r="L288" s="12"/>
      <c r="M288" s="12"/>
      <c r="N288" s="13" t="str">
        <f t="shared" si="1"/>
        <v xml:space="preserve">Al fadli aluminium الفضلي المنيوم
</v>
      </c>
      <c r="O288" s="16" t="s">
        <v>78</v>
      </c>
      <c r="P288" s="14">
        <v>4</v>
      </c>
      <c r="Q288" s="25">
        <v>44944</v>
      </c>
      <c r="R288" s="14">
        <v>3</v>
      </c>
      <c r="S288" s="26">
        <v>5.4166666666666669E-2</v>
      </c>
      <c r="T288" s="16" t="s">
        <v>86</v>
      </c>
      <c r="U288" s="17" t="str">
        <f t="shared" si="2"/>
        <v xml:space="preserve">Al fadli aluminium الفضلي المنيوم
</v>
      </c>
      <c r="V288" s="16" t="s">
        <v>98</v>
      </c>
      <c r="W288" s="16">
        <v>5</v>
      </c>
      <c r="X288" s="25">
        <v>44957</v>
      </c>
      <c r="Y288" s="13"/>
      <c r="Z288" s="13"/>
      <c r="AA288" s="16" t="s">
        <v>86</v>
      </c>
      <c r="AB288" s="18" t="str">
        <f t="shared" si="3"/>
        <v xml:space="preserve">Al fadli aluminium الفضلي المنيوم
</v>
      </c>
      <c r="AC288" s="19" t="s">
        <v>78</v>
      </c>
      <c r="AD288" s="19" t="s">
        <v>79</v>
      </c>
      <c r="AE288" s="20" t="s">
        <v>881</v>
      </c>
      <c r="AF288" s="19" t="s">
        <v>75</v>
      </c>
      <c r="AG288" s="19" t="s">
        <v>75</v>
      </c>
      <c r="AH288" s="16" t="s">
        <v>101</v>
      </c>
      <c r="AI288" s="18"/>
      <c r="AJ288" s="13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3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2"/>
      <c r="BK288" s="12"/>
      <c r="BL288" s="12"/>
      <c r="BM288" s="9"/>
      <c r="BN288" s="9"/>
      <c r="BO288" s="9"/>
      <c r="BP288" s="12"/>
      <c r="BQ288" s="12"/>
      <c r="BR288" s="12"/>
      <c r="BS288" s="12"/>
      <c r="BT288" s="12"/>
      <c r="BU288" s="12"/>
      <c r="BV288" s="12"/>
      <c r="BW288" s="12"/>
      <c r="BX288" s="12"/>
      <c r="BY288" s="9"/>
      <c r="BZ288" s="21"/>
      <c r="CA288" s="21"/>
      <c r="CB288" s="21"/>
      <c r="CC288" s="21"/>
      <c r="CD288" s="21"/>
      <c r="CE288" s="21"/>
      <c r="CF288" s="21"/>
      <c r="CG288" s="21"/>
      <c r="CH288" s="21"/>
      <c r="CI288" s="21"/>
      <c r="CJ288" s="21"/>
    </row>
    <row r="289" spans="1:88" ht="40.5" customHeight="1">
      <c r="A289" s="9">
        <f t="shared" si="0"/>
        <v>287</v>
      </c>
      <c r="B289" s="9" t="str">
        <f t="shared" si="5"/>
        <v xml:space="preserve">MA
</v>
      </c>
      <c r="C289" s="28" t="s">
        <v>894</v>
      </c>
      <c r="D289" s="9" t="s">
        <v>861</v>
      </c>
      <c r="E289" s="12">
        <v>0</v>
      </c>
      <c r="F289" s="12">
        <v>0</v>
      </c>
      <c r="G289" s="9" t="s">
        <v>89</v>
      </c>
      <c r="H289" s="12"/>
      <c r="I289" s="9">
        <v>96560003630</v>
      </c>
      <c r="J289" s="12"/>
      <c r="K289" s="12"/>
      <c r="L289" s="12"/>
      <c r="M289" s="12"/>
      <c r="N289" s="13" t="str">
        <f t="shared" si="1"/>
        <v xml:space="preserve">المنيوم العيسى
</v>
      </c>
      <c r="O289" s="16" t="s">
        <v>78</v>
      </c>
      <c r="P289" s="14">
        <v>4</v>
      </c>
      <c r="Q289" s="25">
        <v>44944</v>
      </c>
      <c r="R289" s="14">
        <v>3</v>
      </c>
      <c r="S289" s="26">
        <v>4.7222222222222221E-2</v>
      </c>
      <c r="T289" s="16" t="s">
        <v>86</v>
      </c>
      <c r="U289" s="17" t="str">
        <f t="shared" si="2"/>
        <v xml:space="preserve">المنيوم العيسى
</v>
      </c>
      <c r="V289" s="16" t="s">
        <v>98</v>
      </c>
      <c r="W289" s="16">
        <v>5</v>
      </c>
      <c r="X289" s="25">
        <v>44957</v>
      </c>
      <c r="Y289" s="13"/>
      <c r="Z289" s="13"/>
      <c r="AA289" s="16" t="s">
        <v>86</v>
      </c>
      <c r="AB289" s="18" t="str">
        <f t="shared" si="3"/>
        <v xml:space="preserve">المنيوم العيسى
</v>
      </c>
      <c r="AC289" s="19" t="s">
        <v>78</v>
      </c>
      <c r="AD289" s="19" t="s">
        <v>79</v>
      </c>
      <c r="AE289" s="20" t="s">
        <v>881</v>
      </c>
      <c r="AF289" s="19" t="s">
        <v>75</v>
      </c>
      <c r="AG289" s="19" t="s">
        <v>75</v>
      </c>
      <c r="AH289" s="16" t="s">
        <v>153</v>
      </c>
      <c r="AI289" s="18"/>
      <c r="AJ289" s="13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3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2"/>
      <c r="BK289" s="12"/>
      <c r="BL289" s="12"/>
      <c r="BM289" s="9"/>
      <c r="BN289" s="9"/>
      <c r="BO289" s="9"/>
      <c r="BP289" s="12"/>
      <c r="BQ289" s="12"/>
      <c r="BR289" s="12"/>
      <c r="BS289" s="12"/>
      <c r="BT289" s="12"/>
      <c r="BU289" s="12"/>
      <c r="BV289" s="12"/>
      <c r="BW289" s="12"/>
      <c r="BX289" s="12"/>
      <c r="BY289" s="9"/>
      <c r="BZ289" s="21"/>
      <c r="CA289" s="21"/>
      <c r="CB289" s="21"/>
      <c r="CC289" s="21"/>
      <c r="CD289" s="21"/>
      <c r="CE289" s="21"/>
      <c r="CF289" s="21"/>
      <c r="CG289" s="21"/>
      <c r="CH289" s="21"/>
      <c r="CI289" s="21"/>
      <c r="CJ289" s="21"/>
    </row>
    <row r="290" spans="1:88" ht="40.5" customHeight="1">
      <c r="A290" s="9">
        <f t="shared" si="0"/>
        <v>288</v>
      </c>
      <c r="B290" s="9" t="str">
        <f t="shared" si="5"/>
        <v xml:space="preserve">MA
</v>
      </c>
      <c r="C290" s="28" t="s">
        <v>895</v>
      </c>
      <c r="D290" s="9" t="s">
        <v>861</v>
      </c>
      <c r="E290" s="12">
        <v>0</v>
      </c>
      <c r="F290" s="12">
        <v>0</v>
      </c>
      <c r="G290" s="9" t="s">
        <v>89</v>
      </c>
      <c r="H290" s="12"/>
      <c r="I290" s="9">
        <v>96599382563</v>
      </c>
      <c r="J290" s="12"/>
      <c r="K290" s="12"/>
      <c r="L290" s="12"/>
      <c r="M290" s="12"/>
      <c r="N290" s="13" t="str">
        <f t="shared" si="1"/>
        <v xml:space="preserve">شركة مصنع ثريكو للالمنيوم والمطابخ والزجاج
</v>
      </c>
      <c r="O290" s="16" t="s">
        <v>78</v>
      </c>
      <c r="P290" s="14">
        <v>3</v>
      </c>
      <c r="Q290" s="25">
        <v>44944</v>
      </c>
      <c r="R290" s="17"/>
      <c r="S290" s="17"/>
      <c r="T290" s="16" t="s">
        <v>101</v>
      </c>
      <c r="U290" s="17" t="str">
        <f t="shared" si="2"/>
        <v xml:space="preserve">شركة مصنع ثريكو للالمنيوم والمطابخ والزجاج
</v>
      </c>
      <c r="V290" s="16" t="s">
        <v>98</v>
      </c>
      <c r="W290" s="16">
        <v>4</v>
      </c>
      <c r="X290" s="25">
        <v>44957</v>
      </c>
      <c r="Y290" s="13"/>
      <c r="Z290" s="13"/>
      <c r="AA290" s="16" t="s">
        <v>86</v>
      </c>
      <c r="AB290" s="18" t="str">
        <f t="shared" si="3"/>
        <v xml:space="preserve">شركة مصنع ثريكو للالمنيوم والمطابخ والزجاج
</v>
      </c>
      <c r="AC290" s="19" t="s">
        <v>78</v>
      </c>
      <c r="AD290" s="19" t="s">
        <v>79</v>
      </c>
      <c r="AE290" s="20" t="s">
        <v>881</v>
      </c>
      <c r="AF290" s="19" t="s">
        <v>75</v>
      </c>
      <c r="AG290" s="19" t="s">
        <v>75</v>
      </c>
      <c r="AH290" s="16" t="s">
        <v>101</v>
      </c>
      <c r="AI290" s="18"/>
      <c r="AJ290" s="13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3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2"/>
      <c r="BK290" s="12"/>
      <c r="BL290" s="12"/>
      <c r="BM290" s="9"/>
      <c r="BN290" s="9"/>
      <c r="BO290" s="9"/>
      <c r="BP290" s="12"/>
      <c r="BQ290" s="12"/>
      <c r="BR290" s="12"/>
      <c r="BS290" s="12"/>
      <c r="BT290" s="12"/>
      <c r="BU290" s="12"/>
      <c r="BV290" s="12"/>
      <c r="BW290" s="12"/>
      <c r="BX290" s="12"/>
      <c r="BY290" s="9"/>
      <c r="BZ290" s="21"/>
      <c r="CA290" s="21"/>
      <c r="CB290" s="21"/>
      <c r="CC290" s="21"/>
      <c r="CD290" s="21"/>
      <c r="CE290" s="21"/>
      <c r="CF290" s="21"/>
      <c r="CG290" s="21"/>
      <c r="CH290" s="21"/>
      <c r="CI290" s="21"/>
      <c r="CJ290" s="21"/>
    </row>
    <row r="291" spans="1:88" ht="40.5" customHeight="1">
      <c r="A291" s="9">
        <f t="shared" si="0"/>
        <v>289</v>
      </c>
      <c r="B291" s="9" t="str">
        <f t="shared" si="5"/>
        <v xml:space="preserve">MA
</v>
      </c>
      <c r="C291" s="28" t="s">
        <v>896</v>
      </c>
      <c r="D291" s="9" t="s">
        <v>861</v>
      </c>
      <c r="E291" s="12">
        <v>0</v>
      </c>
      <c r="F291" s="12">
        <v>0</v>
      </c>
      <c r="G291" s="9" t="s">
        <v>89</v>
      </c>
      <c r="H291" s="12"/>
      <c r="I291" s="9">
        <v>96550510067</v>
      </c>
      <c r="J291" s="12"/>
      <c r="K291" s="12"/>
      <c r="L291" s="12"/>
      <c r="M291" s="12"/>
      <c r="N291" s="13" t="str">
        <f t="shared" si="1"/>
        <v xml:space="preserve">شتر و المونيم
</v>
      </c>
      <c r="O291" s="16" t="s">
        <v>78</v>
      </c>
      <c r="P291" s="14">
        <v>3</v>
      </c>
      <c r="Q291" s="25">
        <v>44944</v>
      </c>
      <c r="R291" s="17"/>
      <c r="S291" s="17"/>
      <c r="T291" s="16" t="s">
        <v>101</v>
      </c>
      <c r="U291" s="17" t="str">
        <f t="shared" si="2"/>
        <v xml:space="preserve">شتر و المونيم
</v>
      </c>
      <c r="V291" s="16" t="s">
        <v>78</v>
      </c>
      <c r="W291" s="16" t="s">
        <v>79</v>
      </c>
      <c r="X291" s="15" t="s">
        <v>881</v>
      </c>
      <c r="Y291" s="16" t="s">
        <v>75</v>
      </c>
      <c r="Z291" s="16" t="s">
        <v>75</v>
      </c>
      <c r="AA291" s="16" t="s">
        <v>101</v>
      </c>
      <c r="AB291" s="18" t="str">
        <f t="shared" si="3"/>
        <v xml:space="preserve">شتر و المونيم
</v>
      </c>
      <c r="AC291" s="18"/>
      <c r="AD291" s="18"/>
      <c r="AE291" s="18"/>
      <c r="AF291" s="18"/>
      <c r="AG291" s="18"/>
      <c r="AH291" s="13"/>
      <c r="AI291" s="18"/>
      <c r="AJ291" s="13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3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2"/>
      <c r="BK291" s="12"/>
      <c r="BL291" s="12"/>
      <c r="BM291" s="9"/>
      <c r="BN291" s="9"/>
      <c r="BO291" s="9"/>
      <c r="BP291" s="12"/>
      <c r="BQ291" s="12"/>
      <c r="BR291" s="12"/>
      <c r="BS291" s="12"/>
      <c r="BT291" s="12"/>
      <c r="BU291" s="12"/>
      <c r="BV291" s="12"/>
      <c r="BW291" s="12"/>
      <c r="BX291" s="12"/>
      <c r="BY291" s="9"/>
      <c r="BZ291" s="21"/>
      <c r="CA291" s="21"/>
      <c r="CB291" s="21"/>
      <c r="CC291" s="21"/>
      <c r="CD291" s="21"/>
      <c r="CE291" s="21"/>
      <c r="CF291" s="21"/>
      <c r="CG291" s="21"/>
      <c r="CH291" s="21"/>
      <c r="CI291" s="21"/>
      <c r="CJ291" s="21"/>
    </row>
    <row r="292" spans="1:88" ht="40.5" customHeight="1">
      <c r="A292" s="9">
        <f t="shared" si="0"/>
        <v>290</v>
      </c>
      <c r="B292" s="9" t="str">
        <f t="shared" si="5"/>
        <v xml:space="preserve">MA
</v>
      </c>
      <c r="C292" s="9" t="s">
        <v>897</v>
      </c>
      <c r="D292" s="9" t="s">
        <v>861</v>
      </c>
      <c r="E292" s="12">
        <v>0</v>
      </c>
      <c r="F292" s="12">
        <v>0</v>
      </c>
      <c r="G292" s="9" t="s">
        <v>89</v>
      </c>
      <c r="H292" s="12"/>
      <c r="I292" s="9">
        <v>96565022248</v>
      </c>
      <c r="J292" s="12"/>
      <c r="K292" s="12"/>
      <c r="L292" s="12"/>
      <c r="M292" s="12"/>
      <c r="N292" s="13" t="str">
        <f t="shared" si="1"/>
        <v xml:space="preserve">BROXEL ALUMINIUM
</v>
      </c>
      <c r="O292" s="16" t="s">
        <v>78</v>
      </c>
      <c r="P292" s="14">
        <v>4</v>
      </c>
      <c r="Q292" s="25">
        <v>44944</v>
      </c>
      <c r="R292" s="17"/>
      <c r="S292" s="17"/>
      <c r="T292" s="16" t="s">
        <v>101</v>
      </c>
      <c r="U292" s="17" t="str">
        <f t="shared" si="2"/>
        <v xml:space="preserve">BROXEL ALUMINIUM
</v>
      </c>
      <c r="V292" s="16" t="s">
        <v>98</v>
      </c>
      <c r="W292" s="16">
        <v>5</v>
      </c>
      <c r="X292" s="13"/>
      <c r="Y292" s="13"/>
      <c r="Z292" s="13"/>
      <c r="AA292" s="16" t="s">
        <v>86</v>
      </c>
      <c r="AB292" s="18" t="str">
        <f t="shared" si="3"/>
        <v xml:space="preserve">BROXEL ALUMINIUM
</v>
      </c>
      <c r="AC292" s="19" t="s">
        <v>78</v>
      </c>
      <c r="AD292" s="19" t="s">
        <v>79</v>
      </c>
      <c r="AE292" s="20" t="s">
        <v>881</v>
      </c>
      <c r="AF292" s="19" t="s">
        <v>75</v>
      </c>
      <c r="AG292" s="19" t="s">
        <v>75</v>
      </c>
      <c r="AH292" s="16" t="s">
        <v>101</v>
      </c>
      <c r="AI292" s="18"/>
      <c r="AJ292" s="13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3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2"/>
      <c r="BK292" s="12"/>
      <c r="BL292" s="12"/>
      <c r="BM292" s="9"/>
      <c r="BN292" s="9"/>
      <c r="BO292" s="9"/>
      <c r="BP292" s="12"/>
      <c r="BQ292" s="12"/>
      <c r="BR292" s="12"/>
      <c r="BS292" s="12"/>
      <c r="BT292" s="12"/>
      <c r="BU292" s="12"/>
      <c r="BV292" s="12"/>
      <c r="BW292" s="12"/>
      <c r="BX292" s="12"/>
      <c r="BY292" s="9"/>
      <c r="BZ292" s="21"/>
      <c r="CA292" s="21"/>
      <c r="CB292" s="21"/>
      <c r="CC292" s="21"/>
      <c r="CD292" s="21"/>
      <c r="CE292" s="21"/>
      <c r="CF292" s="21"/>
      <c r="CG292" s="21"/>
      <c r="CH292" s="21"/>
      <c r="CI292" s="21"/>
      <c r="CJ292" s="21"/>
    </row>
    <row r="293" spans="1:88" ht="40.5" customHeight="1">
      <c r="A293" s="9">
        <f t="shared" si="0"/>
        <v>291</v>
      </c>
      <c r="B293" s="9" t="str">
        <f t="shared" si="5"/>
        <v xml:space="preserve">MA
</v>
      </c>
      <c r="C293" s="28" t="s">
        <v>898</v>
      </c>
      <c r="D293" s="9" t="s">
        <v>861</v>
      </c>
      <c r="E293" s="12">
        <v>0</v>
      </c>
      <c r="F293" s="12">
        <v>0</v>
      </c>
      <c r="G293" s="9" t="s">
        <v>89</v>
      </c>
      <c r="H293" s="12"/>
      <c r="I293" s="9">
        <v>96555377253</v>
      </c>
      <c r="J293" s="12"/>
      <c r="K293" s="12"/>
      <c r="L293" s="12"/>
      <c r="M293" s="12"/>
      <c r="N293" s="13" t="str">
        <f t="shared" si="1"/>
        <v xml:space="preserve">مصنع المنيوم سافكو 276
</v>
      </c>
      <c r="O293" s="16" t="s">
        <v>78</v>
      </c>
      <c r="P293" s="14">
        <v>4</v>
      </c>
      <c r="Q293" s="25">
        <v>44944</v>
      </c>
      <c r="R293" s="14">
        <v>5</v>
      </c>
      <c r="S293" s="26">
        <v>0.20833333333333334</v>
      </c>
      <c r="T293" s="16" t="s">
        <v>81</v>
      </c>
      <c r="U293" s="17" t="str">
        <f t="shared" si="2"/>
        <v xml:space="preserve">مصنع المنيوم سافكو 276
</v>
      </c>
      <c r="V293" s="16" t="s">
        <v>78</v>
      </c>
      <c r="W293" s="16" t="s">
        <v>79</v>
      </c>
      <c r="X293" s="15" t="s">
        <v>881</v>
      </c>
      <c r="Y293" s="16" t="s">
        <v>75</v>
      </c>
      <c r="Z293" s="16" t="s">
        <v>75</v>
      </c>
      <c r="AA293" s="16" t="s">
        <v>86</v>
      </c>
      <c r="AB293" s="18" t="str">
        <f t="shared" si="3"/>
        <v xml:space="preserve">مصنع المنيوم سافكو 276
</v>
      </c>
      <c r="AC293" s="18"/>
      <c r="AD293" s="18"/>
      <c r="AE293" s="18"/>
      <c r="AF293" s="18"/>
      <c r="AG293" s="18"/>
      <c r="AH293" s="13"/>
      <c r="AI293" s="18"/>
      <c r="AJ293" s="13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3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2"/>
      <c r="BK293" s="12"/>
      <c r="BL293" s="12"/>
      <c r="BM293" s="9"/>
      <c r="BN293" s="9"/>
      <c r="BO293" s="9"/>
      <c r="BP293" s="12"/>
      <c r="BQ293" s="12"/>
      <c r="BR293" s="12"/>
      <c r="BS293" s="12"/>
      <c r="BT293" s="12"/>
      <c r="BU293" s="12"/>
      <c r="BV293" s="12"/>
      <c r="BW293" s="12"/>
      <c r="BX293" s="12"/>
      <c r="BY293" s="9"/>
      <c r="BZ293" s="21"/>
      <c r="CA293" s="21"/>
      <c r="CB293" s="21"/>
      <c r="CC293" s="21"/>
      <c r="CD293" s="21"/>
      <c r="CE293" s="21"/>
      <c r="CF293" s="21"/>
      <c r="CG293" s="21"/>
      <c r="CH293" s="21"/>
      <c r="CI293" s="21"/>
      <c r="CJ293" s="21"/>
    </row>
    <row r="294" spans="1:88" ht="40.5" customHeight="1">
      <c r="A294" s="9">
        <f t="shared" si="0"/>
        <v>292</v>
      </c>
      <c r="B294" s="9" t="str">
        <f t="shared" si="5"/>
        <v xml:space="preserve">MA
</v>
      </c>
      <c r="C294" s="9" t="s">
        <v>899</v>
      </c>
      <c r="D294" s="9" t="s">
        <v>861</v>
      </c>
      <c r="E294" s="12">
        <v>0</v>
      </c>
      <c r="F294" s="12">
        <v>0</v>
      </c>
      <c r="G294" s="9" t="s">
        <v>89</v>
      </c>
      <c r="H294" s="12"/>
      <c r="I294" s="9" t="s">
        <v>900</v>
      </c>
      <c r="J294" s="12"/>
      <c r="K294" s="12"/>
      <c r="L294" s="12"/>
      <c r="M294" s="12"/>
      <c r="N294" s="13" t="str">
        <f t="shared" si="1"/>
        <v>Hassan Abul</v>
      </c>
      <c r="O294" s="16" t="s">
        <v>98</v>
      </c>
      <c r="P294" s="14">
        <v>3</v>
      </c>
      <c r="Q294" s="25">
        <v>44944</v>
      </c>
      <c r="R294" s="17"/>
      <c r="S294" s="17"/>
      <c r="T294" s="16" t="s">
        <v>86</v>
      </c>
      <c r="U294" s="17" t="str">
        <f t="shared" si="2"/>
        <v>Hassan Abul</v>
      </c>
      <c r="V294" s="16" t="s">
        <v>98</v>
      </c>
      <c r="W294" s="16" t="s">
        <v>79</v>
      </c>
      <c r="X294" s="15" t="s">
        <v>881</v>
      </c>
      <c r="Y294" s="16" t="s">
        <v>75</v>
      </c>
      <c r="Z294" s="16" t="s">
        <v>75</v>
      </c>
      <c r="AA294" s="16" t="s">
        <v>126</v>
      </c>
      <c r="AB294" s="18" t="str">
        <f t="shared" si="3"/>
        <v>Hassan Abul</v>
      </c>
      <c r="AC294" s="18"/>
      <c r="AD294" s="18"/>
      <c r="AE294" s="18"/>
      <c r="AF294" s="18"/>
      <c r="AG294" s="18"/>
      <c r="AH294" s="13"/>
      <c r="AI294" s="18"/>
      <c r="AJ294" s="13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3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2"/>
      <c r="BK294" s="12"/>
      <c r="BL294" s="12"/>
      <c r="BM294" s="9"/>
      <c r="BN294" s="9"/>
      <c r="BO294" s="9"/>
      <c r="BP294" s="12"/>
      <c r="BQ294" s="12"/>
      <c r="BR294" s="12"/>
      <c r="BS294" s="12"/>
      <c r="BT294" s="12"/>
      <c r="BU294" s="12"/>
      <c r="BV294" s="12"/>
      <c r="BW294" s="12"/>
      <c r="BX294" s="12"/>
      <c r="BY294" s="9"/>
      <c r="BZ294" s="21"/>
      <c r="CA294" s="21"/>
      <c r="CB294" s="21"/>
      <c r="CC294" s="21"/>
      <c r="CD294" s="21"/>
      <c r="CE294" s="21"/>
      <c r="CF294" s="21"/>
      <c r="CG294" s="21"/>
      <c r="CH294" s="21"/>
      <c r="CI294" s="21"/>
      <c r="CJ294" s="21"/>
    </row>
    <row r="295" spans="1:88" ht="40.5" customHeight="1">
      <c r="A295" s="9">
        <f t="shared" si="0"/>
        <v>293</v>
      </c>
      <c r="B295" s="9" t="str">
        <f t="shared" si="5"/>
        <v xml:space="preserve">MA
</v>
      </c>
      <c r="C295" s="9" t="s">
        <v>901</v>
      </c>
      <c r="D295" s="9" t="s">
        <v>861</v>
      </c>
      <c r="E295" s="12">
        <v>0</v>
      </c>
      <c r="F295" s="12">
        <v>0</v>
      </c>
      <c r="G295" s="9" t="s">
        <v>89</v>
      </c>
      <c r="H295" s="12"/>
      <c r="I295" s="9" t="s">
        <v>902</v>
      </c>
      <c r="J295" s="12"/>
      <c r="K295" s="12"/>
      <c r="L295" s="12"/>
      <c r="M295" s="12"/>
      <c r="N295" s="13" t="str">
        <f t="shared" si="1"/>
        <v>Al Fouz International For Aluminum</v>
      </c>
      <c r="O295" s="16" t="s">
        <v>78</v>
      </c>
      <c r="P295" s="14">
        <v>4</v>
      </c>
      <c r="Q295" s="25">
        <v>44944</v>
      </c>
      <c r="R295" s="14">
        <v>5</v>
      </c>
      <c r="S295" s="26">
        <v>0.19166666666666668</v>
      </c>
      <c r="T295" s="16" t="s">
        <v>86</v>
      </c>
      <c r="U295" s="17" t="str">
        <f t="shared" si="2"/>
        <v>Al Fouz International For Aluminum</v>
      </c>
      <c r="V295" s="13"/>
      <c r="W295" s="13"/>
      <c r="X295" s="13"/>
      <c r="Y295" s="13"/>
      <c r="Z295" s="13"/>
      <c r="AA295" s="13"/>
      <c r="AB295" s="18" t="str">
        <f t="shared" si="3"/>
        <v>Al Fouz International For Aluminum</v>
      </c>
      <c r="AC295" s="18"/>
      <c r="AD295" s="18"/>
      <c r="AE295" s="18"/>
      <c r="AF295" s="18"/>
      <c r="AG295" s="18"/>
      <c r="AH295" s="13"/>
      <c r="AI295" s="18"/>
      <c r="AJ295" s="13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3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2"/>
      <c r="BK295" s="12"/>
      <c r="BL295" s="12"/>
      <c r="BM295" s="9"/>
      <c r="BN295" s="9"/>
      <c r="BO295" s="9"/>
      <c r="BP295" s="12"/>
      <c r="BQ295" s="12"/>
      <c r="BR295" s="12"/>
      <c r="BS295" s="12"/>
      <c r="BT295" s="12"/>
      <c r="BU295" s="12"/>
      <c r="BV295" s="12"/>
      <c r="BW295" s="12"/>
      <c r="BX295" s="12"/>
      <c r="BY295" s="9"/>
      <c r="BZ295" s="21"/>
      <c r="CA295" s="21"/>
      <c r="CB295" s="21"/>
      <c r="CC295" s="21"/>
      <c r="CD295" s="21"/>
      <c r="CE295" s="21"/>
      <c r="CF295" s="21"/>
      <c r="CG295" s="21"/>
      <c r="CH295" s="21"/>
      <c r="CI295" s="21"/>
      <c r="CJ295" s="21"/>
    </row>
    <row r="296" spans="1:88" ht="40.5" customHeight="1">
      <c r="A296" s="9">
        <f t="shared" si="0"/>
        <v>294</v>
      </c>
      <c r="B296" s="9" t="str">
        <f t="shared" si="5"/>
        <v xml:space="preserve">MA
</v>
      </c>
      <c r="C296" s="9" t="s">
        <v>903</v>
      </c>
      <c r="D296" s="9" t="s">
        <v>861</v>
      </c>
      <c r="E296" s="12">
        <v>0</v>
      </c>
      <c r="F296" s="12">
        <v>0</v>
      </c>
      <c r="G296" s="9" t="s">
        <v>89</v>
      </c>
      <c r="H296" s="12"/>
      <c r="I296" s="9" t="s">
        <v>904</v>
      </c>
      <c r="J296" s="12"/>
      <c r="K296" s="12"/>
      <c r="L296" s="12"/>
      <c r="M296" s="12"/>
      <c r="N296" s="13" t="str">
        <f t="shared" si="1"/>
        <v xml:space="preserve">UAMCCO Factory
</v>
      </c>
      <c r="O296" s="16" t="s">
        <v>78</v>
      </c>
      <c r="P296" s="14">
        <v>4</v>
      </c>
      <c r="Q296" s="25">
        <v>44944</v>
      </c>
      <c r="R296" s="14">
        <v>5</v>
      </c>
      <c r="S296" s="26">
        <v>0.27083333333333331</v>
      </c>
      <c r="T296" s="16" t="s">
        <v>190</v>
      </c>
      <c r="U296" s="17" t="str">
        <f t="shared" si="2"/>
        <v xml:space="preserve">UAMCCO Factory
</v>
      </c>
      <c r="V296" s="16" t="s">
        <v>98</v>
      </c>
      <c r="W296" s="16" t="s">
        <v>79</v>
      </c>
      <c r="X296" s="15" t="s">
        <v>881</v>
      </c>
      <c r="Y296" s="16" t="s">
        <v>75</v>
      </c>
      <c r="Z296" s="16" t="s">
        <v>75</v>
      </c>
      <c r="AA296" s="16" t="s">
        <v>86</v>
      </c>
      <c r="AB296" s="18" t="str">
        <f t="shared" si="3"/>
        <v xml:space="preserve">UAMCCO Factory
</v>
      </c>
      <c r="AC296" s="18"/>
      <c r="AD296" s="18"/>
      <c r="AE296" s="18"/>
      <c r="AF296" s="18"/>
      <c r="AG296" s="18"/>
      <c r="AH296" s="13"/>
      <c r="AI296" s="18"/>
      <c r="AJ296" s="13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3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2"/>
      <c r="BK296" s="12"/>
      <c r="BL296" s="12"/>
      <c r="BM296" s="9"/>
      <c r="BN296" s="9"/>
      <c r="BO296" s="9"/>
      <c r="BP296" s="12"/>
      <c r="BQ296" s="12"/>
      <c r="BR296" s="12"/>
      <c r="BS296" s="12"/>
      <c r="BT296" s="12"/>
      <c r="BU296" s="12"/>
      <c r="BV296" s="12"/>
      <c r="BW296" s="12"/>
      <c r="BX296" s="12"/>
      <c r="BY296" s="9"/>
      <c r="BZ296" s="21"/>
      <c r="CA296" s="21"/>
      <c r="CB296" s="21"/>
      <c r="CC296" s="21"/>
      <c r="CD296" s="21"/>
      <c r="CE296" s="21"/>
      <c r="CF296" s="21"/>
      <c r="CG296" s="21"/>
      <c r="CH296" s="21"/>
      <c r="CI296" s="21"/>
      <c r="CJ296" s="21"/>
    </row>
    <row r="297" spans="1:88" ht="40.5" customHeight="1">
      <c r="A297" s="9">
        <f t="shared" si="0"/>
        <v>295</v>
      </c>
      <c r="B297" s="9" t="str">
        <f t="shared" si="5"/>
        <v xml:space="preserve">MA
</v>
      </c>
      <c r="C297" s="28" t="s">
        <v>905</v>
      </c>
      <c r="D297" s="9" t="s">
        <v>861</v>
      </c>
      <c r="E297" s="12">
        <v>0</v>
      </c>
      <c r="F297" s="12">
        <v>0</v>
      </c>
      <c r="G297" s="9" t="s">
        <v>89</v>
      </c>
      <c r="H297" s="12"/>
      <c r="I297" s="9">
        <v>96552224355</v>
      </c>
      <c r="J297" s="9" t="s">
        <v>906</v>
      </c>
      <c r="K297" s="12"/>
      <c r="L297" s="12"/>
      <c r="M297" s="12"/>
      <c r="N297" s="13" t="str">
        <f t="shared" si="1"/>
        <v xml:space="preserve">باب الريان لأعمال الألمنيوم والحدادة bab alrayan for aluminium and steel co
</v>
      </c>
      <c r="O297" s="16" t="s">
        <v>98</v>
      </c>
      <c r="P297" s="14">
        <v>4</v>
      </c>
      <c r="Q297" s="25">
        <v>44944</v>
      </c>
      <c r="R297" s="17"/>
      <c r="S297" s="17"/>
      <c r="T297" s="16" t="s">
        <v>108</v>
      </c>
      <c r="U297" s="17" t="str">
        <f t="shared" si="2"/>
        <v xml:space="preserve">باب الريان لأعمال الألمنيوم والحدادة bab alrayan for aluminium and steel co
</v>
      </c>
      <c r="V297" s="16" t="s">
        <v>78</v>
      </c>
      <c r="W297" s="16" t="s">
        <v>79</v>
      </c>
      <c r="X297" s="15" t="s">
        <v>881</v>
      </c>
      <c r="Y297" s="16" t="s">
        <v>75</v>
      </c>
      <c r="Z297" s="16" t="s">
        <v>75</v>
      </c>
      <c r="AA297" s="16" t="s">
        <v>101</v>
      </c>
      <c r="AB297" s="18" t="str">
        <f t="shared" si="3"/>
        <v xml:space="preserve">باب الريان لأعمال الألمنيوم والحدادة bab alrayan for aluminium and steel co
</v>
      </c>
      <c r="AC297" s="18"/>
      <c r="AD297" s="18"/>
      <c r="AE297" s="18"/>
      <c r="AF297" s="18"/>
      <c r="AG297" s="18"/>
      <c r="AH297" s="13"/>
      <c r="AI297" s="18"/>
      <c r="AJ297" s="13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3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2"/>
      <c r="BK297" s="12"/>
      <c r="BL297" s="12"/>
      <c r="BM297" s="9"/>
      <c r="BN297" s="9"/>
      <c r="BO297" s="9"/>
      <c r="BP297" s="12"/>
      <c r="BQ297" s="12"/>
      <c r="BR297" s="12"/>
      <c r="BS297" s="12"/>
      <c r="BT297" s="12"/>
      <c r="BU297" s="12"/>
      <c r="BV297" s="12"/>
      <c r="BW297" s="12"/>
      <c r="BX297" s="12"/>
      <c r="BY297" s="9"/>
      <c r="BZ297" s="21"/>
      <c r="CA297" s="21"/>
      <c r="CB297" s="21"/>
      <c r="CC297" s="21"/>
      <c r="CD297" s="21"/>
      <c r="CE297" s="21"/>
      <c r="CF297" s="21"/>
      <c r="CG297" s="21"/>
      <c r="CH297" s="21"/>
      <c r="CI297" s="21"/>
      <c r="CJ297" s="21"/>
    </row>
    <row r="298" spans="1:88" ht="40.5" customHeight="1">
      <c r="A298" s="24">
        <f t="shared" si="0"/>
        <v>296</v>
      </c>
      <c r="B298" s="24" t="str">
        <f t="shared" si="5"/>
        <v xml:space="preserve">MA
</v>
      </c>
      <c r="C298" s="24" t="s">
        <v>907</v>
      </c>
      <c r="D298" s="24" t="s">
        <v>861</v>
      </c>
      <c r="E298" s="30">
        <v>0</v>
      </c>
      <c r="F298" s="30">
        <v>0</v>
      </c>
      <c r="G298" s="24" t="s">
        <v>89</v>
      </c>
      <c r="H298" s="30"/>
      <c r="I298" s="24">
        <v>96599012046</v>
      </c>
      <c r="J298" s="30"/>
      <c r="K298" s="30"/>
      <c r="L298" s="30"/>
      <c r="M298" s="30"/>
      <c r="N298" s="33" t="str">
        <f t="shared" si="1"/>
        <v>Behar Al-Kubra Aluminium Trading and Co.</v>
      </c>
      <c r="O298" s="34" t="s">
        <v>78</v>
      </c>
      <c r="P298" s="35">
        <v>3</v>
      </c>
      <c r="Q298" s="36">
        <v>44944</v>
      </c>
      <c r="R298" s="35">
        <v>3</v>
      </c>
      <c r="S298" s="37">
        <v>5.2777777777777778E-2</v>
      </c>
      <c r="T298" s="34" t="s">
        <v>4</v>
      </c>
      <c r="U298" s="17" t="str">
        <f t="shared" si="2"/>
        <v>Behar Al-Kubra Aluminium Trading and Co.</v>
      </c>
      <c r="V298" s="33"/>
      <c r="W298" s="33"/>
      <c r="X298" s="33"/>
      <c r="Y298" s="33"/>
      <c r="Z298" s="33"/>
      <c r="AA298" s="33"/>
      <c r="AB298" s="39" t="str">
        <f t="shared" si="3"/>
        <v>Behar Al-Kubra Aluminium Trading and Co.</v>
      </c>
      <c r="AC298" s="39"/>
      <c r="AD298" s="39"/>
      <c r="AE298" s="39"/>
      <c r="AF298" s="39"/>
      <c r="AG298" s="39"/>
      <c r="AH298" s="33"/>
      <c r="AI298" s="39"/>
      <c r="AJ298" s="33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3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0"/>
      <c r="BK298" s="30"/>
      <c r="BL298" s="30"/>
      <c r="BM298" s="24"/>
      <c r="BN298" s="24"/>
      <c r="BO298" s="24"/>
      <c r="BP298" s="30"/>
      <c r="BQ298" s="30"/>
      <c r="BR298" s="30"/>
      <c r="BS298" s="30"/>
      <c r="BT298" s="30"/>
      <c r="BU298" s="30"/>
      <c r="BV298" s="30"/>
      <c r="BW298" s="30"/>
      <c r="BX298" s="30"/>
      <c r="BY298" s="24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</row>
    <row r="299" spans="1:88" ht="40.5" customHeight="1">
      <c r="A299" s="9">
        <f t="shared" si="0"/>
        <v>297</v>
      </c>
      <c r="B299" s="9" t="str">
        <f t="shared" si="5"/>
        <v xml:space="preserve">MA
</v>
      </c>
      <c r="C299" s="9" t="s">
        <v>908</v>
      </c>
      <c r="D299" s="9" t="s">
        <v>861</v>
      </c>
      <c r="E299" s="12">
        <v>0</v>
      </c>
      <c r="F299" s="12">
        <v>0</v>
      </c>
      <c r="G299" s="9" t="s">
        <v>89</v>
      </c>
      <c r="H299" s="12"/>
      <c r="I299" s="9" t="s">
        <v>909</v>
      </c>
      <c r="J299" s="12"/>
      <c r="K299" s="12"/>
      <c r="L299" s="12"/>
      <c r="M299" s="12"/>
      <c r="N299" s="13" t="str">
        <f t="shared" si="1"/>
        <v xml:space="preserve">AlSahoo Aluminium co. السهو للالومنيوم
</v>
      </c>
      <c r="O299" s="16" t="s">
        <v>78</v>
      </c>
      <c r="P299" s="14">
        <v>4</v>
      </c>
      <c r="Q299" s="25">
        <v>44944</v>
      </c>
      <c r="R299" s="14"/>
      <c r="S299" s="17"/>
      <c r="T299" s="16" t="s">
        <v>101</v>
      </c>
      <c r="U299" s="17" t="str">
        <f t="shared" si="2"/>
        <v xml:space="preserve">AlSahoo Aluminium co. السهو للالومنيوم
</v>
      </c>
      <c r="V299" s="16" t="s">
        <v>78</v>
      </c>
      <c r="W299" s="16" t="s">
        <v>79</v>
      </c>
      <c r="X299" s="15" t="s">
        <v>881</v>
      </c>
      <c r="Y299" s="16" t="s">
        <v>75</v>
      </c>
      <c r="Z299" s="16" t="s">
        <v>75</v>
      </c>
      <c r="AA299" s="16" t="s">
        <v>101</v>
      </c>
      <c r="AB299" s="18" t="str">
        <f t="shared" si="3"/>
        <v xml:space="preserve">AlSahoo Aluminium co. السهو للالومنيوم
</v>
      </c>
      <c r="AC299" s="18"/>
      <c r="AD299" s="18"/>
      <c r="AE299" s="18"/>
      <c r="AF299" s="18"/>
      <c r="AG299" s="18"/>
      <c r="AH299" s="13"/>
      <c r="AI299" s="18"/>
      <c r="AJ299" s="13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3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2"/>
      <c r="BK299" s="12"/>
      <c r="BL299" s="12"/>
      <c r="BM299" s="9"/>
      <c r="BN299" s="9"/>
      <c r="BO299" s="9"/>
      <c r="BP299" s="12"/>
      <c r="BQ299" s="12"/>
      <c r="BR299" s="12"/>
      <c r="BS299" s="12"/>
      <c r="BT299" s="12"/>
      <c r="BU299" s="12"/>
      <c r="BV299" s="12"/>
      <c r="BW299" s="12"/>
      <c r="BX299" s="12"/>
      <c r="BY299" s="9"/>
      <c r="BZ299" s="21"/>
      <c r="CA299" s="21"/>
      <c r="CB299" s="21"/>
      <c r="CC299" s="21"/>
      <c r="CD299" s="21"/>
      <c r="CE299" s="21"/>
      <c r="CF299" s="21"/>
      <c r="CG299" s="21"/>
      <c r="CH299" s="21"/>
      <c r="CI299" s="21"/>
      <c r="CJ299" s="21"/>
    </row>
    <row r="300" spans="1:88" ht="40.5" customHeight="1">
      <c r="A300" s="9">
        <f t="shared" si="0"/>
        <v>298</v>
      </c>
      <c r="B300" s="9" t="str">
        <f t="shared" si="5"/>
        <v xml:space="preserve">MA
</v>
      </c>
      <c r="C300" s="9" t="s">
        <v>910</v>
      </c>
      <c r="D300" s="9" t="s">
        <v>861</v>
      </c>
      <c r="E300" s="12">
        <v>0</v>
      </c>
      <c r="F300" s="12">
        <v>0</v>
      </c>
      <c r="G300" s="9" t="s">
        <v>89</v>
      </c>
      <c r="H300" s="12"/>
      <c r="I300" s="9">
        <v>96566330045</v>
      </c>
      <c r="J300" s="12"/>
      <c r="K300" s="12"/>
      <c r="L300" s="12"/>
      <c r="M300" s="12"/>
      <c r="N300" s="13" t="str">
        <f t="shared" si="1"/>
        <v xml:space="preserve">Masco Aluminium works Co.
</v>
      </c>
      <c r="O300" s="16" t="s">
        <v>78</v>
      </c>
      <c r="P300" s="14">
        <v>4</v>
      </c>
      <c r="Q300" s="25">
        <v>44944</v>
      </c>
      <c r="R300" s="17"/>
      <c r="S300" s="17"/>
      <c r="T300" s="16" t="s">
        <v>101</v>
      </c>
      <c r="U300" s="17" t="str">
        <f t="shared" si="2"/>
        <v xml:space="preserve">Masco Aluminium works Co.
</v>
      </c>
      <c r="V300" s="16" t="s">
        <v>78</v>
      </c>
      <c r="W300" s="16" t="s">
        <v>79</v>
      </c>
      <c r="X300" s="15" t="s">
        <v>881</v>
      </c>
      <c r="Y300" s="16" t="s">
        <v>75</v>
      </c>
      <c r="Z300" s="16" t="s">
        <v>75</v>
      </c>
      <c r="AA300" s="16" t="s">
        <v>4</v>
      </c>
      <c r="AB300" s="18" t="str">
        <f t="shared" si="3"/>
        <v xml:space="preserve">Masco Aluminium works Co.
</v>
      </c>
      <c r="AC300" s="18"/>
      <c r="AD300" s="18"/>
      <c r="AE300" s="18"/>
      <c r="AF300" s="18"/>
      <c r="AG300" s="18"/>
      <c r="AH300" s="13"/>
      <c r="AI300" s="18"/>
      <c r="AJ300" s="13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3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2"/>
      <c r="BK300" s="12"/>
      <c r="BL300" s="12"/>
      <c r="BM300" s="9"/>
      <c r="BN300" s="9"/>
      <c r="BO300" s="9"/>
      <c r="BP300" s="12"/>
      <c r="BQ300" s="12"/>
      <c r="BR300" s="12"/>
      <c r="BS300" s="12"/>
      <c r="BT300" s="12"/>
      <c r="BU300" s="12"/>
      <c r="BV300" s="12"/>
      <c r="BW300" s="12"/>
      <c r="BX300" s="12"/>
      <c r="BY300" s="9"/>
      <c r="BZ300" s="21"/>
      <c r="CA300" s="21"/>
      <c r="CB300" s="21"/>
      <c r="CC300" s="21"/>
      <c r="CD300" s="21"/>
      <c r="CE300" s="21"/>
      <c r="CF300" s="21"/>
      <c r="CG300" s="21"/>
      <c r="CH300" s="21"/>
      <c r="CI300" s="21"/>
      <c r="CJ300" s="21"/>
    </row>
    <row r="301" spans="1:88" ht="40.5" customHeight="1">
      <c r="A301" s="9">
        <f t="shared" si="0"/>
        <v>299</v>
      </c>
      <c r="B301" s="9" t="str">
        <f t="shared" si="5"/>
        <v xml:space="preserve">MA
</v>
      </c>
      <c r="C301" s="9" t="s">
        <v>911</v>
      </c>
      <c r="D301" s="9" t="s">
        <v>861</v>
      </c>
      <c r="E301" s="12">
        <v>0</v>
      </c>
      <c r="F301" s="12">
        <v>0</v>
      </c>
      <c r="G301" s="9" t="s">
        <v>89</v>
      </c>
      <c r="H301" s="12"/>
      <c r="I301" s="9" t="s">
        <v>912</v>
      </c>
      <c r="J301" s="12"/>
      <c r="K301" s="12"/>
      <c r="L301" s="12"/>
      <c r="M301" s="12"/>
      <c r="N301" s="13" t="str">
        <f t="shared" si="1"/>
        <v xml:space="preserve">New Aluminium AlSarraf
</v>
      </c>
      <c r="O301" s="16" t="s">
        <v>98</v>
      </c>
      <c r="P301" s="14">
        <v>4</v>
      </c>
      <c r="Q301" s="25">
        <v>44944</v>
      </c>
      <c r="R301" s="17"/>
      <c r="S301" s="17"/>
      <c r="T301" s="16" t="s">
        <v>86</v>
      </c>
      <c r="U301" s="17" t="str">
        <f t="shared" si="2"/>
        <v xml:space="preserve">New Aluminium AlSarraf
</v>
      </c>
      <c r="V301" s="16" t="s">
        <v>98</v>
      </c>
      <c r="W301" s="16" t="s">
        <v>79</v>
      </c>
      <c r="X301" s="15" t="s">
        <v>881</v>
      </c>
      <c r="Y301" s="16" t="s">
        <v>75</v>
      </c>
      <c r="Z301" s="16" t="s">
        <v>75</v>
      </c>
      <c r="AA301" s="16" t="s">
        <v>86</v>
      </c>
      <c r="AB301" s="18" t="str">
        <f t="shared" si="3"/>
        <v xml:space="preserve">New Aluminium AlSarraf
</v>
      </c>
      <c r="AC301" s="18"/>
      <c r="AD301" s="18"/>
      <c r="AE301" s="18"/>
      <c r="AF301" s="18"/>
      <c r="AG301" s="18"/>
      <c r="AH301" s="13"/>
      <c r="AI301" s="18"/>
      <c r="AJ301" s="13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3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2"/>
      <c r="BK301" s="12"/>
      <c r="BL301" s="12"/>
      <c r="BM301" s="9"/>
      <c r="BN301" s="9"/>
      <c r="BO301" s="9"/>
      <c r="BP301" s="12"/>
      <c r="BQ301" s="12"/>
      <c r="BR301" s="12"/>
      <c r="BS301" s="12"/>
      <c r="BT301" s="12"/>
      <c r="BU301" s="12"/>
      <c r="BV301" s="12"/>
      <c r="BW301" s="12"/>
      <c r="BX301" s="12"/>
      <c r="BY301" s="9"/>
      <c r="BZ301" s="21"/>
      <c r="CA301" s="21"/>
      <c r="CB301" s="21"/>
      <c r="CC301" s="21"/>
      <c r="CD301" s="21"/>
      <c r="CE301" s="21"/>
      <c r="CF301" s="21"/>
      <c r="CG301" s="21"/>
      <c r="CH301" s="21"/>
      <c r="CI301" s="21"/>
      <c r="CJ301" s="21"/>
    </row>
    <row r="302" spans="1:88" ht="40.5" customHeight="1">
      <c r="A302" s="9">
        <f t="shared" si="0"/>
        <v>300</v>
      </c>
      <c r="B302" s="9" t="str">
        <f t="shared" si="5"/>
        <v xml:space="preserve">MA
</v>
      </c>
      <c r="C302" s="9" t="s">
        <v>913</v>
      </c>
      <c r="D302" s="9" t="s">
        <v>861</v>
      </c>
      <c r="E302" s="12">
        <v>0</v>
      </c>
      <c r="F302" s="12">
        <v>0</v>
      </c>
      <c r="G302" s="9" t="s">
        <v>89</v>
      </c>
      <c r="H302" s="12"/>
      <c r="I302" s="9">
        <v>96567087646</v>
      </c>
      <c r="J302" s="12"/>
      <c r="K302" s="12"/>
      <c r="L302" s="12"/>
      <c r="M302" s="12"/>
      <c r="N302" s="13" t="str">
        <f t="shared" si="1"/>
        <v xml:space="preserve">Classic House Aluminium Factory
</v>
      </c>
      <c r="O302" s="16" t="s">
        <v>78</v>
      </c>
      <c r="P302" s="14">
        <v>4</v>
      </c>
      <c r="Q302" s="25">
        <v>44944</v>
      </c>
      <c r="R302" s="17"/>
      <c r="S302" s="17"/>
      <c r="T302" s="16" t="s">
        <v>101</v>
      </c>
      <c r="U302" s="17" t="str">
        <f t="shared" si="2"/>
        <v xml:space="preserve">Classic House Aluminium Factory
</v>
      </c>
      <c r="V302" s="16" t="s">
        <v>98</v>
      </c>
      <c r="W302" s="16">
        <v>5</v>
      </c>
      <c r="X302" s="25">
        <v>44957</v>
      </c>
      <c r="Y302" s="13"/>
      <c r="Z302" s="13"/>
      <c r="AA302" s="16" t="s">
        <v>86</v>
      </c>
      <c r="AB302" s="18" t="str">
        <f t="shared" si="3"/>
        <v xml:space="preserve">Classic House Aluminium Factory
</v>
      </c>
      <c r="AC302" s="19" t="s">
        <v>78</v>
      </c>
      <c r="AD302" s="19" t="s">
        <v>79</v>
      </c>
      <c r="AE302" s="20" t="s">
        <v>881</v>
      </c>
      <c r="AF302" s="19" t="s">
        <v>75</v>
      </c>
      <c r="AG302" s="19" t="s">
        <v>75</v>
      </c>
      <c r="AH302" s="16" t="s">
        <v>265</v>
      </c>
      <c r="AI302" s="18"/>
      <c r="AJ302" s="13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3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2"/>
      <c r="BK302" s="12"/>
      <c r="BL302" s="12"/>
      <c r="BM302" s="9"/>
      <c r="BN302" s="9"/>
      <c r="BO302" s="9"/>
      <c r="BP302" s="12"/>
      <c r="BQ302" s="12"/>
      <c r="BR302" s="12"/>
      <c r="BS302" s="12"/>
      <c r="BT302" s="12"/>
      <c r="BU302" s="12"/>
      <c r="BV302" s="12"/>
      <c r="BW302" s="12"/>
      <c r="BX302" s="12"/>
      <c r="BY302" s="9"/>
      <c r="BZ302" s="21"/>
      <c r="CA302" s="21"/>
      <c r="CB302" s="21"/>
      <c r="CC302" s="21"/>
      <c r="CD302" s="21"/>
      <c r="CE302" s="21"/>
      <c r="CF302" s="21"/>
      <c r="CG302" s="21"/>
      <c r="CH302" s="21"/>
      <c r="CI302" s="21"/>
      <c r="CJ302" s="21"/>
    </row>
    <row r="303" spans="1:88" ht="40.5" customHeight="1">
      <c r="A303" s="9">
        <f t="shared" si="0"/>
        <v>301</v>
      </c>
      <c r="B303" s="9" t="str">
        <f t="shared" si="5"/>
        <v xml:space="preserve">MA
</v>
      </c>
      <c r="C303" s="9" t="s">
        <v>914</v>
      </c>
      <c r="D303" s="9" t="s">
        <v>861</v>
      </c>
      <c r="E303" s="12">
        <v>0</v>
      </c>
      <c r="F303" s="9">
        <v>1</v>
      </c>
      <c r="G303" s="9" t="s">
        <v>89</v>
      </c>
      <c r="H303" s="12"/>
      <c r="I303" s="9">
        <v>96599735377</v>
      </c>
      <c r="J303" s="9" t="s">
        <v>872</v>
      </c>
      <c r="K303" s="12"/>
      <c r="L303" s="12"/>
      <c r="M303" s="12"/>
      <c r="N303" s="13" t="str">
        <f t="shared" si="1"/>
        <v xml:space="preserve">Kuwait Armenian Aluminium Co.
</v>
      </c>
      <c r="O303" s="16" t="s">
        <v>78</v>
      </c>
      <c r="P303" s="14">
        <v>4</v>
      </c>
      <c r="Q303" s="25">
        <v>44944</v>
      </c>
      <c r="R303" s="14">
        <v>5</v>
      </c>
      <c r="S303" s="26">
        <v>0.27083333333333331</v>
      </c>
      <c r="T303" s="16" t="s">
        <v>108</v>
      </c>
      <c r="U303" s="17" t="str">
        <f t="shared" si="2"/>
        <v xml:space="preserve">Kuwait Armenian Aluminium Co.
</v>
      </c>
      <c r="V303" s="16" t="s">
        <v>98</v>
      </c>
      <c r="W303" s="16">
        <v>5</v>
      </c>
      <c r="X303" s="25">
        <v>44957</v>
      </c>
      <c r="Y303" s="13"/>
      <c r="Z303" s="13"/>
      <c r="AA303" s="16" t="s">
        <v>86</v>
      </c>
      <c r="AB303" s="18" t="str">
        <f t="shared" si="3"/>
        <v xml:space="preserve">Kuwait Armenian Aluminium Co.
</v>
      </c>
      <c r="AC303" s="19" t="s">
        <v>78</v>
      </c>
      <c r="AD303" s="19" t="s">
        <v>79</v>
      </c>
      <c r="AE303" s="20" t="s">
        <v>881</v>
      </c>
      <c r="AF303" s="19" t="s">
        <v>75</v>
      </c>
      <c r="AG303" s="19" t="s">
        <v>75</v>
      </c>
      <c r="AH303" s="16" t="s">
        <v>101</v>
      </c>
      <c r="AI303" s="18"/>
      <c r="AJ303" s="13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3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2"/>
      <c r="BK303" s="12"/>
      <c r="BL303" s="12"/>
      <c r="BM303" s="9"/>
      <c r="BN303" s="9"/>
      <c r="BO303" s="9"/>
      <c r="BP303" s="12"/>
      <c r="BQ303" s="12"/>
      <c r="BR303" s="12"/>
      <c r="BS303" s="12"/>
      <c r="BT303" s="12"/>
      <c r="BU303" s="12"/>
      <c r="BV303" s="12"/>
      <c r="BW303" s="12"/>
      <c r="BX303" s="12"/>
      <c r="BY303" s="9"/>
      <c r="BZ303" s="21"/>
      <c r="CA303" s="21"/>
      <c r="CB303" s="21"/>
      <c r="CC303" s="21"/>
      <c r="CD303" s="21"/>
      <c r="CE303" s="21"/>
      <c r="CF303" s="21"/>
      <c r="CG303" s="21"/>
      <c r="CH303" s="21"/>
      <c r="CI303" s="21"/>
      <c r="CJ303" s="21"/>
    </row>
    <row r="304" spans="1:88" ht="40.5" customHeight="1">
      <c r="A304" s="9">
        <f t="shared" si="0"/>
        <v>302</v>
      </c>
      <c r="B304" s="9" t="str">
        <f t="shared" si="5"/>
        <v xml:space="preserve">MA
</v>
      </c>
      <c r="C304" s="9" t="s">
        <v>915</v>
      </c>
      <c r="D304" s="9" t="s">
        <v>861</v>
      </c>
      <c r="E304" s="12">
        <v>0</v>
      </c>
      <c r="F304" s="12">
        <v>0</v>
      </c>
      <c r="G304" s="9" t="s">
        <v>89</v>
      </c>
      <c r="H304" s="12"/>
      <c r="I304" s="9">
        <v>96550944249</v>
      </c>
      <c r="J304" s="12"/>
      <c r="K304" s="12"/>
      <c r="L304" s="12"/>
      <c r="M304" s="12"/>
      <c r="N304" s="13" t="str">
        <f t="shared" si="1"/>
        <v xml:space="preserve">Goal Aluminum Projects Co.
</v>
      </c>
      <c r="O304" s="16" t="s">
        <v>78</v>
      </c>
      <c r="P304" s="14">
        <v>4</v>
      </c>
      <c r="Q304" s="25">
        <v>44944</v>
      </c>
      <c r="R304" s="14">
        <v>3</v>
      </c>
      <c r="S304" s="26">
        <v>3.125E-2</v>
      </c>
      <c r="T304" s="16" t="s">
        <v>153</v>
      </c>
      <c r="U304" s="17" t="str">
        <f t="shared" si="2"/>
        <v xml:space="preserve">Goal Aluminum Projects Co.
</v>
      </c>
      <c r="V304" s="16" t="s">
        <v>98</v>
      </c>
      <c r="W304" s="16">
        <v>5</v>
      </c>
      <c r="X304" s="25">
        <v>44957</v>
      </c>
      <c r="Y304" s="13"/>
      <c r="Z304" s="13"/>
      <c r="AA304" s="16" t="s">
        <v>86</v>
      </c>
      <c r="AB304" s="18" t="str">
        <f t="shared" si="3"/>
        <v xml:space="preserve">Goal Aluminum Projects Co.
</v>
      </c>
      <c r="AC304" s="19" t="s">
        <v>78</v>
      </c>
      <c r="AD304" s="19" t="s">
        <v>79</v>
      </c>
      <c r="AE304" s="20" t="s">
        <v>881</v>
      </c>
      <c r="AF304" s="19" t="s">
        <v>75</v>
      </c>
      <c r="AG304" s="19" t="s">
        <v>75</v>
      </c>
      <c r="AH304" s="16" t="s">
        <v>265</v>
      </c>
      <c r="AI304" s="18"/>
      <c r="AJ304" s="13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3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2"/>
      <c r="BK304" s="12"/>
      <c r="BL304" s="12"/>
      <c r="BM304" s="9"/>
      <c r="BN304" s="9"/>
      <c r="BO304" s="9"/>
      <c r="BP304" s="12"/>
      <c r="BQ304" s="12"/>
      <c r="BR304" s="12"/>
      <c r="BS304" s="12"/>
      <c r="BT304" s="12"/>
      <c r="BU304" s="12"/>
      <c r="BV304" s="12"/>
      <c r="BW304" s="12"/>
      <c r="BX304" s="12"/>
      <c r="BY304" s="9"/>
      <c r="BZ304" s="21"/>
      <c r="CA304" s="21"/>
      <c r="CB304" s="21"/>
      <c r="CC304" s="21"/>
      <c r="CD304" s="21"/>
      <c r="CE304" s="21"/>
      <c r="CF304" s="21"/>
      <c r="CG304" s="21"/>
      <c r="CH304" s="21"/>
      <c r="CI304" s="21"/>
      <c r="CJ304" s="21"/>
    </row>
    <row r="305" spans="1:88" ht="40.5" customHeight="1">
      <c r="A305" s="9">
        <f t="shared" si="0"/>
        <v>303</v>
      </c>
      <c r="B305" s="9" t="str">
        <f t="shared" si="5"/>
        <v xml:space="preserve">MA
</v>
      </c>
      <c r="C305" s="9" t="s">
        <v>916</v>
      </c>
      <c r="D305" s="9" t="s">
        <v>861</v>
      </c>
      <c r="E305" s="12">
        <v>0</v>
      </c>
      <c r="F305" s="12">
        <v>0</v>
      </c>
      <c r="G305" s="9" t="s">
        <v>89</v>
      </c>
      <c r="H305" s="12"/>
      <c r="I305" s="9" t="s">
        <v>917</v>
      </c>
      <c r="J305" s="12"/>
      <c r="K305" s="12"/>
      <c r="L305" s="12"/>
      <c r="M305" s="12"/>
      <c r="N305" s="13" t="str">
        <f t="shared" si="1"/>
        <v xml:space="preserve">Smart Metals Group
</v>
      </c>
      <c r="O305" s="16" t="s">
        <v>78</v>
      </c>
      <c r="P305" s="14">
        <v>4</v>
      </c>
      <c r="Q305" s="25">
        <v>44944</v>
      </c>
      <c r="R305" s="17"/>
      <c r="S305" s="17"/>
      <c r="T305" s="16" t="s">
        <v>101</v>
      </c>
      <c r="U305" s="17" t="str">
        <f t="shared" si="2"/>
        <v xml:space="preserve">Smart Metals Group
</v>
      </c>
      <c r="V305" s="16" t="s">
        <v>98</v>
      </c>
      <c r="W305" s="16">
        <v>5</v>
      </c>
      <c r="X305" s="25">
        <v>44957</v>
      </c>
      <c r="Y305" s="13"/>
      <c r="Z305" s="13"/>
      <c r="AA305" s="16" t="s">
        <v>86</v>
      </c>
      <c r="AB305" s="18" t="str">
        <f t="shared" si="3"/>
        <v xml:space="preserve">Smart Metals Group
</v>
      </c>
      <c r="AC305" s="19" t="s">
        <v>78</v>
      </c>
      <c r="AD305" s="19" t="s">
        <v>79</v>
      </c>
      <c r="AE305" s="20" t="s">
        <v>881</v>
      </c>
      <c r="AF305" s="19" t="s">
        <v>75</v>
      </c>
      <c r="AG305" s="19" t="s">
        <v>75</v>
      </c>
      <c r="AH305" s="16" t="s">
        <v>153</v>
      </c>
      <c r="AI305" s="18"/>
      <c r="AJ305" s="13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3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2"/>
      <c r="BK305" s="12"/>
      <c r="BL305" s="12"/>
      <c r="BM305" s="9"/>
      <c r="BN305" s="9"/>
      <c r="BO305" s="9"/>
      <c r="BP305" s="12"/>
      <c r="BQ305" s="12"/>
      <c r="BR305" s="12"/>
      <c r="BS305" s="12"/>
      <c r="BT305" s="12"/>
      <c r="BU305" s="12"/>
      <c r="BV305" s="12"/>
      <c r="BW305" s="12"/>
      <c r="BX305" s="12"/>
      <c r="BY305" s="9"/>
      <c r="BZ305" s="21"/>
      <c r="CA305" s="21"/>
      <c r="CB305" s="21"/>
      <c r="CC305" s="21"/>
      <c r="CD305" s="21"/>
      <c r="CE305" s="21"/>
      <c r="CF305" s="21"/>
      <c r="CG305" s="21"/>
      <c r="CH305" s="21"/>
      <c r="CI305" s="21"/>
      <c r="CJ305" s="21"/>
    </row>
    <row r="306" spans="1:88" ht="40.5" customHeight="1">
      <c r="A306" s="9">
        <f t="shared" si="0"/>
        <v>304</v>
      </c>
      <c r="B306" s="9" t="str">
        <f t="shared" si="5"/>
        <v xml:space="preserve">MA
</v>
      </c>
      <c r="C306" s="9" t="s">
        <v>918</v>
      </c>
      <c r="D306" s="9" t="s">
        <v>861</v>
      </c>
      <c r="E306" s="12">
        <v>0</v>
      </c>
      <c r="F306" s="12">
        <v>0</v>
      </c>
      <c r="G306" s="9" t="s">
        <v>89</v>
      </c>
      <c r="H306" s="12"/>
      <c r="I306" s="9" t="s">
        <v>919</v>
      </c>
      <c r="J306" s="12"/>
      <c r="K306" s="12"/>
      <c r="L306" s="12"/>
      <c r="M306" s="12"/>
      <c r="N306" s="13" t="str">
        <f t="shared" si="1"/>
        <v xml:space="preserve">Marafi Aluminium &amp; Stainless Steel
</v>
      </c>
      <c r="O306" s="16" t="s">
        <v>78</v>
      </c>
      <c r="P306" s="14">
        <v>4</v>
      </c>
      <c r="Q306" s="25">
        <v>44944</v>
      </c>
      <c r="R306" s="17"/>
      <c r="S306" s="17"/>
      <c r="T306" s="16" t="s">
        <v>101</v>
      </c>
      <c r="U306" s="17" t="str">
        <f t="shared" si="2"/>
        <v xml:space="preserve">Marafi Aluminium &amp; Stainless Steel
</v>
      </c>
      <c r="V306" s="16" t="s">
        <v>98</v>
      </c>
      <c r="W306" s="16">
        <v>5</v>
      </c>
      <c r="X306" s="25">
        <v>44957</v>
      </c>
      <c r="Y306" s="13"/>
      <c r="Z306" s="13"/>
      <c r="AA306" s="16" t="s">
        <v>86</v>
      </c>
      <c r="AB306" s="18" t="str">
        <f t="shared" si="3"/>
        <v xml:space="preserve">Marafi Aluminium &amp; Stainless Steel
</v>
      </c>
      <c r="AC306" s="19" t="s">
        <v>78</v>
      </c>
      <c r="AD306" s="19" t="s">
        <v>79</v>
      </c>
      <c r="AE306" s="20" t="s">
        <v>881</v>
      </c>
      <c r="AF306" s="19" t="s">
        <v>75</v>
      </c>
      <c r="AG306" s="19" t="s">
        <v>75</v>
      </c>
      <c r="AH306" s="16" t="s">
        <v>101</v>
      </c>
      <c r="AI306" s="18"/>
      <c r="AJ306" s="13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3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2"/>
      <c r="BK306" s="12"/>
      <c r="BL306" s="12"/>
      <c r="BM306" s="9"/>
      <c r="BN306" s="9"/>
      <c r="BO306" s="9"/>
      <c r="BP306" s="12"/>
      <c r="BQ306" s="12"/>
      <c r="BR306" s="12"/>
      <c r="BS306" s="12"/>
      <c r="BT306" s="12"/>
      <c r="BU306" s="12"/>
      <c r="BV306" s="12"/>
      <c r="BW306" s="12"/>
      <c r="BX306" s="12"/>
      <c r="BY306" s="9"/>
      <c r="BZ306" s="21"/>
      <c r="CA306" s="21"/>
      <c r="CB306" s="21"/>
      <c r="CC306" s="21"/>
      <c r="CD306" s="21"/>
      <c r="CE306" s="21"/>
      <c r="CF306" s="21"/>
      <c r="CG306" s="21"/>
      <c r="CH306" s="21"/>
      <c r="CI306" s="21"/>
      <c r="CJ306" s="21"/>
    </row>
    <row r="307" spans="1:88" ht="40.5" customHeight="1">
      <c r="A307" s="9">
        <f t="shared" si="0"/>
        <v>305</v>
      </c>
      <c r="B307" s="9" t="str">
        <f t="shared" si="5"/>
        <v xml:space="preserve">MA
</v>
      </c>
      <c r="C307" s="9" t="s">
        <v>920</v>
      </c>
      <c r="D307" s="9" t="s">
        <v>861</v>
      </c>
      <c r="E307" s="12">
        <v>0</v>
      </c>
      <c r="F307" s="12">
        <v>0</v>
      </c>
      <c r="G307" s="9" t="s">
        <v>89</v>
      </c>
      <c r="H307" s="12"/>
      <c r="I307" s="9">
        <v>96555452322</v>
      </c>
      <c r="J307" s="12"/>
      <c r="K307" s="12"/>
      <c r="L307" s="12"/>
      <c r="M307" s="12"/>
      <c r="N307" s="13" t="str">
        <f t="shared" si="1"/>
        <v xml:space="preserve">ALUTECH ALUMINIUM
</v>
      </c>
      <c r="O307" s="16" t="s">
        <v>78</v>
      </c>
      <c r="P307" s="14">
        <v>4</v>
      </c>
      <c r="Q307" s="25">
        <v>44944</v>
      </c>
      <c r="R307" s="17"/>
      <c r="S307" s="17"/>
      <c r="T307" s="16" t="s">
        <v>101</v>
      </c>
      <c r="U307" s="17" t="str">
        <f t="shared" si="2"/>
        <v xml:space="preserve">ALUTECH ALUMINIUM
</v>
      </c>
      <c r="V307" s="13"/>
      <c r="W307" s="13"/>
      <c r="X307" s="13"/>
      <c r="Y307" s="13"/>
      <c r="Z307" s="13"/>
      <c r="AA307" s="13"/>
      <c r="AB307" s="18" t="str">
        <f t="shared" si="3"/>
        <v xml:space="preserve">ALUTECH ALUMINIUM
</v>
      </c>
      <c r="AC307" s="18"/>
      <c r="AD307" s="18"/>
      <c r="AE307" s="18"/>
      <c r="AF307" s="18"/>
      <c r="AG307" s="18"/>
      <c r="AH307" s="13"/>
      <c r="AI307" s="18"/>
      <c r="AJ307" s="13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3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2"/>
      <c r="BK307" s="12"/>
      <c r="BL307" s="12"/>
      <c r="BM307" s="9"/>
      <c r="BN307" s="9"/>
      <c r="BO307" s="9"/>
      <c r="BP307" s="12"/>
      <c r="BQ307" s="12"/>
      <c r="BR307" s="12"/>
      <c r="BS307" s="12"/>
      <c r="BT307" s="12"/>
      <c r="BU307" s="12"/>
      <c r="BV307" s="12"/>
      <c r="BW307" s="12"/>
      <c r="BX307" s="12"/>
      <c r="BY307" s="9"/>
      <c r="BZ307" s="21"/>
      <c r="CA307" s="21"/>
      <c r="CB307" s="21"/>
      <c r="CC307" s="21"/>
      <c r="CD307" s="21"/>
      <c r="CE307" s="21"/>
      <c r="CF307" s="21"/>
      <c r="CG307" s="21"/>
      <c r="CH307" s="21"/>
      <c r="CI307" s="21"/>
      <c r="CJ307" s="21"/>
    </row>
    <row r="308" spans="1:88" ht="40.5" customHeight="1">
      <c r="A308" s="24">
        <f t="shared" si="0"/>
        <v>306</v>
      </c>
      <c r="B308" s="24" t="str">
        <f t="shared" si="5"/>
        <v xml:space="preserve">MA
</v>
      </c>
      <c r="C308" s="24" t="s">
        <v>921</v>
      </c>
      <c r="D308" s="24" t="s">
        <v>861</v>
      </c>
      <c r="E308" s="30">
        <v>0</v>
      </c>
      <c r="F308" s="30">
        <v>0</v>
      </c>
      <c r="G308" s="24" t="s">
        <v>89</v>
      </c>
      <c r="H308" s="30"/>
      <c r="I308" s="24">
        <v>96555289940</v>
      </c>
      <c r="J308" s="30"/>
      <c r="K308" s="30"/>
      <c r="L308" s="30"/>
      <c r="M308" s="30"/>
      <c r="N308" s="33" t="str">
        <f t="shared" si="1"/>
        <v xml:space="preserve">Hadia Aluminium
</v>
      </c>
      <c r="O308" s="34" t="s">
        <v>78</v>
      </c>
      <c r="P308" s="35">
        <v>4</v>
      </c>
      <c r="Q308" s="36">
        <v>44944</v>
      </c>
      <c r="R308" s="35">
        <v>3</v>
      </c>
      <c r="S308" s="37">
        <v>7.4305555555555555E-2</v>
      </c>
      <c r="T308" s="34" t="s">
        <v>4</v>
      </c>
      <c r="U308" s="17" t="str">
        <f t="shared" si="2"/>
        <v xml:space="preserve">Hadia Aluminium
</v>
      </c>
      <c r="V308" s="33"/>
      <c r="W308" s="33"/>
      <c r="X308" s="33"/>
      <c r="Y308" s="33"/>
      <c r="Z308" s="33"/>
      <c r="AA308" s="33"/>
      <c r="AB308" s="39" t="str">
        <f t="shared" si="3"/>
        <v xml:space="preserve">Hadia Aluminium
</v>
      </c>
      <c r="AC308" s="39"/>
      <c r="AD308" s="39"/>
      <c r="AE308" s="39"/>
      <c r="AF308" s="39"/>
      <c r="AG308" s="39"/>
      <c r="AH308" s="33"/>
      <c r="AI308" s="39"/>
      <c r="AJ308" s="33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3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0"/>
      <c r="BK308" s="30"/>
      <c r="BL308" s="30"/>
      <c r="BM308" s="24"/>
      <c r="BN308" s="24"/>
      <c r="BO308" s="24"/>
      <c r="BP308" s="30"/>
      <c r="BQ308" s="30"/>
      <c r="BR308" s="30"/>
      <c r="BS308" s="30"/>
      <c r="BT308" s="30"/>
      <c r="BU308" s="30"/>
      <c r="BV308" s="30"/>
      <c r="BW308" s="30"/>
      <c r="BX308" s="30"/>
      <c r="BY308" s="24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</row>
    <row r="309" spans="1:88" ht="40.5" customHeight="1">
      <c r="A309" s="9">
        <f t="shared" si="0"/>
        <v>307</v>
      </c>
      <c r="B309" s="9" t="str">
        <f t="shared" si="5"/>
        <v xml:space="preserve">MA
</v>
      </c>
      <c r="C309" s="9" t="s">
        <v>922</v>
      </c>
      <c r="D309" s="9" t="s">
        <v>861</v>
      </c>
      <c r="E309" s="12">
        <v>0</v>
      </c>
      <c r="F309" s="12">
        <v>0</v>
      </c>
      <c r="G309" s="9" t="s">
        <v>89</v>
      </c>
      <c r="H309" s="12"/>
      <c r="I309" s="9">
        <v>96524747733</v>
      </c>
      <c r="J309" s="12"/>
      <c r="K309" s="12"/>
      <c r="L309" s="12"/>
      <c r="M309" s="12"/>
      <c r="N309" s="13" t="str">
        <f t="shared" si="1"/>
        <v xml:space="preserve">Arab European Aluminium Co
</v>
      </c>
      <c r="O309" s="16" t="s">
        <v>7</v>
      </c>
      <c r="P309" s="14">
        <v>4</v>
      </c>
      <c r="Q309" s="25">
        <v>44944</v>
      </c>
      <c r="R309" s="17"/>
      <c r="S309" s="17"/>
      <c r="T309" s="16" t="s">
        <v>81</v>
      </c>
      <c r="U309" s="17" t="str">
        <f t="shared" si="2"/>
        <v xml:space="preserve">Arab European Aluminium Co
</v>
      </c>
      <c r="V309" s="13"/>
      <c r="W309" s="13"/>
      <c r="X309" s="13"/>
      <c r="Y309" s="13"/>
      <c r="Z309" s="13"/>
      <c r="AA309" s="13"/>
      <c r="AB309" s="18" t="str">
        <f t="shared" si="3"/>
        <v xml:space="preserve">Arab European Aluminium Co
</v>
      </c>
      <c r="AC309" s="18"/>
      <c r="AD309" s="18"/>
      <c r="AE309" s="18"/>
      <c r="AF309" s="18"/>
      <c r="AG309" s="18"/>
      <c r="AH309" s="13"/>
      <c r="AI309" s="18"/>
      <c r="AJ309" s="13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3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2"/>
      <c r="BK309" s="12"/>
      <c r="BL309" s="12"/>
      <c r="BM309" s="9"/>
      <c r="BN309" s="9"/>
      <c r="BO309" s="9"/>
      <c r="BP309" s="12"/>
      <c r="BQ309" s="12"/>
      <c r="BR309" s="12"/>
      <c r="BS309" s="12"/>
      <c r="BT309" s="12"/>
      <c r="BU309" s="12"/>
      <c r="BV309" s="12"/>
      <c r="BW309" s="12"/>
      <c r="BX309" s="12"/>
      <c r="BY309" s="9"/>
      <c r="BZ309" s="21"/>
      <c r="CA309" s="21"/>
      <c r="CB309" s="21"/>
      <c r="CC309" s="21"/>
      <c r="CD309" s="21"/>
      <c r="CE309" s="21"/>
      <c r="CF309" s="21"/>
      <c r="CG309" s="21"/>
      <c r="CH309" s="21"/>
      <c r="CI309" s="21"/>
      <c r="CJ309" s="21"/>
    </row>
    <row r="310" spans="1:88" ht="40.5" customHeight="1">
      <c r="A310" s="24">
        <f t="shared" si="0"/>
        <v>308</v>
      </c>
      <c r="B310" s="24" t="str">
        <f t="shared" si="5"/>
        <v xml:space="preserve">MA
</v>
      </c>
      <c r="C310" s="49" t="s">
        <v>923</v>
      </c>
      <c r="D310" s="24" t="s">
        <v>861</v>
      </c>
      <c r="E310" s="30">
        <v>0</v>
      </c>
      <c r="F310" s="30">
        <v>0</v>
      </c>
      <c r="G310" s="24" t="s">
        <v>89</v>
      </c>
      <c r="H310" s="30"/>
      <c r="I310" s="24">
        <v>96599644096</v>
      </c>
      <c r="J310" s="30"/>
      <c r="K310" s="30"/>
      <c r="L310" s="30"/>
      <c r="M310" s="30"/>
      <c r="N310" s="33" t="str">
        <f t="shared" si="1"/>
        <v xml:space="preserve">Fatah Al-Khair Aluminium Factory مصنع المنيوم فتح الخير
</v>
      </c>
      <c r="O310" s="34" t="s">
        <v>78</v>
      </c>
      <c r="P310" s="35">
        <v>4</v>
      </c>
      <c r="Q310" s="36">
        <v>44944</v>
      </c>
      <c r="R310" s="35">
        <v>1</v>
      </c>
      <c r="S310" s="37">
        <v>8.3333333333333329E-2</v>
      </c>
      <c r="T310" s="34" t="s">
        <v>4</v>
      </c>
      <c r="U310" s="17" t="str">
        <f t="shared" si="2"/>
        <v xml:space="preserve">Fatah Al-Khair Aluminium Factory مصنع المنيوم فتح الخير
</v>
      </c>
      <c r="V310" s="33"/>
      <c r="W310" s="33"/>
      <c r="X310" s="33"/>
      <c r="Y310" s="33"/>
      <c r="Z310" s="33"/>
      <c r="AA310" s="33"/>
      <c r="AB310" s="39" t="str">
        <f t="shared" si="3"/>
        <v xml:space="preserve">Fatah Al-Khair Aluminium Factory مصنع المنيوم فتح الخير
</v>
      </c>
      <c r="AC310" s="39"/>
      <c r="AD310" s="39"/>
      <c r="AE310" s="39"/>
      <c r="AF310" s="39"/>
      <c r="AG310" s="39"/>
      <c r="AH310" s="33"/>
      <c r="AI310" s="39"/>
      <c r="AJ310" s="33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3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0"/>
      <c r="BK310" s="30"/>
      <c r="BL310" s="30"/>
      <c r="BM310" s="24"/>
      <c r="BN310" s="24"/>
      <c r="BO310" s="24"/>
      <c r="BP310" s="30"/>
      <c r="BQ310" s="30"/>
      <c r="BR310" s="30"/>
      <c r="BS310" s="30"/>
      <c r="BT310" s="30"/>
      <c r="BU310" s="30"/>
      <c r="BV310" s="30"/>
      <c r="BW310" s="30"/>
      <c r="BX310" s="30"/>
      <c r="BY310" s="24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</row>
    <row r="311" spans="1:88" ht="40.5" customHeight="1">
      <c r="A311" s="9">
        <f t="shared" si="0"/>
        <v>309</v>
      </c>
      <c r="B311" s="9" t="str">
        <f t="shared" si="5"/>
        <v xml:space="preserve">MA
</v>
      </c>
      <c r="C311" s="9" t="s">
        <v>924</v>
      </c>
      <c r="D311" s="9" t="s">
        <v>861</v>
      </c>
      <c r="E311" s="12">
        <v>0</v>
      </c>
      <c r="F311" s="12">
        <v>0</v>
      </c>
      <c r="G311" s="9" t="s">
        <v>89</v>
      </c>
      <c r="H311" s="12"/>
      <c r="I311" s="9">
        <v>96597202636</v>
      </c>
      <c r="J311" s="12"/>
      <c r="K311" s="12"/>
      <c r="L311" s="12"/>
      <c r="M311" s="12"/>
      <c r="N311" s="13" t="str">
        <f t="shared" si="1"/>
        <v xml:space="preserve">Arabi Co. Head Office &amp; Arabi Factory for Aluminium Works
</v>
      </c>
      <c r="O311" s="16" t="s">
        <v>78</v>
      </c>
      <c r="P311" s="14">
        <v>4</v>
      </c>
      <c r="Q311" s="25">
        <v>44944</v>
      </c>
      <c r="R311" s="17"/>
      <c r="S311" s="17"/>
      <c r="T311" s="16" t="s">
        <v>101</v>
      </c>
      <c r="U311" s="17" t="str">
        <f t="shared" si="2"/>
        <v xml:space="preserve">Arabi Co. Head Office &amp; Arabi Factory for Aluminium Works
</v>
      </c>
      <c r="V311" s="13"/>
      <c r="W311" s="13"/>
      <c r="X311" s="13"/>
      <c r="Y311" s="13"/>
      <c r="Z311" s="13"/>
      <c r="AA311" s="13"/>
      <c r="AB311" s="18" t="str">
        <f t="shared" si="3"/>
        <v xml:space="preserve">Arabi Co. Head Office &amp; Arabi Factory for Aluminium Works
</v>
      </c>
      <c r="AC311" s="18"/>
      <c r="AD311" s="18"/>
      <c r="AE311" s="18"/>
      <c r="AF311" s="18"/>
      <c r="AG311" s="18"/>
      <c r="AH311" s="13"/>
      <c r="AI311" s="18"/>
      <c r="AJ311" s="13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3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2"/>
      <c r="BK311" s="12"/>
      <c r="BL311" s="12"/>
      <c r="BM311" s="9"/>
      <c r="BN311" s="9"/>
      <c r="BO311" s="9"/>
      <c r="BP311" s="12"/>
      <c r="BQ311" s="12"/>
      <c r="BR311" s="12"/>
      <c r="BS311" s="12"/>
      <c r="BT311" s="12"/>
      <c r="BU311" s="12"/>
      <c r="BV311" s="12"/>
      <c r="BW311" s="12"/>
      <c r="BX311" s="12"/>
      <c r="BY311" s="9"/>
      <c r="BZ311" s="21"/>
      <c r="CA311" s="21"/>
      <c r="CB311" s="21"/>
      <c r="CC311" s="21"/>
      <c r="CD311" s="21"/>
      <c r="CE311" s="21"/>
      <c r="CF311" s="21"/>
      <c r="CG311" s="21"/>
      <c r="CH311" s="21"/>
      <c r="CI311" s="21"/>
      <c r="CJ311" s="21"/>
    </row>
    <row r="312" spans="1:88" ht="40.5" customHeight="1">
      <c r="A312" s="9">
        <f t="shared" si="0"/>
        <v>310</v>
      </c>
      <c r="B312" s="9" t="str">
        <f t="shared" si="5"/>
        <v xml:space="preserve">MA
</v>
      </c>
      <c r="C312" s="9" t="s">
        <v>925</v>
      </c>
      <c r="D312" s="9" t="s">
        <v>861</v>
      </c>
      <c r="E312" s="12">
        <v>0</v>
      </c>
      <c r="F312" s="12">
        <v>0</v>
      </c>
      <c r="G312" s="9" t="s">
        <v>89</v>
      </c>
      <c r="H312" s="12"/>
      <c r="I312" s="9">
        <v>96599124571</v>
      </c>
      <c r="J312" s="12"/>
      <c r="K312" s="12"/>
      <c r="L312" s="12"/>
      <c r="M312" s="12"/>
      <c r="N312" s="13" t="str">
        <f t="shared" si="1"/>
        <v xml:space="preserve">Omran Kuwait for Aluminium
</v>
      </c>
      <c r="O312" s="16" t="s">
        <v>78</v>
      </c>
      <c r="P312" s="14">
        <v>4</v>
      </c>
      <c r="Q312" s="25">
        <v>44944</v>
      </c>
      <c r="R312" s="17"/>
      <c r="S312" s="17"/>
      <c r="T312" s="16" t="s">
        <v>101</v>
      </c>
      <c r="U312" s="17" t="str">
        <f t="shared" si="2"/>
        <v xml:space="preserve">Omran Kuwait for Aluminium
</v>
      </c>
      <c r="V312" s="16" t="s">
        <v>78</v>
      </c>
      <c r="W312" s="16" t="s">
        <v>79</v>
      </c>
      <c r="X312" s="15" t="s">
        <v>881</v>
      </c>
      <c r="Y312" s="16" t="s">
        <v>75</v>
      </c>
      <c r="Z312" s="16" t="s">
        <v>75</v>
      </c>
      <c r="AA312" s="16" t="s">
        <v>86</v>
      </c>
      <c r="AB312" s="18" t="str">
        <f t="shared" si="3"/>
        <v xml:space="preserve">Omran Kuwait for Aluminium
</v>
      </c>
      <c r="AC312" s="18"/>
      <c r="AD312" s="18"/>
      <c r="AE312" s="18"/>
      <c r="AF312" s="18"/>
      <c r="AG312" s="18"/>
      <c r="AH312" s="13"/>
      <c r="AI312" s="18"/>
      <c r="AJ312" s="13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3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2"/>
      <c r="BK312" s="12"/>
      <c r="BL312" s="12"/>
      <c r="BM312" s="9"/>
      <c r="BN312" s="9"/>
      <c r="BO312" s="9"/>
      <c r="BP312" s="12"/>
      <c r="BQ312" s="12"/>
      <c r="BR312" s="12"/>
      <c r="BS312" s="12"/>
      <c r="BT312" s="12"/>
      <c r="BU312" s="12"/>
      <c r="BV312" s="12"/>
      <c r="BW312" s="12"/>
      <c r="BX312" s="12"/>
      <c r="BY312" s="9"/>
      <c r="BZ312" s="21"/>
      <c r="CA312" s="21"/>
      <c r="CB312" s="21"/>
      <c r="CC312" s="21"/>
      <c r="CD312" s="21"/>
      <c r="CE312" s="21"/>
      <c r="CF312" s="21"/>
      <c r="CG312" s="21"/>
      <c r="CH312" s="21"/>
      <c r="CI312" s="21"/>
      <c r="CJ312" s="21"/>
    </row>
    <row r="313" spans="1:88" ht="40.5" customHeight="1">
      <c r="A313" s="24">
        <f t="shared" si="0"/>
        <v>311</v>
      </c>
      <c r="B313" s="24" t="str">
        <f t="shared" si="5"/>
        <v xml:space="preserve">MA
</v>
      </c>
      <c r="C313" s="24" t="s">
        <v>926</v>
      </c>
      <c r="D313" s="24" t="s">
        <v>861</v>
      </c>
      <c r="E313" s="30">
        <v>0</v>
      </c>
      <c r="F313" s="30">
        <v>0</v>
      </c>
      <c r="G313" s="24" t="s">
        <v>89</v>
      </c>
      <c r="H313" s="30"/>
      <c r="I313" s="24">
        <v>96566224533</v>
      </c>
      <c r="J313" s="30"/>
      <c r="K313" s="30"/>
      <c r="L313" s="30"/>
      <c r="M313" s="30"/>
      <c r="N313" s="33" t="str">
        <f t="shared" si="1"/>
        <v xml:space="preserve">SABA STEEL IRON AND ALUMINIUM TRADING COMPANY
</v>
      </c>
      <c r="O313" s="34" t="s">
        <v>78</v>
      </c>
      <c r="P313" s="35">
        <v>4</v>
      </c>
      <c r="Q313" s="36">
        <v>44944</v>
      </c>
      <c r="R313" s="35">
        <v>1</v>
      </c>
      <c r="S313" s="37">
        <v>6.25E-2</v>
      </c>
      <c r="T313" s="34" t="s">
        <v>4</v>
      </c>
      <c r="U313" s="17" t="str">
        <f t="shared" si="2"/>
        <v xml:space="preserve">SABA STEEL IRON AND ALUMINIUM TRADING COMPANY
</v>
      </c>
      <c r="V313" s="33"/>
      <c r="W313" s="33"/>
      <c r="X313" s="33"/>
      <c r="Y313" s="33"/>
      <c r="Z313" s="33"/>
      <c r="AA313" s="33"/>
      <c r="AB313" s="39" t="str">
        <f t="shared" si="3"/>
        <v xml:space="preserve">SABA STEEL IRON AND ALUMINIUM TRADING COMPANY
</v>
      </c>
      <c r="AC313" s="39"/>
      <c r="AD313" s="39"/>
      <c r="AE313" s="39"/>
      <c r="AF313" s="39"/>
      <c r="AG313" s="39"/>
      <c r="AH313" s="33"/>
      <c r="AI313" s="39"/>
      <c r="AJ313" s="33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3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0"/>
      <c r="BK313" s="30"/>
      <c r="BL313" s="30"/>
      <c r="BM313" s="24"/>
      <c r="BN313" s="24"/>
      <c r="BO313" s="24"/>
      <c r="BP313" s="30"/>
      <c r="BQ313" s="30"/>
      <c r="BR313" s="30"/>
      <c r="BS313" s="30"/>
      <c r="BT313" s="30"/>
      <c r="BU313" s="30"/>
      <c r="BV313" s="30"/>
      <c r="BW313" s="30"/>
      <c r="BX313" s="30"/>
      <c r="BY313" s="24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</row>
    <row r="314" spans="1:88" ht="40.5" customHeight="1">
      <c r="A314" s="9">
        <f t="shared" si="0"/>
        <v>312</v>
      </c>
      <c r="B314" s="9" t="str">
        <f t="shared" si="5"/>
        <v xml:space="preserve">MA
</v>
      </c>
      <c r="C314" s="9" t="s">
        <v>927</v>
      </c>
      <c r="D314" s="9" t="s">
        <v>861</v>
      </c>
      <c r="E314" s="12">
        <v>0</v>
      </c>
      <c r="F314" s="12">
        <v>0</v>
      </c>
      <c r="G314" s="9" t="s">
        <v>89</v>
      </c>
      <c r="H314" s="12"/>
      <c r="I314" s="9">
        <v>96565555359</v>
      </c>
      <c r="J314" s="12"/>
      <c r="K314" s="12"/>
      <c r="L314" s="12"/>
      <c r="M314" s="12"/>
      <c r="N314" s="13" t="str">
        <f t="shared" si="1"/>
        <v xml:space="preserve">Syndicate Trading Co.
</v>
      </c>
      <c r="O314" s="16" t="s">
        <v>78</v>
      </c>
      <c r="P314" s="14">
        <v>4</v>
      </c>
      <c r="Q314" s="25">
        <v>44944</v>
      </c>
      <c r="R314" s="17"/>
      <c r="S314" s="17"/>
      <c r="T314" s="16" t="s">
        <v>101</v>
      </c>
      <c r="U314" s="17" t="str">
        <f t="shared" si="2"/>
        <v xml:space="preserve">Syndicate Trading Co.
</v>
      </c>
      <c r="V314" s="16" t="s">
        <v>78</v>
      </c>
      <c r="W314" s="16" t="s">
        <v>79</v>
      </c>
      <c r="X314" s="15" t="s">
        <v>881</v>
      </c>
      <c r="Y314" s="16" t="s">
        <v>75</v>
      </c>
      <c r="Z314" s="16" t="s">
        <v>75</v>
      </c>
      <c r="AA314" s="16" t="s">
        <v>101</v>
      </c>
      <c r="AB314" s="18" t="str">
        <f t="shared" si="3"/>
        <v xml:space="preserve">Syndicate Trading Co.
</v>
      </c>
      <c r="AC314" s="18"/>
      <c r="AD314" s="18"/>
      <c r="AE314" s="18"/>
      <c r="AF314" s="18"/>
      <c r="AG314" s="18"/>
      <c r="AH314" s="13"/>
      <c r="AI314" s="18"/>
      <c r="AJ314" s="13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3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2"/>
      <c r="BK314" s="12"/>
      <c r="BL314" s="12"/>
      <c r="BM314" s="9"/>
      <c r="BN314" s="9"/>
      <c r="BO314" s="9"/>
      <c r="BP314" s="12"/>
      <c r="BQ314" s="12"/>
      <c r="BR314" s="12"/>
      <c r="BS314" s="12"/>
      <c r="BT314" s="12"/>
      <c r="BU314" s="12"/>
      <c r="BV314" s="12"/>
      <c r="BW314" s="12"/>
      <c r="BX314" s="12"/>
      <c r="BY314" s="9"/>
      <c r="BZ314" s="21"/>
      <c r="CA314" s="21"/>
      <c r="CB314" s="21"/>
      <c r="CC314" s="21"/>
      <c r="CD314" s="21"/>
      <c r="CE314" s="21"/>
      <c r="CF314" s="21"/>
      <c r="CG314" s="21"/>
      <c r="CH314" s="21"/>
      <c r="CI314" s="21"/>
      <c r="CJ314" s="21"/>
    </row>
    <row r="315" spans="1:88" ht="40.5" customHeight="1">
      <c r="A315" s="9">
        <f t="shared" si="0"/>
        <v>313</v>
      </c>
      <c r="B315" s="9" t="str">
        <f t="shared" si="5"/>
        <v xml:space="preserve">MA
</v>
      </c>
      <c r="C315" s="9" t="s">
        <v>928</v>
      </c>
      <c r="D315" s="9" t="s">
        <v>861</v>
      </c>
      <c r="E315" s="12">
        <v>0</v>
      </c>
      <c r="F315" s="12">
        <v>0</v>
      </c>
      <c r="G315" s="9" t="s">
        <v>89</v>
      </c>
      <c r="H315" s="12"/>
      <c r="I315" s="9" t="s">
        <v>929</v>
      </c>
      <c r="J315" s="12"/>
      <c r="K315" s="12"/>
      <c r="L315" s="12"/>
      <c r="M315" s="12"/>
      <c r="N315" s="13" t="str">
        <f t="shared" si="1"/>
        <v xml:space="preserve">G4 Aluminum Trading Company
</v>
      </c>
      <c r="O315" s="16" t="s">
        <v>78</v>
      </c>
      <c r="P315" s="14">
        <v>3</v>
      </c>
      <c r="Q315" s="25">
        <v>44944</v>
      </c>
      <c r="R315" s="14">
        <v>5</v>
      </c>
      <c r="S315" s="26">
        <v>0.1125</v>
      </c>
      <c r="T315" s="16" t="s">
        <v>108</v>
      </c>
      <c r="U315" s="17" t="str">
        <f t="shared" si="2"/>
        <v xml:space="preserve">G4 Aluminum Trading Company
</v>
      </c>
      <c r="V315" s="16" t="s">
        <v>78</v>
      </c>
      <c r="W315" s="16" t="s">
        <v>79</v>
      </c>
      <c r="X315" s="15" t="s">
        <v>881</v>
      </c>
      <c r="Y315" s="16" t="s">
        <v>75</v>
      </c>
      <c r="Z315" s="16" t="s">
        <v>75</v>
      </c>
      <c r="AA315" s="16" t="s">
        <v>86</v>
      </c>
      <c r="AB315" s="18" t="str">
        <f t="shared" si="3"/>
        <v xml:space="preserve">G4 Aluminum Trading Company
</v>
      </c>
      <c r="AC315" s="18"/>
      <c r="AD315" s="18"/>
      <c r="AE315" s="18"/>
      <c r="AF315" s="18"/>
      <c r="AG315" s="18"/>
      <c r="AH315" s="13"/>
      <c r="AI315" s="18"/>
      <c r="AJ315" s="13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3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2"/>
      <c r="BK315" s="12"/>
      <c r="BL315" s="12"/>
      <c r="BM315" s="9"/>
      <c r="BN315" s="9"/>
      <c r="BO315" s="9"/>
      <c r="BP315" s="12"/>
      <c r="BQ315" s="12"/>
      <c r="BR315" s="12"/>
      <c r="BS315" s="12"/>
      <c r="BT315" s="12"/>
      <c r="BU315" s="12"/>
      <c r="BV315" s="12"/>
      <c r="BW315" s="12"/>
      <c r="BX315" s="12"/>
      <c r="BY315" s="9"/>
      <c r="BZ315" s="21"/>
      <c r="CA315" s="21"/>
      <c r="CB315" s="21"/>
      <c r="CC315" s="21"/>
      <c r="CD315" s="21"/>
      <c r="CE315" s="21"/>
      <c r="CF315" s="21"/>
      <c r="CG315" s="21"/>
      <c r="CH315" s="21"/>
      <c r="CI315" s="21"/>
      <c r="CJ315" s="21"/>
    </row>
    <row r="316" spans="1:88" ht="40.5" customHeight="1">
      <c r="A316" s="9">
        <f t="shared" si="0"/>
        <v>314</v>
      </c>
      <c r="B316" s="9" t="str">
        <f t="shared" si="5"/>
        <v xml:space="preserve">MA
</v>
      </c>
      <c r="C316" s="9" t="s">
        <v>930</v>
      </c>
      <c r="D316" s="9" t="s">
        <v>861</v>
      </c>
      <c r="E316" s="12">
        <v>0</v>
      </c>
      <c r="F316" s="12">
        <v>0</v>
      </c>
      <c r="G316" s="9" t="s">
        <v>89</v>
      </c>
      <c r="H316" s="12"/>
      <c r="I316" s="9" t="s">
        <v>931</v>
      </c>
      <c r="J316" s="12"/>
      <c r="K316" s="12"/>
      <c r="L316" s="12"/>
      <c r="M316" s="12"/>
      <c r="N316" s="13" t="str">
        <f t="shared" si="1"/>
        <v xml:space="preserve">Arabi Company W.L.L. Aluminum &amp; Building System Sections
</v>
      </c>
      <c r="O316" s="16" t="s">
        <v>78</v>
      </c>
      <c r="P316" s="14">
        <v>3</v>
      </c>
      <c r="Q316" s="25">
        <v>44944</v>
      </c>
      <c r="R316" s="14"/>
      <c r="S316" s="17"/>
      <c r="T316" s="16" t="s">
        <v>101</v>
      </c>
      <c r="U316" s="17" t="str">
        <f t="shared" si="2"/>
        <v xml:space="preserve">Arabi Company W.L.L. Aluminum &amp; Building System Sections
</v>
      </c>
      <c r="V316" s="16" t="s">
        <v>98</v>
      </c>
      <c r="W316" s="16" t="s">
        <v>79</v>
      </c>
      <c r="X316" s="15" t="s">
        <v>881</v>
      </c>
      <c r="Y316" s="16" t="s">
        <v>75</v>
      </c>
      <c r="Z316" s="16" t="s">
        <v>75</v>
      </c>
      <c r="AA316" s="16" t="s">
        <v>86</v>
      </c>
      <c r="AB316" s="18" t="str">
        <f t="shared" si="3"/>
        <v xml:space="preserve">Arabi Company W.L.L. Aluminum &amp; Building System Sections
</v>
      </c>
      <c r="AC316" s="18"/>
      <c r="AD316" s="18"/>
      <c r="AE316" s="18"/>
      <c r="AF316" s="18"/>
      <c r="AG316" s="18"/>
      <c r="AH316" s="13"/>
      <c r="AI316" s="18"/>
      <c r="AJ316" s="13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3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2"/>
      <c r="BK316" s="12"/>
      <c r="BL316" s="12"/>
      <c r="BM316" s="9"/>
      <c r="BN316" s="9"/>
      <c r="BO316" s="9"/>
      <c r="BP316" s="12"/>
      <c r="BQ316" s="12"/>
      <c r="BR316" s="12"/>
      <c r="BS316" s="12"/>
      <c r="BT316" s="12"/>
      <c r="BU316" s="12"/>
      <c r="BV316" s="12"/>
      <c r="BW316" s="12"/>
      <c r="BX316" s="12"/>
      <c r="BY316" s="9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</row>
    <row r="317" spans="1:88" ht="40.5" customHeight="1">
      <c r="A317" s="24">
        <f t="shared" si="0"/>
        <v>315</v>
      </c>
      <c r="B317" s="24" t="str">
        <f t="shared" si="5"/>
        <v xml:space="preserve">MA
</v>
      </c>
      <c r="C317" s="49" t="s">
        <v>932</v>
      </c>
      <c r="D317" s="24" t="s">
        <v>861</v>
      </c>
      <c r="E317" s="30">
        <v>0</v>
      </c>
      <c r="F317" s="30">
        <v>0</v>
      </c>
      <c r="G317" s="24" t="s">
        <v>89</v>
      </c>
      <c r="H317" s="30"/>
      <c r="I317" s="24">
        <v>96524729071</v>
      </c>
      <c r="J317" s="30"/>
      <c r="K317" s="30"/>
      <c r="L317" s="30"/>
      <c r="M317" s="30"/>
      <c r="N317" s="33" t="str">
        <f t="shared" si="1"/>
        <v>سيف العداله</v>
      </c>
      <c r="O317" s="34" t="s">
        <v>78</v>
      </c>
      <c r="P317" s="35">
        <v>3</v>
      </c>
      <c r="Q317" s="36">
        <v>44944</v>
      </c>
      <c r="R317" s="35">
        <v>1</v>
      </c>
      <c r="S317" s="37">
        <v>9.0972222222222218E-2</v>
      </c>
      <c r="T317" s="34" t="s">
        <v>4</v>
      </c>
      <c r="U317" s="17" t="str">
        <f t="shared" si="2"/>
        <v>سيف العداله</v>
      </c>
      <c r="V317" s="33"/>
      <c r="W317" s="33"/>
      <c r="X317" s="33"/>
      <c r="Y317" s="33"/>
      <c r="Z317" s="33"/>
      <c r="AA317" s="33"/>
      <c r="AB317" s="39" t="str">
        <f t="shared" si="3"/>
        <v>سيف العداله</v>
      </c>
      <c r="AC317" s="39"/>
      <c r="AD317" s="39"/>
      <c r="AE317" s="39"/>
      <c r="AF317" s="39"/>
      <c r="AG317" s="39"/>
      <c r="AH317" s="33"/>
      <c r="AI317" s="39"/>
      <c r="AJ317" s="33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3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0"/>
      <c r="BK317" s="30"/>
      <c r="BL317" s="30"/>
      <c r="BM317" s="24"/>
      <c r="BN317" s="24"/>
      <c r="BO317" s="24"/>
      <c r="BP317" s="30"/>
      <c r="BQ317" s="30"/>
      <c r="BR317" s="30"/>
      <c r="BS317" s="30"/>
      <c r="BT317" s="30"/>
      <c r="BU317" s="30"/>
      <c r="BV317" s="30"/>
      <c r="BW317" s="30"/>
      <c r="BX317" s="30"/>
      <c r="BY317" s="24"/>
      <c r="BZ317" s="42"/>
      <c r="CA317" s="42"/>
      <c r="CB317" s="42"/>
      <c r="CC317" s="42"/>
      <c r="CD317" s="42"/>
      <c r="CE317" s="42"/>
      <c r="CF317" s="42"/>
      <c r="CG317" s="42"/>
      <c r="CH317" s="42"/>
      <c r="CI317" s="42"/>
      <c r="CJ317" s="42"/>
    </row>
    <row r="318" spans="1:88" ht="40.5" customHeight="1">
      <c r="A318" s="9">
        <f t="shared" si="0"/>
        <v>316</v>
      </c>
      <c r="B318" s="9" t="str">
        <f t="shared" si="5"/>
        <v xml:space="preserve">MA
</v>
      </c>
      <c r="C318" s="9" t="s">
        <v>933</v>
      </c>
      <c r="D318" s="9" t="s">
        <v>861</v>
      </c>
      <c r="E318" s="12">
        <v>0</v>
      </c>
      <c r="F318" s="12">
        <v>0</v>
      </c>
      <c r="G318" s="9" t="s">
        <v>89</v>
      </c>
      <c r="H318" s="12"/>
      <c r="I318" s="9">
        <v>96524725247</v>
      </c>
      <c r="J318" s="12"/>
      <c r="K318" s="12"/>
      <c r="L318" s="12"/>
      <c r="M318" s="12"/>
      <c r="N318" s="13" t="str">
        <f t="shared" si="1"/>
        <v xml:space="preserve">Alu glass
</v>
      </c>
      <c r="O318" s="16" t="s">
        <v>78</v>
      </c>
      <c r="P318" s="14">
        <v>3</v>
      </c>
      <c r="Q318" s="25">
        <v>44945</v>
      </c>
      <c r="R318" s="17"/>
      <c r="S318" s="17"/>
      <c r="T318" s="16" t="s">
        <v>126</v>
      </c>
      <c r="U318" s="17" t="str">
        <f t="shared" si="2"/>
        <v xml:space="preserve">Alu glass
</v>
      </c>
      <c r="V318" s="13"/>
      <c r="W318" s="13"/>
      <c r="X318" s="13"/>
      <c r="Y318" s="13"/>
      <c r="Z318" s="13"/>
      <c r="AA318" s="13"/>
      <c r="AB318" s="18" t="str">
        <f t="shared" si="3"/>
        <v xml:space="preserve">Alu glass
</v>
      </c>
      <c r="AC318" s="18"/>
      <c r="AD318" s="18"/>
      <c r="AE318" s="18"/>
      <c r="AF318" s="18"/>
      <c r="AG318" s="18"/>
      <c r="AH318" s="13"/>
      <c r="AI318" s="18"/>
      <c r="AJ318" s="13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3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2"/>
      <c r="BK318" s="12"/>
      <c r="BL318" s="12"/>
      <c r="BM318" s="9"/>
      <c r="BN318" s="9"/>
      <c r="BO318" s="9"/>
      <c r="BP318" s="12"/>
      <c r="BQ318" s="12"/>
      <c r="BR318" s="12"/>
      <c r="BS318" s="12"/>
      <c r="BT318" s="12"/>
      <c r="BU318" s="12"/>
      <c r="BV318" s="12"/>
      <c r="BW318" s="12"/>
      <c r="BX318" s="12"/>
      <c r="BY318" s="9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</row>
    <row r="319" spans="1:88" ht="40.5" customHeight="1">
      <c r="A319" s="9">
        <f t="shared" si="0"/>
        <v>317</v>
      </c>
      <c r="B319" s="9" t="str">
        <f t="shared" si="5"/>
        <v xml:space="preserve">MA
</v>
      </c>
      <c r="C319" s="9" t="s">
        <v>934</v>
      </c>
      <c r="D319" s="9" t="s">
        <v>861</v>
      </c>
      <c r="E319" s="12">
        <v>0</v>
      </c>
      <c r="F319" s="12">
        <v>0</v>
      </c>
      <c r="G319" s="9" t="s">
        <v>89</v>
      </c>
      <c r="H319" s="12"/>
      <c r="I319" s="9" t="s">
        <v>935</v>
      </c>
      <c r="J319" s="12"/>
      <c r="K319" s="12"/>
      <c r="L319" s="12"/>
      <c r="M319" s="12"/>
      <c r="N319" s="13" t="str">
        <f t="shared" si="1"/>
        <v xml:space="preserve">Panorama International for doors and windows Co.
</v>
      </c>
      <c r="O319" s="16" t="s">
        <v>78</v>
      </c>
      <c r="P319" s="14">
        <v>3</v>
      </c>
      <c r="Q319" s="25">
        <v>44945</v>
      </c>
      <c r="R319" s="17"/>
      <c r="S319" s="17"/>
      <c r="T319" s="16" t="s">
        <v>101</v>
      </c>
      <c r="U319" s="17" t="str">
        <f t="shared" si="2"/>
        <v xml:space="preserve">Panorama International for doors and windows Co.
</v>
      </c>
      <c r="V319" s="16" t="s">
        <v>78</v>
      </c>
      <c r="W319" s="16" t="s">
        <v>79</v>
      </c>
      <c r="X319" s="15" t="s">
        <v>881</v>
      </c>
      <c r="Y319" s="16" t="s">
        <v>75</v>
      </c>
      <c r="Z319" s="16" t="s">
        <v>75</v>
      </c>
      <c r="AA319" s="16" t="s">
        <v>101</v>
      </c>
      <c r="AB319" s="18" t="str">
        <f t="shared" si="3"/>
        <v xml:space="preserve">Panorama International for doors and windows Co.
</v>
      </c>
      <c r="AC319" s="18"/>
      <c r="AD319" s="18"/>
      <c r="AE319" s="18"/>
      <c r="AF319" s="18"/>
      <c r="AG319" s="18"/>
      <c r="AH319" s="13"/>
      <c r="AI319" s="18"/>
      <c r="AJ319" s="13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3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2"/>
      <c r="BK319" s="12"/>
      <c r="BL319" s="12"/>
      <c r="BM319" s="9"/>
      <c r="BN319" s="9"/>
      <c r="BO319" s="9"/>
      <c r="BP319" s="12"/>
      <c r="BQ319" s="12"/>
      <c r="BR319" s="12"/>
      <c r="BS319" s="12"/>
      <c r="BT319" s="12"/>
      <c r="BU319" s="12"/>
      <c r="BV319" s="12"/>
      <c r="BW319" s="12"/>
      <c r="BX319" s="12"/>
      <c r="BY319" s="9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</row>
    <row r="320" spans="1:88" ht="40.5" customHeight="1">
      <c r="A320" s="9">
        <f t="shared" si="0"/>
        <v>318</v>
      </c>
      <c r="B320" s="9" t="str">
        <f t="shared" si="5"/>
        <v xml:space="preserve">MA
</v>
      </c>
      <c r="C320" s="28" t="s">
        <v>936</v>
      </c>
      <c r="D320" s="9" t="s">
        <v>861</v>
      </c>
      <c r="E320" s="12">
        <v>0</v>
      </c>
      <c r="F320" s="12">
        <v>0</v>
      </c>
      <c r="G320" s="9" t="s">
        <v>89</v>
      </c>
      <c r="H320" s="12"/>
      <c r="I320" s="9">
        <v>96590911826</v>
      </c>
      <c r="J320" s="12"/>
      <c r="K320" s="12"/>
      <c r="L320" s="12"/>
      <c r="M320" s="12"/>
      <c r="N320" s="13" t="str">
        <f t="shared" si="1"/>
        <v>شركة الروابط الكويتية البريطانية - الالمنيوم</v>
      </c>
      <c r="O320" s="16" t="s">
        <v>78</v>
      </c>
      <c r="P320" s="14">
        <v>3</v>
      </c>
      <c r="Q320" s="25">
        <v>44945</v>
      </c>
      <c r="R320" s="17"/>
      <c r="S320" s="17"/>
      <c r="T320" s="16" t="s">
        <v>126</v>
      </c>
      <c r="U320" s="17" t="str">
        <f t="shared" si="2"/>
        <v>شركة الروابط الكويتية البريطانية - الالمنيوم</v>
      </c>
      <c r="V320" s="13"/>
      <c r="W320" s="13"/>
      <c r="X320" s="13"/>
      <c r="Y320" s="13"/>
      <c r="Z320" s="13"/>
      <c r="AA320" s="13"/>
      <c r="AB320" s="18" t="str">
        <f t="shared" si="3"/>
        <v>شركة الروابط الكويتية البريطانية - الالمنيوم</v>
      </c>
      <c r="AC320" s="18"/>
      <c r="AD320" s="18"/>
      <c r="AE320" s="18"/>
      <c r="AF320" s="18"/>
      <c r="AG320" s="18"/>
      <c r="AH320" s="13"/>
      <c r="AI320" s="18"/>
      <c r="AJ320" s="13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3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2"/>
      <c r="BK320" s="12"/>
      <c r="BL320" s="12"/>
      <c r="BM320" s="9"/>
      <c r="BN320" s="9"/>
      <c r="BO320" s="9"/>
      <c r="BP320" s="12"/>
      <c r="BQ320" s="12"/>
      <c r="BR320" s="12"/>
      <c r="BS320" s="12"/>
      <c r="BT320" s="12"/>
      <c r="BU320" s="12"/>
      <c r="BV320" s="12"/>
      <c r="BW320" s="12"/>
      <c r="BX320" s="12"/>
      <c r="BY320" s="9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</row>
    <row r="321" spans="1:88" ht="40.5" customHeight="1">
      <c r="A321" s="9">
        <f t="shared" si="0"/>
        <v>319</v>
      </c>
      <c r="B321" s="9" t="str">
        <f t="shared" si="5"/>
        <v xml:space="preserve">MA
</v>
      </c>
      <c r="C321" s="9" t="s">
        <v>937</v>
      </c>
      <c r="D321" s="9" t="s">
        <v>861</v>
      </c>
      <c r="E321" s="12">
        <v>0</v>
      </c>
      <c r="F321" s="12">
        <v>0</v>
      </c>
      <c r="G321" s="9" t="s">
        <v>89</v>
      </c>
      <c r="H321" s="12"/>
      <c r="I321" s="9">
        <v>96524755969</v>
      </c>
      <c r="J321" s="9" t="s">
        <v>938</v>
      </c>
      <c r="K321" s="12"/>
      <c r="L321" s="12"/>
      <c r="M321" s="12"/>
      <c r="N321" s="13" t="str">
        <f t="shared" si="1"/>
        <v xml:space="preserve">Top Rock company,Al rai
</v>
      </c>
      <c r="O321" s="16" t="s">
        <v>98</v>
      </c>
      <c r="P321" s="14">
        <v>3</v>
      </c>
      <c r="Q321" s="25">
        <v>44945</v>
      </c>
      <c r="R321" s="17"/>
      <c r="S321" s="17"/>
      <c r="T321" s="16" t="s">
        <v>81</v>
      </c>
      <c r="U321" s="17" t="str">
        <f t="shared" si="2"/>
        <v xml:space="preserve">Top Rock company,Al rai
</v>
      </c>
      <c r="V321" s="16" t="s">
        <v>78</v>
      </c>
      <c r="W321" s="16" t="s">
        <v>79</v>
      </c>
      <c r="X321" s="15" t="s">
        <v>221</v>
      </c>
      <c r="Y321" s="16" t="s">
        <v>75</v>
      </c>
      <c r="Z321" s="16" t="s">
        <v>75</v>
      </c>
      <c r="AA321" s="16" t="s">
        <v>166</v>
      </c>
      <c r="AB321" s="18" t="str">
        <f t="shared" si="3"/>
        <v xml:space="preserve">Top Rock company,Al rai
</v>
      </c>
      <c r="AC321" s="18"/>
      <c r="AD321" s="18"/>
      <c r="AE321" s="18"/>
      <c r="AF321" s="18"/>
      <c r="AG321" s="18"/>
      <c r="AH321" s="13"/>
      <c r="AI321" s="18"/>
      <c r="AJ321" s="13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3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2"/>
      <c r="BK321" s="12"/>
      <c r="BL321" s="12"/>
      <c r="BM321" s="9"/>
      <c r="BN321" s="9"/>
      <c r="BO321" s="9"/>
      <c r="BP321" s="12"/>
      <c r="BQ321" s="12"/>
      <c r="BR321" s="12"/>
      <c r="BS321" s="12"/>
      <c r="BT321" s="12"/>
      <c r="BU321" s="12"/>
      <c r="BV321" s="12"/>
      <c r="BW321" s="12"/>
      <c r="BX321" s="12"/>
      <c r="BY321" s="9"/>
      <c r="BZ321" s="21"/>
      <c r="CA321" s="21"/>
      <c r="CB321" s="21"/>
      <c r="CC321" s="21"/>
      <c r="CD321" s="21"/>
      <c r="CE321" s="21"/>
      <c r="CF321" s="21"/>
      <c r="CG321" s="21"/>
      <c r="CH321" s="21"/>
      <c r="CI321" s="21"/>
      <c r="CJ321" s="21"/>
    </row>
    <row r="322" spans="1:88" ht="40.5" customHeight="1">
      <c r="A322" s="24">
        <f t="shared" si="0"/>
        <v>320</v>
      </c>
      <c r="B322" s="24" t="str">
        <f t="shared" si="5"/>
        <v xml:space="preserve">MA
</v>
      </c>
      <c r="C322" s="24" t="s">
        <v>939</v>
      </c>
      <c r="D322" s="24" t="s">
        <v>861</v>
      </c>
      <c r="E322" s="30">
        <v>0</v>
      </c>
      <c r="F322" s="30">
        <v>0</v>
      </c>
      <c r="G322" s="24" t="s">
        <v>89</v>
      </c>
      <c r="H322" s="30"/>
      <c r="I322" s="24">
        <v>96596739430</v>
      </c>
      <c r="J322" s="30"/>
      <c r="K322" s="30"/>
      <c r="L322" s="30"/>
      <c r="M322" s="30"/>
      <c r="N322" s="33" t="str">
        <f t="shared" si="1"/>
        <v xml:space="preserve">RZQ Glass
</v>
      </c>
      <c r="O322" s="33"/>
      <c r="P322" s="38"/>
      <c r="Q322" s="33"/>
      <c r="R322" s="38"/>
      <c r="S322" s="38"/>
      <c r="T322" s="33"/>
      <c r="U322" s="17" t="str">
        <f t="shared" si="2"/>
        <v xml:space="preserve">RZQ Glass
</v>
      </c>
      <c r="V322" s="33"/>
      <c r="W322" s="33"/>
      <c r="X322" s="33"/>
      <c r="Y322" s="33"/>
      <c r="Z322" s="33"/>
      <c r="AA322" s="33"/>
      <c r="AB322" s="39" t="str">
        <f t="shared" si="3"/>
        <v xml:space="preserve">RZQ Glass
</v>
      </c>
      <c r="AC322" s="39"/>
      <c r="AD322" s="39"/>
      <c r="AE322" s="39"/>
      <c r="AF322" s="39"/>
      <c r="AG322" s="39"/>
      <c r="AH322" s="33"/>
      <c r="AI322" s="39"/>
      <c r="AJ322" s="33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3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0"/>
      <c r="BK322" s="30"/>
      <c r="BL322" s="30"/>
      <c r="BM322" s="24"/>
      <c r="BN322" s="24"/>
      <c r="BO322" s="24"/>
      <c r="BP322" s="30"/>
      <c r="BQ322" s="30"/>
      <c r="BR322" s="30"/>
      <c r="BS322" s="30"/>
      <c r="BT322" s="30"/>
      <c r="BU322" s="30"/>
      <c r="BV322" s="30"/>
      <c r="BW322" s="30"/>
      <c r="BX322" s="30"/>
      <c r="BY322" s="24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</row>
    <row r="323" spans="1:88" ht="40.5" customHeight="1">
      <c r="A323" s="9"/>
      <c r="B323" s="9"/>
      <c r="C323" s="9" t="s">
        <v>940</v>
      </c>
      <c r="D323" s="9" t="s">
        <v>119</v>
      </c>
      <c r="E323" s="12"/>
      <c r="F323" s="12"/>
      <c r="G323" s="9"/>
      <c r="H323" s="9"/>
      <c r="I323" s="9">
        <v>96897457959</v>
      </c>
      <c r="J323" s="12"/>
      <c r="K323" s="12"/>
      <c r="L323" s="12"/>
      <c r="M323" s="12"/>
      <c r="N323" s="13"/>
      <c r="O323" s="16" t="s">
        <v>98</v>
      </c>
      <c r="P323" s="14">
        <v>1</v>
      </c>
      <c r="Q323" s="25"/>
      <c r="R323" s="17"/>
      <c r="S323" s="17"/>
      <c r="T323" s="16"/>
      <c r="U323" s="17" t="str">
        <f t="shared" si="2"/>
        <v>New Saray</v>
      </c>
      <c r="V323" s="16" t="s">
        <v>98</v>
      </c>
      <c r="W323" s="15" t="s">
        <v>792</v>
      </c>
      <c r="X323" s="15" t="s">
        <v>122</v>
      </c>
      <c r="Y323" s="16" t="s">
        <v>75</v>
      </c>
      <c r="Z323" s="16" t="s">
        <v>75</v>
      </c>
      <c r="AA323" s="16" t="s">
        <v>86</v>
      </c>
      <c r="AB323" s="18"/>
      <c r="AC323" s="19" t="s">
        <v>98</v>
      </c>
      <c r="AD323" s="19" t="s">
        <v>79</v>
      </c>
      <c r="AE323" s="20" t="s">
        <v>132</v>
      </c>
      <c r="AF323" s="19" t="s">
        <v>75</v>
      </c>
      <c r="AG323" s="19" t="s">
        <v>75</v>
      </c>
      <c r="AH323" s="16" t="s">
        <v>86</v>
      </c>
      <c r="AI323" s="18"/>
      <c r="AJ323" s="16" t="s">
        <v>98</v>
      </c>
      <c r="AK323" s="19" t="s">
        <v>79</v>
      </c>
      <c r="AL323" s="20" t="s">
        <v>80</v>
      </c>
      <c r="AM323" s="19" t="s">
        <v>75</v>
      </c>
      <c r="AN323" s="19" t="s">
        <v>75</v>
      </c>
      <c r="AO323" s="19" t="s">
        <v>86</v>
      </c>
      <c r="AP323" s="18"/>
      <c r="AQ323" s="18"/>
      <c r="AR323" s="18"/>
      <c r="AS323" s="18"/>
      <c r="AT323" s="18"/>
      <c r="AU323" s="18"/>
      <c r="AV323" s="18"/>
      <c r="AW323" s="18"/>
      <c r="AX323" s="13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2"/>
      <c r="BK323" s="12"/>
      <c r="BL323" s="12"/>
      <c r="BM323" s="9"/>
      <c r="BN323" s="9"/>
      <c r="BO323" s="9"/>
      <c r="BP323" s="12"/>
      <c r="BQ323" s="12"/>
      <c r="BR323" s="12"/>
      <c r="BS323" s="12"/>
      <c r="BT323" s="12"/>
      <c r="BU323" s="12"/>
      <c r="BV323" s="12"/>
      <c r="BW323" s="12"/>
      <c r="BX323" s="12"/>
      <c r="BY323" s="9"/>
      <c r="BZ323" s="21"/>
      <c r="CA323" s="21"/>
      <c r="CB323" s="21"/>
      <c r="CC323" s="21"/>
      <c r="CD323" s="21"/>
      <c r="CE323" s="21"/>
      <c r="CF323" s="21"/>
      <c r="CG323" s="21"/>
      <c r="CH323" s="21"/>
      <c r="CI323" s="21"/>
      <c r="CJ323" s="21"/>
    </row>
    <row r="324" spans="1:88" ht="40.5" customHeight="1">
      <c r="A324" s="9">
        <f t="shared" ref="A324:A335" si="6">IF(C324="","",ROW()-2)</f>
        <v>322</v>
      </c>
      <c r="B324" s="9" t="str">
        <f t="shared" ref="B324:B335" si="7">IF(C324="","","MA
")</f>
        <v xml:space="preserve">MA
</v>
      </c>
      <c r="C324" s="28" t="s">
        <v>941</v>
      </c>
      <c r="D324" s="9" t="s">
        <v>861</v>
      </c>
      <c r="E324" s="12">
        <v>0</v>
      </c>
      <c r="F324" s="12">
        <v>0</v>
      </c>
      <c r="G324" s="9" t="s">
        <v>89</v>
      </c>
      <c r="H324" s="9" t="s">
        <v>942</v>
      </c>
      <c r="I324" s="9">
        <v>96594026555</v>
      </c>
      <c r="J324" s="63"/>
      <c r="K324" s="11" t="s">
        <v>943</v>
      </c>
      <c r="L324" s="12"/>
      <c r="M324" s="12"/>
      <c r="N324" s="13" t="str">
        <f t="shared" ref="N324:N335" si="8">C324</f>
        <v xml:space="preserve">Window Company (WINCO) شركة ويندو كومباني
</v>
      </c>
      <c r="O324" s="16" t="s">
        <v>78</v>
      </c>
      <c r="P324" s="14">
        <v>3</v>
      </c>
      <c r="Q324" s="25">
        <v>44945</v>
      </c>
      <c r="R324" s="17"/>
      <c r="S324" s="17"/>
      <c r="T324" s="16" t="s">
        <v>101</v>
      </c>
      <c r="U324" s="17" t="str">
        <f t="shared" si="2"/>
        <v xml:space="preserve">Window Company (WINCO) شركة ويندو كومباني
</v>
      </c>
      <c r="V324" s="16" t="s">
        <v>78</v>
      </c>
      <c r="W324" s="16">
        <v>4</v>
      </c>
      <c r="X324" s="25">
        <v>44957</v>
      </c>
      <c r="Y324" s="16">
        <v>3</v>
      </c>
      <c r="Z324" s="29">
        <v>1.3194444444444444E-2</v>
      </c>
      <c r="AA324" s="16" t="s">
        <v>86</v>
      </c>
      <c r="AB324" s="18" t="str">
        <f t="shared" ref="AB324:AB335" si="9">C324</f>
        <v xml:space="preserve">Window Company (WINCO) شركة ويندو كومباني
</v>
      </c>
      <c r="AC324" s="19" t="s">
        <v>78</v>
      </c>
      <c r="AD324" s="19" t="s">
        <v>79</v>
      </c>
      <c r="AE324" s="20" t="s">
        <v>221</v>
      </c>
      <c r="AF324" s="19" t="s">
        <v>75</v>
      </c>
      <c r="AG324" s="19" t="s">
        <v>75</v>
      </c>
      <c r="AH324" s="16" t="s">
        <v>101</v>
      </c>
      <c r="AI324" s="18"/>
      <c r="AJ324" s="13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3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2"/>
      <c r="BK324" s="12"/>
      <c r="BL324" s="12"/>
      <c r="BM324" s="9"/>
      <c r="BN324" s="9"/>
      <c r="BO324" s="9"/>
      <c r="BP324" s="12"/>
      <c r="BQ324" s="12"/>
      <c r="BR324" s="12"/>
      <c r="BS324" s="12"/>
      <c r="BT324" s="12"/>
      <c r="BU324" s="12"/>
      <c r="BV324" s="12"/>
      <c r="BW324" s="12"/>
      <c r="BX324" s="12"/>
      <c r="BY324" s="9"/>
      <c r="BZ324" s="21"/>
      <c r="CA324" s="21"/>
      <c r="CB324" s="21"/>
      <c r="CC324" s="21"/>
      <c r="CD324" s="21"/>
      <c r="CE324" s="21"/>
      <c r="CF324" s="21"/>
      <c r="CG324" s="21"/>
      <c r="CH324" s="21"/>
      <c r="CI324" s="21"/>
      <c r="CJ324" s="21"/>
    </row>
    <row r="325" spans="1:88" ht="40.5" customHeight="1">
      <c r="A325" s="9">
        <f t="shared" si="6"/>
        <v>323</v>
      </c>
      <c r="B325" s="9" t="str">
        <f t="shared" si="7"/>
        <v xml:space="preserve">MA
</v>
      </c>
      <c r="C325" s="9" t="s">
        <v>944</v>
      </c>
      <c r="D325" s="9" t="s">
        <v>861</v>
      </c>
      <c r="E325" s="12">
        <v>0</v>
      </c>
      <c r="F325" s="12">
        <v>0</v>
      </c>
      <c r="G325" s="9" t="s">
        <v>89</v>
      </c>
      <c r="H325" s="9" t="s">
        <v>945</v>
      </c>
      <c r="I325" s="9" t="s">
        <v>946</v>
      </c>
      <c r="J325" s="12"/>
      <c r="K325" s="12"/>
      <c r="L325" s="12"/>
      <c r="M325" s="12"/>
      <c r="N325" s="13" t="str">
        <f t="shared" si="8"/>
        <v xml:space="preserve">Al Khalid Group
</v>
      </c>
      <c r="O325" s="16" t="s">
        <v>98</v>
      </c>
      <c r="P325" s="14">
        <v>3</v>
      </c>
      <c r="Q325" s="25">
        <v>44945</v>
      </c>
      <c r="R325" s="17"/>
      <c r="S325" s="17"/>
      <c r="T325" s="16" t="s">
        <v>86</v>
      </c>
      <c r="U325" s="17" t="str">
        <f t="shared" si="2"/>
        <v xml:space="preserve">Al Khalid Group
</v>
      </c>
      <c r="V325" s="16" t="s">
        <v>78</v>
      </c>
      <c r="W325" s="16">
        <v>4</v>
      </c>
      <c r="X325" s="25">
        <v>44957</v>
      </c>
      <c r="Y325" s="13"/>
      <c r="Z325" s="13"/>
      <c r="AA325" s="13"/>
      <c r="AB325" s="18" t="str">
        <f t="shared" si="9"/>
        <v xml:space="preserve">Al Khalid Group
</v>
      </c>
      <c r="AC325" s="19" t="s">
        <v>78</v>
      </c>
      <c r="AD325" s="19" t="s">
        <v>79</v>
      </c>
      <c r="AE325" s="20" t="s">
        <v>221</v>
      </c>
      <c r="AF325" s="19" t="s">
        <v>75</v>
      </c>
      <c r="AG325" s="19" t="s">
        <v>75</v>
      </c>
      <c r="AH325" s="16" t="s">
        <v>101</v>
      </c>
      <c r="AI325" s="18"/>
      <c r="AJ325" s="13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3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2"/>
      <c r="BK325" s="12"/>
      <c r="BL325" s="12"/>
      <c r="BM325" s="9"/>
      <c r="BN325" s="9"/>
      <c r="BO325" s="9"/>
      <c r="BP325" s="12"/>
      <c r="BQ325" s="12"/>
      <c r="BR325" s="12"/>
      <c r="BS325" s="12"/>
      <c r="BT325" s="12"/>
      <c r="BU325" s="12"/>
      <c r="BV325" s="12"/>
      <c r="BW325" s="12"/>
      <c r="BX325" s="12"/>
      <c r="BY325" s="9"/>
      <c r="BZ325" s="21"/>
      <c r="CA325" s="21"/>
      <c r="CB325" s="21"/>
      <c r="CC325" s="21"/>
      <c r="CD325" s="21"/>
      <c r="CE325" s="21"/>
      <c r="CF325" s="21"/>
      <c r="CG325" s="21"/>
      <c r="CH325" s="21"/>
      <c r="CI325" s="21"/>
      <c r="CJ325" s="21"/>
    </row>
    <row r="326" spans="1:88" ht="40.5" customHeight="1">
      <c r="A326" s="24">
        <f t="shared" si="6"/>
        <v>324</v>
      </c>
      <c r="B326" s="24" t="str">
        <f t="shared" si="7"/>
        <v xml:space="preserve">MA
</v>
      </c>
      <c r="C326" s="24" t="s">
        <v>947</v>
      </c>
      <c r="D326" s="24" t="s">
        <v>861</v>
      </c>
      <c r="E326" s="30">
        <v>0</v>
      </c>
      <c r="F326" s="30">
        <v>0</v>
      </c>
      <c r="G326" s="24" t="s">
        <v>89</v>
      </c>
      <c r="H326" s="24" t="s">
        <v>948</v>
      </c>
      <c r="I326" s="31" t="s">
        <v>949</v>
      </c>
      <c r="J326" s="24" t="s">
        <v>950</v>
      </c>
      <c r="K326" s="24" t="s">
        <v>79</v>
      </c>
      <c r="L326" s="30"/>
      <c r="M326" s="30"/>
      <c r="N326" s="33" t="str">
        <f t="shared" si="8"/>
        <v>Qatar Belgium Aluminium Company (QBEL)</v>
      </c>
      <c r="O326" s="34" t="s">
        <v>7</v>
      </c>
      <c r="P326" s="35">
        <v>3</v>
      </c>
      <c r="Q326" s="36">
        <v>44945</v>
      </c>
      <c r="R326" s="38"/>
      <c r="S326" s="38"/>
      <c r="T326" s="33"/>
      <c r="U326" s="17" t="str">
        <f t="shared" si="2"/>
        <v>Qatar Belgium Aluminium Company (QBEL)</v>
      </c>
      <c r="V326" s="34" t="s">
        <v>78</v>
      </c>
      <c r="W326" s="34" t="s">
        <v>79</v>
      </c>
      <c r="X326" s="46" t="s">
        <v>221</v>
      </c>
      <c r="Y326" s="34" t="s">
        <v>75</v>
      </c>
      <c r="Z326" s="34" t="s">
        <v>75</v>
      </c>
      <c r="AA326" s="34" t="s">
        <v>81</v>
      </c>
      <c r="AB326" s="39" t="str">
        <f t="shared" si="9"/>
        <v>Qatar Belgium Aluminium Company (QBEL)</v>
      </c>
      <c r="AC326" s="39"/>
      <c r="AD326" s="39"/>
      <c r="AE326" s="39"/>
      <c r="AF326" s="39"/>
      <c r="AG326" s="39"/>
      <c r="AH326" s="33"/>
      <c r="AI326" s="39"/>
      <c r="AJ326" s="33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3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0"/>
      <c r="BK326" s="30"/>
      <c r="BL326" s="30"/>
      <c r="BM326" s="24"/>
      <c r="BN326" s="24"/>
      <c r="BO326" s="24"/>
      <c r="BP326" s="30"/>
      <c r="BQ326" s="30"/>
      <c r="BR326" s="30"/>
      <c r="BS326" s="30"/>
      <c r="BT326" s="30"/>
      <c r="BU326" s="30"/>
      <c r="BV326" s="30"/>
      <c r="BW326" s="30"/>
      <c r="BX326" s="30"/>
      <c r="BY326" s="24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</row>
    <row r="327" spans="1:88" ht="40.5" customHeight="1">
      <c r="A327" s="9">
        <f t="shared" si="6"/>
        <v>325</v>
      </c>
      <c r="B327" s="9" t="str">
        <f t="shared" si="7"/>
        <v xml:space="preserve">MA
</v>
      </c>
      <c r="C327" s="9" t="s">
        <v>951</v>
      </c>
      <c r="D327" s="9" t="s">
        <v>861</v>
      </c>
      <c r="E327" s="12">
        <v>0</v>
      </c>
      <c r="F327" s="12">
        <v>0</v>
      </c>
      <c r="G327" s="9" t="s">
        <v>89</v>
      </c>
      <c r="H327" s="12"/>
      <c r="I327" s="9" t="s">
        <v>952</v>
      </c>
      <c r="J327" s="12"/>
      <c r="K327" s="12"/>
      <c r="L327" s="12"/>
      <c r="M327" s="12"/>
      <c r="N327" s="13" t="str">
        <f t="shared" si="8"/>
        <v>Al hajri Aluminum &amp; Biban Showroom</v>
      </c>
      <c r="O327" s="16" t="s">
        <v>98</v>
      </c>
      <c r="P327" s="14">
        <v>3</v>
      </c>
      <c r="Q327" s="25">
        <v>44945</v>
      </c>
      <c r="R327" s="17"/>
      <c r="S327" s="17"/>
      <c r="T327" s="16" t="s">
        <v>86</v>
      </c>
      <c r="U327" s="17" t="str">
        <f t="shared" si="2"/>
        <v>Al hajri Aluminum &amp; Biban Showroom</v>
      </c>
      <c r="V327" s="16" t="s">
        <v>78</v>
      </c>
      <c r="W327" s="16" t="s">
        <v>79</v>
      </c>
      <c r="X327" s="15" t="s">
        <v>221</v>
      </c>
      <c r="Y327" s="16" t="s">
        <v>75</v>
      </c>
      <c r="Z327" s="16" t="s">
        <v>75</v>
      </c>
      <c r="AA327" s="16" t="s">
        <v>86</v>
      </c>
      <c r="AB327" s="18" t="str">
        <f t="shared" si="9"/>
        <v>Al hajri Aluminum &amp; Biban Showroom</v>
      </c>
      <c r="AC327" s="18"/>
      <c r="AD327" s="18"/>
      <c r="AE327" s="18"/>
      <c r="AF327" s="18"/>
      <c r="AG327" s="18"/>
      <c r="AH327" s="13"/>
      <c r="AI327" s="18"/>
      <c r="AJ327" s="13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3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2"/>
      <c r="BK327" s="12"/>
      <c r="BL327" s="12"/>
      <c r="BM327" s="9"/>
      <c r="BN327" s="9"/>
      <c r="BO327" s="9"/>
      <c r="BP327" s="12"/>
      <c r="BQ327" s="12"/>
      <c r="BR327" s="12"/>
      <c r="BS327" s="12"/>
      <c r="BT327" s="12"/>
      <c r="BU327" s="12"/>
      <c r="BV327" s="12"/>
      <c r="BW327" s="12"/>
      <c r="BX327" s="12"/>
      <c r="BY327" s="9"/>
      <c r="BZ327" s="21"/>
      <c r="CA327" s="21"/>
      <c r="CB327" s="21"/>
      <c r="CC327" s="21"/>
      <c r="CD327" s="21"/>
      <c r="CE327" s="21"/>
      <c r="CF327" s="21"/>
      <c r="CG327" s="21"/>
      <c r="CH327" s="21"/>
      <c r="CI327" s="21"/>
      <c r="CJ327" s="21"/>
    </row>
    <row r="328" spans="1:88" ht="40.5" customHeight="1">
      <c r="A328" s="9">
        <f t="shared" si="6"/>
        <v>326</v>
      </c>
      <c r="B328" s="9" t="str">
        <f t="shared" si="7"/>
        <v xml:space="preserve">MA
</v>
      </c>
      <c r="C328" s="9" t="s">
        <v>953</v>
      </c>
      <c r="D328" s="9" t="s">
        <v>861</v>
      </c>
      <c r="E328" s="12">
        <v>0</v>
      </c>
      <c r="F328" s="12">
        <v>0</v>
      </c>
      <c r="G328" s="9" t="s">
        <v>89</v>
      </c>
      <c r="H328" s="12"/>
      <c r="I328" s="9">
        <v>96599770044</v>
      </c>
      <c r="J328" s="12"/>
      <c r="K328" s="12"/>
      <c r="L328" s="12"/>
      <c r="M328" s="12"/>
      <c r="N328" s="13" t="str">
        <f t="shared" si="8"/>
        <v xml:space="preserve">Escomax company
</v>
      </c>
      <c r="O328" s="16" t="s">
        <v>78</v>
      </c>
      <c r="P328" s="14">
        <v>3</v>
      </c>
      <c r="Q328" s="25">
        <v>44945</v>
      </c>
      <c r="R328" s="17"/>
      <c r="S328" s="17"/>
      <c r="T328" s="16" t="s">
        <v>101</v>
      </c>
      <c r="U328" s="17" t="str">
        <f t="shared" si="2"/>
        <v xml:space="preserve">Escomax company
</v>
      </c>
      <c r="V328" s="16" t="s">
        <v>78</v>
      </c>
      <c r="W328" s="16" t="s">
        <v>79</v>
      </c>
      <c r="X328" s="15" t="s">
        <v>221</v>
      </c>
      <c r="Y328" s="16" t="s">
        <v>75</v>
      </c>
      <c r="Z328" s="16" t="s">
        <v>75</v>
      </c>
      <c r="AA328" s="16" t="s">
        <v>101</v>
      </c>
      <c r="AB328" s="18" t="str">
        <f t="shared" si="9"/>
        <v xml:space="preserve">Escomax company
</v>
      </c>
      <c r="AC328" s="18"/>
      <c r="AD328" s="18"/>
      <c r="AE328" s="18"/>
      <c r="AF328" s="18"/>
      <c r="AG328" s="18"/>
      <c r="AH328" s="13"/>
      <c r="AI328" s="18"/>
      <c r="AJ328" s="13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3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2"/>
      <c r="BK328" s="12"/>
      <c r="BL328" s="12"/>
      <c r="BM328" s="9"/>
      <c r="BN328" s="9"/>
      <c r="BO328" s="9"/>
      <c r="BP328" s="12"/>
      <c r="BQ328" s="12"/>
      <c r="BR328" s="12"/>
      <c r="BS328" s="12"/>
      <c r="BT328" s="12"/>
      <c r="BU328" s="12"/>
      <c r="BV328" s="12"/>
      <c r="BW328" s="12"/>
      <c r="BX328" s="12"/>
      <c r="BY328" s="9"/>
      <c r="BZ328" s="21"/>
      <c r="CA328" s="21"/>
      <c r="CB328" s="21"/>
      <c r="CC328" s="21"/>
      <c r="CD328" s="21"/>
      <c r="CE328" s="21"/>
      <c r="CF328" s="21"/>
      <c r="CG328" s="21"/>
      <c r="CH328" s="21"/>
      <c r="CI328" s="21"/>
      <c r="CJ328" s="21"/>
    </row>
    <row r="329" spans="1:88" ht="40.5" customHeight="1">
      <c r="A329" s="9">
        <f t="shared" si="6"/>
        <v>327</v>
      </c>
      <c r="B329" s="9" t="str">
        <f t="shared" si="7"/>
        <v xml:space="preserve">MA
</v>
      </c>
      <c r="C329" s="9" t="s">
        <v>954</v>
      </c>
      <c r="D329" s="9" t="s">
        <v>861</v>
      </c>
      <c r="E329" s="12">
        <v>0</v>
      </c>
      <c r="F329" s="12">
        <v>0</v>
      </c>
      <c r="G329" s="9" t="s">
        <v>89</v>
      </c>
      <c r="H329" s="9" t="s">
        <v>955</v>
      </c>
      <c r="I329" s="9" t="s">
        <v>956</v>
      </c>
      <c r="J329" s="12"/>
      <c r="K329" s="12"/>
      <c r="L329" s="12"/>
      <c r="M329" s="12"/>
      <c r="N329" s="13" t="str">
        <f t="shared" si="8"/>
        <v xml:space="preserve">Manazel for aluminum
</v>
      </c>
      <c r="O329" s="16" t="s">
        <v>78</v>
      </c>
      <c r="P329" s="14">
        <v>3</v>
      </c>
      <c r="Q329" s="25">
        <v>44945</v>
      </c>
      <c r="R329" s="17"/>
      <c r="S329" s="17"/>
      <c r="T329" s="16" t="s">
        <v>101</v>
      </c>
      <c r="U329" s="17" t="str">
        <f t="shared" si="2"/>
        <v xml:space="preserve">Manazel for aluminum
</v>
      </c>
      <c r="V329" s="16" t="s">
        <v>78</v>
      </c>
      <c r="W329" s="16" t="s">
        <v>79</v>
      </c>
      <c r="X329" s="15" t="s">
        <v>221</v>
      </c>
      <c r="Y329" s="16" t="s">
        <v>75</v>
      </c>
      <c r="Z329" s="16" t="s">
        <v>75</v>
      </c>
      <c r="AA329" s="16" t="s">
        <v>101</v>
      </c>
      <c r="AB329" s="18" t="str">
        <f t="shared" si="9"/>
        <v xml:space="preserve">Manazel for aluminum
</v>
      </c>
      <c r="AC329" s="18"/>
      <c r="AD329" s="18"/>
      <c r="AE329" s="18"/>
      <c r="AF329" s="18"/>
      <c r="AG329" s="18"/>
      <c r="AH329" s="13"/>
      <c r="AI329" s="18"/>
      <c r="AJ329" s="13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3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2"/>
      <c r="BK329" s="12"/>
      <c r="BL329" s="12"/>
      <c r="BM329" s="9"/>
      <c r="BN329" s="9"/>
      <c r="BO329" s="9"/>
      <c r="BP329" s="12"/>
      <c r="BQ329" s="12"/>
      <c r="BR329" s="12"/>
      <c r="BS329" s="12"/>
      <c r="BT329" s="12"/>
      <c r="BU329" s="12"/>
      <c r="BV329" s="12"/>
      <c r="BW329" s="12"/>
      <c r="BX329" s="12"/>
      <c r="BY329" s="9"/>
      <c r="BZ329" s="21"/>
      <c r="CA329" s="21"/>
      <c r="CB329" s="21"/>
      <c r="CC329" s="21"/>
      <c r="CD329" s="21"/>
      <c r="CE329" s="21"/>
      <c r="CF329" s="21"/>
      <c r="CG329" s="21"/>
      <c r="CH329" s="21"/>
      <c r="CI329" s="21"/>
      <c r="CJ329" s="21"/>
    </row>
    <row r="330" spans="1:88" ht="40.5" customHeight="1">
      <c r="A330" s="9">
        <f t="shared" si="6"/>
        <v>328</v>
      </c>
      <c r="B330" s="9" t="str">
        <f t="shared" si="7"/>
        <v xml:space="preserve">MA
</v>
      </c>
      <c r="C330" s="9" t="s">
        <v>957</v>
      </c>
      <c r="D330" s="9" t="s">
        <v>861</v>
      </c>
      <c r="E330" s="12">
        <v>0</v>
      </c>
      <c r="F330" s="12">
        <v>0</v>
      </c>
      <c r="G330" s="9" t="s">
        <v>89</v>
      </c>
      <c r="H330" s="12"/>
      <c r="I330" s="9" t="s">
        <v>958</v>
      </c>
      <c r="J330" s="12"/>
      <c r="K330" s="12"/>
      <c r="L330" s="12"/>
      <c r="M330" s="12"/>
      <c r="N330" s="13" t="str">
        <f t="shared" si="8"/>
        <v xml:space="preserve">Dubal Building Materials Co. (W.L.L.)
</v>
      </c>
      <c r="O330" s="16" t="s">
        <v>78</v>
      </c>
      <c r="P330" s="14">
        <v>3</v>
      </c>
      <c r="Q330" s="25">
        <v>44945</v>
      </c>
      <c r="R330" s="17"/>
      <c r="S330" s="17"/>
      <c r="T330" s="16" t="s">
        <v>101</v>
      </c>
      <c r="U330" s="17" t="str">
        <f t="shared" si="2"/>
        <v xml:space="preserve">Dubal Building Materials Co. (W.L.L.)
</v>
      </c>
      <c r="V330" s="16" t="s">
        <v>78</v>
      </c>
      <c r="W330" s="16" t="s">
        <v>79</v>
      </c>
      <c r="X330" s="15" t="s">
        <v>221</v>
      </c>
      <c r="Y330" s="16" t="s">
        <v>75</v>
      </c>
      <c r="Z330" s="16" t="s">
        <v>75</v>
      </c>
      <c r="AA330" s="16" t="s">
        <v>101</v>
      </c>
      <c r="AB330" s="18" t="str">
        <f t="shared" si="9"/>
        <v xml:space="preserve">Dubal Building Materials Co. (W.L.L.)
</v>
      </c>
      <c r="AC330" s="18"/>
      <c r="AD330" s="18"/>
      <c r="AE330" s="18"/>
      <c r="AF330" s="18"/>
      <c r="AG330" s="18"/>
      <c r="AH330" s="13"/>
      <c r="AI330" s="18"/>
      <c r="AJ330" s="13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3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2"/>
      <c r="BK330" s="12"/>
      <c r="BL330" s="12"/>
      <c r="BM330" s="9"/>
      <c r="BN330" s="9"/>
      <c r="BO330" s="9"/>
      <c r="BP330" s="12"/>
      <c r="BQ330" s="12"/>
      <c r="BR330" s="12"/>
      <c r="BS330" s="12"/>
      <c r="BT330" s="12"/>
      <c r="BU330" s="12"/>
      <c r="BV330" s="12"/>
      <c r="BW330" s="12"/>
      <c r="BX330" s="12"/>
      <c r="BY330" s="9"/>
      <c r="BZ330" s="21"/>
      <c r="CA330" s="21"/>
      <c r="CB330" s="21"/>
      <c r="CC330" s="21"/>
      <c r="CD330" s="21"/>
      <c r="CE330" s="21"/>
      <c r="CF330" s="21"/>
      <c r="CG330" s="21"/>
      <c r="CH330" s="21"/>
      <c r="CI330" s="21"/>
      <c r="CJ330" s="21"/>
    </row>
    <row r="331" spans="1:88" ht="40.5" customHeight="1">
      <c r="A331" s="9">
        <f t="shared" si="6"/>
        <v>329</v>
      </c>
      <c r="B331" s="9" t="str">
        <f t="shared" si="7"/>
        <v xml:space="preserve">MA
</v>
      </c>
      <c r="C331" s="9" t="s">
        <v>959</v>
      </c>
      <c r="D331" s="9" t="s">
        <v>861</v>
      </c>
      <c r="E331" s="12">
        <v>0</v>
      </c>
      <c r="F331" s="12">
        <v>0</v>
      </c>
      <c r="G331" s="9" t="s">
        <v>89</v>
      </c>
      <c r="H331" s="12"/>
      <c r="I331" s="9">
        <v>96599796871</v>
      </c>
      <c r="J331" s="12"/>
      <c r="K331" s="12"/>
      <c r="L331" s="12"/>
      <c r="M331" s="12"/>
      <c r="N331" s="13" t="str">
        <f t="shared" si="8"/>
        <v xml:space="preserve">Hyeroll Trading Co.
</v>
      </c>
      <c r="O331" s="16" t="s">
        <v>98</v>
      </c>
      <c r="P331" s="14">
        <v>3</v>
      </c>
      <c r="Q331" s="25">
        <v>44945</v>
      </c>
      <c r="R331" s="17"/>
      <c r="S331" s="17"/>
      <c r="T331" s="16" t="s">
        <v>86</v>
      </c>
      <c r="U331" s="17" t="str">
        <f t="shared" si="2"/>
        <v xml:space="preserve">Hyeroll Trading Co.
</v>
      </c>
      <c r="V331" s="16" t="s">
        <v>78</v>
      </c>
      <c r="W331" s="16" t="s">
        <v>79</v>
      </c>
      <c r="X331" s="15" t="s">
        <v>221</v>
      </c>
      <c r="Y331" s="16" t="s">
        <v>75</v>
      </c>
      <c r="Z331" s="16" t="s">
        <v>75</v>
      </c>
      <c r="AA331" s="16" t="s">
        <v>101</v>
      </c>
      <c r="AB331" s="18" t="str">
        <f t="shared" si="9"/>
        <v xml:space="preserve">Hyeroll Trading Co.
</v>
      </c>
      <c r="AC331" s="18"/>
      <c r="AD331" s="18"/>
      <c r="AE331" s="18"/>
      <c r="AF331" s="18"/>
      <c r="AG331" s="18"/>
      <c r="AH331" s="13"/>
      <c r="AI331" s="18"/>
      <c r="AJ331" s="13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3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2"/>
      <c r="BK331" s="12"/>
      <c r="BL331" s="12"/>
      <c r="BM331" s="9"/>
      <c r="BN331" s="9"/>
      <c r="BO331" s="9"/>
      <c r="BP331" s="12"/>
      <c r="BQ331" s="12"/>
      <c r="BR331" s="12"/>
      <c r="BS331" s="12"/>
      <c r="BT331" s="12"/>
      <c r="BU331" s="12"/>
      <c r="BV331" s="12"/>
      <c r="BW331" s="12"/>
      <c r="BX331" s="12"/>
      <c r="BY331" s="9"/>
      <c r="BZ331" s="21"/>
      <c r="CA331" s="21"/>
      <c r="CB331" s="21"/>
      <c r="CC331" s="21"/>
      <c r="CD331" s="21"/>
      <c r="CE331" s="21"/>
      <c r="CF331" s="21"/>
      <c r="CG331" s="21"/>
      <c r="CH331" s="21"/>
      <c r="CI331" s="21"/>
      <c r="CJ331" s="21"/>
    </row>
    <row r="332" spans="1:88" ht="40.5" customHeight="1">
      <c r="A332" s="9">
        <f t="shared" si="6"/>
        <v>330</v>
      </c>
      <c r="B332" s="9" t="str">
        <f t="shared" si="7"/>
        <v xml:space="preserve">MA
</v>
      </c>
      <c r="C332" s="9" t="s">
        <v>960</v>
      </c>
      <c r="D332" s="9" t="s">
        <v>861</v>
      </c>
      <c r="E332" s="12">
        <v>0</v>
      </c>
      <c r="F332" s="12">
        <v>0</v>
      </c>
      <c r="G332" s="9" t="s">
        <v>89</v>
      </c>
      <c r="H332" s="12"/>
      <c r="I332" s="9">
        <v>96555099999</v>
      </c>
      <c r="J332" s="12"/>
      <c r="K332" s="12"/>
      <c r="L332" s="12"/>
      <c r="M332" s="12"/>
      <c r="N332" s="13" t="str">
        <f t="shared" si="8"/>
        <v>nme</v>
      </c>
      <c r="O332" s="16" t="s">
        <v>78</v>
      </c>
      <c r="P332" s="14">
        <v>3</v>
      </c>
      <c r="Q332" s="25">
        <v>44945</v>
      </c>
      <c r="R332" s="14">
        <v>5</v>
      </c>
      <c r="S332" s="26">
        <v>0.13263888888888889</v>
      </c>
      <c r="T332" s="16" t="s">
        <v>961</v>
      </c>
      <c r="U332" s="17" t="str">
        <f t="shared" si="2"/>
        <v>nme</v>
      </c>
      <c r="V332" s="16" t="s">
        <v>78</v>
      </c>
      <c r="W332" s="16">
        <v>4</v>
      </c>
      <c r="X332" s="25">
        <v>44956</v>
      </c>
      <c r="Y332" s="16">
        <v>5</v>
      </c>
      <c r="Z332" s="29">
        <v>7.2916666666666671E-2</v>
      </c>
      <c r="AA332" s="16" t="s">
        <v>86</v>
      </c>
      <c r="AB332" s="18" t="str">
        <f t="shared" si="9"/>
        <v>nme</v>
      </c>
      <c r="AC332" s="19" t="s">
        <v>78</v>
      </c>
      <c r="AD332" s="19" t="s">
        <v>79</v>
      </c>
      <c r="AE332" s="20" t="s">
        <v>221</v>
      </c>
      <c r="AF332" s="19" t="s">
        <v>75</v>
      </c>
      <c r="AG332" s="19" t="s">
        <v>75</v>
      </c>
      <c r="AH332" s="16" t="s">
        <v>86</v>
      </c>
      <c r="AI332" s="18"/>
      <c r="AJ332" s="13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3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2"/>
      <c r="BK332" s="12"/>
      <c r="BL332" s="12"/>
      <c r="BM332" s="9"/>
      <c r="BN332" s="9"/>
      <c r="BO332" s="9"/>
      <c r="BP332" s="12"/>
      <c r="BQ332" s="12"/>
      <c r="BR332" s="12"/>
      <c r="BS332" s="12"/>
      <c r="BT332" s="12"/>
      <c r="BU332" s="12"/>
      <c r="BV332" s="12"/>
      <c r="BW332" s="12"/>
      <c r="BX332" s="12"/>
      <c r="BY332" s="9"/>
      <c r="BZ332" s="21"/>
      <c r="CA332" s="21"/>
      <c r="CB332" s="21"/>
      <c r="CC332" s="21"/>
      <c r="CD332" s="21"/>
      <c r="CE332" s="21"/>
      <c r="CF332" s="21"/>
      <c r="CG332" s="21"/>
      <c r="CH332" s="21"/>
      <c r="CI332" s="21"/>
      <c r="CJ332" s="21"/>
    </row>
    <row r="333" spans="1:88" ht="40.5" customHeight="1">
      <c r="A333" s="9">
        <f t="shared" si="6"/>
        <v>331</v>
      </c>
      <c r="B333" s="9" t="str">
        <f t="shared" si="7"/>
        <v xml:space="preserve">MA
</v>
      </c>
      <c r="C333" s="9" t="s">
        <v>962</v>
      </c>
      <c r="D333" s="9" t="s">
        <v>861</v>
      </c>
      <c r="E333" s="12">
        <v>0</v>
      </c>
      <c r="F333" s="12">
        <v>0</v>
      </c>
      <c r="G333" s="9" t="s">
        <v>89</v>
      </c>
      <c r="H333" s="12"/>
      <c r="I333" s="9">
        <v>96598084455</v>
      </c>
      <c r="J333" s="12"/>
      <c r="K333" s="12"/>
      <c r="L333" s="12"/>
      <c r="M333" s="12"/>
      <c r="N333" s="13" t="str">
        <f t="shared" si="8"/>
        <v xml:space="preserve">Amkan International
</v>
      </c>
      <c r="O333" s="16" t="s">
        <v>78</v>
      </c>
      <c r="P333" s="14">
        <v>3</v>
      </c>
      <c r="Q333" s="25">
        <v>44945</v>
      </c>
      <c r="R333" s="17"/>
      <c r="S333" s="17"/>
      <c r="T333" s="16" t="s">
        <v>101</v>
      </c>
      <c r="U333" s="17" t="str">
        <f t="shared" si="2"/>
        <v xml:space="preserve">Amkan International
</v>
      </c>
      <c r="V333" s="16" t="s">
        <v>78</v>
      </c>
      <c r="W333" s="16" t="s">
        <v>79</v>
      </c>
      <c r="X333" s="15" t="s">
        <v>221</v>
      </c>
      <c r="Y333" s="16" t="s">
        <v>75</v>
      </c>
      <c r="Z333" s="16" t="s">
        <v>75</v>
      </c>
      <c r="AA333" s="16" t="s">
        <v>101</v>
      </c>
      <c r="AB333" s="18" t="str">
        <f t="shared" si="9"/>
        <v xml:space="preserve">Amkan International
</v>
      </c>
      <c r="AC333" s="18"/>
      <c r="AD333" s="18"/>
      <c r="AE333" s="18"/>
      <c r="AF333" s="18"/>
      <c r="AG333" s="18"/>
      <c r="AH333" s="13"/>
      <c r="AI333" s="18"/>
      <c r="AJ333" s="13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3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2"/>
      <c r="BK333" s="12"/>
      <c r="BL333" s="12"/>
      <c r="BM333" s="9"/>
      <c r="BN333" s="9"/>
      <c r="BO333" s="9"/>
      <c r="BP333" s="12"/>
      <c r="BQ333" s="12"/>
      <c r="BR333" s="12"/>
      <c r="BS333" s="12"/>
      <c r="BT333" s="12"/>
      <c r="BU333" s="12"/>
      <c r="BV333" s="12"/>
      <c r="BW333" s="12"/>
      <c r="BX333" s="12"/>
      <c r="BY333" s="9"/>
      <c r="BZ333" s="21"/>
      <c r="CA333" s="21"/>
      <c r="CB333" s="21"/>
      <c r="CC333" s="21"/>
      <c r="CD333" s="21"/>
      <c r="CE333" s="21"/>
      <c r="CF333" s="21"/>
      <c r="CG333" s="21"/>
      <c r="CH333" s="21"/>
      <c r="CI333" s="21"/>
      <c r="CJ333" s="21"/>
    </row>
    <row r="334" spans="1:88" ht="40.5" customHeight="1">
      <c r="A334" s="24">
        <f t="shared" si="6"/>
        <v>332</v>
      </c>
      <c r="B334" s="24" t="str">
        <f t="shared" si="7"/>
        <v xml:space="preserve">MA
</v>
      </c>
      <c r="C334" s="24" t="s">
        <v>963</v>
      </c>
      <c r="D334" s="24" t="s">
        <v>861</v>
      </c>
      <c r="E334" s="30">
        <v>0</v>
      </c>
      <c r="F334" s="30">
        <v>0</v>
      </c>
      <c r="G334" s="24" t="s">
        <v>89</v>
      </c>
      <c r="H334" s="30"/>
      <c r="I334" s="24">
        <v>96524751120</v>
      </c>
      <c r="J334" s="30"/>
      <c r="K334" s="30"/>
      <c r="L334" s="30"/>
      <c r="M334" s="30"/>
      <c r="N334" s="33" t="str">
        <f t="shared" si="8"/>
        <v xml:space="preserve">Al MAShAAN STEEL COMPANY
</v>
      </c>
      <c r="O334" s="34" t="s">
        <v>78</v>
      </c>
      <c r="P334" s="35">
        <v>3</v>
      </c>
      <c r="Q334" s="36">
        <v>44945</v>
      </c>
      <c r="R334" s="35">
        <v>1</v>
      </c>
      <c r="S334" s="37">
        <v>3.4722222222222224E-2</v>
      </c>
      <c r="T334" s="34" t="s">
        <v>4</v>
      </c>
      <c r="U334" s="17" t="str">
        <f t="shared" si="2"/>
        <v xml:space="preserve">Al MAShAAN STEEL COMPANY
</v>
      </c>
      <c r="V334" s="33"/>
      <c r="W334" s="33"/>
      <c r="X334" s="33"/>
      <c r="Y334" s="33"/>
      <c r="Z334" s="33"/>
      <c r="AA334" s="33"/>
      <c r="AB334" s="39" t="str">
        <f t="shared" si="9"/>
        <v xml:space="preserve">Al MAShAAN STEEL COMPANY
</v>
      </c>
      <c r="AC334" s="39"/>
      <c r="AD334" s="39"/>
      <c r="AE334" s="39"/>
      <c r="AF334" s="39"/>
      <c r="AG334" s="39"/>
      <c r="AH334" s="33"/>
      <c r="AI334" s="39"/>
      <c r="AJ334" s="33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3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0"/>
      <c r="BK334" s="30"/>
      <c r="BL334" s="30"/>
      <c r="BM334" s="24"/>
      <c r="BN334" s="24"/>
      <c r="BO334" s="24"/>
      <c r="BP334" s="30"/>
      <c r="BQ334" s="30"/>
      <c r="BR334" s="30"/>
      <c r="BS334" s="30"/>
      <c r="BT334" s="30"/>
      <c r="BU334" s="30"/>
      <c r="BV334" s="30"/>
      <c r="BW334" s="30"/>
      <c r="BX334" s="30"/>
      <c r="BY334" s="24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</row>
    <row r="335" spans="1:88" ht="40.5" customHeight="1">
      <c r="A335" s="9">
        <f t="shared" si="6"/>
        <v>333</v>
      </c>
      <c r="B335" s="9" t="str">
        <f t="shared" si="7"/>
        <v xml:space="preserve">MA
</v>
      </c>
      <c r="C335" s="9" t="s">
        <v>964</v>
      </c>
      <c r="D335" s="9" t="s">
        <v>861</v>
      </c>
      <c r="E335" s="12">
        <v>0</v>
      </c>
      <c r="F335" s="12">
        <v>0</v>
      </c>
      <c r="G335" s="9" t="s">
        <v>89</v>
      </c>
      <c r="H335" s="12"/>
      <c r="I335" s="9" t="s">
        <v>965</v>
      </c>
      <c r="J335" s="12"/>
      <c r="K335" s="12"/>
      <c r="L335" s="12"/>
      <c r="M335" s="12"/>
      <c r="N335" s="13" t="str">
        <f t="shared" si="8"/>
        <v xml:space="preserve">Prisma Kuwait Aluminium Co.
</v>
      </c>
      <c r="O335" s="16" t="s">
        <v>78</v>
      </c>
      <c r="P335" s="14" t="s">
        <v>79</v>
      </c>
      <c r="Q335" s="15" t="s">
        <v>668</v>
      </c>
      <c r="R335" s="14" t="s">
        <v>75</v>
      </c>
      <c r="S335" s="14" t="s">
        <v>75</v>
      </c>
      <c r="T335" s="16" t="s">
        <v>101</v>
      </c>
      <c r="U335" s="17" t="str">
        <f t="shared" si="2"/>
        <v xml:space="preserve">Prisma Kuwait Aluminium Co.
</v>
      </c>
      <c r="V335" s="13"/>
      <c r="W335" s="13"/>
      <c r="X335" s="13"/>
      <c r="Y335" s="13"/>
      <c r="Z335" s="13"/>
      <c r="AA335" s="13"/>
      <c r="AB335" s="18" t="str">
        <f t="shared" si="9"/>
        <v xml:space="preserve">Prisma Kuwait Aluminium Co.
</v>
      </c>
      <c r="AC335" s="18"/>
      <c r="AD335" s="18"/>
      <c r="AE335" s="18"/>
      <c r="AF335" s="18"/>
      <c r="AG335" s="18"/>
      <c r="AH335" s="13"/>
      <c r="AI335" s="18"/>
      <c r="AJ335" s="13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3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2"/>
      <c r="BK335" s="12"/>
      <c r="BL335" s="12"/>
      <c r="BM335" s="9"/>
      <c r="BN335" s="9"/>
      <c r="BO335" s="9"/>
      <c r="BP335" s="12"/>
      <c r="BQ335" s="12"/>
      <c r="BR335" s="12"/>
      <c r="BS335" s="12"/>
      <c r="BT335" s="12"/>
      <c r="BU335" s="12"/>
      <c r="BV335" s="12"/>
      <c r="BW335" s="12"/>
      <c r="BX335" s="12"/>
      <c r="BY335" s="9"/>
      <c r="BZ335" s="21"/>
      <c r="CA335" s="21"/>
      <c r="CB335" s="21"/>
      <c r="CC335" s="21"/>
      <c r="CD335" s="21"/>
      <c r="CE335" s="21"/>
      <c r="CF335" s="21"/>
      <c r="CG335" s="21"/>
      <c r="CH335" s="21"/>
      <c r="CI335" s="21"/>
      <c r="CJ335" s="21"/>
    </row>
    <row r="336" spans="1:88" ht="40.5" customHeight="1">
      <c r="A336" s="9"/>
      <c r="B336" s="9"/>
      <c r="C336" s="28"/>
      <c r="D336" s="9"/>
      <c r="E336" s="12"/>
      <c r="F336" s="12"/>
      <c r="G336" s="9"/>
      <c r="H336" s="12"/>
      <c r="I336" s="9"/>
      <c r="J336" s="12"/>
      <c r="K336" s="12"/>
      <c r="L336" s="12"/>
      <c r="M336" s="12"/>
      <c r="N336" s="13"/>
      <c r="O336" s="13"/>
      <c r="P336" s="17"/>
      <c r="Q336" s="13"/>
      <c r="R336" s="17"/>
      <c r="S336" s="17"/>
      <c r="T336" s="13"/>
      <c r="U336" s="17">
        <f t="shared" si="2"/>
        <v>0</v>
      </c>
      <c r="V336" s="13"/>
      <c r="W336" s="13"/>
      <c r="X336" s="13"/>
      <c r="Y336" s="13"/>
      <c r="Z336" s="13"/>
      <c r="AA336" s="13"/>
      <c r="AB336" s="18"/>
      <c r="AC336" s="18"/>
      <c r="AD336" s="18"/>
      <c r="AE336" s="18"/>
      <c r="AF336" s="18"/>
      <c r="AG336" s="18"/>
      <c r="AH336" s="13"/>
      <c r="AI336" s="18"/>
      <c r="AJ336" s="13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3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2"/>
      <c r="BK336" s="12"/>
      <c r="BL336" s="12"/>
      <c r="BM336" s="9"/>
      <c r="BN336" s="9"/>
      <c r="BO336" s="9"/>
      <c r="BP336" s="12"/>
      <c r="BQ336" s="12"/>
      <c r="BR336" s="12"/>
      <c r="BS336" s="12"/>
      <c r="BT336" s="12"/>
      <c r="BU336" s="12"/>
      <c r="BV336" s="12"/>
      <c r="BW336" s="12"/>
      <c r="BX336" s="12"/>
      <c r="BY336" s="9"/>
      <c r="BZ336" s="21"/>
      <c r="CA336" s="21"/>
      <c r="CB336" s="21"/>
      <c r="CC336" s="21"/>
      <c r="CD336" s="21"/>
      <c r="CE336" s="21"/>
      <c r="CF336" s="21"/>
      <c r="CG336" s="21"/>
      <c r="CH336" s="21"/>
      <c r="CI336" s="21"/>
      <c r="CJ336" s="21"/>
    </row>
    <row r="337" spans="1:88" ht="40.5" customHeight="1">
      <c r="A337" s="9">
        <f t="shared" ref="A337:A596" si="10">IF(C337="","",ROW()-2)</f>
        <v>335</v>
      </c>
      <c r="B337" s="9" t="str">
        <f t="shared" ref="B337:B596" si="11">IF(C337="","","MA
")</f>
        <v xml:space="preserve">MA
</v>
      </c>
      <c r="C337" s="9" t="s">
        <v>966</v>
      </c>
      <c r="D337" s="9" t="s">
        <v>861</v>
      </c>
      <c r="E337" s="12">
        <v>0</v>
      </c>
      <c r="F337" s="12">
        <v>0</v>
      </c>
      <c r="G337" s="9" t="s">
        <v>89</v>
      </c>
      <c r="H337" s="12"/>
      <c r="I337" s="9" t="s">
        <v>967</v>
      </c>
      <c r="J337" s="12"/>
      <c r="K337" s="12"/>
      <c r="L337" s="12"/>
      <c r="M337" s="12"/>
      <c r="N337" s="13" t="str">
        <f t="shared" ref="N337:N465" si="12">C337</f>
        <v xml:space="preserve">Britsh LInk </v>
      </c>
      <c r="O337" s="16" t="s">
        <v>78</v>
      </c>
      <c r="P337" s="14" t="s">
        <v>79</v>
      </c>
      <c r="Q337" s="15" t="s">
        <v>221</v>
      </c>
      <c r="R337" s="14" t="s">
        <v>75</v>
      </c>
      <c r="S337" s="14" t="s">
        <v>75</v>
      </c>
      <c r="T337" s="16" t="s">
        <v>86</v>
      </c>
      <c r="U337" s="17" t="str">
        <f t="shared" si="2"/>
        <v xml:space="preserve">Britsh LInk </v>
      </c>
      <c r="V337" s="13"/>
      <c r="W337" s="13"/>
      <c r="X337" s="13"/>
      <c r="Y337" s="13"/>
      <c r="Z337" s="13"/>
      <c r="AA337" s="13"/>
      <c r="AB337" s="18" t="str">
        <f t="shared" ref="AB337:AB578" si="13">C337</f>
        <v xml:space="preserve">Britsh LInk </v>
      </c>
      <c r="AC337" s="18"/>
      <c r="AD337" s="18"/>
      <c r="AE337" s="18"/>
      <c r="AF337" s="18"/>
      <c r="AG337" s="18"/>
      <c r="AH337" s="13"/>
      <c r="AI337" s="18"/>
      <c r="AJ337" s="13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3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2"/>
      <c r="BK337" s="12"/>
      <c r="BL337" s="12"/>
      <c r="BM337" s="9"/>
      <c r="BN337" s="9"/>
      <c r="BO337" s="9"/>
      <c r="BP337" s="12"/>
      <c r="BQ337" s="12"/>
      <c r="BR337" s="12"/>
      <c r="BS337" s="12"/>
      <c r="BT337" s="12"/>
      <c r="BU337" s="12"/>
      <c r="BV337" s="12"/>
      <c r="BW337" s="12"/>
      <c r="BX337" s="12"/>
      <c r="BY337" s="9"/>
      <c r="BZ337" s="21"/>
      <c r="CA337" s="21"/>
      <c r="CB337" s="21"/>
      <c r="CC337" s="21"/>
      <c r="CD337" s="21"/>
      <c r="CE337" s="21"/>
      <c r="CF337" s="21"/>
      <c r="CG337" s="21"/>
      <c r="CH337" s="21"/>
      <c r="CI337" s="21"/>
      <c r="CJ337" s="21"/>
    </row>
    <row r="338" spans="1:88" ht="40.5" customHeight="1">
      <c r="A338" s="9">
        <f t="shared" si="10"/>
        <v>336</v>
      </c>
      <c r="B338" s="9" t="str">
        <f t="shared" si="11"/>
        <v xml:space="preserve">MA
</v>
      </c>
      <c r="C338" s="9" t="s">
        <v>968</v>
      </c>
      <c r="D338" s="9" t="s">
        <v>969</v>
      </c>
      <c r="E338" s="12">
        <v>0</v>
      </c>
      <c r="F338" s="12">
        <v>0</v>
      </c>
      <c r="G338" s="9" t="s">
        <v>89</v>
      </c>
      <c r="H338" s="12"/>
      <c r="I338" s="9">
        <v>27663061612</v>
      </c>
      <c r="J338" s="12"/>
      <c r="K338" s="12"/>
      <c r="L338" s="12"/>
      <c r="M338" s="12"/>
      <c r="N338" s="13" t="str">
        <f t="shared" si="12"/>
        <v xml:space="preserve">ULTRA ALUMINIUM </v>
      </c>
      <c r="O338" s="16" t="s">
        <v>78</v>
      </c>
      <c r="P338" s="14">
        <v>4</v>
      </c>
      <c r="Q338" s="25">
        <v>44945</v>
      </c>
      <c r="R338" s="14">
        <v>4</v>
      </c>
      <c r="S338" s="26">
        <v>3.9583333333333331E-2</v>
      </c>
      <c r="T338" s="16" t="s">
        <v>86</v>
      </c>
      <c r="U338" s="17" t="str">
        <f t="shared" si="2"/>
        <v xml:space="preserve">ULTRA ALUMINIUM </v>
      </c>
      <c r="V338" s="13"/>
      <c r="W338" s="13"/>
      <c r="X338" s="13"/>
      <c r="Y338" s="13"/>
      <c r="Z338" s="13"/>
      <c r="AA338" s="13"/>
      <c r="AB338" s="18" t="str">
        <f t="shared" si="13"/>
        <v xml:space="preserve">ULTRA ALUMINIUM </v>
      </c>
      <c r="AC338" s="18"/>
      <c r="AD338" s="18"/>
      <c r="AE338" s="18"/>
      <c r="AF338" s="18"/>
      <c r="AG338" s="18"/>
      <c r="AH338" s="13"/>
      <c r="AI338" s="18"/>
      <c r="AJ338" s="13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3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2"/>
      <c r="BK338" s="12"/>
      <c r="BL338" s="12"/>
      <c r="BM338" s="9"/>
      <c r="BN338" s="9"/>
      <c r="BO338" s="9"/>
      <c r="BP338" s="12"/>
      <c r="BQ338" s="12"/>
      <c r="BR338" s="12"/>
      <c r="BS338" s="12"/>
      <c r="BT338" s="12"/>
      <c r="BU338" s="12"/>
      <c r="BV338" s="12"/>
      <c r="BW338" s="12"/>
      <c r="BX338" s="12"/>
      <c r="BY338" s="9"/>
      <c r="BZ338" s="21"/>
      <c r="CA338" s="21"/>
      <c r="CB338" s="21"/>
      <c r="CC338" s="21"/>
      <c r="CD338" s="21"/>
      <c r="CE338" s="21"/>
      <c r="CF338" s="21"/>
      <c r="CG338" s="21"/>
      <c r="CH338" s="21"/>
      <c r="CI338" s="21"/>
      <c r="CJ338" s="21"/>
    </row>
    <row r="339" spans="1:88" ht="40.5" customHeight="1">
      <c r="A339" s="9">
        <f t="shared" si="10"/>
        <v>337</v>
      </c>
      <c r="B339" s="9" t="str">
        <f t="shared" si="11"/>
        <v xml:space="preserve">MA
</v>
      </c>
      <c r="C339" s="9" t="s">
        <v>970</v>
      </c>
      <c r="D339" s="9" t="s">
        <v>725</v>
      </c>
      <c r="E339" s="12">
        <v>0</v>
      </c>
      <c r="F339" s="12">
        <v>0</v>
      </c>
      <c r="G339" s="9" t="s">
        <v>89</v>
      </c>
      <c r="H339" s="12"/>
      <c r="I339" s="9" t="s">
        <v>971</v>
      </c>
      <c r="J339" s="12"/>
      <c r="K339" s="12"/>
      <c r="L339" s="12"/>
      <c r="M339" s="12"/>
      <c r="N339" s="13" t="str">
        <f t="shared" si="12"/>
        <v>FOPPE + FOPPE GBR</v>
      </c>
      <c r="O339" s="16" t="s">
        <v>78</v>
      </c>
      <c r="P339" s="14">
        <v>4</v>
      </c>
      <c r="Q339" s="25">
        <v>44945</v>
      </c>
      <c r="R339" s="14">
        <v>3</v>
      </c>
      <c r="S339" s="26">
        <v>8.0555555555555561E-2</v>
      </c>
      <c r="T339" s="16" t="s">
        <v>86</v>
      </c>
      <c r="U339" s="17" t="str">
        <f t="shared" si="2"/>
        <v>FOPPE + FOPPE GBR</v>
      </c>
      <c r="V339" s="13"/>
      <c r="W339" s="13"/>
      <c r="X339" s="13"/>
      <c r="Y339" s="13"/>
      <c r="Z339" s="13"/>
      <c r="AA339" s="13"/>
      <c r="AB339" s="18" t="str">
        <f t="shared" si="13"/>
        <v>FOPPE + FOPPE GBR</v>
      </c>
      <c r="AC339" s="18"/>
      <c r="AD339" s="18"/>
      <c r="AE339" s="18"/>
      <c r="AF339" s="18"/>
      <c r="AG339" s="18"/>
      <c r="AH339" s="13"/>
      <c r="AI339" s="18"/>
      <c r="AJ339" s="13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3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2"/>
      <c r="BK339" s="12"/>
      <c r="BL339" s="12"/>
      <c r="BM339" s="9"/>
      <c r="BN339" s="9"/>
      <c r="BO339" s="9"/>
      <c r="BP339" s="12"/>
      <c r="BQ339" s="12"/>
      <c r="BR339" s="12"/>
      <c r="BS339" s="12"/>
      <c r="BT339" s="12"/>
      <c r="BU339" s="12"/>
      <c r="BV339" s="12"/>
      <c r="BW339" s="12"/>
      <c r="BX339" s="12"/>
      <c r="BY339" s="9"/>
      <c r="BZ339" s="21"/>
      <c r="CA339" s="21"/>
      <c r="CB339" s="21"/>
      <c r="CC339" s="21"/>
      <c r="CD339" s="21"/>
      <c r="CE339" s="21"/>
      <c r="CF339" s="21"/>
      <c r="CG339" s="21"/>
      <c r="CH339" s="21"/>
      <c r="CI339" s="21"/>
      <c r="CJ339" s="21"/>
    </row>
    <row r="340" spans="1:88" ht="40.5" customHeight="1">
      <c r="A340" s="9">
        <f t="shared" si="10"/>
        <v>338</v>
      </c>
      <c r="B340" s="9" t="str">
        <f t="shared" si="11"/>
        <v xml:space="preserve">MA
</v>
      </c>
      <c r="C340" s="9" t="s">
        <v>972</v>
      </c>
      <c r="D340" s="9" t="s">
        <v>725</v>
      </c>
      <c r="E340" s="12">
        <v>0</v>
      </c>
      <c r="F340" s="12">
        <v>0</v>
      </c>
      <c r="G340" s="9" t="s">
        <v>89</v>
      </c>
      <c r="H340" s="9" t="s">
        <v>973</v>
      </c>
      <c r="I340" s="9" t="s">
        <v>974</v>
      </c>
      <c r="J340" s="12"/>
      <c r="K340" s="12"/>
      <c r="L340" s="9"/>
      <c r="M340" s="12"/>
      <c r="N340" s="13" t="str">
        <f t="shared" si="12"/>
        <v>WERTBAU GMBH</v>
      </c>
      <c r="O340" s="16" t="s">
        <v>7</v>
      </c>
      <c r="P340" s="14">
        <v>4</v>
      </c>
      <c r="Q340" s="25">
        <v>44945</v>
      </c>
      <c r="R340" s="17"/>
      <c r="S340" s="17"/>
      <c r="T340" s="16" t="s">
        <v>86</v>
      </c>
      <c r="U340" s="17" t="str">
        <f t="shared" si="2"/>
        <v>WERTBAU GMBH</v>
      </c>
      <c r="V340" s="13"/>
      <c r="W340" s="13"/>
      <c r="X340" s="13"/>
      <c r="Y340" s="13"/>
      <c r="Z340" s="13"/>
      <c r="AA340" s="13"/>
      <c r="AB340" s="18" t="str">
        <f t="shared" si="13"/>
        <v>WERTBAU GMBH</v>
      </c>
      <c r="AC340" s="18"/>
      <c r="AD340" s="18"/>
      <c r="AE340" s="18"/>
      <c r="AF340" s="18"/>
      <c r="AG340" s="18"/>
      <c r="AH340" s="13"/>
      <c r="AI340" s="18"/>
      <c r="AJ340" s="13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3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2"/>
      <c r="BK340" s="12"/>
      <c r="BL340" s="12"/>
      <c r="BM340" s="9"/>
      <c r="BN340" s="9"/>
      <c r="BO340" s="9"/>
      <c r="BP340" s="12"/>
      <c r="BQ340" s="12"/>
      <c r="BR340" s="12"/>
      <c r="BS340" s="12"/>
      <c r="BT340" s="12"/>
      <c r="BU340" s="12"/>
      <c r="BV340" s="12"/>
      <c r="BW340" s="12"/>
      <c r="BX340" s="12"/>
      <c r="BY340" s="9"/>
      <c r="BZ340" s="21"/>
      <c r="CA340" s="21"/>
      <c r="CB340" s="21"/>
      <c r="CC340" s="21"/>
      <c r="CD340" s="21"/>
      <c r="CE340" s="21"/>
      <c r="CF340" s="21"/>
      <c r="CG340" s="21"/>
      <c r="CH340" s="21"/>
      <c r="CI340" s="21"/>
      <c r="CJ340" s="21"/>
    </row>
    <row r="341" spans="1:88" ht="40.5" customHeight="1">
      <c r="A341" s="9">
        <f t="shared" si="10"/>
        <v>339</v>
      </c>
      <c r="B341" s="9" t="str">
        <f t="shared" si="11"/>
        <v xml:space="preserve">MA
</v>
      </c>
      <c r="C341" s="9" t="s">
        <v>975</v>
      </c>
      <c r="D341" s="9" t="s">
        <v>725</v>
      </c>
      <c r="E341" s="12">
        <v>0</v>
      </c>
      <c r="F341" s="12">
        <v>0</v>
      </c>
      <c r="G341" s="9" t="s">
        <v>89</v>
      </c>
      <c r="H341" s="9" t="s">
        <v>976</v>
      </c>
      <c r="I341" s="9" t="s">
        <v>79</v>
      </c>
      <c r="J341" s="9" t="s">
        <v>79</v>
      </c>
      <c r="K341" s="9" t="s">
        <v>79</v>
      </c>
      <c r="L341" s="12"/>
      <c r="M341" s="12"/>
      <c r="N341" s="13" t="str">
        <f t="shared" si="12"/>
        <v>ROBERT SCHWEIKER GMBH -</v>
      </c>
      <c r="O341" s="16" t="s">
        <v>7</v>
      </c>
      <c r="P341" s="14">
        <v>4</v>
      </c>
      <c r="Q341" s="25">
        <v>44945</v>
      </c>
      <c r="R341" s="17"/>
      <c r="S341" s="17"/>
      <c r="T341" s="16" t="s">
        <v>86</v>
      </c>
      <c r="U341" s="17" t="str">
        <f t="shared" si="2"/>
        <v>ROBERT SCHWEIKER GMBH -</v>
      </c>
      <c r="V341" s="13"/>
      <c r="W341" s="13"/>
      <c r="X341" s="13"/>
      <c r="Y341" s="13"/>
      <c r="Z341" s="13"/>
      <c r="AA341" s="13"/>
      <c r="AB341" s="18" t="str">
        <f t="shared" si="13"/>
        <v>ROBERT SCHWEIKER GMBH -</v>
      </c>
      <c r="AC341" s="18"/>
      <c r="AD341" s="18"/>
      <c r="AE341" s="18"/>
      <c r="AF341" s="18"/>
      <c r="AG341" s="18"/>
      <c r="AH341" s="13"/>
      <c r="AI341" s="18"/>
      <c r="AJ341" s="13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3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2"/>
      <c r="BK341" s="12"/>
      <c r="BL341" s="12"/>
      <c r="BM341" s="9"/>
      <c r="BN341" s="9"/>
      <c r="BO341" s="9"/>
      <c r="BP341" s="12"/>
      <c r="BQ341" s="12"/>
      <c r="BR341" s="12"/>
      <c r="BS341" s="12"/>
      <c r="BT341" s="12"/>
      <c r="BU341" s="12"/>
      <c r="BV341" s="12"/>
      <c r="BW341" s="12"/>
      <c r="BX341" s="12"/>
      <c r="BY341" s="9"/>
      <c r="BZ341" s="21"/>
      <c r="CA341" s="21"/>
      <c r="CB341" s="21"/>
      <c r="CC341" s="21"/>
      <c r="CD341" s="21"/>
      <c r="CE341" s="21"/>
      <c r="CF341" s="21"/>
      <c r="CG341" s="21"/>
      <c r="CH341" s="21"/>
      <c r="CI341" s="21"/>
      <c r="CJ341" s="21"/>
    </row>
    <row r="342" spans="1:88" ht="40.5" customHeight="1">
      <c r="A342" s="9">
        <f t="shared" si="10"/>
        <v>340</v>
      </c>
      <c r="B342" s="9" t="str">
        <f t="shared" si="11"/>
        <v xml:space="preserve">MA
</v>
      </c>
      <c r="C342" s="9" t="s">
        <v>977</v>
      </c>
      <c r="D342" s="9" t="s">
        <v>725</v>
      </c>
      <c r="E342" s="12">
        <v>0</v>
      </c>
      <c r="F342" s="12">
        <v>0</v>
      </c>
      <c r="G342" s="9" t="s">
        <v>89</v>
      </c>
      <c r="H342" s="9" t="s">
        <v>978</v>
      </c>
      <c r="I342" s="9">
        <v>1722461325</v>
      </c>
      <c r="J342" s="12"/>
      <c r="K342" s="12"/>
      <c r="L342" s="12"/>
      <c r="M342" s="12"/>
      <c r="N342" s="13" t="str">
        <f t="shared" si="12"/>
        <v>weru</v>
      </c>
      <c r="O342" s="16" t="s">
        <v>98</v>
      </c>
      <c r="P342" s="14">
        <v>4</v>
      </c>
      <c r="Q342" s="25">
        <v>44945</v>
      </c>
      <c r="R342" s="17"/>
      <c r="S342" s="17"/>
      <c r="T342" s="16" t="s">
        <v>86</v>
      </c>
      <c r="U342" s="17" t="str">
        <f t="shared" si="2"/>
        <v>weru</v>
      </c>
      <c r="V342" s="13"/>
      <c r="W342" s="13"/>
      <c r="X342" s="13"/>
      <c r="Y342" s="13"/>
      <c r="Z342" s="13"/>
      <c r="AA342" s="13"/>
      <c r="AB342" s="18" t="str">
        <f t="shared" si="13"/>
        <v>weru</v>
      </c>
      <c r="AC342" s="18"/>
      <c r="AD342" s="18"/>
      <c r="AE342" s="18"/>
      <c r="AF342" s="18"/>
      <c r="AG342" s="18"/>
      <c r="AH342" s="13"/>
      <c r="AI342" s="18"/>
      <c r="AJ342" s="13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3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2"/>
      <c r="BK342" s="12"/>
      <c r="BL342" s="12"/>
      <c r="BM342" s="9"/>
      <c r="BN342" s="9"/>
      <c r="BO342" s="9"/>
      <c r="BP342" s="12"/>
      <c r="BQ342" s="12"/>
      <c r="BR342" s="12"/>
      <c r="BS342" s="12"/>
      <c r="BT342" s="12"/>
      <c r="BU342" s="12"/>
      <c r="BV342" s="12"/>
      <c r="BW342" s="12"/>
      <c r="BX342" s="12"/>
      <c r="BY342" s="9"/>
      <c r="BZ342" s="21"/>
      <c r="CA342" s="21"/>
      <c r="CB342" s="21"/>
      <c r="CC342" s="21"/>
      <c r="CD342" s="21"/>
      <c r="CE342" s="21"/>
      <c r="CF342" s="21"/>
      <c r="CG342" s="21"/>
      <c r="CH342" s="21"/>
      <c r="CI342" s="21"/>
      <c r="CJ342" s="21"/>
    </row>
    <row r="343" spans="1:88" ht="40.5" customHeight="1">
      <c r="A343" s="9">
        <f t="shared" si="10"/>
        <v>341</v>
      </c>
      <c r="B343" s="9" t="str">
        <f t="shared" si="11"/>
        <v xml:space="preserve">MA
</v>
      </c>
      <c r="C343" s="9" t="s">
        <v>979</v>
      </c>
      <c r="D343" s="9" t="s">
        <v>725</v>
      </c>
      <c r="E343" s="12">
        <v>0</v>
      </c>
      <c r="F343" s="12">
        <v>0</v>
      </c>
      <c r="G343" s="9" t="s">
        <v>89</v>
      </c>
      <c r="H343" s="12"/>
      <c r="I343" s="12"/>
      <c r="J343" s="12"/>
      <c r="K343" s="12"/>
      <c r="L343" s="9" t="s">
        <v>980</v>
      </c>
      <c r="M343" s="12"/>
      <c r="N343" s="13" t="str">
        <f t="shared" si="12"/>
        <v>ELEMENTEBAU HÖFLER GMBH</v>
      </c>
      <c r="O343" s="16" t="s">
        <v>7</v>
      </c>
      <c r="P343" s="14">
        <v>4</v>
      </c>
      <c r="Q343" s="25">
        <v>44945</v>
      </c>
      <c r="R343" s="17"/>
      <c r="S343" s="17"/>
      <c r="T343" s="16" t="s">
        <v>86</v>
      </c>
      <c r="U343" s="17" t="str">
        <f t="shared" si="2"/>
        <v>ELEMENTEBAU HÖFLER GMBH</v>
      </c>
      <c r="V343" s="13"/>
      <c r="W343" s="13"/>
      <c r="X343" s="13"/>
      <c r="Y343" s="13"/>
      <c r="Z343" s="13"/>
      <c r="AA343" s="13"/>
      <c r="AB343" s="18" t="str">
        <f t="shared" si="13"/>
        <v>ELEMENTEBAU HÖFLER GMBH</v>
      </c>
      <c r="AC343" s="18"/>
      <c r="AD343" s="18"/>
      <c r="AE343" s="18"/>
      <c r="AF343" s="18"/>
      <c r="AG343" s="18"/>
      <c r="AH343" s="13"/>
      <c r="AI343" s="18"/>
      <c r="AJ343" s="13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3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2"/>
      <c r="BK343" s="12"/>
      <c r="BL343" s="12"/>
      <c r="BM343" s="9"/>
      <c r="BN343" s="9"/>
      <c r="BO343" s="9"/>
      <c r="BP343" s="12"/>
      <c r="BQ343" s="12"/>
      <c r="BR343" s="12"/>
      <c r="BS343" s="12"/>
      <c r="BT343" s="12"/>
      <c r="BU343" s="12"/>
      <c r="BV343" s="12"/>
      <c r="BW343" s="12"/>
      <c r="BX343" s="12"/>
      <c r="BY343" s="9"/>
      <c r="BZ343" s="21"/>
      <c r="CA343" s="21"/>
      <c r="CB343" s="21"/>
      <c r="CC343" s="21"/>
      <c r="CD343" s="21"/>
      <c r="CE343" s="21"/>
      <c r="CF343" s="21"/>
      <c r="CG343" s="21"/>
      <c r="CH343" s="21"/>
      <c r="CI343" s="21"/>
      <c r="CJ343" s="21"/>
    </row>
    <row r="344" spans="1:88" ht="40.5" customHeight="1">
      <c r="A344" s="9">
        <f t="shared" si="10"/>
        <v>342</v>
      </c>
      <c r="B344" s="9" t="str">
        <f t="shared" si="11"/>
        <v xml:space="preserve">MA
</v>
      </c>
      <c r="C344" s="9" t="s">
        <v>981</v>
      </c>
      <c r="D344" s="9" t="s">
        <v>725</v>
      </c>
      <c r="E344" s="12">
        <v>0</v>
      </c>
      <c r="F344" s="12">
        <v>0</v>
      </c>
      <c r="G344" s="9" t="s">
        <v>89</v>
      </c>
      <c r="H344" s="9" t="s">
        <v>982</v>
      </c>
      <c r="I344" s="12"/>
      <c r="J344" s="12"/>
      <c r="K344" s="12"/>
      <c r="L344" s="12"/>
      <c r="M344" s="12"/>
      <c r="N344" s="13" t="str">
        <f t="shared" si="12"/>
        <v>Alu-Max</v>
      </c>
      <c r="O344" s="16" t="s">
        <v>78</v>
      </c>
      <c r="P344" s="14">
        <v>4</v>
      </c>
      <c r="Q344" s="25">
        <v>44945</v>
      </c>
      <c r="R344" s="17"/>
      <c r="S344" s="17"/>
      <c r="T344" s="16" t="s">
        <v>145</v>
      </c>
      <c r="U344" s="17" t="str">
        <f t="shared" si="2"/>
        <v>Alu-Max</v>
      </c>
      <c r="V344" s="13"/>
      <c r="W344" s="13"/>
      <c r="X344" s="13"/>
      <c r="Y344" s="13"/>
      <c r="Z344" s="13"/>
      <c r="AA344" s="13"/>
      <c r="AB344" s="18" t="str">
        <f t="shared" si="13"/>
        <v>Alu-Max</v>
      </c>
      <c r="AC344" s="18"/>
      <c r="AD344" s="18"/>
      <c r="AE344" s="18"/>
      <c r="AF344" s="18"/>
      <c r="AG344" s="18"/>
      <c r="AH344" s="13"/>
      <c r="AI344" s="18"/>
      <c r="AJ344" s="13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3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2"/>
      <c r="BK344" s="12"/>
      <c r="BL344" s="12"/>
      <c r="BM344" s="9"/>
      <c r="BN344" s="9"/>
      <c r="BO344" s="9"/>
      <c r="BP344" s="12"/>
      <c r="BQ344" s="12"/>
      <c r="BR344" s="12"/>
      <c r="BS344" s="12"/>
      <c r="BT344" s="12"/>
      <c r="BU344" s="12"/>
      <c r="BV344" s="12"/>
      <c r="BW344" s="12"/>
      <c r="BX344" s="12"/>
      <c r="BY344" s="9"/>
      <c r="BZ344" s="21"/>
      <c r="CA344" s="21"/>
      <c r="CB344" s="21"/>
      <c r="CC344" s="21"/>
      <c r="CD344" s="21"/>
      <c r="CE344" s="21"/>
      <c r="CF344" s="21"/>
      <c r="CG344" s="21"/>
      <c r="CH344" s="21"/>
      <c r="CI344" s="21"/>
      <c r="CJ344" s="21"/>
    </row>
    <row r="345" spans="1:88" ht="40.5" customHeight="1">
      <c r="A345" s="9">
        <f t="shared" si="10"/>
        <v>343</v>
      </c>
      <c r="B345" s="9" t="str">
        <f t="shared" si="11"/>
        <v xml:space="preserve">MA
</v>
      </c>
      <c r="C345" s="9" t="s">
        <v>983</v>
      </c>
      <c r="D345" s="9" t="s">
        <v>984</v>
      </c>
      <c r="E345" s="12">
        <v>0</v>
      </c>
      <c r="F345" s="12">
        <v>0</v>
      </c>
      <c r="G345" s="9" t="s">
        <v>89</v>
      </c>
      <c r="H345" s="9" t="s">
        <v>985</v>
      </c>
      <c r="I345" s="12"/>
      <c r="J345" s="12"/>
      <c r="K345" s="11" t="s">
        <v>986</v>
      </c>
      <c r="L345" s="12"/>
      <c r="M345" s="12"/>
      <c r="N345" s="13" t="str">
        <f t="shared" si="12"/>
        <v xml:space="preserve">ABS LTD. </v>
      </c>
      <c r="O345" s="16" t="s">
        <v>7</v>
      </c>
      <c r="P345" s="14">
        <v>2</v>
      </c>
      <c r="Q345" s="25">
        <v>44945</v>
      </c>
      <c r="R345" s="17"/>
      <c r="S345" s="17"/>
      <c r="T345" s="16" t="s">
        <v>86</v>
      </c>
      <c r="U345" s="17" t="str">
        <f t="shared" si="2"/>
        <v xml:space="preserve">ABS LTD. </v>
      </c>
      <c r="V345" s="13"/>
      <c r="W345" s="13"/>
      <c r="X345" s="13"/>
      <c r="Y345" s="13"/>
      <c r="Z345" s="13"/>
      <c r="AA345" s="13"/>
      <c r="AB345" s="18" t="str">
        <f t="shared" si="13"/>
        <v xml:space="preserve">ABS LTD. </v>
      </c>
      <c r="AC345" s="18"/>
      <c r="AD345" s="18"/>
      <c r="AE345" s="18"/>
      <c r="AF345" s="18"/>
      <c r="AG345" s="18"/>
      <c r="AH345" s="13"/>
      <c r="AI345" s="18"/>
      <c r="AJ345" s="13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3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2"/>
      <c r="BK345" s="12"/>
      <c r="BL345" s="12"/>
      <c r="BM345" s="9"/>
      <c r="BN345" s="9"/>
      <c r="BO345" s="9"/>
      <c r="BP345" s="12"/>
      <c r="BQ345" s="12"/>
      <c r="BR345" s="12"/>
      <c r="BS345" s="12"/>
      <c r="BT345" s="12"/>
      <c r="BU345" s="12"/>
      <c r="BV345" s="12"/>
      <c r="BW345" s="12"/>
      <c r="BX345" s="12"/>
      <c r="BY345" s="9"/>
      <c r="BZ345" s="21"/>
      <c r="CA345" s="21"/>
      <c r="CB345" s="21"/>
      <c r="CC345" s="21"/>
      <c r="CD345" s="21"/>
      <c r="CE345" s="21"/>
      <c r="CF345" s="21"/>
      <c r="CG345" s="21"/>
      <c r="CH345" s="21"/>
      <c r="CI345" s="21"/>
      <c r="CJ345" s="21"/>
    </row>
    <row r="346" spans="1:88" ht="40.5" customHeight="1">
      <c r="A346" s="9">
        <f t="shared" si="10"/>
        <v>344</v>
      </c>
      <c r="B346" s="9" t="str">
        <f t="shared" si="11"/>
        <v xml:space="preserve">MA
</v>
      </c>
      <c r="C346" s="9" t="s">
        <v>987</v>
      </c>
      <c r="D346" s="9" t="s">
        <v>969</v>
      </c>
      <c r="E346" s="12">
        <v>0</v>
      </c>
      <c r="F346" s="12">
        <v>0</v>
      </c>
      <c r="G346" s="9" t="s">
        <v>89</v>
      </c>
      <c r="H346" s="9" t="s">
        <v>988</v>
      </c>
      <c r="I346" s="12"/>
      <c r="J346" s="12"/>
      <c r="K346" s="12"/>
      <c r="L346" s="12"/>
      <c r="M346" s="12"/>
      <c r="N346" s="13" t="str">
        <f t="shared" si="12"/>
        <v>STAR ALUMINIUM</v>
      </c>
      <c r="O346" s="16" t="s">
        <v>7</v>
      </c>
      <c r="P346" s="14">
        <v>2</v>
      </c>
      <c r="Q346" s="25">
        <v>44945</v>
      </c>
      <c r="R346" s="17"/>
      <c r="S346" s="17"/>
      <c r="T346" s="16" t="s">
        <v>86</v>
      </c>
      <c r="U346" s="17" t="str">
        <f t="shared" si="2"/>
        <v>STAR ALUMINIUM</v>
      </c>
      <c r="V346" s="13"/>
      <c r="W346" s="13"/>
      <c r="X346" s="13"/>
      <c r="Y346" s="13"/>
      <c r="Z346" s="13"/>
      <c r="AA346" s="13"/>
      <c r="AB346" s="18" t="str">
        <f t="shared" si="13"/>
        <v>STAR ALUMINIUM</v>
      </c>
      <c r="AC346" s="18"/>
      <c r="AD346" s="18"/>
      <c r="AE346" s="18"/>
      <c r="AF346" s="18"/>
      <c r="AG346" s="18"/>
      <c r="AH346" s="13"/>
      <c r="AI346" s="18"/>
      <c r="AJ346" s="13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3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2"/>
      <c r="BK346" s="12"/>
      <c r="BL346" s="12"/>
      <c r="BM346" s="9"/>
      <c r="BN346" s="9"/>
      <c r="BO346" s="9"/>
      <c r="BP346" s="12"/>
      <c r="BQ346" s="12"/>
      <c r="BR346" s="12"/>
      <c r="BS346" s="12"/>
      <c r="BT346" s="12"/>
      <c r="BU346" s="12"/>
      <c r="BV346" s="12"/>
      <c r="BW346" s="12"/>
      <c r="BX346" s="12"/>
      <c r="BY346" s="9"/>
      <c r="BZ346" s="21"/>
      <c r="CA346" s="21"/>
      <c r="CB346" s="21"/>
      <c r="CC346" s="21"/>
      <c r="CD346" s="21"/>
      <c r="CE346" s="21"/>
      <c r="CF346" s="21"/>
      <c r="CG346" s="21"/>
      <c r="CH346" s="21"/>
      <c r="CI346" s="21"/>
      <c r="CJ346" s="21"/>
    </row>
    <row r="347" spans="1:88" ht="40.5" customHeight="1">
      <c r="A347" s="9">
        <f t="shared" si="10"/>
        <v>345</v>
      </c>
      <c r="B347" s="9" t="str">
        <f t="shared" si="11"/>
        <v xml:space="preserve">MA
</v>
      </c>
      <c r="C347" s="9" t="s">
        <v>989</v>
      </c>
      <c r="D347" s="9" t="s">
        <v>969</v>
      </c>
      <c r="E347" s="12">
        <v>0</v>
      </c>
      <c r="F347" s="12">
        <v>0</v>
      </c>
      <c r="G347" s="9" t="s">
        <v>89</v>
      </c>
      <c r="H347" s="9" t="s">
        <v>990</v>
      </c>
      <c r="I347" s="12"/>
      <c r="J347" s="12"/>
      <c r="K347" s="12"/>
      <c r="L347" s="12"/>
      <c r="M347" s="12"/>
      <c r="N347" s="13" t="str">
        <f t="shared" si="12"/>
        <v>JAYCEE GLASS</v>
      </c>
      <c r="O347" s="16" t="s">
        <v>7</v>
      </c>
      <c r="P347" s="14">
        <v>2</v>
      </c>
      <c r="Q347" s="25">
        <v>44945</v>
      </c>
      <c r="R347" s="17"/>
      <c r="S347" s="17"/>
      <c r="T347" s="16" t="s">
        <v>86</v>
      </c>
      <c r="U347" s="17" t="str">
        <f t="shared" si="2"/>
        <v>JAYCEE GLASS</v>
      </c>
      <c r="V347" s="13"/>
      <c r="W347" s="13"/>
      <c r="X347" s="13"/>
      <c r="Y347" s="13"/>
      <c r="Z347" s="13"/>
      <c r="AA347" s="13"/>
      <c r="AB347" s="18" t="str">
        <f t="shared" si="13"/>
        <v>JAYCEE GLASS</v>
      </c>
      <c r="AC347" s="18"/>
      <c r="AD347" s="18"/>
      <c r="AE347" s="18"/>
      <c r="AF347" s="18"/>
      <c r="AG347" s="18"/>
      <c r="AH347" s="13"/>
      <c r="AI347" s="18"/>
      <c r="AJ347" s="13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3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2"/>
      <c r="BK347" s="12"/>
      <c r="BL347" s="12"/>
      <c r="BM347" s="9"/>
      <c r="BN347" s="9"/>
      <c r="BO347" s="9"/>
      <c r="BP347" s="12"/>
      <c r="BQ347" s="12"/>
      <c r="BR347" s="12"/>
      <c r="BS347" s="12"/>
      <c r="BT347" s="12"/>
      <c r="BU347" s="12"/>
      <c r="BV347" s="12"/>
      <c r="BW347" s="12"/>
      <c r="BX347" s="12"/>
      <c r="BY347" s="9"/>
      <c r="BZ347" s="21"/>
      <c r="CA347" s="21"/>
      <c r="CB347" s="21"/>
      <c r="CC347" s="21"/>
      <c r="CD347" s="21"/>
      <c r="CE347" s="21"/>
      <c r="CF347" s="21"/>
      <c r="CG347" s="21"/>
      <c r="CH347" s="21"/>
      <c r="CI347" s="21"/>
      <c r="CJ347" s="21"/>
    </row>
    <row r="348" spans="1:88" ht="40.5" customHeight="1">
      <c r="A348" s="64">
        <f t="shared" si="10"/>
        <v>346</v>
      </c>
      <c r="B348" s="64" t="str">
        <f t="shared" si="11"/>
        <v xml:space="preserve">MA
</v>
      </c>
      <c r="C348" s="64" t="s">
        <v>991</v>
      </c>
      <c r="D348" s="64" t="s">
        <v>992</v>
      </c>
      <c r="E348" s="65">
        <v>0</v>
      </c>
      <c r="F348" s="65">
        <v>0</v>
      </c>
      <c r="G348" s="64" t="s">
        <v>89</v>
      </c>
      <c r="H348" s="65"/>
      <c r="I348" s="64" t="s">
        <v>993</v>
      </c>
      <c r="J348" s="65"/>
      <c r="K348" s="65"/>
      <c r="L348" s="65"/>
      <c r="M348" s="65"/>
      <c r="N348" s="66" t="str">
        <f t="shared" si="12"/>
        <v xml:space="preserve">
Allers Aluminium</v>
      </c>
      <c r="O348" s="66"/>
      <c r="P348" s="67"/>
      <c r="Q348" s="66"/>
      <c r="R348" s="67"/>
      <c r="S348" s="67"/>
      <c r="T348" s="66"/>
      <c r="U348" s="17" t="str">
        <f t="shared" si="2"/>
        <v xml:space="preserve">
Allers Aluminium</v>
      </c>
      <c r="V348" s="66"/>
      <c r="W348" s="66"/>
      <c r="X348" s="66"/>
      <c r="Y348" s="66"/>
      <c r="Z348" s="66"/>
      <c r="AA348" s="66"/>
      <c r="AB348" s="68" t="str">
        <f t="shared" si="13"/>
        <v xml:space="preserve">
Allers Aluminium</v>
      </c>
      <c r="AC348" s="68"/>
      <c r="AD348" s="68"/>
      <c r="AE348" s="68"/>
      <c r="AF348" s="68"/>
      <c r="AG348" s="68"/>
      <c r="AH348" s="66"/>
      <c r="AI348" s="68"/>
      <c r="AJ348" s="66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6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5"/>
      <c r="BK348" s="65"/>
      <c r="BL348" s="65"/>
      <c r="BM348" s="64"/>
      <c r="BN348" s="64"/>
      <c r="BO348" s="64"/>
      <c r="BP348" s="65"/>
      <c r="BQ348" s="65"/>
      <c r="BR348" s="65"/>
      <c r="BS348" s="65"/>
      <c r="BT348" s="65"/>
      <c r="BU348" s="65"/>
      <c r="BV348" s="65"/>
      <c r="BW348" s="65"/>
      <c r="BX348" s="65"/>
      <c r="BY348" s="64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</row>
    <row r="349" spans="1:88" ht="40.5" customHeight="1">
      <c r="A349" s="64">
        <f t="shared" si="10"/>
        <v>347</v>
      </c>
      <c r="B349" s="64" t="str">
        <f t="shared" si="11"/>
        <v xml:space="preserve">MA
</v>
      </c>
      <c r="C349" s="64" t="s">
        <v>994</v>
      </c>
      <c r="D349" s="64" t="s">
        <v>995</v>
      </c>
      <c r="E349" s="65">
        <v>0</v>
      </c>
      <c r="F349" s="65">
        <v>0</v>
      </c>
      <c r="G349" s="64" t="s">
        <v>89</v>
      </c>
      <c r="H349" s="65"/>
      <c r="I349" s="64" t="s">
        <v>996</v>
      </c>
      <c r="J349" s="65"/>
      <c r="K349" s="65"/>
      <c r="L349" s="65"/>
      <c r="M349" s="65"/>
      <c r="N349" s="66" t="str">
        <f t="shared" si="12"/>
        <v>ASEDL</v>
      </c>
      <c r="O349" s="66"/>
      <c r="P349" s="67"/>
      <c r="Q349" s="66"/>
      <c r="R349" s="67"/>
      <c r="S349" s="67"/>
      <c r="T349" s="66"/>
      <c r="U349" s="17" t="str">
        <f t="shared" si="2"/>
        <v>ASEDL</v>
      </c>
      <c r="V349" s="66"/>
      <c r="W349" s="66"/>
      <c r="X349" s="66"/>
      <c r="Y349" s="66"/>
      <c r="Z349" s="66"/>
      <c r="AA349" s="66"/>
      <c r="AB349" s="68" t="str">
        <f t="shared" si="13"/>
        <v>ASEDL</v>
      </c>
      <c r="AC349" s="68"/>
      <c r="AD349" s="68"/>
      <c r="AE349" s="68"/>
      <c r="AF349" s="68"/>
      <c r="AG349" s="68"/>
      <c r="AH349" s="66"/>
      <c r="AI349" s="68"/>
      <c r="AJ349" s="66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6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5"/>
      <c r="BK349" s="65"/>
      <c r="BL349" s="65"/>
      <c r="BM349" s="64"/>
      <c r="BN349" s="64"/>
      <c r="BO349" s="64"/>
      <c r="BP349" s="65"/>
      <c r="BQ349" s="65"/>
      <c r="BR349" s="65"/>
      <c r="BS349" s="65"/>
      <c r="BT349" s="65"/>
      <c r="BU349" s="65"/>
      <c r="BV349" s="65"/>
      <c r="BW349" s="65"/>
      <c r="BX349" s="65"/>
      <c r="BY349" s="64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</row>
    <row r="350" spans="1:88" ht="40.5" customHeight="1">
      <c r="A350" s="9">
        <f t="shared" si="10"/>
        <v>348</v>
      </c>
      <c r="B350" s="9" t="str">
        <f t="shared" si="11"/>
        <v xml:space="preserve">MA
</v>
      </c>
      <c r="C350" s="9" t="s">
        <v>997</v>
      </c>
      <c r="D350" s="9" t="s">
        <v>998</v>
      </c>
      <c r="E350" s="12">
        <v>0</v>
      </c>
      <c r="F350" s="12">
        <v>0</v>
      </c>
      <c r="G350" s="9" t="s">
        <v>89</v>
      </c>
      <c r="H350" s="12"/>
      <c r="I350" s="9">
        <v>255788360048</v>
      </c>
      <c r="J350" s="12"/>
      <c r="K350" s="12"/>
      <c r="L350" s="12"/>
      <c r="M350" s="12"/>
      <c r="N350" s="13" t="str">
        <f t="shared" si="12"/>
        <v>HB GLASS</v>
      </c>
      <c r="O350" s="16" t="s">
        <v>98</v>
      </c>
      <c r="P350" s="14">
        <v>2</v>
      </c>
      <c r="Q350" s="25">
        <v>44945</v>
      </c>
      <c r="R350" s="17"/>
      <c r="S350" s="17"/>
      <c r="T350" s="16" t="s">
        <v>86</v>
      </c>
      <c r="U350" s="17" t="str">
        <f t="shared" si="2"/>
        <v>HB GLASS</v>
      </c>
      <c r="V350" s="16" t="s">
        <v>78</v>
      </c>
      <c r="W350" s="16">
        <v>3</v>
      </c>
      <c r="X350" s="25">
        <v>44956</v>
      </c>
      <c r="Y350" s="13"/>
      <c r="Z350" s="13"/>
      <c r="AA350" s="16" t="s">
        <v>153</v>
      </c>
      <c r="AB350" s="18" t="str">
        <f t="shared" si="13"/>
        <v>HB GLASS</v>
      </c>
      <c r="AC350" s="18"/>
      <c r="AD350" s="18"/>
      <c r="AE350" s="18"/>
      <c r="AF350" s="18"/>
      <c r="AG350" s="18"/>
      <c r="AH350" s="13"/>
      <c r="AI350" s="18"/>
      <c r="AJ350" s="13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3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2"/>
      <c r="BK350" s="12"/>
      <c r="BL350" s="12"/>
      <c r="BM350" s="9"/>
      <c r="BN350" s="9"/>
      <c r="BO350" s="9"/>
      <c r="BP350" s="12"/>
      <c r="BQ350" s="12"/>
      <c r="BR350" s="12"/>
      <c r="BS350" s="12"/>
      <c r="BT350" s="12"/>
      <c r="BU350" s="12"/>
      <c r="BV350" s="12"/>
      <c r="BW350" s="12"/>
      <c r="BX350" s="12"/>
      <c r="BY350" s="9"/>
      <c r="BZ350" s="21"/>
      <c r="CA350" s="21"/>
      <c r="CB350" s="21"/>
      <c r="CC350" s="21"/>
      <c r="CD350" s="21"/>
      <c r="CE350" s="21"/>
      <c r="CF350" s="21"/>
      <c r="CG350" s="21"/>
      <c r="CH350" s="21"/>
      <c r="CI350" s="21"/>
      <c r="CJ350" s="21"/>
    </row>
    <row r="351" spans="1:88" ht="40.5" customHeight="1">
      <c r="A351" s="9">
        <f t="shared" si="10"/>
        <v>349</v>
      </c>
      <c r="B351" s="9" t="str">
        <f t="shared" si="11"/>
        <v xml:space="preserve">MA
</v>
      </c>
      <c r="C351" s="9" t="s">
        <v>999</v>
      </c>
      <c r="D351" s="9" t="s">
        <v>1000</v>
      </c>
      <c r="E351" s="12">
        <v>0</v>
      </c>
      <c r="F351" s="12">
        <v>0</v>
      </c>
      <c r="G351" s="9" t="s">
        <v>89</v>
      </c>
      <c r="H351" s="12"/>
      <c r="I351" s="9" t="s">
        <v>1001</v>
      </c>
      <c r="J351" s="12"/>
      <c r="K351" s="12"/>
      <c r="L351" s="12"/>
      <c r="M351" s="12"/>
      <c r="N351" s="13" t="str">
        <f t="shared" si="12"/>
        <v>FOCUS ALUMINIUM</v>
      </c>
      <c r="O351" s="16" t="s">
        <v>98</v>
      </c>
      <c r="P351" s="14">
        <v>2</v>
      </c>
      <c r="Q351" s="25">
        <v>44945</v>
      </c>
      <c r="R351" s="17"/>
      <c r="S351" s="17"/>
      <c r="T351" s="16" t="s">
        <v>86</v>
      </c>
      <c r="U351" s="17" t="str">
        <f t="shared" si="2"/>
        <v>FOCUS ALUMINIUM</v>
      </c>
      <c r="V351" s="13"/>
      <c r="W351" s="13"/>
      <c r="X351" s="13"/>
      <c r="Y351" s="13"/>
      <c r="Z351" s="13"/>
      <c r="AA351" s="13"/>
      <c r="AB351" s="18" t="str">
        <f t="shared" si="13"/>
        <v>FOCUS ALUMINIUM</v>
      </c>
      <c r="AC351" s="18"/>
      <c r="AD351" s="18"/>
      <c r="AE351" s="18"/>
      <c r="AF351" s="18"/>
      <c r="AG351" s="18"/>
      <c r="AH351" s="13"/>
      <c r="AI351" s="18"/>
      <c r="AJ351" s="13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3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2"/>
      <c r="BK351" s="12"/>
      <c r="BL351" s="12"/>
      <c r="BM351" s="9"/>
      <c r="BN351" s="9"/>
      <c r="BO351" s="9"/>
      <c r="BP351" s="12"/>
      <c r="BQ351" s="12"/>
      <c r="BR351" s="12"/>
      <c r="BS351" s="12"/>
      <c r="BT351" s="12"/>
      <c r="BU351" s="12"/>
      <c r="BV351" s="12"/>
      <c r="BW351" s="12"/>
      <c r="BX351" s="12"/>
      <c r="BY351" s="9"/>
      <c r="BZ351" s="21"/>
      <c r="CA351" s="21"/>
      <c r="CB351" s="21"/>
      <c r="CC351" s="21"/>
      <c r="CD351" s="21"/>
      <c r="CE351" s="21"/>
      <c r="CF351" s="21"/>
      <c r="CG351" s="21"/>
      <c r="CH351" s="21"/>
      <c r="CI351" s="21"/>
      <c r="CJ351" s="21"/>
    </row>
    <row r="352" spans="1:88" ht="40.5" customHeight="1">
      <c r="A352" s="9">
        <f t="shared" si="10"/>
        <v>350</v>
      </c>
      <c r="B352" s="9" t="str">
        <f t="shared" si="11"/>
        <v xml:space="preserve">MA
</v>
      </c>
      <c r="C352" s="9" t="s">
        <v>1002</v>
      </c>
      <c r="D352" s="9" t="s">
        <v>1000</v>
      </c>
      <c r="E352" s="12">
        <v>0</v>
      </c>
      <c r="F352" s="12">
        <v>0</v>
      </c>
      <c r="G352" s="9" t="s">
        <v>89</v>
      </c>
      <c r="H352" s="12"/>
      <c r="I352" s="9" t="s">
        <v>1003</v>
      </c>
      <c r="J352" s="12"/>
      <c r="K352" s="12"/>
      <c r="L352" s="12"/>
      <c r="M352" s="12"/>
      <c r="N352" s="13" t="str">
        <f t="shared" si="12"/>
        <v>HABETULLAH BROTHERS LTD</v>
      </c>
      <c r="O352" s="13"/>
      <c r="P352" s="17"/>
      <c r="Q352" s="13"/>
      <c r="R352" s="17"/>
      <c r="S352" s="17"/>
      <c r="T352" s="13"/>
      <c r="U352" s="17" t="str">
        <f t="shared" si="2"/>
        <v>HABETULLAH BROTHERS LTD</v>
      </c>
      <c r="V352" s="13"/>
      <c r="W352" s="13"/>
      <c r="X352" s="13"/>
      <c r="Y352" s="13"/>
      <c r="Z352" s="13"/>
      <c r="AA352" s="13"/>
      <c r="AB352" s="18" t="str">
        <f t="shared" si="13"/>
        <v>HABETULLAH BROTHERS LTD</v>
      </c>
      <c r="AC352" s="18"/>
      <c r="AD352" s="18"/>
      <c r="AE352" s="18"/>
      <c r="AF352" s="18"/>
      <c r="AG352" s="18"/>
      <c r="AH352" s="13"/>
      <c r="AI352" s="18"/>
      <c r="AJ352" s="13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3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2"/>
      <c r="BK352" s="12"/>
      <c r="BL352" s="12"/>
      <c r="BM352" s="9"/>
      <c r="BN352" s="9"/>
      <c r="BO352" s="9"/>
      <c r="BP352" s="12"/>
      <c r="BQ352" s="12"/>
      <c r="BR352" s="12"/>
      <c r="BS352" s="12"/>
      <c r="BT352" s="12"/>
      <c r="BU352" s="12"/>
      <c r="BV352" s="12"/>
      <c r="BW352" s="12"/>
      <c r="BX352" s="12"/>
      <c r="BY352" s="9"/>
      <c r="BZ352" s="21"/>
      <c r="CA352" s="21"/>
      <c r="CB352" s="21"/>
      <c r="CC352" s="21"/>
      <c r="CD352" s="21"/>
      <c r="CE352" s="21"/>
      <c r="CF352" s="21"/>
      <c r="CG352" s="21"/>
      <c r="CH352" s="21"/>
      <c r="CI352" s="21"/>
      <c r="CJ352" s="21"/>
    </row>
    <row r="353" spans="1:88" ht="40.5" customHeight="1">
      <c r="A353" s="9">
        <f t="shared" si="10"/>
        <v>351</v>
      </c>
      <c r="B353" s="9" t="str">
        <f t="shared" si="11"/>
        <v xml:space="preserve">MA
</v>
      </c>
      <c r="C353" s="9" t="s">
        <v>1004</v>
      </c>
      <c r="D353" s="9" t="s">
        <v>1000</v>
      </c>
      <c r="E353" s="12">
        <v>0</v>
      </c>
      <c r="F353" s="12">
        <v>0</v>
      </c>
      <c r="G353" s="9" t="s">
        <v>89</v>
      </c>
      <c r="H353" s="12"/>
      <c r="I353" s="9" t="s">
        <v>1005</v>
      </c>
      <c r="J353" s="12"/>
      <c r="K353" s="12"/>
      <c r="L353" s="12"/>
      <c r="M353" s="12"/>
      <c r="N353" s="13" t="str">
        <f t="shared" si="12"/>
        <v>INOVA LTD.</v>
      </c>
      <c r="O353" s="13"/>
      <c r="P353" s="17"/>
      <c r="Q353" s="13"/>
      <c r="R353" s="17"/>
      <c r="S353" s="17"/>
      <c r="T353" s="13"/>
      <c r="U353" s="17" t="str">
        <f t="shared" si="2"/>
        <v>INOVA LTD.</v>
      </c>
      <c r="V353" s="13"/>
      <c r="W353" s="13"/>
      <c r="X353" s="13"/>
      <c r="Y353" s="13"/>
      <c r="Z353" s="13"/>
      <c r="AA353" s="13"/>
      <c r="AB353" s="18" t="str">
        <f t="shared" si="13"/>
        <v>INOVA LTD.</v>
      </c>
      <c r="AC353" s="18"/>
      <c r="AD353" s="18"/>
      <c r="AE353" s="18"/>
      <c r="AF353" s="18"/>
      <c r="AG353" s="18"/>
      <c r="AH353" s="13"/>
      <c r="AI353" s="18"/>
      <c r="AJ353" s="13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3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2"/>
      <c r="BK353" s="12"/>
      <c r="BL353" s="12"/>
      <c r="BM353" s="9"/>
      <c r="BN353" s="9"/>
      <c r="BO353" s="9"/>
      <c r="BP353" s="12"/>
      <c r="BQ353" s="12"/>
      <c r="BR353" s="12"/>
      <c r="BS353" s="12"/>
      <c r="BT353" s="12"/>
      <c r="BU353" s="12"/>
      <c r="BV353" s="12"/>
      <c r="BW353" s="12"/>
      <c r="BX353" s="12"/>
      <c r="BY353" s="9"/>
      <c r="BZ353" s="21"/>
      <c r="CA353" s="21"/>
      <c r="CB353" s="21"/>
      <c r="CC353" s="21"/>
      <c r="CD353" s="21"/>
      <c r="CE353" s="21"/>
      <c r="CF353" s="21"/>
      <c r="CG353" s="21"/>
      <c r="CH353" s="21"/>
      <c r="CI353" s="21"/>
      <c r="CJ353" s="21"/>
    </row>
    <row r="354" spans="1:88" ht="40.5" customHeight="1">
      <c r="A354" s="9">
        <f t="shared" si="10"/>
        <v>352</v>
      </c>
      <c r="B354" s="9" t="str">
        <f t="shared" si="11"/>
        <v xml:space="preserve">MA
</v>
      </c>
      <c r="C354" s="9" t="s">
        <v>1006</v>
      </c>
      <c r="D354" s="9" t="s">
        <v>1000</v>
      </c>
      <c r="E354" s="12">
        <v>0</v>
      </c>
      <c r="F354" s="12">
        <v>0</v>
      </c>
      <c r="G354" s="9" t="s">
        <v>89</v>
      </c>
      <c r="H354" s="12"/>
      <c r="I354" s="9" t="s">
        <v>1007</v>
      </c>
      <c r="J354" s="12"/>
      <c r="K354" s="12"/>
      <c r="L354" s="12"/>
      <c r="M354" s="12"/>
      <c r="N354" s="13" t="str">
        <f t="shared" si="12"/>
        <v>METALUM</v>
      </c>
      <c r="O354" s="13"/>
      <c r="P354" s="17"/>
      <c r="Q354" s="13"/>
      <c r="R354" s="17"/>
      <c r="S354" s="17"/>
      <c r="T354" s="13"/>
      <c r="U354" s="17" t="str">
        <f t="shared" si="2"/>
        <v>METALUM</v>
      </c>
      <c r="V354" s="13"/>
      <c r="W354" s="13"/>
      <c r="X354" s="13"/>
      <c r="Y354" s="13"/>
      <c r="Z354" s="13"/>
      <c r="AA354" s="13"/>
      <c r="AB354" s="18" t="str">
        <f t="shared" si="13"/>
        <v>METALUM</v>
      </c>
      <c r="AC354" s="18"/>
      <c r="AD354" s="18"/>
      <c r="AE354" s="18"/>
      <c r="AF354" s="18"/>
      <c r="AG354" s="18"/>
      <c r="AH354" s="13"/>
      <c r="AI354" s="18"/>
      <c r="AJ354" s="13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3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2"/>
      <c r="BK354" s="12"/>
      <c r="BL354" s="12"/>
      <c r="BM354" s="9"/>
      <c r="BN354" s="9"/>
      <c r="BO354" s="9"/>
      <c r="BP354" s="12"/>
      <c r="BQ354" s="12"/>
      <c r="BR354" s="12"/>
      <c r="BS354" s="12"/>
      <c r="BT354" s="12"/>
      <c r="BU354" s="12"/>
      <c r="BV354" s="12"/>
      <c r="BW354" s="12"/>
      <c r="BX354" s="12"/>
      <c r="BY354" s="9"/>
      <c r="BZ354" s="21"/>
      <c r="CA354" s="21"/>
      <c r="CB354" s="21"/>
      <c r="CC354" s="21"/>
      <c r="CD354" s="21"/>
      <c r="CE354" s="21"/>
      <c r="CF354" s="21"/>
      <c r="CG354" s="21"/>
      <c r="CH354" s="21"/>
      <c r="CI354" s="21"/>
      <c r="CJ354" s="21"/>
    </row>
    <row r="355" spans="1:88" ht="40.5" customHeight="1">
      <c r="A355" s="9">
        <f t="shared" si="10"/>
        <v>353</v>
      </c>
      <c r="B355" s="9" t="str">
        <f t="shared" si="11"/>
        <v xml:space="preserve">MA
</v>
      </c>
      <c r="C355" s="9" t="s">
        <v>1008</v>
      </c>
      <c r="D355" s="9" t="s">
        <v>1009</v>
      </c>
      <c r="E355" s="12">
        <v>0</v>
      </c>
      <c r="F355" s="12">
        <v>0</v>
      </c>
      <c r="G355" s="9" t="s">
        <v>89</v>
      </c>
      <c r="H355" s="12"/>
      <c r="I355" s="9" t="s">
        <v>1010</v>
      </c>
      <c r="J355" s="12"/>
      <c r="K355" s="12"/>
      <c r="L355" s="12"/>
      <c r="M355" s="12"/>
      <c r="N355" s="13" t="str">
        <f t="shared" si="12"/>
        <v xml:space="preserve">et metal </v>
      </c>
      <c r="O355" s="16" t="s">
        <v>78</v>
      </c>
      <c r="P355" s="14">
        <v>2</v>
      </c>
      <c r="Q355" s="25">
        <v>44945</v>
      </c>
      <c r="R355" s="17"/>
      <c r="S355" s="17"/>
      <c r="T355" s="16" t="s">
        <v>86</v>
      </c>
      <c r="U355" s="17" t="str">
        <f t="shared" si="2"/>
        <v xml:space="preserve">et metal </v>
      </c>
      <c r="V355" s="13"/>
      <c r="W355" s="13"/>
      <c r="X355" s="13"/>
      <c r="Y355" s="13"/>
      <c r="Z355" s="13"/>
      <c r="AA355" s="13"/>
      <c r="AB355" s="18" t="str">
        <f t="shared" si="13"/>
        <v xml:space="preserve">et metal </v>
      </c>
      <c r="AC355" s="18"/>
      <c r="AD355" s="18"/>
      <c r="AE355" s="18"/>
      <c r="AF355" s="18"/>
      <c r="AG355" s="18"/>
      <c r="AH355" s="13"/>
      <c r="AI355" s="18"/>
      <c r="AJ355" s="13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3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2"/>
      <c r="BK355" s="12"/>
      <c r="BL355" s="12"/>
      <c r="BM355" s="9"/>
      <c r="BN355" s="9"/>
      <c r="BO355" s="9"/>
      <c r="BP355" s="12"/>
      <c r="BQ355" s="12"/>
      <c r="BR355" s="12"/>
      <c r="BS355" s="12"/>
      <c r="BT355" s="12"/>
      <c r="BU355" s="12"/>
      <c r="BV355" s="12"/>
      <c r="BW355" s="12"/>
      <c r="BX355" s="12"/>
      <c r="BY355" s="9"/>
      <c r="BZ355" s="21"/>
      <c r="CA355" s="21"/>
      <c r="CB355" s="21"/>
      <c r="CC355" s="21"/>
      <c r="CD355" s="21"/>
      <c r="CE355" s="21"/>
      <c r="CF355" s="21"/>
      <c r="CG355" s="21"/>
      <c r="CH355" s="21"/>
      <c r="CI355" s="21"/>
      <c r="CJ355" s="21"/>
    </row>
    <row r="356" spans="1:88" ht="40.5" customHeight="1">
      <c r="A356" s="64">
        <f t="shared" si="10"/>
        <v>354</v>
      </c>
      <c r="B356" s="64" t="str">
        <f t="shared" si="11"/>
        <v xml:space="preserve">MA
</v>
      </c>
      <c r="C356" s="64" t="s">
        <v>1011</v>
      </c>
      <c r="D356" s="64" t="s">
        <v>1012</v>
      </c>
      <c r="E356" s="65">
        <v>0</v>
      </c>
      <c r="F356" s="65">
        <v>0</v>
      </c>
      <c r="G356" s="64" t="s">
        <v>89</v>
      </c>
      <c r="H356" s="65"/>
      <c r="I356" s="64">
        <v>381631117847</v>
      </c>
      <c r="J356" s="65"/>
      <c r="K356" s="65"/>
      <c r="L356" s="65"/>
      <c r="M356" s="65"/>
      <c r="N356" s="66" t="str">
        <f t="shared" si="12"/>
        <v>Libra</v>
      </c>
      <c r="O356" s="66"/>
      <c r="P356" s="67"/>
      <c r="Q356" s="66"/>
      <c r="R356" s="67"/>
      <c r="S356" s="67"/>
      <c r="T356" s="66"/>
      <c r="U356" s="17" t="str">
        <f t="shared" si="2"/>
        <v>Libra</v>
      </c>
      <c r="V356" s="66"/>
      <c r="W356" s="66"/>
      <c r="X356" s="66"/>
      <c r="Y356" s="66"/>
      <c r="Z356" s="66"/>
      <c r="AA356" s="66"/>
      <c r="AB356" s="68" t="str">
        <f t="shared" si="13"/>
        <v>Libra</v>
      </c>
      <c r="AC356" s="68"/>
      <c r="AD356" s="68"/>
      <c r="AE356" s="68"/>
      <c r="AF356" s="68"/>
      <c r="AG356" s="68"/>
      <c r="AH356" s="66"/>
      <c r="AI356" s="68"/>
      <c r="AJ356" s="66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6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5"/>
      <c r="BK356" s="65"/>
      <c r="BL356" s="65"/>
      <c r="BM356" s="64"/>
      <c r="BN356" s="64"/>
      <c r="BO356" s="64"/>
      <c r="BP356" s="65"/>
      <c r="BQ356" s="65"/>
      <c r="BR356" s="65"/>
      <c r="BS356" s="65"/>
      <c r="BT356" s="65"/>
      <c r="BU356" s="65"/>
      <c r="BV356" s="65"/>
      <c r="BW356" s="65"/>
      <c r="BX356" s="65"/>
      <c r="BY356" s="64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</row>
    <row r="357" spans="1:88" ht="40.5" customHeight="1">
      <c r="A357" s="24">
        <f t="shared" si="10"/>
        <v>355</v>
      </c>
      <c r="B357" s="24" t="str">
        <f t="shared" si="11"/>
        <v xml:space="preserve">MA
</v>
      </c>
      <c r="C357" s="24" t="s">
        <v>1013</v>
      </c>
      <c r="D357" s="24" t="s">
        <v>1014</v>
      </c>
      <c r="E357" s="30">
        <v>0</v>
      </c>
      <c r="F357" s="30">
        <v>0</v>
      </c>
      <c r="G357" s="24" t="s">
        <v>89</v>
      </c>
      <c r="H357" s="30"/>
      <c r="I357" s="24" t="s">
        <v>1015</v>
      </c>
      <c r="J357" s="30"/>
      <c r="K357" s="30"/>
      <c r="L357" s="30"/>
      <c r="M357" s="30"/>
      <c r="N357" s="33" t="str">
        <f t="shared" si="12"/>
        <v>kontinen metal</v>
      </c>
      <c r="O357" s="34" t="s">
        <v>78</v>
      </c>
      <c r="P357" s="35">
        <v>2</v>
      </c>
      <c r="Q357" s="36">
        <v>44945</v>
      </c>
      <c r="R357" s="38"/>
      <c r="S357" s="38"/>
      <c r="T357" s="34" t="s">
        <v>4</v>
      </c>
      <c r="U357" s="17" t="str">
        <f t="shared" si="2"/>
        <v>kontinen metal</v>
      </c>
      <c r="V357" s="33"/>
      <c r="W357" s="33"/>
      <c r="X357" s="33"/>
      <c r="Y357" s="33"/>
      <c r="Z357" s="33"/>
      <c r="AA357" s="33"/>
      <c r="AB357" s="39" t="str">
        <f t="shared" si="13"/>
        <v>kontinen metal</v>
      </c>
      <c r="AC357" s="39"/>
      <c r="AD357" s="39"/>
      <c r="AE357" s="39"/>
      <c r="AF357" s="39"/>
      <c r="AG357" s="39"/>
      <c r="AH357" s="33"/>
      <c r="AI357" s="39"/>
      <c r="AJ357" s="33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3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0"/>
      <c r="BK357" s="30"/>
      <c r="BL357" s="30"/>
      <c r="BM357" s="24"/>
      <c r="BN357" s="24"/>
      <c r="BO357" s="24"/>
      <c r="BP357" s="30"/>
      <c r="BQ357" s="30"/>
      <c r="BR357" s="30"/>
      <c r="BS357" s="30"/>
      <c r="BT357" s="30"/>
      <c r="BU357" s="30"/>
      <c r="BV357" s="30"/>
      <c r="BW357" s="30"/>
      <c r="BX357" s="30"/>
      <c r="BY357" s="24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</row>
    <row r="358" spans="1:88" ht="40.5" customHeight="1">
      <c r="A358" s="9">
        <f t="shared" si="10"/>
        <v>356</v>
      </c>
      <c r="B358" s="9" t="str">
        <f t="shared" si="11"/>
        <v xml:space="preserve">MA
</v>
      </c>
      <c r="C358" s="9" t="s">
        <v>1016</v>
      </c>
      <c r="D358" s="9" t="s">
        <v>1017</v>
      </c>
      <c r="E358" s="12">
        <v>0</v>
      </c>
      <c r="F358" s="12">
        <v>0</v>
      </c>
      <c r="G358" s="9" t="s">
        <v>89</v>
      </c>
      <c r="H358" s="12"/>
      <c r="I358" s="9" t="s">
        <v>1018</v>
      </c>
      <c r="J358" s="12"/>
      <c r="K358" s="12"/>
      <c r="L358" s="12"/>
      <c r="M358" s="12"/>
      <c r="N358" s="13" t="str">
        <f t="shared" si="12"/>
        <v>Al Mullah Hussein</v>
      </c>
      <c r="O358" s="16" t="s">
        <v>98</v>
      </c>
      <c r="P358" s="14">
        <v>3</v>
      </c>
      <c r="Q358" s="25">
        <v>44945</v>
      </c>
      <c r="R358" s="17"/>
      <c r="S358" s="17"/>
      <c r="T358" s="16" t="s">
        <v>86</v>
      </c>
      <c r="U358" s="17" t="str">
        <f t="shared" si="2"/>
        <v>Al Mullah Hussein</v>
      </c>
      <c r="V358" s="13"/>
      <c r="W358" s="13"/>
      <c r="X358" s="13"/>
      <c r="Y358" s="13"/>
      <c r="Z358" s="13"/>
      <c r="AA358" s="13"/>
      <c r="AB358" s="18" t="str">
        <f t="shared" si="13"/>
        <v>Al Mullah Hussein</v>
      </c>
      <c r="AC358" s="18"/>
      <c r="AD358" s="18"/>
      <c r="AE358" s="18"/>
      <c r="AF358" s="18"/>
      <c r="AG358" s="18"/>
      <c r="AH358" s="13"/>
      <c r="AI358" s="18"/>
      <c r="AJ358" s="13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3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2"/>
      <c r="BK358" s="12"/>
      <c r="BL358" s="12"/>
      <c r="BM358" s="9"/>
      <c r="BN358" s="9"/>
      <c r="BO358" s="9"/>
      <c r="BP358" s="12"/>
      <c r="BQ358" s="12"/>
      <c r="BR358" s="12"/>
      <c r="BS358" s="12"/>
      <c r="BT358" s="12"/>
      <c r="BU358" s="12"/>
      <c r="BV358" s="12"/>
      <c r="BW358" s="12"/>
      <c r="BX358" s="12"/>
      <c r="BY358" s="9"/>
      <c r="BZ358" s="21"/>
      <c r="CA358" s="21"/>
      <c r="CB358" s="21"/>
      <c r="CC358" s="21"/>
      <c r="CD358" s="21"/>
      <c r="CE358" s="21"/>
      <c r="CF358" s="21"/>
      <c r="CG358" s="21"/>
      <c r="CH358" s="21"/>
      <c r="CI358" s="21"/>
      <c r="CJ358" s="21"/>
    </row>
    <row r="359" spans="1:88" ht="40.5" customHeight="1">
      <c r="A359" s="9">
        <f t="shared" si="10"/>
        <v>357</v>
      </c>
      <c r="B359" s="9" t="str">
        <f t="shared" si="11"/>
        <v xml:space="preserve">MA
</v>
      </c>
      <c r="C359" s="9" t="s">
        <v>1019</v>
      </c>
      <c r="D359" s="9" t="s">
        <v>851</v>
      </c>
      <c r="E359" s="12">
        <v>0</v>
      </c>
      <c r="F359" s="12">
        <v>0</v>
      </c>
      <c r="G359" s="9" t="s">
        <v>89</v>
      </c>
      <c r="H359" s="12"/>
      <c r="I359" s="9" t="s">
        <v>1020</v>
      </c>
      <c r="J359" s="12"/>
      <c r="K359" s="12"/>
      <c r="L359" s="12"/>
      <c r="M359" s="12"/>
      <c r="N359" s="13" t="str">
        <f t="shared" si="12"/>
        <v>Kourani</v>
      </c>
      <c r="O359" s="16" t="s">
        <v>98</v>
      </c>
      <c r="P359" s="14">
        <v>3</v>
      </c>
      <c r="Q359" s="25">
        <v>44945</v>
      </c>
      <c r="R359" s="17"/>
      <c r="S359" s="17"/>
      <c r="T359" s="16" t="s">
        <v>86</v>
      </c>
      <c r="U359" s="17" t="str">
        <f t="shared" si="2"/>
        <v>Kourani</v>
      </c>
      <c r="V359" s="16" t="s">
        <v>78</v>
      </c>
      <c r="W359" s="16">
        <v>4</v>
      </c>
      <c r="X359" s="25">
        <v>44949</v>
      </c>
      <c r="Y359" s="16">
        <v>5</v>
      </c>
      <c r="Z359" s="29">
        <v>4.1666666666666664E-2</v>
      </c>
      <c r="AA359" s="16" t="s">
        <v>190</v>
      </c>
      <c r="AB359" s="18" t="str">
        <f t="shared" si="13"/>
        <v>Kourani</v>
      </c>
      <c r="AC359" s="18"/>
      <c r="AD359" s="18"/>
      <c r="AE359" s="18"/>
      <c r="AF359" s="18"/>
      <c r="AG359" s="18"/>
      <c r="AH359" s="13"/>
      <c r="AI359" s="18"/>
      <c r="AJ359" s="13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3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2"/>
      <c r="BK359" s="12"/>
      <c r="BL359" s="12"/>
      <c r="BM359" s="9"/>
      <c r="BN359" s="9"/>
      <c r="BO359" s="9"/>
      <c r="BP359" s="12"/>
      <c r="BQ359" s="12"/>
      <c r="BR359" s="12"/>
      <c r="BS359" s="12"/>
      <c r="BT359" s="12"/>
      <c r="BU359" s="12"/>
      <c r="BV359" s="12"/>
      <c r="BW359" s="12"/>
      <c r="BX359" s="12"/>
      <c r="BY359" s="9"/>
      <c r="BZ359" s="21"/>
      <c r="CA359" s="21"/>
      <c r="CB359" s="21"/>
      <c r="CC359" s="21"/>
      <c r="CD359" s="21"/>
      <c r="CE359" s="21"/>
      <c r="CF359" s="21"/>
      <c r="CG359" s="21"/>
      <c r="CH359" s="21"/>
      <c r="CI359" s="21"/>
      <c r="CJ359" s="21"/>
    </row>
    <row r="360" spans="1:88" ht="40.5" customHeight="1">
      <c r="A360" s="9">
        <f t="shared" si="10"/>
        <v>358</v>
      </c>
      <c r="B360" s="9" t="str">
        <f t="shared" si="11"/>
        <v xml:space="preserve">MA
</v>
      </c>
      <c r="C360" s="9" t="s">
        <v>1021</v>
      </c>
      <c r="D360" s="9" t="s">
        <v>969</v>
      </c>
      <c r="E360" s="12">
        <v>0</v>
      </c>
      <c r="F360" s="12">
        <v>0</v>
      </c>
      <c r="G360" s="9" t="s">
        <v>89</v>
      </c>
      <c r="H360" s="12"/>
      <c r="I360" s="9">
        <v>27119580621</v>
      </c>
      <c r="J360" s="12"/>
      <c r="K360" s="12"/>
      <c r="L360" s="12"/>
      <c r="M360" s="12"/>
      <c r="N360" s="13" t="str">
        <f t="shared" si="12"/>
        <v>Clarity Aluminium and Glass</v>
      </c>
      <c r="O360" s="13"/>
      <c r="P360" s="17"/>
      <c r="Q360" s="13"/>
      <c r="R360" s="17"/>
      <c r="S360" s="17"/>
      <c r="T360" s="13"/>
      <c r="U360" s="17" t="str">
        <f t="shared" si="2"/>
        <v>Clarity Aluminium and Glass</v>
      </c>
      <c r="V360" s="13"/>
      <c r="W360" s="13"/>
      <c r="X360" s="13"/>
      <c r="Y360" s="13"/>
      <c r="Z360" s="13"/>
      <c r="AA360" s="13"/>
      <c r="AB360" s="18" t="str">
        <f t="shared" si="13"/>
        <v>Clarity Aluminium and Glass</v>
      </c>
      <c r="AC360" s="18"/>
      <c r="AD360" s="18"/>
      <c r="AE360" s="18"/>
      <c r="AF360" s="18"/>
      <c r="AG360" s="18"/>
      <c r="AH360" s="13"/>
      <c r="AI360" s="18"/>
      <c r="AJ360" s="13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3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2"/>
      <c r="BK360" s="12"/>
      <c r="BL360" s="12"/>
      <c r="BM360" s="9"/>
      <c r="BN360" s="9"/>
      <c r="BO360" s="9"/>
      <c r="BP360" s="12"/>
      <c r="BQ360" s="12"/>
      <c r="BR360" s="12"/>
      <c r="BS360" s="12"/>
      <c r="BT360" s="12"/>
      <c r="BU360" s="12"/>
      <c r="BV360" s="12"/>
      <c r="BW360" s="12"/>
      <c r="BX360" s="12"/>
      <c r="BY360" s="9"/>
      <c r="BZ360" s="21"/>
      <c r="CA360" s="21"/>
      <c r="CB360" s="21"/>
      <c r="CC360" s="21"/>
      <c r="CD360" s="21"/>
      <c r="CE360" s="21"/>
      <c r="CF360" s="21"/>
      <c r="CG360" s="21"/>
      <c r="CH360" s="21"/>
      <c r="CI360" s="21"/>
      <c r="CJ360" s="21"/>
    </row>
    <row r="361" spans="1:88" ht="40.5" customHeight="1">
      <c r="A361" s="9">
        <f t="shared" si="10"/>
        <v>359</v>
      </c>
      <c r="B361" s="9" t="str">
        <f t="shared" si="11"/>
        <v xml:space="preserve">MA
</v>
      </c>
      <c r="C361" s="9" t="s">
        <v>1022</v>
      </c>
      <c r="D361" s="9" t="s">
        <v>969</v>
      </c>
      <c r="E361" s="12">
        <v>0</v>
      </c>
      <c r="F361" s="12">
        <v>0</v>
      </c>
      <c r="G361" s="9" t="s">
        <v>89</v>
      </c>
      <c r="H361" s="12"/>
      <c r="I361" s="9" t="s">
        <v>1023</v>
      </c>
      <c r="J361" s="12"/>
      <c r="K361" s="12"/>
      <c r="L361" s="12"/>
      <c r="M361" s="12"/>
      <c r="N361" s="13" t="str">
        <f t="shared" si="12"/>
        <v>AP Glass &amp; Aluminium</v>
      </c>
      <c r="O361" s="16" t="s">
        <v>98</v>
      </c>
      <c r="P361" s="14">
        <v>3</v>
      </c>
      <c r="Q361" s="25">
        <v>44945</v>
      </c>
      <c r="R361" s="17"/>
      <c r="S361" s="17"/>
      <c r="T361" s="16" t="s">
        <v>86</v>
      </c>
      <c r="U361" s="17" t="str">
        <f t="shared" si="2"/>
        <v>AP Glass &amp; Aluminium</v>
      </c>
      <c r="V361" s="13"/>
      <c r="W361" s="13"/>
      <c r="X361" s="13"/>
      <c r="Y361" s="13"/>
      <c r="Z361" s="13"/>
      <c r="AA361" s="13"/>
      <c r="AB361" s="18" t="str">
        <f t="shared" si="13"/>
        <v>AP Glass &amp; Aluminium</v>
      </c>
      <c r="AC361" s="18"/>
      <c r="AD361" s="18"/>
      <c r="AE361" s="18"/>
      <c r="AF361" s="18"/>
      <c r="AG361" s="18"/>
      <c r="AH361" s="13"/>
      <c r="AI361" s="18"/>
      <c r="AJ361" s="13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3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2"/>
      <c r="BK361" s="12"/>
      <c r="BL361" s="12"/>
      <c r="BM361" s="9"/>
      <c r="BN361" s="9"/>
      <c r="BO361" s="9"/>
      <c r="BP361" s="12"/>
      <c r="BQ361" s="12"/>
      <c r="BR361" s="12"/>
      <c r="BS361" s="12"/>
      <c r="BT361" s="12"/>
      <c r="BU361" s="12"/>
      <c r="BV361" s="12"/>
      <c r="BW361" s="12"/>
      <c r="BX361" s="12"/>
      <c r="BY361" s="9"/>
      <c r="BZ361" s="21"/>
      <c r="CA361" s="21"/>
      <c r="CB361" s="21"/>
      <c r="CC361" s="21"/>
      <c r="CD361" s="21"/>
      <c r="CE361" s="21"/>
      <c r="CF361" s="21"/>
      <c r="CG361" s="21"/>
      <c r="CH361" s="21"/>
      <c r="CI361" s="21"/>
      <c r="CJ361" s="21"/>
    </row>
    <row r="362" spans="1:88" ht="40.5" customHeight="1">
      <c r="A362" s="9">
        <f t="shared" si="10"/>
        <v>360</v>
      </c>
      <c r="B362" s="9" t="str">
        <f t="shared" si="11"/>
        <v xml:space="preserve">MA
</v>
      </c>
      <c r="C362" s="9" t="s">
        <v>1024</v>
      </c>
      <c r="D362" s="9" t="s">
        <v>969</v>
      </c>
      <c r="E362" s="12">
        <v>0</v>
      </c>
      <c r="F362" s="12">
        <v>0</v>
      </c>
      <c r="G362" s="9" t="s">
        <v>89</v>
      </c>
      <c r="H362" s="12"/>
      <c r="I362" s="9" t="s">
        <v>1025</v>
      </c>
      <c r="J362" s="12"/>
      <c r="K362" s="12"/>
      <c r="L362" s="12"/>
      <c r="M362" s="12"/>
      <c r="N362" s="13" t="str">
        <f t="shared" si="12"/>
        <v>BHG Aluminium and Glass</v>
      </c>
      <c r="O362" s="16" t="s">
        <v>98</v>
      </c>
      <c r="P362" s="14">
        <v>3</v>
      </c>
      <c r="Q362" s="25">
        <v>44945</v>
      </c>
      <c r="R362" s="17"/>
      <c r="S362" s="17"/>
      <c r="T362" s="16" t="s">
        <v>86</v>
      </c>
      <c r="U362" s="17" t="str">
        <f t="shared" si="2"/>
        <v>BHG Aluminium and Glass</v>
      </c>
      <c r="V362" s="13"/>
      <c r="W362" s="13"/>
      <c r="X362" s="13"/>
      <c r="Y362" s="13"/>
      <c r="Z362" s="13"/>
      <c r="AA362" s="13"/>
      <c r="AB362" s="18" t="str">
        <f t="shared" si="13"/>
        <v>BHG Aluminium and Glass</v>
      </c>
      <c r="AC362" s="18"/>
      <c r="AD362" s="18"/>
      <c r="AE362" s="18"/>
      <c r="AF362" s="18"/>
      <c r="AG362" s="18"/>
      <c r="AH362" s="13"/>
      <c r="AI362" s="18"/>
      <c r="AJ362" s="13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3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2"/>
      <c r="BK362" s="12"/>
      <c r="BL362" s="12"/>
      <c r="BM362" s="9"/>
      <c r="BN362" s="9"/>
      <c r="BO362" s="9"/>
      <c r="BP362" s="12"/>
      <c r="BQ362" s="12"/>
      <c r="BR362" s="12"/>
      <c r="BS362" s="12"/>
      <c r="BT362" s="12"/>
      <c r="BU362" s="12"/>
      <c r="BV362" s="12"/>
      <c r="BW362" s="12"/>
      <c r="BX362" s="12"/>
      <c r="BY362" s="9"/>
      <c r="BZ362" s="21"/>
      <c r="CA362" s="21"/>
      <c r="CB362" s="21"/>
      <c r="CC362" s="21"/>
      <c r="CD362" s="21"/>
      <c r="CE362" s="21"/>
      <c r="CF362" s="21"/>
      <c r="CG362" s="21"/>
      <c r="CH362" s="21"/>
      <c r="CI362" s="21"/>
      <c r="CJ362" s="21"/>
    </row>
    <row r="363" spans="1:88" ht="40.5" customHeight="1">
      <c r="A363" s="9">
        <f t="shared" si="10"/>
        <v>361</v>
      </c>
      <c r="B363" s="9" t="str">
        <f t="shared" si="11"/>
        <v xml:space="preserve">MA
</v>
      </c>
      <c r="C363" s="9" t="s">
        <v>1026</v>
      </c>
      <c r="D363" s="9" t="s">
        <v>969</v>
      </c>
      <c r="E363" s="12">
        <v>0</v>
      </c>
      <c r="F363" s="12">
        <v>0</v>
      </c>
      <c r="G363" s="9" t="s">
        <v>89</v>
      </c>
      <c r="H363" s="12"/>
      <c r="I363" s="9" t="s">
        <v>1027</v>
      </c>
      <c r="J363" s="12"/>
      <c r="K363" s="12"/>
      <c r="L363" s="12"/>
      <c r="M363" s="12"/>
      <c r="N363" s="13" t="str">
        <f t="shared" si="12"/>
        <v>Bowen &amp; Sons Aluminium and Hardware sales</v>
      </c>
      <c r="O363" s="16" t="s">
        <v>98</v>
      </c>
      <c r="P363" s="14">
        <v>3</v>
      </c>
      <c r="Q363" s="25">
        <v>44945</v>
      </c>
      <c r="R363" s="17"/>
      <c r="S363" s="17"/>
      <c r="T363" s="16" t="s">
        <v>86</v>
      </c>
      <c r="U363" s="17" t="str">
        <f t="shared" si="2"/>
        <v>Bowen &amp; Sons Aluminium and Hardware sales</v>
      </c>
      <c r="V363" s="13"/>
      <c r="W363" s="13"/>
      <c r="X363" s="13"/>
      <c r="Y363" s="13"/>
      <c r="Z363" s="13"/>
      <c r="AA363" s="13"/>
      <c r="AB363" s="18" t="str">
        <f t="shared" si="13"/>
        <v>Bowen &amp; Sons Aluminium and Hardware sales</v>
      </c>
      <c r="AC363" s="18"/>
      <c r="AD363" s="18"/>
      <c r="AE363" s="18"/>
      <c r="AF363" s="18"/>
      <c r="AG363" s="18"/>
      <c r="AH363" s="13"/>
      <c r="AI363" s="18"/>
      <c r="AJ363" s="13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3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2"/>
      <c r="BK363" s="12"/>
      <c r="BL363" s="12"/>
      <c r="BM363" s="9"/>
      <c r="BN363" s="9"/>
      <c r="BO363" s="9"/>
      <c r="BP363" s="12"/>
      <c r="BQ363" s="12"/>
      <c r="BR363" s="12"/>
      <c r="BS363" s="12"/>
      <c r="BT363" s="12"/>
      <c r="BU363" s="12"/>
      <c r="BV363" s="12"/>
      <c r="BW363" s="12"/>
      <c r="BX363" s="12"/>
      <c r="BY363" s="9"/>
      <c r="BZ363" s="21"/>
      <c r="CA363" s="21"/>
      <c r="CB363" s="21"/>
      <c r="CC363" s="21"/>
      <c r="CD363" s="21"/>
      <c r="CE363" s="21"/>
      <c r="CF363" s="21"/>
      <c r="CG363" s="21"/>
      <c r="CH363" s="21"/>
      <c r="CI363" s="21"/>
      <c r="CJ363" s="21"/>
    </row>
    <row r="364" spans="1:88" ht="40.5" customHeight="1">
      <c r="A364" s="24">
        <f t="shared" si="10"/>
        <v>362</v>
      </c>
      <c r="B364" s="24" t="str">
        <f t="shared" si="11"/>
        <v xml:space="preserve">MA
</v>
      </c>
      <c r="C364" s="24" t="s">
        <v>1028</v>
      </c>
      <c r="D364" s="24" t="s">
        <v>851</v>
      </c>
      <c r="E364" s="30">
        <v>0</v>
      </c>
      <c r="F364" s="30">
        <v>0</v>
      </c>
      <c r="G364" s="24" t="s">
        <v>89</v>
      </c>
      <c r="H364" s="30"/>
      <c r="I364" s="30">
        <f>35799677405</f>
        <v>35799677405</v>
      </c>
      <c r="J364" s="30"/>
      <c r="K364" s="30"/>
      <c r="L364" s="30"/>
      <c r="M364" s="30"/>
      <c r="N364" s="33" t="str">
        <f t="shared" si="12"/>
        <v xml:space="preserve">K.G.A. Sergiou Aluminium Ltd
</v>
      </c>
      <c r="O364" s="34" t="s">
        <v>78</v>
      </c>
      <c r="P364" s="35">
        <v>1</v>
      </c>
      <c r="Q364" s="36">
        <v>44952</v>
      </c>
      <c r="R364" s="38"/>
      <c r="S364" s="38"/>
      <c r="T364" s="34" t="s">
        <v>101</v>
      </c>
      <c r="U364" s="38" t="str">
        <f t="shared" si="2"/>
        <v xml:space="preserve">K.G.A. Sergiou Aluminium Ltd
</v>
      </c>
      <c r="V364" s="34" t="s">
        <v>78</v>
      </c>
      <c r="W364" s="34">
        <v>2</v>
      </c>
      <c r="X364" s="36">
        <v>44953</v>
      </c>
      <c r="Y364" s="34">
        <v>1</v>
      </c>
      <c r="Z364" s="43">
        <v>0.14583333333333334</v>
      </c>
      <c r="AA364" s="34" t="s">
        <v>4</v>
      </c>
      <c r="AB364" s="39" t="str">
        <f t="shared" si="13"/>
        <v xml:space="preserve">K.G.A. Sergiou Aluminium Ltd
</v>
      </c>
      <c r="AC364" s="39"/>
      <c r="AD364" s="39"/>
      <c r="AE364" s="39"/>
      <c r="AF364" s="39"/>
      <c r="AG364" s="39"/>
      <c r="AH364" s="33"/>
      <c r="AI364" s="39"/>
      <c r="AJ364" s="33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3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0"/>
      <c r="BK364" s="30"/>
      <c r="BL364" s="30"/>
      <c r="BM364" s="24"/>
      <c r="BN364" s="24"/>
      <c r="BO364" s="24"/>
      <c r="BP364" s="30"/>
      <c r="BQ364" s="30"/>
      <c r="BR364" s="30"/>
      <c r="BS364" s="30"/>
      <c r="BT364" s="30"/>
      <c r="BU364" s="30"/>
      <c r="BV364" s="30"/>
      <c r="BW364" s="30"/>
      <c r="BX364" s="30"/>
      <c r="BY364" s="24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</row>
    <row r="365" spans="1:88" ht="40.5" customHeight="1">
      <c r="A365" s="24">
        <f t="shared" si="10"/>
        <v>363</v>
      </c>
      <c r="B365" s="24" t="str">
        <f t="shared" si="11"/>
        <v xml:space="preserve">MA
</v>
      </c>
      <c r="C365" s="24" t="s">
        <v>1029</v>
      </c>
      <c r="D365" s="24" t="s">
        <v>851</v>
      </c>
      <c r="E365" s="30">
        <v>0</v>
      </c>
      <c r="F365" s="30">
        <v>0</v>
      </c>
      <c r="G365" s="24" t="s">
        <v>89</v>
      </c>
      <c r="H365" s="30"/>
      <c r="I365" s="24">
        <v>3922335389</v>
      </c>
      <c r="J365" s="30"/>
      <c r="K365" s="24" t="s">
        <v>1030</v>
      </c>
      <c r="L365" s="24" t="s">
        <v>1031</v>
      </c>
      <c r="M365" s="30"/>
      <c r="N365" s="33" t="str">
        <f t="shared" si="12"/>
        <v xml:space="preserve">Darem Trading Ltd.
</v>
      </c>
      <c r="O365" s="33"/>
      <c r="P365" s="38"/>
      <c r="Q365" s="33"/>
      <c r="R365" s="38"/>
      <c r="S365" s="38"/>
      <c r="T365" s="33"/>
      <c r="U365" s="38" t="str">
        <f t="shared" si="2"/>
        <v xml:space="preserve">Darem Trading Ltd.
</v>
      </c>
      <c r="V365" s="33"/>
      <c r="W365" s="33"/>
      <c r="X365" s="33"/>
      <c r="Y365" s="33"/>
      <c r="Z365" s="33"/>
      <c r="AA365" s="33"/>
      <c r="AB365" s="39" t="str">
        <f t="shared" si="13"/>
        <v xml:space="preserve">Darem Trading Ltd.
</v>
      </c>
      <c r="AC365" s="39"/>
      <c r="AD365" s="39"/>
      <c r="AE365" s="39"/>
      <c r="AF365" s="39"/>
      <c r="AG365" s="39"/>
      <c r="AH365" s="33"/>
      <c r="AI365" s="39"/>
      <c r="AJ365" s="33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3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0"/>
      <c r="BK365" s="30"/>
      <c r="BL365" s="30"/>
      <c r="BM365" s="24"/>
      <c r="BN365" s="24"/>
      <c r="BO365" s="24"/>
      <c r="BP365" s="30"/>
      <c r="BQ365" s="30"/>
      <c r="BR365" s="30"/>
      <c r="BS365" s="30"/>
      <c r="BT365" s="30"/>
      <c r="BU365" s="30"/>
      <c r="BV365" s="30"/>
      <c r="BW365" s="30"/>
      <c r="BX365" s="30"/>
      <c r="BY365" s="24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</row>
    <row r="366" spans="1:88" ht="40.5" customHeight="1">
      <c r="A366" s="24">
        <f t="shared" si="10"/>
        <v>364</v>
      </c>
      <c r="B366" s="24" t="str">
        <f t="shared" si="11"/>
        <v xml:space="preserve">MA
</v>
      </c>
      <c r="C366" s="24" t="s">
        <v>1032</v>
      </c>
      <c r="D366" s="24" t="s">
        <v>851</v>
      </c>
      <c r="E366" s="30">
        <v>0</v>
      </c>
      <c r="F366" s="30">
        <v>0</v>
      </c>
      <c r="G366" s="24" t="s">
        <v>89</v>
      </c>
      <c r="H366" s="30"/>
      <c r="I366" s="30">
        <f>35770073333</f>
        <v>35770073333</v>
      </c>
      <c r="J366" s="30"/>
      <c r="K366" s="70" t="s">
        <v>1033</v>
      </c>
      <c r="L366" s="30"/>
      <c r="M366" s="30"/>
      <c r="N366" s="33" t="str">
        <f t="shared" si="12"/>
        <v>ΑΛΟΥΜΙΝΟΡΑΜΑ / ALOUMINORAMA LTD</v>
      </c>
      <c r="O366" s="33"/>
      <c r="P366" s="38"/>
      <c r="Q366" s="33"/>
      <c r="R366" s="38"/>
      <c r="S366" s="38"/>
      <c r="T366" s="33"/>
      <c r="U366" s="38" t="str">
        <f t="shared" si="2"/>
        <v>ΑΛΟΥΜΙΝΟΡΑΜΑ / ALOUMINORAMA LTD</v>
      </c>
      <c r="V366" s="33"/>
      <c r="W366" s="33"/>
      <c r="X366" s="33"/>
      <c r="Y366" s="33"/>
      <c r="Z366" s="33"/>
      <c r="AA366" s="33"/>
      <c r="AB366" s="39" t="str">
        <f t="shared" si="13"/>
        <v>ΑΛΟΥΜΙΝΟΡΑΜΑ / ALOUMINORAMA LTD</v>
      </c>
      <c r="AC366" s="39"/>
      <c r="AD366" s="39"/>
      <c r="AE366" s="39"/>
      <c r="AF366" s="39"/>
      <c r="AG366" s="39"/>
      <c r="AH366" s="33"/>
      <c r="AI366" s="39"/>
      <c r="AJ366" s="33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3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0"/>
      <c r="BK366" s="30"/>
      <c r="BL366" s="30"/>
      <c r="BM366" s="24"/>
      <c r="BN366" s="24"/>
      <c r="BO366" s="24"/>
      <c r="BP366" s="30"/>
      <c r="BQ366" s="30"/>
      <c r="BR366" s="30"/>
      <c r="BS366" s="30"/>
      <c r="BT366" s="30"/>
      <c r="BU366" s="30"/>
      <c r="BV366" s="30"/>
      <c r="BW366" s="30"/>
      <c r="BX366" s="30"/>
      <c r="BY366" s="24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</row>
    <row r="367" spans="1:88" ht="40.5" customHeight="1">
      <c r="A367" s="24">
        <f t="shared" si="10"/>
        <v>365</v>
      </c>
      <c r="B367" s="24" t="str">
        <f t="shared" si="11"/>
        <v xml:space="preserve">MA
</v>
      </c>
      <c r="C367" s="24" t="s">
        <v>1034</v>
      </c>
      <c r="D367" s="24" t="s">
        <v>851</v>
      </c>
      <c r="E367" s="30">
        <v>0</v>
      </c>
      <c r="F367" s="30">
        <v>0</v>
      </c>
      <c r="G367" s="24" t="s">
        <v>89</v>
      </c>
      <c r="H367" s="30"/>
      <c r="I367" s="30">
        <f>35799671106</f>
        <v>35799671106</v>
      </c>
      <c r="J367" s="30"/>
      <c r="K367" s="32" t="s">
        <v>1035</v>
      </c>
      <c r="L367" s="30"/>
      <c r="M367" s="30"/>
      <c r="N367" s="33" t="str">
        <f t="shared" si="12"/>
        <v xml:space="preserve">Aluminium Tsiakkas
</v>
      </c>
      <c r="O367" s="33"/>
      <c r="P367" s="38"/>
      <c r="Q367" s="33"/>
      <c r="R367" s="38"/>
      <c r="S367" s="38"/>
      <c r="T367" s="33"/>
      <c r="U367" s="38" t="str">
        <f t="shared" si="2"/>
        <v xml:space="preserve">Aluminium Tsiakkas
</v>
      </c>
      <c r="V367" s="33"/>
      <c r="W367" s="33"/>
      <c r="X367" s="33"/>
      <c r="Y367" s="33"/>
      <c r="Z367" s="33"/>
      <c r="AA367" s="33"/>
      <c r="AB367" s="39" t="str">
        <f t="shared" si="13"/>
        <v xml:space="preserve">Aluminium Tsiakkas
</v>
      </c>
      <c r="AC367" s="39"/>
      <c r="AD367" s="39"/>
      <c r="AE367" s="39"/>
      <c r="AF367" s="39"/>
      <c r="AG367" s="39"/>
      <c r="AH367" s="33"/>
      <c r="AI367" s="39"/>
      <c r="AJ367" s="33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3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0"/>
      <c r="BK367" s="30"/>
      <c r="BL367" s="30"/>
      <c r="BM367" s="24"/>
      <c r="BN367" s="24"/>
      <c r="BO367" s="24"/>
      <c r="BP367" s="30"/>
      <c r="BQ367" s="30"/>
      <c r="BR367" s="30"/>
      <c r="BS367" s="30"/>
      <c r="BT367" s="30"/>
      <c r="BU367" s="30"/>
      <c r="BV367" s="30"/>
      <c r="BW367" s="30"/>
      <c r="BX367" s="30"/>
      <c r="BY367" s="24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</row>
    <row r="368" spans="1:88" ht="40.5" customHeight="1">
      <c r="A368" s="24">
        <f t="shared" si="10"/>
        <v>366</v>
      </c>
      <c r="B368" s="24" t="str">
        <f t="shared" si="11"/>
        <v xml:space="preserve">MA
</v>
      </c>
      <c r="C368" s="24" t="s">
        <v>1036</v>
      </c>
      <c r="D368" s="24" t="s">
        <v>851</v>
      </c>
      <c r="E368" s="30">
        <v>0</v>
      </c>
      <c r="F368" s="30">
        <v>0</v>
      </c>
      <c r="G368" s="24" t="s">
        <v>89</v>
      </c>
      <c r="H368" s="30"/>
      <c r="I368" s="30">
        <f>35722018340</f>
        <v>35722018340</v>
      </c>
      <c r="J368" s="30"/>
      <c r="K368" s="30"/>
      <c r="L368" s="30"/>
      <c r="M368" s="30"/>
      <c r="N368" s="33" t="str">
        <f t="shared" si="12"/>
        <v xml:space="preserve">Alumil aluminium systems
</v>
      </c>
      <c r="O368" s="33"/>
      <c r="P368" s="38"/>
      <c r="Q368" s="33"/>
      <c r="R368" s="38"/>
      <c r="S368" s="38"/>
      <c r="T368" s="33"/>
      <c r="U368" s="38" t="str">
        <f t="shared" si="2"/>
        <v xml:space="preserve">Alumil aluminium systems
</v>
      </c>
      <c r="V368" s="33"/>
      <c r="W368" s="33"/>
      <c r="X368" s="33"/>
      <c r="Y368" s="33"/>
      <c r="Z368" s="33"/>
      <c r="AA368" s="33"/>
      <c r="AB368" s="39" t="str">
        <f t="shared" si="13"/>
        <v xml:space="preserve">Alumil aluminium systems
</v>
      </c>
      <c r="AC368" s="39"/>
      <c r="AD368" s="39"/>
      <c r="AE368" s="39"/>
      <c r="AF368" s="39"/>
      <c r="AG368" s="39"/>
      <c r="AH368" s="33"/>
      <c r="AI368" s="39"/>
      <c r="AJ368" s="33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3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0"/>
      <c r="BK368" s="30"/>
      <c r="BL368" s="30"/>
      <c r="BM368" s="24"/>
      <c r="BN368" s="24"/>
      <c r="BO368" s="24"/>
      <c r="BP368" s="30"/>
      <c r="BQ368" s="30"/>
      <c r="BR368" s="30"/>
      <c r="BS368" s="30"/>
      <c r="BT368" s="30"/>
      <c r="BU368" s="30"/>
      <c r="BV368" s="30"/>
      <c r="BW368" s="30"/>
      <c r="BX368" s="30"/>
      <c r="BY368" s="24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</row>
    <row r="369" spans="1:88" ht="40.5" customHeight="1">
      <c r="A369" s="24">
        <f t="shared" si="10"/>
        <v>367</v>
      </c>
      <c r="B369" s="24" t="str">
        <f t="shared" si="11"/>
        <v xml:space="preserve">MA
</v>
      </c>
      <c r="C369" s="24" t="s">
        <v>1037</v>
      </c>
      <c r="D369" s="24" t="s">
        <v>851</v>
      </c>
      <c r="E369" s="30">
        <v>0</v>
      </c>
      <c r="F369" s="30">
        <v>0</v>
      </c>
      <c r="G369" s="24" t="s">
        <v>89</v>
      </c>
      <c r="H369" s="30"/>
      <c r="I369" s="30">
        <f>35799935604</f>
        <v>35799935604</v>
      </c>
      <c r="J369" s="30"/>
      <c r="K369" s="30"/>
      <c r="L369" s="30"/>
      <c r="M369" s="30"/>
      <c r="N369" s="33" t="str">
        <f t="shared" si="12"/>
        <v>B. SAFARIDIS &amp; A. POPOV GENERAL ALUMINIUM</v>
      </c>
      <c r="O369" s="34" t="s">
        <v>78</v>
      </c>
      <c r="P369" s="35">
        <v>1</v>
      </c>
      <c r="Q369" s="36">
        <v>44952</v>
      </c>
      <c r="R369" s="35">
        <v>1</v>
      </c>
      <c r="S369" s="37">
        <v>5.6250000000000001E-2</v>
      </c>
      <c r="T369" s="34" t="s">
        <v>4</v>
      </c>
      <c r="U369" s="38" t="str">
        <f t="shared" si="2"/>
        <v>B. SAFARIDIS &amp; A. POPOV GENERAL ALUMINIUM</v>
      </c>
      <c r="V369" s="33"/>
      <c r="W369" s="33"/>
      <c r="X369" s="33"/>
      <c r="Y369" s="33"/>
      <c r="Z369" s="33"/>
      <c r="AA369" s="33"/>
      <c r="AB369" s="39" t="str">
        <f t="shared" si="13"/>
        <v>B. SAFARIDIS &amp; A. POPOV GENERAL ALUMINIUM</v>
      </c>
      <c r="AC369" s="39"/>
      <c r="AD369" s="39"/>
      <c r="AE369" s="39"/>
      <c r="AF369" s="39"/>
      <c r="AG369" s="39"/>
      <c r="AH369" s="33"/>
      <c r="AI369" s="39"/>
      <c r="AJ369" s="33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3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0"/>
      <c r="BK369" s="30"/>
      <c r="BL369" s="30"/>
      <c r="BM369" s="24"/>
      <c r="BN369" s="24"/>
      <c r="BO369" s="24"/>
      <c r="BP369" s="30"/>
      <c r="BQ369" s="30"/>
      <c r="BR369" s="30"/>
      <c r="BS369" s="30"/>
      <c r="BT369" s="30"/>
      <c r="BU369" s="30"/>
      <c r="BV369" s="30"/>
      <c r="BW369" s="30"/>
      <c r="BX369" s="30"/>
      <c r="BY369" s="24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</row>
    <row r="370" spans="1:88" ht="40.5" customHeight="1">
      <c r="A370" s="24">
        <f t="shared" si="10"/>
        <v>368</v>
      </c>
      <c r="B370" s="24" t="str">
        <f t="shared" si="11"/>
        <v xml:space="preserve">MA
</v>
      </c>
      <c r="C370" s="24" t="s">
        <v>1038</v>
      </c>
      <c r="D370" s="24" t="s">
        <v>851</v>
      </c>
      <c r="E370" s="30">
        <v>0</v>
      </c>
      <c r="F370" s="30">
        <v>0</v>
      </c>
      <c r="G370" s="24" t="s">
        <v>89</v>
      </c>
      <c r="H370" s="30"/>
      <c r="I370" s="30">
        <f>35799815584</f>
        <v>35799815584</v>
      </c>
      <c r="J370" s="30"/>
      <c r="K370" s="30"/>
      <c r="L370" s="30"/>
      <c r="M370" s="30"/>
      <c r="N370" s="33" t="str">
        <f t="shared" si="12"/>
        <v xml:space="preserve">p.k.c. aluminium ltd
</v>
      </c>
      <c r="O370" s="33"/>
      <c r="P370" s="38"/>
      <c r="Q370" s="33"/>
      <c r="R370" s="38"/>
      <c r="S370" s="38"/>
      <c r="T370" s="33"/>
      <c r="U370" s="38" t="str">
        <f t="shared" si="2"/>
        <v xml:space="preserve">p.k.c. aluminium ltd
</v>
      </c>
      <c r="V370" s="33"/>
      <c r="W370" s="33"/>
      <c r="X370" s="33"/>
      <c r="Y370" s="33"/>
      <c r="Z370" s="33"/>
      <c r="AA370" s="33"/>
      <c r="AB370" s="39" t="str">
        <f t="shared" si="13"/>
        <v xml:space="preserve">p.k.c. aluminium ltd
</v>
      </c>
      <c r="AC370" s="39"/>
      <c r="AD370" s="39"/>
      <c r="AE370" s="39"/>
      <c r="AF370" s="39"/>
      <c r="AG370" s="39"/>
      <c r="AH370" s="33"/>
      <c r="AI370" s="39"/>
      <c r="AJ370" s="33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3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0"/>
      <c r="BK370" s="30"/>
      <c r="BL370" s="30"/>
      <c r="BM370" s="24"/>
      <c r="BN370" s="24"/>
      <c r="BO370" s="24"/>
      <c r="BP370" s="30"/>
      <c r="BQ370" s="30"/>
      <c r="BR370" s="30"/>
      <c r="BS370" s="30"/>
      <c r="BT370" s="30"/>
      <c r="BU370" s="30"/>
      <c r="BV370" s="30"/>
      <c r="BW370" s="30"/>
      <c r="BX370" s="30"/>
      <c r="BY370" s="24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</row>
    <row r="371" spans="1:88" ht="40.5" customHeight="1">
      <c r="A371" s="9">
        <f t="shared" si="10"/>
        <v>369</v>
      </c>
      <c r="B371" s="9" t="str">
        <f t="shared" si="11"/>
        <v xml:space="preserve">MA
</v>
      </c>
      <c r="C371" s="9" t="s">
        <v>1039</v>
      </c>
      <c r="D371" s="9" t="s">
        <v>851</v>
      </c>
      <c r="E371" s="12">
        <v>0</v>
      </c>
      <c r="F371" s="12">
        <v>0</v>
      </c>
      <c r="G371" s="9" t="s">
        <v>89</v>
      </c>
      <c r="H371" s="12"/>
      <c r="I371" s="12">
        <f>35724816232</f>
        <v>35724816232</v>
      </c>
      <c r="J371" s="12"/>
      <c r="K371" s="22" t="s">
        <v>1040</v>
      </c>
      <c r="L371" s="12"/>
      <c r="M371" s="12"/>
      <c r="N371" s="13" t="str">
        <f t="shared" si="12"/>
        <v>Stem Aluminium Services ltd</v>
      </c>
      <c r="O371" s="16" t="s">
        <v>78</v>
      </c>
      <c r="P371" s="14">
        <v>1</v>
      </c>
      <c r="Q371" s="25">
        <v>44952</v>
      </c>
      <c r="R371" s="17"/>
      <c r="S371" s="17"/>
      <c r="T371" s="16" t="s">
        <v>126</v>
      </c>
      <c r="U371" s="17" t="str">
        <f t="shared" si="2"/>
        <v>Stem Aluminium Services ltd</v>
      </c>
      <c r="V371" s="16" t="s">
        <v>78</v>
      </c>
      <c r="W371" s="16">
        <v>2</v>
      </c>
      <c r="X371" s="25">
        <v>44953</v>
      </c>
      <c r="Y371" s="13"/>
      <c r="Z371" s="13"/>
      <c r="AA371" s="16" t="s">
        <v>126</v>
      </c>
      <c r="AB371" s="18" t="str">
        <f t="shared" si="13"/>
        <v>Stem Aluminium Services ltd</v>
      </c>
      <c r="AC371" s="18"/>
      <c r="AD371" s="18"/>
      <c r="AE371" s="18"/>
      <c r="AF371" s="18"/>
      <c r="AG371" s="18"/>
      <c r="AH371" s="13"/>
      <c r="AI371" s="18"/>
      <c r="AJ371" s="13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3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2"/>
      <c r="BK371" s="12"/>
      <c r="BL371" s="12"/>
      <c r="BM371" s="9"/>
      <c r="BN371" s="9"/>
      <c r="BO371" s="9"/>
      <c r="BP371" s="12"/>
      <c r="BQ371" s="12"/>
      <c r="BR371" s="12"/>
      <c r="BS371" s="12"/>
      <c r="BT371" s="12"/>
      <c r="BU371" s="12"/>
      <c r="BV371" s="12"/>
      <c r="BW371" s="12"/>
      <c r="BX371" s="12"/>
      <c r="BY371" s="9"/>
      <c r="BZ371" s="21"/>
      <c r="CA371" s="21"/>
      <c r="CB371" s="21"/>
      <c r="CC371" s="21"/>
      <c r="CD371" s="21"/>
      <c r="CE371" s="21"/>
      <c r="CF371" s="21"/>
      <c r="CG371" s="21"/>
      <c r="CH371" s="21"/>
      <c r="CI371" s="21"/>
      <c r="CJ371" s="21"/>
    </row>
    <row r="372" spans="1:88" ht="40.5" customHeight="1">
      <c r="A372" s="24">
        <f t="shared" si="10"/>
        <v>370</v>
      </c>
      <c r="B372" s="24" t="str">
        <f t="shared" si="11"/>
        <v xml:space="preserve">MA
</v>
      </c>
      <c r="C372" s="24" t="s">
        <v>1041</v>
      </c>
      <c r="D372" s="24" t="s">
        <v>851</v>
      </c>
      <c r="E372" s="30">
        <v>0</v>
      </c>
      <c r="F372" s="30">
        <v>0</v>
      </c>
      <c r="G372" s="24" t="s">
        <v>89</v>
      </c>
      <c r="H372" s="30"/>
      <c r="I372" s="30">
        <f>35726913551</f>
        <v>35726913551</v>
      </c>
      <c r="J372" s="30"/>
      <c r="K372" s="70" t="s">
        <v>1042</v>
      </c>
      <c r="L372" s="30"/>
      <c r="M372" s="30"/>
      <c r="N372" s="33" t="str">
        <f t="shared" si="12"/>
        <v xml:space="preserve">Alutech Aluminium Limited
</v>
      </c>
      <c r="O372" s="34" t="s">
        <v>78</v>
      </c>
      <c r="P372" s="35">
        <v>1</v>
      </c>
      <c r="Q372" s="36">
        <v>44952</v>
      </c>
      <c r="R372" s="35">
        <v>1</v>
      </c>
      <c r="S372" s="37">
        <v>4.0972222222222222E-2</v>
      </c>
      <c r="T372" s="34" t="s">
        <v>4</v>
      </c>
      <c r="U372" s="38" t="str">
        <f t="shared" si="2"/>
        <v xml:space="preserve">Alutech Aluminium Limited
</v>
      </c>
      <c r="V372" s="33"/>
      <c r="W372" s="33"/>
      <c r="X372" s="33"/>
      <c r="Y372" s="33"/>
      <c r="Z372" s="33"/>
      <c r="AA372" s="33"/>
      <c r="AB372" s="39" t="str">
        <f t="shared" si="13"/>
        <v xml:space="preserve">Alutech Aluminium Limited
</v>
      </c>
      <c r="AC372" s="39"/>
      <c r="AD372" s="39"/>
      <c r="AE372" s="39"/>
      <c r="AF372" s="39"/>
      <c r="AG372" s="39"/>
      <c r="AH372" s="33"/>
      <c r="AI372" s="39"/>
      <c r="AJ372" s="33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3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0"/>
      <c r="BK372" s="30"/>
      <c r="BL372" s="30"/>
      <c r="BM372" s="24"/>
      <c r="BN372" s="24"/>
      <c r="BO372" s="24"/>
      <c r="BP372" s="30"/>
      <c r="BQ372" s="30"/>
      <c r="BR372" s="30"/>
      <c r="BS372" s="30"/>
      <c r="BT372" s="30"/>
      <c r="BU372" s="30"/>
      <c r="BV372" s="30"/>
      <c r="BW372" s="30"/>
      <c r="BX372" s="30"/>
      <c r="BY372" s="24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</row>
    <row r="373" spans="1:88" ht="40.5" customHeight="1">
      <c r="A373" s="24">
        <f t="shared" si="10"/>
        <v>371</v>
      </c>
      <c r="B373" s="24" t="str">
        <f t="shared" si="11"/>
        <v xml:space="preserve">MA
</v>
      </c>
      <c r="C373" s="24" t="s">
        <v>1043</v>
      </c>
      <c r="D373" s="24" t="s">
        <v>851</v>
      </c>
      <c r="E373" s="30">
        <v>0</v>
      </c>
      <c r="F373" s="30">
        <v>0</v>
      </c>
      <c r="G373" s="24" t="s">
        <v>89</v>
      </c>
      <c r="H373" s="30"/>
      <c r="I373" s="30">
        <f>35726222555</f>
        <v>35726222555</v>
      </c>
      <c r="J373" s="30"/>
      <c r="K373" s="70" t="s">
        <v>1044</v>
      </c>
      <c r="L373" s="30"/>
      <c r="M373" s="30"/>
      <c r="N373" s="33" t="str">
        <f t="shared" si="12"/>
        <v>Muskita Aluminium Industries Ltd Showroom</v>
      </c>
      <c r="O373" s="33"/>
      <c r="P373" s="38"/>
      <c r="Q373" s="33"/>
      <c r="R373" s="38"/>
      <c r="S373" s="38"/>
      <c r="T373" s="33"/>
      <c r="U373" s="38" t="str">
        <f t="shared" si="2"/>
        <v>Muskita Aluminium Industries Ltd Showroom</v>
      </c>
      <c r="V373" s="33"/>
      <c r="W373" s="33"/>
      <c r="X373" s="33"/>
      <c r="Y373" s="33"/>
      <c r="Z373" s="33"/>
      <c r="AA373" s="33"/>
      <c r="AB373" s="39" t="str">
        <f t="shared" si="13"/>
        <v>Muskita Aluminium Industries Ltd Showroom</v>
      </c>
      <c r="AC373" s="39"/>
      <c r="AD373" s="39"/>
      <c r="AE373" s="39"/>
      <c r="AF373" s="39"/>
      <c r="AG373" s="39"/>
      <c r="AH373" s="33"/>
      <c r="AI373" s="39"/>
      <c r="AJ373" s="33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3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0"/>
      <c r="BK373" s="30"/>
      <c r="BL373" s="30"/>
      <c r="BM373" s="24"/>
      <c r="BN373" s="24"/>
      <c r="BO373" s="24"/>
      <c r="BP373" s="30"/>
      <c r="BQ373" s="30"/>
      <c r="BR373" s="30"/>
      <c r="BS373" s="30"/>
      <c r="BT373" s="30"/>
      <c r="BU373" s="30"/>
      <c r="BV373" s="30"/>
      <c r="BW373" s="30"/>
      <c r="BX373" s="30"/>
      <c r="BY373" s="24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</row>
    <row r="374" spans="1:88" ht="40.5" customHeight="1">
      <c r="A374" s="24">
        <f t="shared" si="10"/>
        <v>372</v>
      </c>
      <c r="B374" s="24" t="str">
        <f t="shared" si="11"/>
        <v xml:space="preserve">MA
</v>
      </c>
      <c r="C374" s="24" t="s">
        <v>1045</v>
      </c>
      <c r="D374" s="24" t="s">
        <v>851</v>
      </c>
      <c r="E374" s="30">
        <v>0</v>
      </c>
      <c r="F374" s="30">
        <v>0</v>
      </c>
      <c r="G374" s="24" t="s">
        <v>89</v>
      </c>
      <c r="H374" s="30"/>
      <c r="I374" s="30">
        <f>35724813413</f>
        <v>35724813413</v>
      </c>
      <c r="J374" s="30"/>
      <c r="K374" s="70" t="s">
        <v>1046</v>
      </c>
      <c r="L374" s="30"/>
      <c r="M374" s="30"/>
      <c r="N374" s="33" t="str">
        <f t="shared" si="12"/>
        <v>Leonidou Aluminium</v>
      </c>
      <c r="O374" s="34" t="s">
        <v>78</v>
      </c>
      <c r="P374" s="35">
        <v>1</v>
      </c>
      <c r="Q374" s="36">
        <v>44952</v>
      </c>
      <c r="R374" s="35">
        <v>1</v>
      </c>
      <c r="S374" s="37">
        <v>2.9861111111111113E-2</v>
      </c>
      <c r="T374" s="34" t="s">
        <v>4</v>
      </c>
      <c r="U374" s="38" t="str">
        <f t="shared" si="2"/>
        <v>Leonidou Aluminium</v>
      </c>
      <c r="V374" s="33"/>
      <c r="W374" s="33"/>
      <c r="X374" s="33"/>
      <c r="Y374" s="33"/>
      <c r="Z374" s="33"/>
      <c r="AA374" s="33"/>
      <c r="AB374" s="39" t="str">
        <f t="shared" si="13"/>
        <v>Leonidou Aluminium</v>
      </c>
      <c r="AC374" s="39"/>
      <c r="AD374" s="39"/>
      <c r="AE374" s="39"/>
      <c r="AF374" s="39"/>
      <c r="AG374" s="39"/>
      <c r="AH374" s="33"/>
      <c r="AI374" s="39"/>
      <c r="AJ374" s="33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3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0"/>
      <c r="BK374" s="30"/>
      <c r="BL374" s="30"/>
      <c r="BM374" s="24"/>
      <c r="BN374" s="24"/>
      <c r="BO374" s="24"/>
      <c r="BP374" s="30"/>
      <c r="BQ374" s="30"/>
      <c r="BR374" s="30"/>
      <c r="BS374" s="30"/>
      <c r="BT374" s="30"/>
      <c r="BU374" s="30"/>
      <c r="BV374" s="30"/>
      <c r="BW374" s="30"/>
      <c r="BX374" s="30"/>
      <c r="BY374" s="24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</row>
    <row r="375" spans="1:88" ht="40.5" customHeight="1">
      <c r="A375" s="24">
        <f t="shared" si="10"/>
        <v>373</v>
      </c>
      <c r="B375" s="24" t="str">
        <f t="shared" si="11"/>
        <v xml:space="preserve">MA
</v>
      </c>
      <c r="C375" s="24" t="s">
        <v>1047</v>
      </c>
      <c r="D375" s="24" t="s">
        <v>851</v>
      </c>
      <c r="E375" s="30">
        <v>0</v>
      </c>
      <c r="F375" s="30">
        <v>0</v>
      </c>
      <c r="G375" s="24" t="s">
        <v>89</v>
      </c>
      <c r="H375" s="30"/>
      <c r="I375" s="24">
        <v>35796720844</v>
      </c>
      <c r="J375" s="30"/>
      <c r="K375" s="70" t="s">
        <v>1048</v>
      </c>
      <c r="L375" s="30"/>
      <c r="M375" s="30"/>
      <c r="N375" s="33" t="str">
        <f t="shared" si="12"/>
        <v xml:space="preserve">atcoalu Europe
</v>
      </c>
      <c r="O375" s="34" t="s">
        <v>78</v>
      </c>
      <c r="P375" s="38"/>
      <c r="Q375" s="33"/>
      <c r="R375" s="38"/>
      <c r="S375" s="38"/>
      <c r="T375" s="33"/>
      <c r="U375" s="38" t="str">
        <f t="shared" si="2"/>
        <v xml:space="preserve">atcoalu Europe
</v>
      </c>
      <c r="V375" s="33"/>
      <c r="W375" s="33"/>
      <c r="X375" s="33"/>
      <c r="Y375" s="33"/>
      <c r="Z375" s="33"/>
      <c r="AA375" s="33"/>
      <c r="AB375" s="39" t="str">
        <f t="shared" si="13"/>
        <v xml:space="preserve">atcoalu Europe
</v>
      </c>
      <c r="AC375" s="39"/>
      <c r="AD375" s="39"/>
      <c r="AE375" s="39"/>
      <c r="AF375" s="39"/>
      <c r="AG375" s="39"/>
      <c r="AH375" s="33"/>
      <c r="AI375" s="39"/>
      <c r="AJ375" s="33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3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0"/>
      <c r="BK375" s="30"/>
      <c r="BL375" s="30"/>
      <c r="BM375" s="24"/>
      <c r="BN375" s="24"/>
      <c r="BO375" s="24"/>
      <c r="BP375" s="30"/>
      <c r="BQ375" s="30"/>
      <c r="BR375" s="30"/>
      <c r="BS375" s="30"/>
      <c r="BT375" s="30"/>
      <c r="BU375" s="30"/>
      <c r="BV375" s="30"/>
      <c r="BW375" s="30"/>
      <c r="BX375" s="30"/>
      <c r="BY375" s="24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</row>
    <row r="376" spans="1:88" ht="40.5" customHeight="1">
      <c r="A376" s="9">
        <f t="shared" si="10"/>
        <v>374</v>
      </c>
      <c r="B376" s="9" t="str">
        <f t="shared" si="11"/>
        <v xml:space="preserve">MA
</v>
      </c>
      <c r="C376" s="9" t="s">
        <v>1049</v>
      </c>
      <c r="D376" s="9" t="s">
        <v>851</v>
      </c>
      <c r="E376" s="12">
        <v>0</v>
      </c>
      <c r="F376" s="12">
        <v>0</v>
      </c>
      <c r="G376" s="9" t="s">
        <v>89</v>
      </c>
      <c r="H376" s="12"/>
      <c r="I376" s="12">
        <f>35724426711</f>
        <v>35724426711</v>
      </c>
      <c r="J376" s="12"/>
      <c r="K376" s="11" t="s">
        <v>1050</v>
      </c>
      <c r="L376" s="12"/>
      <c r="M376" s="12"/>
      <c r="N376" s="13" t="str">
        <f t="shared" si="12"/>
        <v xml:space="preserve">Marselli Aluminium Factory
</v>
      </c>
      <c r="O376" s="16" t="s">
        <v>78</v>
      </c>
      <c r="P376" s="14">
        <v>1</v>
      </c>
      <c r="Q376" s="25">
        <v>44952</v>
      </c>
      <c r="R376" s="14">
        <v>5</v>
      </c>
      <c r="S376" s="26">
        <v>0.10416666666666667</v>
      </c>
      <c r="T376" s="16" t="s">
        <v>81</v>
      </c>
      <c r="U376" s="17" t="str">
        <f t="shared" si="2"/>
        <v xml:space="preserve">Marselli Aluminium Factory
</v>
      </c>
      <c r="V376" s="16" t="s">
        <v>7</v>
      </c>
      <c r="W376" s="16">
        <v>2</v>
      </c>
      <c r="X376" s="25">
        <v>44953</v>
      </c>
      <c r="Y376" s="13"/>
      <c r="Z376" s="13"/>
      <c r="AA376" s="16" t="s">
        <v>86</v>
      </c>
      <c r="AB376" s="18" t="str">
        <f t="shared" si="13"/>
        <v xml:space="preserve">Marselli Aluminium Factory
</v>
      </c>
      <c r="AC376" s="18"/>
      <c r="AD376" s="18"/>
      <c r="AE376" s="18"/>
      <c r="AF376" s="18"/>
      <c r="AG376" s="18"/>
      <c r="AH376" s="13"/>
      <c r="AI376" s="18"/>
      <c r="AJ376" s="13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3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2"/>
      <c r="BK376" s="12"/>
      <c r="BL376" s="12"/>
      <c r="BM376" s="9"/>
      <c r="BN376" s="9"/>
      <c r="BO376" s="9"/>
      <c r="BP376" s="12"/>
      <c r="BQ376" s="12"/>
      <c r="BR376" s="12"/>
      <c r="BS376" s="12"/>
      <c r="BT376" s="12"/>
      <c r="BU376" s="12"/>
      <c r="BV376" s="12"/>
      <c r="BW376" s="12"/>
      <c r="BX376" s="12"/>
      <c r="BY376" s="9"/>
      <c r="BZ376" s="21"/>
      <c r="CA376" s="21"/>
      <c r="CB376" s="21"/>
      <c r="CC376" s="21"/>
      <c r="CD376" s="21"/>
      <c r="CE376" s="21"/>
      <c r="CF376" s="21"/>
      <c r="CG376" s="21"/>
      <c r="CH376" s="21"/>
      <c r="CI376" s="21"/>
      <c r="CJ376" s="21"/>
    </row>
    <row r="377" spans="1:88" ht="40.5" customHeight="1">
      <c r="A377" s="24">
        <f t="shared" si="10"/>
        <v>375</v>
      </c>
      <c r="B377" s="24" t="str">
        <f t="shared" si="11"/>
        <v xml:space="preserve">MA
</v>
      </c>
      <c r="C377" s="24" t="s">
        <v>1051</v>
      </c>
      <c r="D377" s="24" t="s">
        <v>851</v>
      </c>
      <c r="E377" s="30">
        <v>0</v>
      </c>
      <c r="F377" s="30">
        <v>0</v>
      </c>
      <c r="G377" s="24" t="s">
        <v>89</v>
      </c>
      <c r="H377" s="30"/>
      <c r="I377" s="30">
        <f>35722442535</f>
        <v>35722442535</v>
      </c>
      <c r="J377" s="30"/>
      <c r="K377" s="70" t="s">
        <v>1052</v>
      </c>
      <c r="L377" s="30"/>
      <c r="M377" s="30"/>
      <c r="N377" s="33" t="str">
        <f t="shared" si="12"/>
        <v xml:space="preserve">Rabel Systems
</v>
      </c>
      <c r="O377" s="33"/>
      <c r="P377" s="38"/>
      <c r="Q377" s="33"/>
      <c r="R377" s="38"/>
      <c r="S377" s="38"/>
      <c r="T377" s="33"/>
      <c r="U377" s="38" t="str">
        <f t="shared" si="2"/>
        <v xml:space="preserve">Rabel Systems
</v>
      </c>
      <c r="V377" s="33"/>
      <c r="W377" s="33"/>
      <c r="X377" s="33"/>
      <c r="Y377" s="33"/>
      <c r="Z377" s="33"/>
      <c r="AA377" s="33"/>
      <c r="AB377" s="39" t="str">
        <f t="shared" si="13"/>
        <v xml:space="preserve">Rabel Systems
</v>
      </c>
      <c r="AC377" s="39"/>
      <c r="AD377" s="39"/>
      <c r="AE377" s="39"/>
      <c r="AF377" s="39"/>
      <c r="AG377" s="39"/>
      <c r="AH377" s="33"/>
      <c r="AI377" s="39"/>
      <c r="AJ377" s="33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3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0"/>
      <c r="BK377" s="30"/>
      <c r="BL377" s="30"/>
      <c r="BM377" s="24"/>
      <c r="BN377" s="24"/>
      <c r="BO377" s="24"/>
      <c r="BP377" s="30"/>
      <c r="BQ377" s="30"/>
      <c r="BR377" s="30"/>
      <c r="BS377" s="30"/>
      <c r="BT377" s="30"/>
      <c r="BU377" s="30"/>
      <c r="BV377" s="30"/>
      <c r="BW377" s="30"/>
      <c r="BX377" s="30"/>
      <c r="BY377" s="24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</row>
    <row r="378" spans="1:88" ht="40.5" customHeight="1">
      <c r="A378" s="24">
        <f t="shared" si="10"/>
        <v>376</v>
      </c>
      <c r="B378" s="24" t="str">
        <f t="shared" si="11"/>
        <v xml:space="preserve">MA
</v>
      </c>
      <c r="C378" s="24" t="s">
        <v>1053</v>
      </c>
      <c r="D378" s="24" t="s">
        <v>851</v>
      </c>
      <c r="E378" s="30">
        <v>0</v>
      </c>
      <c r="F378" s="30">
        <v>0</v>
      </c>
      <c r="G378" s="24" t="s">
        <v>89</v>
      </c>
      <c r="H378" s="30"/>
      <c r="I378" s="30">
        <f>35722519008</f>
        <v>35722519008</v>
      </c>
      <c r="J378" s="30"/>
      <c r="K378" s="71" t="s">
        <v>1054</v>
      </c>
      <c r="L378" s="30"/>
      <c r="M378" s="30"/>
      <c r="N378" s="33" t="str">
        <f t="shared" si="12"/>
        <v xml:space="preserve">MUSKITA Aluminium Industries Ltd Showroom
</v>
      </c>
      <c r="O378" s="33"/>
      <c r="P378" s="38"/>
      <c r="Q378" s="33"/>
      <c r="R378" s="38"/>
      <c r="S378" s="38"/>
      <c r="T378" s="33"/>
      <c r="U378" s="38" t="str">
        <f t="shared" si="2"/>
        <v xml:space="preserve">MUSKITA Aluminium Industries Ltd Showroom
</v>
      </c>
      <c r="V378" s="33"/>
      <c r="W378" s="33"/>
      <c r="X378" s="33"/>
      <c r="Y378" s="33"/>
      <c r="Z378" s="33"/>
      <c r="AA378" s="33"/>
      <c r="AB378" s="39" t="str">
        <f t="shared" si="13"/>
        <v xml:space="preserve">MUSKITA Aluminium Industries Ltd Showroom
</v>
      </c>
      <c r="AC378" s="39"/>
      <c r="AD378" s="39"/>
      <c r="AE378" s="39"/>
      <c r="AF378" s="39"/>
      <c r="AG378" s="39"/>
      <c r="AH378" s="33"/>
      <c r="AI378" s="39"/>
      <c r="AJ378" s="33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3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  <c r="BJ378" s="30"/>
      <c r="BK378" s="30"/>
      <c r="BL378" s="30"/>
      <c r="BM378" s="24"/>
      <c r="BN378" s="24"/>
      <c r="BO378" s="24"/>
      <c r="BP378" s="30"/>
      <c r="BQ378" s="30"/>
      <c r="BR378" s="30"/>
      <c r="BS378" s="30"/>
      <c r="BT378" s="30"/>
      <c r="BU378" s="30"/>
      <c r="BV378" s="30"/>
      <c r="BW378" s="30"/>
      <c r="BX378" s="30"/>
      <c r="BY378" s="24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</row>
    <row r="379" spans="1:88" ht="40.5" customHeight="1">
      <c r="A379" s="9">
        <f t="shared" si="10"/>
        <v>377</v>
      </c>
      <c r="B379" s="9" t="str">
        <f t="shared" si="11"/>
        <v xml:space="preserve">MA
</v>
      </c>
      <c r="C379" s="9" t="s">
        <v>1055</v>
      </c>
      <c r="D379" s="9" t="s">
        <v>851</v>
      </c>
      <c r="E379" s="12">
        <v>0</v>
      </c>
      <c r="F379" s="12">
        <v>0</v>
      </c>
      <c r="G379" s="9" t="s">
        <v>89</v>
      </c>
      <c r="H379" s="12"/>
      <c r="I379" s="12">
        <f>35799632031</f>
        <v>35799632031</v>
      </c>
      <c r="J379" s="12"/>
      <c r="K379" s="12"/>
      <c r="L379" s="12"/>
      <c r="M379" s="12"/>
      <c r="N379" s="13" t="str">
        <f t="shared" si="12"/>
        <v xml:space="preserve">D&amp;S ALUMINIUM LTD
</v>
      </c>
      <c r="O379" s="16" t="s">
        <v>78</v>
      </c>
      <c r="P379" s="14">
        <v>1</v>
      </c>
      <c r="Q379" s="25">
        <v>44952</v>
      </c>
      <c r="R379" s="14">
        <v>5</v>
      </c>
      <c r="S379" s="26">
        <v>0.11597222222222223</v>
      </c>
      <c r="T379" s="16" t="s">
        <v>108</v>
      </c>
      <c r="U379" s="17" t="str">
        <f t="shared" si="2"/>
        <v xml:space="preserve">D&amp;S ALUMINIUM LTD
</v>
      </c>
      <c r="V379" s="13"/>
      <c r="W379" s="13"/>
      <c r="X379" s="13"/>
      <c r="Y379" s="13"/>
      <c r="Z379" s="13"/>
      <c r="AA379" s="13"/>
      <c r="AB379" s="18" t="str">
        <f t="shared" si="13"/>
        <v xml:space="preserve">D&amp;S ALUMINIUM LTD
</v>
      </c>
      <c r="AC379" s="18"/>
      <c r="AD379" s="18"/>
      <c r="AE379" s="18"/>
      <c r="AF379" s="18"/>
      <c r="AG379" s="18"/>
      <c r="AH379" s="13"/>
      <c r="AI379" s="18"/>
      <c r="AJ379" s="13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3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2"/>
      <c r="BK379" s="12"/>
      <c r="BL379" s="12"/>
      <c r="BM379" s="9"/>
      <c r="BN379" s="9"/>
      <c r="BO379" s="9"/>
      <c r="BP379" s="12"/>
      <c r="BQ379" s="12"/>
      <c r="BR379" s="12"/>
      <c r="BS379" s="12"/>
      <c r="BT379" s="12"/>
      <c r="BU379" s="12"/>
      <c r="BV379" s="12"/>
      <c r="BW379" s="12"/>
      <c r="BX379" s="12"/>
      <c r="BY379" s="9"/>
      <c r="BZ379" s="21"/>
      <c r="CA379" s="21"/>
      <c r="CB379" s="21"/>
      <c r="CC379" s="21"/>
      <c r="CD379" s="21"/>
      <c r="CE379" s="21"/>
      <c r="CF379" s="21"/>
      <c r="CG379" s="21"/>
      <c r="CH379" s="21"/>
      <c r="CI379" s="21"/>
      <c r="CJ379" s="21"/>
    </row>
    <row r="380" spans="1:88" ht="40.5" customHeight="1">
      <c r="A380" s="9">
        <f t="shared" si="10"/>
        <v>378</v>
      </c>
      <c r="B380" s="9" t="str">
        <f t="shared" si="11"/>
        <v xml:space="preserve">MA
</v>
      </c>
      <c r="C380" s="9" t="s">
        <v>1056</v>
      </c>
      <c r="D380" s="9" t="s">
        <v>851</v>
      </c>
      <c r="E380" s="12">
        <v>0</v>
      </c>
      <c r="F380" s="12">
        <v>0</v>
      </c>
      <c r="G380" s="9" t="s">
        <v>89</v>
      </c>
      <c r="H380" s="12"/>
      <c r="I380" s="12">
        <f>35726811913</f>
        <v>35726811913</v>
      </c>
      <c r="J380" s="12"/>
      <c r="K380" s="12"/>
      <c r="L380" s="12"/>
      <c r="M380" s="12"/>
      <c r="N380" s="13" t="str">
        <f t="shared" si="12"/>
        <v>G &amp; M Ioannides Ltd - Aluminium Systems</v>
      </c>
      <c r="O380" s="16" t="s">
        <v>78</v>
      </c>
      <c r="P380" s="14">
        <v>1</v>
      </c>
      <c r="Q380" s="25">
        <v>44952</v>
      </c>
      <c r="R380" s="14">
        <v>5</v>
      </c>
      <c r="S380" s="26">
        <v>0.1076388888888889</v>
      </c>
      <c r="T380" s="16" t="s">
        <v>81</v>
      </c>
      <c r="U380" s="17" t="str">
        <f t="shared" si="2"/>
        <v>G &amp; M Ioannides Ltd - Aluminium Systems</v>
      </c>
      <c r="V380" s="13"/>
      <c r="W380" s="13"/>
      <c r="X380" s="13"/>
      <c r="Y380" s="13"/>
      <c r="Z380" s="13"/>
      <c r="AA380" s="13"/>
      <c r="AB380" s="18" t="str">
        <f t="shared" si="13"/>
        <v>G &amp; M Ioannides Ltd - Aluminium Systems</v>
      </c>
      <c r="AC380" s="18"/>
      <c r="AD380" s="18"/>
      <c r="AE380" s="18"/>
      <c r="AF380" s="18"/>
      <c r="AG380" s="18"/>
      <c r="AH380" s="13"/>
      <c r="AI380" s="18"/>
      <c r="AJ380" s="13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3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2"/>
      <c r="BK380" s="12"/>
      <c r="BL380" s="12"/>
      <c r="BM380" s="9"/>
      <c r="BN380" s="9"/>
      <c r="BO380" s="9"/>
      <c r="BP380" s="12"/>
      <c r="BQ380" s="12"/>
      <c r="BR380" s="12"/>
      <c r="BS380" s="12"/>
      <c r="BT380" s="12"/>
      <c r="BU380" s="12"/>
      <c r="BV380" s="12"/>
      <c r="BW380" s="12"/>
      <c r="BX380" s="12"/>
      <c r="BY380" s="9"/>
      <c r="BZ380" s="21"/>
      <c r="CA380" s="21"/>
      <c r="CB380" s="21"/>
      <c r="CC380" s="21"/>
      <c r="CD380" s="21"/>
      <c r="CE380" s="21"/>
      <c r="CF380" s="21"/>
      <c r="CG380" s="21"/>
      <c r="CH380" s="21"/>
      <c r="CI380" s="21"/>
      <c r="CJ380" s="21"/>
    </row>
    <row r="381" spans="1:88" ht="40.5" customHeight="1">
      <c r="A381" s="9">
        <f t="shared" si="10"/>
        <v>379</v>
      </c>
      <c r="B381" s="9" t="str">
        <f t="shared" si="11"/>
        <v xml:space="preserve">MA
</v>
      </c>
      <c r="C381" s="9" t="s">
        <v>1057</v>
      </c>
      <c r="D381" s="9" t="s">
        <v>851</v>
      </c>
      <c r="E381" s="12">
        <v>0</v>
      </c>
      <c r="F381" s="12">
        <v>0</v>
      </c>
      <c r="G381" s="9" t="s">
        <v>89</v>
      </c>
      <c r="H381" s="12"/>
      <c r="I381" s="12">
        <f>35799308173</f>
        <v>35799308173</v>
      </c>
      <c r="J381" s="9" t="s">
        <v>1058</v>
      </c>
      <c r="K381" s="11" t="s">
        <v>1059</v>
      </c>
      <c r="L381" s="12"/>
      <c r="M381" s="12"/>
      <c r="N381" s="13" t="str">
        <f t="shared" si="12"/>
        <v>X.K ALUMINIUM CONSTRUCTIONS LTD</v>
      </c>
      <c r="O381" s="16" t="s">
        <v>78</v>
      </c>
      <c r="P381" s="14">
        <v>1</v>
      </c>
      <c r="Q381" s="25">
        <v>44949</v>
      </c>
      <c r="R381" s="14">
        <v>5</v>
      </c>
      <c r="S381" s="26">
        <v>9.7916666666666666E-2</v>
      </c>
      <c r="T381" s="16" t="s">
        <v>153</v>
      </c>
      <c r="U381" s="17" t="str">
        <f t="shared" si="2"/>
        <v>X.K ALUMINIUM CONSTRUCTIONS LTD</v>
      </c>
      <c r="V381" s="13"/>
      <c r="W381" s="13"/>
      <c r="X381" s="13"/>
      <c r="Y381" s="13"/>
      <c r="Z381" s="13"/>
      <c r="AA381" s="13"/>
      <c r="AB381" s="18" t="str">
        <f t="shared" si="13"/>
        <v>X.K ALUMINIUM CONSTRUCTIONS LTD</v>
      </c>
      <c r="AC381" s="18"/>
      <c r="AD381" s="18"/>
      <c r="AE381" s="18"/>
      <c r="AF381" s="18"/>
      <c r="AG381" s="18"/>
      <c r="AH381" s="13"/>
      <c r="AI381" s="18"/>
      <c r="AJ381" s="13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3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2"/>
      <c r="BK381" s="12"/>
      <c r="BL381" s="12"/>
      <c r="BM381" s="9"/>
      <c r="BN381" s="9"/>
      <c r="BO381" s="9"/>
      <c r="BP381" s="12"/>
      <c r="BQ381" s="12"/>
      <c r="BR381" s="12"/>
      <c r="BS381" s="12"/>
      <c r="BT381" s="12"/>
      <c r="BU381" s="12"/>
      <c r="BV381" s="12"/>
      <c r="BW381" s="12"/>
      <c r="BX381" s="12"/>
      <c r="BY381" s="9"/>
      <c r="BZ381" s="21"/>
      <c r="CA381" s="21"/>
      <c r="CB381" s="21"/>
      <c r="CC381" s="21"/>
      <c r="CD381" s="21"/>
      <c r="CE381" s="21"/>
      <c r="CF381" s="21"/>
      <c r="CG381" s="21"/>
      <c r="CH381" s="21"/>
      <c r="CI381" s="21"/>
      <c r="CJ381" s="21"/>
    </row>
    <row r="382" spans="1:88" ht="40.5" customHeight="1">
      <c r="A382" s="9">
        <f t="shared" si="10"/>
        <v>380</v>
      </c>
      <c r="B382" s="9" t="str">
        <f t="shared" si="11"/>
        <v xml:space="preserve">MA
</v>
      </c>
      <c r="C382" s="9" t="s">
        <v>1060</v>
      </c>
      <c r="D382" s="9" t="s">
        <v>851</v>
      </c>
      <c r="E382" s="12">
        <v>0</v>
      </c>
      <c r="F382" s="12">
        <v>0</v>
      </c>
      <c r="G382" s="9" t="s">
        <v>89</v>
      </c>
      <c r="H382" s="12"/>
      <c r="I382" s="12">
        <f>35799613085</f>
        <v>35799613085</v>
      </c>
      <c r="J382" s="12"/>
      <c r="K382" s="11" t="s">
        <v>1061</v>
      </c>
      <c r="L382" s="12"/>
      <c r="M382" s="12"/>
      <c r="N382" s="13" t="str">
        <f t="shared" si="12"/>
        <v>Yiannis Karaspyros Aluminium Designs</v>
      </c>
      <c r="O382" s="16" t="s">
        <v>78</v>
      </c>
      <c r="P382" s="14">
        <v>1</v>
      </c>
      <c r="Q382" s="25">
        <v>44949</v>
      </c>
      <c r="R382" s="17"/>
      <c r="S382" s="17"/>
      <c r="T382" s="16" t="s">
        <v>101</v>
      </c>
      <c r="U382" s="17" t="str">
        <f t="shared" si="2"/>
        <v>Yiannis Karaspyros Aluminium Designs</v>
      </c>
      <c r="V382" s="13"/>
      <c r="W382" s="13"/>
      <c r="X382" s="13"/>
      <c r="Y382" s="13"/>
      <c r="Z382" s="13"/>
      <c r="AA382" s="13"/>
      <c r="AB382" s="18" t="str">
        <f t="shared" si="13"/>
        <v>Yiannis Karaspyros Aluminium Designs</v>
      </c>
      <c r="AC382" s="18"/>
      <c r="AD382" s="18"/>
      <c r="AE382" s="18"/>
      <c r="AF382" s="18"/>
      <c r="AG382" s="18"/>
      <c r="AH382" s="13"/>
      <c r="AI382" s="18"/>
      <c r="AJ382" s="13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3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2"/>
      <c r="BK382" s="12"/>
      <c r="BL382" s="12"/>
      <c r="BM382" s="9"/>
      <c r="BN382" s="9"/>
      <c r="BO382" s="9"/>
      <c r="BP382" s="12"/>
      <c r="BQ382" s="12"/>
      <c r="BR382" s="12"/>
      <c r="BS382" s="12"/>
      <c r="BT382" s="12"/>
      <c r="BU382" s="12"/>
      <c r="BV382" s="12"/>
      <c r="BW382" s="12"/>
      <c r="BX382" s="12"/>
      <c r="BY382" s="9"/>
      <c r="BZ382" s="21"/>
      <c r="CA382" s="21"/>
      <c r="CB382" s="21"/>
      <c r="CC382" s="21"/>
      <c r="CD382" s="21"/>
      <c r="CE382" s="21"/>
      <c r="CF382" s="21"/>
      <c r="CG382" s="21"/>
      <c r="CH382" s="21"/>
      <c r="CI382" s="21"/>
      <c r="CJ382" s="21"/>
    </row>
    <row r="383" spans="1:88" ht="40.5" customHeight="1">
      <c r="A383" s="24">
        <f t="shared" si="10"/>
        <v>381</v>
      </c>
      <c r="B383" s="24" t="str">
        <f t="shared" si="11"/>
        <v xml:space="preserve">MA
</v>
      </c>
      <c r="C383" s="24" t="s">
        <v>1062</v>
      </c>
      <c r="D383" s="24" t="s">
        <v>851</v>
      </c>
      <c r="E383" s="30">
        <v>0</v>
      </c>
      <c r="F383" s="30">
        <v>0</v>
      </c>
      <c r="G383" s="24" t="s">
        <v>89</v>
      </c>
      <c r="H383" s="30"/>
      <c r="I383" s="30">
        <f>35725335900</f>
        <v>35725335900</v>
      </c>
      <c r="J383" s="30"/>
      <c r="K383" s="30"/>
      <c r="L383" s="30"/>
      <c r="M383" s="30"/>
      <c r="N383" s="33" t="str">
        <f t="shared" si="12"/>
        <v xml:space="preserve">CK Comfort Window Plus Ltd
</v>
      </c>
      <c r="O383" s="34" t="s">
        <v>78</v>
      </c>
      <c r="P383" s="35">
        <v>1</v>
      </c>
      <c r="Q383" s="36">
        <v>44949</v>
      </c>
      <c r="R383" s="35">
        <v>1</v>
      </c>
      <c r="S383" s="37">
        <v>2.5000000000000001E-2</v>
      </c>
      <c r="T383" s="34" t="s">
        <v>4</v>
      </c>
      <c r="U383" s="38" t="str">
        <f t="shared" si="2"/>
        <v xml:space="preserve">CK Comfort Window Plus Ltd
</v>
      </c>
      <c r="V383" s="33"/>
      <c r="W383" s="33"/>
      <c r="X383" s="33"/>
      <c r="Y383" s="33"/>
      <c r="Z383" s="33"/>
      <c r="AA383" s="33"/>
      <c r="AB383" s="39" t="str">
        <f t="shared" si="13"/>
        <v xml:space="preserve">CK Comfort Window Plus Ltd
</v>
      </c>
      <c r="AC383" s="39"/>
      <c r="AD383" s="39"/>
      <c r="AE383" s="39"/>
      <c r="AF383" s="39"/>
      <c r="AG383" s="39"/>
      <c r="AH383" s="33"/>
      <c r="AI383" s="39"/>
      <c r="AJ383" s="33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3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  <c r="BJ383" s="30"/>
      <c r="BK383" s="30"/>
      <c r="BL383" s="30"/>
      <c r="BM383" s="24"/>
      <c r="BN383" s="24"/>
      <c r="BO383" s="24"/>
      <c r="BP383" s="30"/>
      <c r="BQ383" s="30"/>
      <c r="BR383" s="30"/>
      <c r="BS383" s="30"/>
      <c r="BT383" s="30"/>
      <c r="BU383" s="30"/>
      <c r="BV383" s="30"/>
      <c r="BW383" s="30"/>
      <c r="BX383" s="30"/>
      <c r="BY383" s="24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</row>
    <row r="384" spans="1:88" ht="40.5" customHeight="1">
      <c r="A384" s="64">
        <f t="shared" si="10"/>
        <v>382</v>
      </c>
      <c r="B384" s="64" t="str">
        <f t="shared" si="11"/>
        <v xml:space="preserve">MA
</v>
      </c>
      <c r="C384" s="64" t="s">
        <v>1063</v>
      </c>
      <c r="D384" s="64" t="s">
        <v>851</v>
      </c>
      <c r="E384" s="65">
        <v>0</v>
      </c>
      <c r="F384" s="65">
        <v>0</v>
      </c>
      <c r="G384" s="64" t="s">
        <v>89</v>
      </c>
      <c r="H384" s="65"/>
      <c r="I384" s="64">
        <v>5338876015</v>
      </c>
      <c r="J384" s="65"/>
      <c r="K384" s="65"/>
      <c r="L384" s="65"/>
      <c r="M384" s="65"/>
      <c r="N384" s="66" t="str">
        <f t="shared" si="12"/>
        <v xml:space="preserve">Belveren Alüminyum
</v>
      </c>
      <c r="O384" s="66"/>
      <c r="P384" s="67"/>
      <c r="Q384" s="66"/>
      <c r="R384" s="67"/>
      <c r="S384" s="67"/>
      <c r="T384" s="66"/>
      <c r="U384" s="67" t="str">
        <f t="shared" si="2"/>
        <v xml:space="preserve">Belveren Alüminyum
</v>
      </c>
      <c r="V384" s="66"/>
      <c r="W384" s="66"/>
      <c r="X384" s="66"/>
      <c r="Y384" s="66"/>
      <c r="Z384" s="66"/>
      <c r="AA384" s="66"/>
      <c r="AB384" s="68" t="str">
        <f t="shared" si="13"/>
        <v xml:space="preserve">Belveren Alüminyum
</v>
      </c>
      <c r="AC384" s="68"/>
      <c r="AD384" s="68"/>
      <c r="AE384" s="68"/>
      <c r="AF384" s="68"/>
      <c r="AG384" s="68"/>
      <c r="AH384" s="66"/>
      <c r="AI384" s="68"/>
      <c r="AJ384" s="66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6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5"/>
      <c r="BK384" s="65"/>
      <c r="BL384" s="65"/>
      <c r="BM384" s="64"/>
      <c r="BN384" s="64"/>
      <c r="BO384" s="64"/>
      <c r="BP384" s="65"/>
      <c r="BQ384" s="65"/>
      <c r="BR384" s="65"/>
      <c r="BS384" s="65"/>
      <c r="BT384" s="65"/>
      <c r="BU384" s="65"/>
      <c r="BV384" s="65"/>
      <c r="BW384" s="65"/>
      <c r="BX384" s="65"/>
      <c r="BY384" s="64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</row>
    <row r="385" spans="1:88" ht="40.5" customHeight="1">
      <c r="A385" s="9">
        <f t="shared" si="10"/>
        <v>383</v>
      </c>
      <c r="B385" s="9" t="str">
        <f t="shared" si="11"/>
        <v xml:space="preserve">MA
</v>
      </c>
      <c r="C385" s="9" t="s">
        <v>1064</v>
      </c>
      <c r="D385" s="9" t="s">
        <v>851</v>
      </c>
      <c r="E385" s="12">
        <v>0</v>
      </c>
      <c r="F385" s="12">
        <v>0</v>
      </c>
      <c r="G385" s="9" t="s">
        <v>89</v>
      </c>
      <c r="H385" s="12"/>
      <c r="I385" s="12">
        <f>35725713080</f>
        <v>35725713080</v>
      </c>
      <c r="J385" s="12"/>
      <c r="K385" s="11" t="s">
        <v>1065</v>
      </c>
      <c r="L385" s="12"/>
      <c r="M385" s="12"/>
      <c r="N385" s="13" t="str">
        <f t="shared" si="12"/>
        <v xml:space="preserve">Antis Prokopiou &amp; Sons Ltd.
</v>
      </c>
      <c r="O385" s="16" t="s">
        <v>78</v>
      </c>
      <c r="P385" s="14">
        <v>1</v>
      </c>
      <c r="Q385" s="25">
        <v>44949</v>
      </c>
      <c r="R385" s="17"/>
      <c r="S385" s="17"/>
      <c r="T385" s="16" t="s">
        <v>126</v>
      </c>
      <c r="U385" s="17" t="str">
        <f t="shared" si="2"/>
        <v xml:space="preserve">Antis Prokopiou &amp; Sons Ltd.
</v>
      </c>
      <c r="V385" s="13"/>
      <c r="W385" s="13"/>
      <c r="X385" s="13"/>
      <c r="Y385" s="13"/>
      <c r="Z385" s="13"/>
      <c r="AA385" s="13"/>
      <c r="AB385" s="18" t="str">
        <f t="shared" si="13"/>
        <v xml:space="preserve">Antis Prokopiou &amp; Sons Ltd.
</v>
      </c>
      <c r="AC385" s="18"/>
      <c r="AD385" s="18"/>
      <c r="AE385" s="18"/>
      <c r="AF385" s="18"/>
      <c r="AG385" s="18"/>
      <c r="AH385" s="13"/>
      <c r="AI385" s="18"/>
      <c r="AJ385" s="13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3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2"/>
      <c r="BK385" s="12"/>
      <c r="BL385" s="12"/>
      <c r="BM385" s="9"/>
      <c r="BN385" s="9"/>
      <c r="BO385" s="9"/>
      <c r="BP385" s="12"/>
      <c r="BQ385" s="12"/>
      <c r="BR385" s="12"/>
      <c r="BS385" s="12"/>
      <c r="BT385" s="12"/>
      <c r="BU385" s="12"/>
      <c r="BV385" s="12"/>
      <c r="BW385" s="12"/>
      <c r="BX385" s="12"/>
      <c r="BY385" s="9"/>
      <c r="BZ385" s="21"/>
      <c r="CA385" s="21"/>
      <c r="CB385" s="21"/>
      <c r="CC385" s="21"/>
      <c r="CD385" s="21"/>
      <c r="CE385" s="21"/>
      <c r="CF385" s="21"/>
      <c r="CG385" s="21"/>
      <c r="CH385" s="21"/>
      <c r="CI385" s="21"/>
      <c r="CJ385" s="21"/>
    </row>
    <row r="386" spans="1:88" ht="40.5" customHeight="1">
      <c r="A386" s="24">
        <f t="shared" si="10"/>
        <v>384</v>
      </c>
      <c r="B386" s="24" t="str">
        <f t="shared" si="11"/>
        <v xml:space="preserve">MA
</v>
      </c>
      <c r="C386" s="24" t="s">
        <v>1066</v>
      </c>
      <c r="D386" s="24" t="s">
        <v>851</v>
      </c>
      <c r="E386" s="30">
        <v>0</v>
      </c>
      <c r="F386" s="30">
        <v>0</v>
      </c>
      <c r="G386" s="24" t="s">
        <v>89</v>
      </c>
      <c r="H386" s="30"/>
      <c r="I386" s="30">
        <f>35725844444</f>
        <v>35725844444</v>
      </c>
      <c r="J386" s="30"/>
      <c r="K386" s="32" t="s">
        <v>1044</v>
      </c>
      <c r="L386" s="30"/>
      <c r="M386" s="30"/>
      <c r="N386" s="33" t="str">
        <f t="shared" si="12"/>
        <v>MUSKITA Aluminium Industries Headquarters</v>
      </c>
      <c r="O386" s="34" t="s">
        <v>78</v>
      </c>
      <c r="P386" s="35">
        <v>1</v>
      </c>
      <c r="Q386" s="36">
        <v>44949</v>
      </c>
      <c r="R386" s="35">
        <v>2</v>
      </c>
      <c r="S386" s="37">
        <v>0.13819444444444445</v>
      </c>
      <c r="T386" s="34" t="s">
        <v>4</v>
      </c>
      <c r="U386" s="38" t="str">
        <f t="shared" si="2"/>
        <v>MUSKITA Aluminium Industries Headquarters</v>
      </c>
      <c r="V386" s="33"/>
      <c r="W386" s="33"/>
      <c r="X386" s="33"/>
      <c r="Y386" s="33"/>
      <c r="Z386" s="33"/>
      <c r="AA386" s="33"/>
      <c r="AB386" s="39" t="str">
        <f t="shared" si="13"/>
        <v>MUSKITA Aluminium Industries Headquarters</v>
      </c>
      <c r="AC386" s="39"/>
      <c r="AD386" s="39"/>
      <c r="AE386" s="39"/>
      <c r="AF386" s="39"/>
      <c r="AG386" s="39"/>
      <c r="AH386" s="33"/>
      <c r="AI386" s="39"/>
      <c r="AJ386" s="33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3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  <c r="BJ386" s="30"/>
      <c r="BK386" s="30"/>
      <c r="BL386" s="30"/>
      <c r="BM386" s="24"/>
      <c r="BN386" s="24"/>
      <c r="BO386" s="24"/>
      <c r="BP386" s="30"/>
      <c r="BQ386" s="30"/>
      <c r="BR386" s="30"/>
      <c r="BS386" s="30"/>
      <c r="BT386" s="30"/>
      <c r="BU386" s="30"/>
      <c r="BV386" s="30"/>
      <c r="BW386" s="30"/>
      <c r="BX386" s="30"/>
      <c r="BY386" s="24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</row>
    <row r="387" spans="1:88" ht="40.5" customHeight="1">
      <c r="A387" s="9">
        <f t="shared" si="10"/>
        <v>385</v>
      </c>
      <c r="B387" s="9" t="str">
        <f t="shared" si="11"/>
        <v xml:space="preserve">MA
</v>
      </c>
      <c r="C387" s="9" t="s">
        <v>1067</v>
      </c>
      <c r="D387" s="9" t="s">
        <v>851</v>
      </c>
      <c r="E387" s="12">
        <v>0</v>
      </c>
      <c r="F387" s="12">
        <v>0</v>
      </c>
      <c r="G387" s="9" t="s">
        <v>89</v>
      </c>
      <c r="H387" s="12"/>
      <c r="I387" s="12">
        <f>35799696367</f>
        <v>35799696367</v>
      </c>
      <c r="J387" s="12"/>
      <c r="K387" s="12"/>
      <c r="L387" s="12"/>
      <c r="M387" s="12"/>
      <c r="N387" s="13" t="str">
        <f t="shared" si="12"/>
        <v xml:space="preserve">N.K ALUMINIUM PRO LTD
</v>
      </c>
      <c r="O387" s="16" t="s">
        <v>78</v>
      </c>
      <c r="P387" s="14">
        <v>1</v>
      </c>
      <c r="Q387" s="25">
        <v>44949</v>
      </c>
      <c r="R387" s="17"/>
      <c r="S387" s="17"/>
      <c r="T387" s="16" t="s">
        <v>101</v>
      </c>
      <c r="U387" s="17" t="str">
        <f t="shared" si="2"/>
        <v xml:space="preserve">N.K ALUMINIUM PRO LTD
</v>
      </c>
      <c r="V387" s="13"/>
      <c r="W387" s="13"/>
      <c r="X387" s="13"/>
      <c r="Y387" s="13"/>
      <c r="Z387" s="13"/>
      <c r="AA387" s="13"/>
      <c r="AB387" s="18" t="str">
        <f t="shared" si="13"/>
        <v xml:space="preserve">N.K ALUMINIUM PRO LTD
</v>
      </c>
      <c r="AC387" s="18"/>
      <c r="AD387" s="18"/>
      <c r="AE387" s="18"/>
      <c r="AF387" s="18"/>
      <c r="AG387" s="18"/>
      <c r="AH387" s="13"/>
      <c r="AI387" s="18"/>
      <c r="AJ387" s="13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3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2"/>
      <c r="BK387" s="12"/>
      <c r="BL387" s="12"/>
      <c r="BM387" s="9"/>
      <c r="BN387" s="9"/>
      <c r="BO387" s="9"/>
      <c r="BP387" s="12"/>
      <c r="BQ387" s="12"/>
      <c r="BR387" s="12"/>
      <c r="BS387" s="12"/>
      <c r="BT387" s="12"/>
      <c r="BU387" s="12"/>
      <c r="BV387" s="12"/>
      <c r="BW387" s="12"/>
      <c r="BX387" s="12"/>
      <c r="BY387" s="9"/>
      <c r="BZ387" s="21"/>
      <c r="CA387" s="21"/>
      <c r="CB387" s="21"/>
      <c r="CC387" s="21"/>
      <c r="CD387" s="21"/>
      <c r="CE387" s="21"/>
      <c r="CF387" s="21"/>
      <c r="CG387" s="21"/>
      <c r="CH387" s="21"/>
      <c r="CI387" s="21"/>
      <c r="CJ387" s="21"/>
    </row>
    <row r="388" spans="1:88" ht="40.5" customHeight="1">
      <c r="A388" s="9">
        <f t="shared" si="10"/>
        <v>386</v>
      </c>
      <c r="B388" s="9" t="str">
        <f t="shared" si="11"/>
        <v xml:space="preserve">MA
</v>
      </c>
      <c r="C388" s="9" t="s">
        <v>1068</v>
      </c>
      <c r="D388" s="9" t="s">
        <v>851</v>
      </c>
      <c r="E388" s="12">
        <v>0</v>
      </c>
      <c r="F388" s="12">
        <v>0</v>
      </c>
      <c r="G388" s="9" t="s">
        <v>89</v>
      </c>
      <c r="H388" s="12"/>
      <c r="I388" s="12">
        <f>35796019894</f>
        <v>35796019894</v>
      </c>
      <c r="J388" s="12"/>
      <c r="K388" s="12"/>
      <c r="L388" s="12"/>
      <c r="M388" s="12"/>
      <c r="N388" s="13" t="str">
        <f t="shared" si="12"/>
        <v xml:space="preserve">mounting systems ltd
</v>
      </c>
      <c r="O388" s="16" t="s">
        <v>78</v>
      </c>
      <c r="P388" s="14">
        <v>1</v>
      </c>
      <c r="Q388" s="25">
        <v>44949</v>
      </c>
      <c r="R388" s="14">
        <v>4</v>
      </c>
      <c r="S388" s="26">
        <v>9.5138888888888884E-2</v>
      </c>
      <c r="T388" s="16" t="s">
        <v>190</v>
      </c>
      <c r="U388" s="17" t="str">
        <f t="shared" si="2"/>
        <v xml:space="preserve">mounting systems ltd
</v>
      </c>
      <c r="V388" s="13"/>
      <c r="W388" s="13"/>
      <c r="X388" s="13"/>
      <c r="Y388" s="13"/>
      <c r="Z388" s="13"/>
      <c r="AA388" s="13"/>
      <c r="AB388" s="18" t="str">
        <f t="shared" si="13"/>
        <v xml:space="preserve">mounting systems ltd
</v>
      </c>
      <c r="AC388" s="18"/>
      <c r="AD388" s="18"/>
      <c r="AE388" s="18"/>
      <c r="AF388" s="18"/>
      <c r="AG388" s="18"/>
      <c r="AH388" s="13"/>
      <c r="AI388" s="18"/>
      <c r="AJ388" s="13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3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2"/>
      <c r="BK388" s="12"/>
      <c r="BL388" s="12"/>
      <c r="BM388" s="9"/>
      <c r="BN388" s="9"/>
      <c r="BO388" s="9"/>
      <c r="BP388" s="12"/>
      <c r="BQ388" s="12"/>
      <c r="BR388" s="12"/>
      <c r="BS388" s="12"/>
      <c r="BT388" s="12"/>
      <c r="BU388" s="12"/>
      <c r="BV388" s="12"/>
      <c r="BW388" s="12"/>
      <c r="BX388" s="12"/>
      <c r="BY388" s="9"/>
      <c r="BZ388" s="21"/>
      <c r="CA388" s="21"/>
      <c r="CB388" s="21"/>
      <c r="CC388" s="21"/>
      <c r="CD388" s="21"/>
      <c r="CE388" s="21"/>
      <c r="CF388" s="21"/>
      <c r="CG388" s="21"/>
      <c r="CH388" s="21"/>
      <c r="CI388" s="21"/>
      <c r="CJ388" s="21"/>
    </row>
    <row r="389" spans="1:88" ht="40.5" customHeight="1">
      <c r="A389" s="9">
        <f t="shared" si="10"/>
        <v>387</v>
      </c>
      <c r="B389" s="9" t="str">
        <f t="shared" si="11"/>
        <v xml:space="preserve">MA
</v>
      </c>
      <c r="C389" s="9" t="s">
        <v>1069</v>
      </c>
      <c r="D389" s="9" t="s">
        <v>851</v>
      </c>
      <c r="E389" s="12">
        <v>0</v>
      </c>
      <c r="F389" s="12">
        <v>0</v>
      </c>
      <c r="G389" s="9" t="s">
        <v>89</v>
      </c>
      <c r="H389" s="12"/>
      <c r="I389" s="12">
        <f>35725575936</f>
        <v>35725575936</v>
      </c>
      <c r="J389" s="12"/>
      <c r="K389" s="22" t="s">
        <v>1070</v>
      </c>
      <c r="L389" s="12"/>
      <c r="M389" s="12"/>
      <c r="N389" s="13" t="str">
        <f t="shared" si="12"/>
        <v xml:space="preserve">N.P. RAILINGS TRADING LTD
</v>
      </c>
      <c r="O389" s="16" t="s">
        <v>78</v>
      </c>
      <c r="P389" s="14">
        <v>1</v>
      </c>
      <c r="Q389" s="25">
        <v>44949</v>
      </c>
      <c r="R389" s="17"/>
      <c r="S389" s="17"/>
      <c r="T389" s="16" t="s">
        <v>126</v>
      </c>
      <c r="U389" s="17" t="str">
        <f t="shared" si="2"/>
        <v xml:space="preserve">N.P. RAILINGS TRADING LTD
</v>
      </c>
      <c r="V389" s="13"/>
      <c r="W389" s="13"/>
      <c r="X389" s="13"/>
      <c r="Y389" s="13"/>
      <c r="Z389" s="13"/>
      <c r="AA389" s="13"/>
      <c r="AB389" s="18" t="str">
        <f t="shared" si="13"/>
        <v xml:space="preserve">N.P. RAILINGS TRADING LTD
</v>
      </c>
      <c r="AC389" s="18"/>
      <c r="AD389" s="18"/>
      <c r="AE389" s="18"/>
      <c r="AF389" s="18"/>
      <c r="AG389" s="18"/>
      <c r="AH389" s="13"/>
      <c r="AI389" s="18"/>
      <c r="AJ389" s="13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3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2"/>
      <c r="BK389" s="12"/>
      <c r="BL389" s="12"/>
      <c r="BM389" s="9"/>
      <c r="BN389" s="9"/>
      <c r="BO389" s="9"/>
      <c r="BP389" s="12"/>
      <c r="BQ389" s="12"/>
      <c r="BR389" s="12"/>
      <c r="BS389" s="12"/>
      <c r="BT389" s="12"/>
      <c r="BU389" s="12"/>
      <c r="BV389" s="12"/>
      <c r="BW389" s="12"/>
      <c r="BX389" s="12"/>
      <c r="BY389" s="9"/>
      <c r="BZ389" s="21"/>
      <c r="CA389" s="21"/>
      <c r="CB389" s="21"/>
      <c r="CC389" s="21"/>
      <c r="CD389" s="21"/>
      <c r="CE389" s="21"/>
      <c r="CF389" s="21"/>
      <c r="CG389" s="21"/>
      <c r="CH389" s="21"/>
      <c r="CI389" s="21"/>
      <c r="CJ389" s="21"/>
    </row>
    <row r="390" spans="1:88" ht="40.5" customHeight="1">
      <c r="A390" s="24">
        <f t="shared" si="10"/>
        <v>388</v>
      </c>
      <c r="B390" s="24" t="str">
        <f t="shared" si="11"/>
        <v xml:space="preserve">MA
</v>
      </c>
      <c r="C390" s="24" t="s">
        <v>1071</v>
      </c>
      <c r="D390" s="24" t="s">
        <v>851</v>
      </c>
      <c r="E390" s="30">
        <v>0</v>
      </c>
      <c r="F390" s="30">
        <v>0</v>
      </c>
      <c r="G390" s="24" t="s">
        <v>89</v>
      </c>
      <c r="H390" s="30"/>
      <c r="I390" s="30">
        <f>35725711517</f>
        <v>35725711517</v>
      </c>
      <c r="J390" s="30"/>
      <c r="K390" s="32" t="s">
        <v>1072</v>
      </c>
      <c r="L390" s="30"/>
      <c r="M390" s="30"/>
      <c r="N390" s="33" t="str">
        <f t="shared" si="12"/>
        <v>P.S Aluminium</v>
      </c>
      <c r="O390" s="34" t="s">
        <v>78</v>
      </c>
      <c r="P390" s="35">
        <v>1</v>
      </c>
      <c r="Q390" s="36">
        <v>44949</v>
      </c>
      <c r="R390" s="35">
        <v>2</v>
      </c>
      <c r="S390" s="37">
        <v>7.013888888888889E-2</v>
      </c>
      <c r="T390" s="34" t="s">
        <v>4</v>
      </c>
      <c r="U390" s="38" t="str">
        <f t="shared" si="2"/>
        <v>P.S Aluminium</v>
      </c>
      <c r="V390" s="33"/>
      <c r="W390" s="33"/>
      <c r="X390" s="33"/>
      <c r="Y390" s="33"/>
      <c r="Z390" s="33"/>
      <c r="AA390" s="33"/>
      <c r="AB390" s="39" t="str">
        <f t="shared" si="13"/>
        <v>P.S Aluminium</v>
      </c>
      <c r="AC390" s="39"/>
      <c r="AD390" s="39"/>
      <c r="AE390" s="39"/>
      <c r="AF390" s="39"/>
      <c r="AG390" s="39"/>
      <c r="AH390" s="33"/>
      <c r="AI390" s="39"/>
      <c r="AJ390" s="33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3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0"/>
      <c r="BK390" s="30"/>
      <c r="BL390" s="30"/>
      <c r="BM390" s="24"/>
      <c r="BN390" s="24"/>
      <c r="BO390" s="24"/>
      <c r="BP390" s="30"/>
      <c r="BQ390" s="30"/>
      <c r="BR390" s="30"/>
      <c r="BS390" s="30"/>
      <c r="BT390" s="30"/>
      <c r="BU390" s="30"/>
      <c r="BV390" s="30"/>
      <c r="BW390" s="30"/>
      <c r="BX390" s="30"/>
      <c r="BY390" s="24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</row>
    <row r="391" spans="1:88" ht="40.5" customHeight="1">
      <c r="A391" s="9">
        <f t="shared" si="10"/>
        <v>389</v>
      </c>
      <c r="B391" s="9" t="str">
        <f t="shared" si="11"/>
        <v xml:space="preserve">MA
</v>
      </c>
      <c r="C391" s="9" t="s">
        <v>1073</v>
      </c>
      <c r="D391" s="9" t="s">
        <v>851</v>
      </c>
      <c r="E391" s="12">
        <v>0</v>
      </c>
      <c r="F391" s="12">
        <v>0</v>
      </c>
      <c r="G391" s="9" t="s">
        <v>89</v>
      </c>
      <c r="H391" s="12"/>
      <c r="I391" s="12">
        <f>35796824670</f>
        <v>35796824670</v>
      </c>
      <c r="J391" s="12"/>
      <c r="K391" s="12"/>
      <c r="L391" s="12"/>
      <c r="M391" s="12"/>
      <c r="N391" s="13" t="str">
        <f t="shared" si="12"/>
        <v xml:space="preserve">P&amp;A Master Aluminium
</v>
      </c>
      <c r="O391" s="16" t="s">
        <v>78</v>
      </c>
      <c r="P391" s="14">
        <v>1</v>
      </c>
      <c r="Q391" s="25">
        <v>44949</v>
      </c>
      <c r="R391" s="17"/>
      <c r="S391" s="17"/>
      <c r="T391" s="16" t="s">
        <v>101</v>
      </c>
      <c r="U391" s="17" t="str">
        <f t="shared" si="2"/>
        <v xml:space="preserve">P&amp;A Master Aluminium
</v>
      </c>
      <c r="V391" s="13"/>
      <c r="W391" s="13"/>
      <c r="X391" s="13"/>
      <c r="Y391" s="13"/>
      <c r="Z391" s="13"/>
      <c r="AA391" s="13"/>
      <c r="AB391" s="18" t="str">
        <f t="shared" si="13"/>
        <v xml:space="preserve">P&amp;A Master Aluminium
</v>
      </c>
      <c r="AC391" s="18"/>
      <c r="AD391" s="18"/>
      <c r="AE391" s="18"/>
      <c r="AF391" s="18"/>
      <c r="AG391" s="18"/>
      <c r="AH391" s="13"/>
      <c r="AI391" s="18"/>
      <c r="AJ391" s="13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3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2"/>
      <c r="BK391" s="12"/>
      <c r="BL391" s="12"/>
      <c r="BM391" s="9"/>
      <c r="BN391" s="9"/>
      <c r="BO391" s="9"/>
      <c r="BP391" s="12"/>
      <c r="BQ391" s="12"/>
      <c r="BR391" s="12"/>
      <c r="BS391" s="12"/>
      <c r="BT391" s="12"/>
      <c r="BU391" s="12"/>
      <c r="BV391" s="12"/>
      <c r="BW391" s="12"/>
      <c r="BX391" s="12"/>
      <c r="BY391" s="9"/>
      <c r="BZ391" s="21"/>
      <c r="CA391" s="21"/>
      <c r="CB391" s="21"/>
      <c r="CC391" s="21"/>
      <c r="CD391" s="21"/>
      <c r="CE391" s="21"/>
      <c r="CF391" s="21"/>
      <c r="CG391" s="21"/>
      <c r="CH391" s="21"/>
      <c r="CI391" s="21"/>
      <c r="CJ391" s="21"/>
    </row>
    <row r="392" spans="1:88" ht="40.5" customHeight="1">
      <c r="A392" s="9">
        <f t="shared" si="10"/>
        <v>390</v>
      </c>
      <c r="B392" s="9" t="str">
        <f t="shared" si="11"/>
        <v xml:space="preserve">MA
</v>
      </c>
      <c r="C392" s="9" t="s">
        <v>1074</v>
      </c>
      <c r="D392" s="9" t="s">
        <v>851</v>
      </c>
      <c r="E392" s="12">
        <v>0</v>
      </c>
      <c r="F392" s="12">
        <v>0</v>
      </c>
      <c r="G392" s="9" t="s">
        <v>89</v>
      </c>
      <c r="H392" s="12"/>
      <c r="I392" s="12">
        <f>35725775245</f>
        <v>35725775245</v>
      </c>
      <c r="J392" s="12"/>
      <c r="K392" s="11" t="s">
        <v>1075</v>
      </c>
      <c r="L392" s="12"/>
      <c r="M392" s="12"/>
      <c r="N392" s="13" t="str">
        <f t="shared" si="12"/>
        <v xml:space="preserve">K. Patsias Alouminia Ltd
</v>
      </c>
      <c r="O392" s="16" t="s">
        <v>78</v>
      </c>
      <c r="P392" s="14">
        <v>1</v>
      </c>
      <c r="Q392" s="25">
        <v>44949</v>
      </c>
      <c r="R392" s="17"/>
      <c r="S392" s="17"/>
      <c r="T392" s="16" t="s">
        <v>126</v>
      </c>
      <c r="U392" s="17" t="str">
        <f t="shared" si="2"/>
        <v xml:space="preserve">K. Patsias Alouminia Ltd
</v>
      </c>
      <c r="V392" s="13"/>
      <c r="W392" s="13"/>
      <c r="X392" s="13"/>
      <c r="Y392" s="13"/>
      <c r="Z392" s="13"/>
      <c r="AA392" s="13"/>
      <c r="AB392" s="18" t="str">
        <f t="shared" si="13"/>
        <v xml:space="preserve">K. Patsias Alouminia Ltd
</v>
      </c>
      <c r="AC392" s="18"/>
      <c r="AD392" s="18"/>
      <c r="AE392" s="18"/>
      <c r="AF392" s="18"/>
      <c r="AG392" s="18"/>
      <c r="AH392" s="13"/>
      <c r="AI392" s="18"/>
      <c r="AJ392" s="13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3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2"/>
      <c r="BK392" s="12"/>
      <c r="BL392" s="12"/>
      <c r="BM392" s="9"/>
      <c r="BN392" s="9"/>
      <c r="BO392" s="9"/>
      <c r="BP392" s="12"/>
      <c r="BQ392" s="12"/>
      <c r="BR392" s="12"/>
      <c r="BS392" s="12"/>
      <c r="BT392" s="12"/>
      <c r="BU392" s="12"/>
      <c r="BV392" s="12"/>
      <c r="BW392" s="12"/>
      <c r="BX392" s="12"/>
      <c r="BY392" s="9"/>
      <c r="BZ392" s="21"/>
      <c r="CA392" s="21"/>
      <c r="CB392" s="21"/>
      <c r="CC392" s="21"/>
      <c r="CD392" s="21"/>
      <c r="CE392" s="21"/>
      <c r="CF392" s="21"/>
      <c r="CG392" s="21"/>
      <c r="CH392" s="21"/>
      <c r="CI392" s="21"/>
      <c r="CJ392" s="21"/>
    </row>
    <row r="393" spans="1:88" ht="40.5" customHeight="1">
      <c r="A393" s="24">
        <f t="shared" si="10"/>
        <v>391</v>
      </c>
      <c r="B393" s="24" t="str">
        <f t="shared" si="11"/>
        <v xml:space="preserve">MA
</v>
      </c>
      <c r="C393" s="24" t="s">
        <v>1076</v>
      </c>
      <c r="D393" s="24" t="s">
        <v>851</v>
      </c>
      <c r="E393" s="30">
        <v>0</v>
      </c>
      <c r="F393" s="30">
        <v>0</v>
      </c>
      <c r="G393" s="24" t="s">
        <v>89</v>
      </c>
      <c r="H393" s="30"/>
      <c r="I393" s="30">
        <f>35799980675</f>
        <v>35799980675</v>
      </c>
      <c r="J393" s="30"/>
      <c r="K393" s="30"/>
      <c r="L393" s="30"/>
      <c r="M393" s="30"/>
      <c r="N393" s="33" t="str">
        <f t="shared" si="12"/>
        <v xml:space="preserve">Stefix UPVC Systems
</v>
      </c>
      <c r="O393" s="34" t="s">
        <v>78</v>
      </c>
      <c r="P393" s="35">
        <v>1</v>
      </c>
      <c r="Q393" s="36">
        <v>44949</v>
      </c>
      <c r="R393" s="38"/>
      <c r="S393" s="38"/>
      <c r="T393" s="34" t="s">
        <v>4</v>
      </c>
      <c r="U393" s="38" t="str">
        <f t="shared" si="2"/>
        <v xml:space="preserve">Stefix UPVC Systems
</v>
      </c>
      <c r="V393" s="33"/>
      <c r="W393" s="33"/>
      <c r="X393" s="33"/>
      <c r="Y393" s="33"/>
      <c r="Z393" s="33"/>
      <c r="AA393" s="33"/>
      <c r="AB393" s="39" t="str">
        <f t="shared" si="13"/>
        <v xml:space="preserve">Stefix UPVC Systems
</v>
      </c>
      <c r="AC393" s="39"/>
      <c r="AD393" s="39"/>
      <c r="AE393" s="39"/>
      <c r="AF393" s="39"/>
      <c r="AG393" s="39"/>
      <c r="AH393" s="33"/>
      <c r="AI393" s="39"/>
      <c r="AJ393" s="33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3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0"/>
      <c r="BK393" s="30"/>
      <c r="BL393" s="30"/>
      <c r="BM393" s="24"/>
      <c r="BN393" s="24"/>
      <c r="BO393" s="24"/>
      <c r="BP393" s="30"/>
      <c r="BQ393" s="30"/>
      <c r="BR393" s="30"/>
      <c r="BS393" s="30"/>
      <c r="BT393" s="30"/>
      <c r="BU393" s="30"/>
      <c r="BV393" s="30"/>
      <c r="BW393" s="30"/>
      <c r="BX393" s="30"/>
      <c r="BY393" s="24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</row>
    <row r="394" spans="1:88" ht="40.5" customHeight="1">
      <c r="A394" s="9">
        <f t="shared" si="10"/>
        <v>392</v>
      </c>
      <c r="B394" s="9" t="str">
        <f t="shared" si="11"/>
        <v xml:space="preserve">MA
</v>
      </c>
      <c r="C394" s="9" t="s">
        <v>1051</v>
      </c>
      <c r="D394" s="9" t="s">
        <v>851</v>
      </c>
      <c r="E394" s="12">
        <v>0</v>
      </c>
      <c r="F394" s="12">
        <v>0</v>
      </c>
      <c r="G394" s="9" t="s">
        <v>89</v>
      </c>
      <c r="H394" s="9" t="s">
        <v>1077</v>
      </c>
      <c r="I394" s="12">
        <f>35722442535</f>
        <v>35722442535</v>
      </c>
      <c r="J394" s="12"/>
      <c r="K394" s="11" t="s">
        <v>1052</v>
      </c>
      <c r="L394" s="12"/>
      <c r="M394" s="12"/>
      <c r="N394" s="13" t="str">
        <f t="shared" si="12"/>
        <v xml:space="preserve">Rabel Systems
</v>
      </c>
      <c r="O394" s="16" t="s">
        <v>78</v>
      </c>
      <c r="P394" s="14">
        <v>1</v>
      </c>
      <c r="Q394" s="25">
        <v>44949</v>
      </c>
      <c r="R394" s="14">
        <v>5</v>
      </c>
      <c r="S394" s="26">
        <v>0.18541666666666667</v>
      </c>
      <c r="T394" s="16" t="s">
        <v>81</v>
      </c>
      <c r="U394" s="17" t="str">
        <f t="shared" si="2"/>
        <v xml:space="preserve">Rabel Systems
</v>
      </c>
      <c r="V394" s="13"/>
      <c r="W394" s="13"/>
      <c r="X394" s="13"/>
      <c r="Y394" s="13"/>
      <c r="Z394" s="13"/>
      <c r="AA394" s="13"/>
      <c r="AB394" s="18" t="str">
        <f t="shared" si="13"/>
        <v xml:space="preserve">Rabel Systems
</v>
      </c>
      <c r="AC394" s="18"/>
      <c r="AD394" s="18"/>
      <c r="AE394" s="18"/>
      <c r="AF394" s="18"/>
      <c r="AG394" s="18"/>
      <c r="AH394" s="13"/>
      <c r="AI394" s="18"/>
      <c r="AJ394" s="13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3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2"/>
      <c r="BK394" s="12"/>
      <c r="BL394" s="12"/>
      <c r="BM394" s="9"/>
      <c r="BN394" s="9"/>
      <c r="BO394" s="9"/>
      <c r="BP394" s="12"/>
      <c r="BQ394" s="12"/>
      <c r="BR394" s="12"/>
      <c r="BS394" s="12"/>
      <c r="BT394" s="12"/>
      <c r="BU394" s="12"/>
      <c r="BV394" s="12"/>
      <c r="BW394" s="12"/>
      <c r="BX394" s="12"/>
      <c r="BY394" s="9"/>
      <c r="BZ394" s="21"/>
      <c r="CA394" s="21"/>
      <c r="CB394" s="21"/>
      <c r="CC394" s="21"/>
      <c r="CD394" s="21"/>
      <c r="CE394" s="21"/>
      <c r="CF394" s="21"/>
      <c r="CG394" s="21"/>
      <c r="CH394" s="21"/>
      <c r="CI394" s="21"/>
      <c r="CJ394" s="21"/>
    </row>
    <row r="395" spans="1:88" ht="40.5" customHeight="1">
      <c r="A395" s="9">
        <f t="shared" si="10"/>
        <v>393</v>
      </c>
      <c r="B395" s="9" t="str">
        <f t="shared" si="11"/>
        <v xml:space="preserve">MA
</v>
      </c>
      <c r="C395" s="9" t="s">
        <v>1078</v>
      </c>
      <c r="D395" s="9" t="s">
        <v>851</v>
      </c>
      <c r="E395" s="12">
        <v>0</v>
      </c>
      <c r="F395" s="12">
        <v>0</v>
      </c>
      <c r="G395" s="9" t="s">
        <v>89</v>
      </c>
      <c r="H395" s="12"/>
      <c r="I395" s="12">
        <f>35799681323</f>
        <v>35799681323</v>
      </c>
      <c r="J395" s="12"/>
      <c r="K395" s="12"/>
      <c r="L395" s="12"/>
      <c r="M395" s="12"/>
      <c r="N395" s="13" t="str">
        <f t="shared" si="12"/>
        <v xml:space="preserve">P.Z. Agiatriaditis Ltd
</v>
      </c>
      <c r="O395" s="16" t="s">
        <v>78</v>
      </c>
      <c r="P395" s="14">
        <v>1</v>
      </c>
      <c r="Q395" s="25">
        <v>44949</v>
      </c>
      <c r="R395" s="17"/>
      <c r="S395" s="17"/>
      <c r="T395" s="16" t="s">
        <v>101</v>
      </c>
      <c r="U395" s="17" t="str">
        <f t="shared" si="2"/>
        <v xml:space="preserve">P.Z. Agiatriaditis Ltd
</v>
      </c>
      <c r="V395" s="13"/>
      <c r="W395" s="13"/>
      <c r="X395" s="13"/>
      <c r="Y395" s="13"/>
      <c r="Z395" s="13"/>
      <c r="AA395" s="13"/>
      <c r="AB395" s="18" t="str">
        <f t="shared" si="13"/>
        <v xml:space="preserve">P.Z. Agiatriaditis Ltd
</v>
      </c>
      <c r="AC395" s="18"/>
      <c r="AD395" s="18"/>
      <c r="AE395" s="18"/>
      <c r="AF395" s="18"/>
      <c r="AG395" s="18"/>
      <c r="AH395" s="13"/>
      <c r="AI395" s="18"/>
      <c r="AJ395" s="13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3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2"/>
      <c r="BK395" s="12"/>
      <c r="BL395" s="12"/>
      <c r="BM395" s="9"/>
      <c r="BN395" s="9"/>
      <c r="BO395" s="9"/>
      <c r="BP395" s="12"/>
      <c r="BQ395" s="12"/>
      <c r="BR395" s="12"/>
      <c r="BS395" s="12"/>
      <c r="BT395" s="12"/>
      <c r="BU395" s="12"/>
      <c r="BV395" s="12"/>
      <c r="BW395" s="12"/>
      <c r="BX395" s="12"/>
      <c r="BY395" s="9"/>
      <c r="BZ395" s="21"/>
      <c r="CA395" s="21"/>
      <c r="CB395" s="21"/>
      <c r="CC395" s="21"/>
      <c r="CD395" s="21"/>
      <c r="CE395" s="21"/>
      <c r="CF395" s="21"/>
      <c r="CG395" s="21"/>
      <c r="CH395" s="21"/>
      <c r="CI395" s="21"/>
      <c r="CJ395" s="21"/>
    </row>
    <row r="396" spans="1:88" ht="40.5" customHeight="1">
      <c r="A396" s="9">
        <f t="shared" si="10"/>
        <v>394</v>
      </c>
      <c r="B396" s="9" t="str">
        <f t="shared" si="11"/>
        <v xml:space="preserve">MA
</v>
      </c>
      <c r="C396" s="9" t="s">
        <v>1032</v>
      </c>
      <c r="D396" s="9" t="s">
        <v>851</v>
      </c>
      <c r="E396" s="12">
        <v>0</v>
      </c>
      <c r="F396" s="12">
        <v>0</v>
      </c>
      <c r="G396" s="9" t="s">
        <v>89</v>
      </c>
      <c r="H396" s="12"/>
      <c r="I396" s="12">
        <f>35770073333</f>
        <v>35770073333</v>
      </c>
      <c r="J396" s="12"/>
      <c r="K396" s="22" t="s">
        <v>1033</v>
      </c>
      <c r="L396" s="12"/>
      <c r="M396" s="12"/>
      <c r="N396" s="13" t="str">
        <f t="shared" si="12"/>
        <v>ΑΛΟΥΜΙΝΟΡΑΜΑ / ALOUMINORAMA LTD</v>
      </c>
      <c r="O396" s="16" t="s">
        <v>78</v>
      </c>
      <c r="P396" s="14">
        <v>1</v>
      </c>
      <c r="Q396" s="25">
        <v>44949</v>
      </c>
      <c r="R396" s="14">
        <v>2</v>
      </c>
      <c r="S396" s="26">
        <v>0.17083333333333334</v>
      </c>
      <c r="T396" s="16" t="s">
        <v>81</v>
      </c>
      <c r="U396" s="17" t="str">
        <f t="shared" si="2"/>
        <v>ΑΛΟΥΜΙΝΟΡΑΜΑ / ALOUMINORAMA LTD</v>
      </c>
      <c r="V396" s="16" t="s">
        <v>78</v>
      </c>
      <c r="W396" s="16">
        <v>2</v>
      </c>
      <c r="X396" s="25">
        <v>44952</v>
      </c>
      <c r="Y396" s="16">
        <v>5</v>
      </c>
      <c r="Z396" s="29">
        <v>9.7916666666666666E-2</v>
      </c>
      <c r="AA396" s="16" t="s">
        <v>81</v>
      </c>
      <c r="AB396" s="18" t="str">
        <f t="shared" si="13"/>
        <v>ΑΛΟΥΜΙΝΟΡΑΜΑ / ALOUMINORAMA LTD</v>
      </c>
      <c r="AC396" s="18"/>
      <c r="AD396" s="18"/>
      <c r="AE396" s="18"/>
      <c r="AF396" s="18"/>
      <c r="AG396" s="18"/>
      <c r="AH396" s="13"/>
      <c r="AI396" s="18"/>
      <c r="AJ396" s="13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3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2"/>
      <c r="BK396" s="12"/>
      <c r="BL396" s="12"/>
      <c r="BM396" s="9"/>
      <c r="BN396" s="9"/>
      <c r="BO396" s="9"/>
      <c r="BP396" s="12"/>
      <c r="BQ396" s="12"/>
      <c r="BR396" s="12"/>
      <c r="BS396" s="12"/>
      <c r="BT396" s="12"/>
      <c r="BU396" s="12"/>
      <c r="BV396" s="12"/>
      <c r="BW396" s="12"/>
      <c r="BX396" s="12"/>
      <c r="BY396" s="9"/>
      <c r="BZ396" s="21"/>
      <c r="CA396" s="21"/>
      <c r="CB396" s="21"/>
      <c r="CC396" s="21"/>
      <c r="CD396" s="21"/>
      <c r="CE396" s="21"/>
      <c r="CF396" s="21"/>
      <c r="CG396" s="21"/>
      <c r="CH396" s="21"/>
      <c r="CI396" s="21"/>
      <c r="CJ396" s="21"/>
    </row>
    <row r="397" spans="1:88" ht="40.5" customHeight="1">
      <c r="A397" s="24">
        <f t="shared" si="10"/>
        <v>395</v>
      </c>
      <c r="B397" s="24" t="str">
        <f t="shared" si="11"/>
        <v xml:space="preserve">MA
</v>
      </c>
      <c r="C397" s="24" t="s">
        <v>1079</v>
      </c>
      <c r="D397" s="24" t="s">
        <v>851</v>
      </c>
      <c r="E397" s="30">
        <v>0</v>
      </c>
      <c r="F397" s="30">
        <v>0</v>
      </c>
      <c r="G397" s="24" t="s">
        <v>89</v>
      </c>
      <c r="H397" s="30"/>
      <c r="I397" s="30">
        <f>35799427481</f>
        <v>35799427481</v>
      </c>
      <c r="J397" s="30"/>
      <c r="K397" s="32" t="s">
        <v>1080</v>
      </c>
      <c r="L397" s="30"/>
      <c r="M397" s="30"/>
      <c r="N397" s="33" t="str">
        <f t="shared" si="12"/>
        <v xml:space="preserve">Cyprus Joy Building &amp; Landscaping.
</v>
      </c>
      <c r="O397" s="34" t="s">
        <v>78</v>
      </c>
      <c r="P397" s="35">
        <v>1</v>
      </c>
      <c r="Q397" s="36">
        <v>44949</v>
      </c>
      <c r="R397" s="35">
        <v>1</v>
      </c>
      <c r="S397" s="37">
        <v>0.12986111111111112</v>
      </c>
      <c r="T397" s="34" t="s">
        <v>4</v>
      </c>
      <c r="U397" s="38" t="str">
        <f t="shared" si="2"/>
        <v xml:space="preserve">Cyprus Joy Building &amp; Landscaping.
</v>
      </c>
      <c r="V397" s="33"/>
      <c r="W397" s="33"/>
      <c r="X397" s="33"/>
      <c r="Y397" s="33"/>
      <c r="Z397" s="33"/>
      <c r="AA397" s="33"/>
      <c r="AB397" s="39" t="str">
        <f t="shared" si="13"/>
        <v xml:space="preserve">Cyprus Joy Building &amp; Landscaping.
</v>
      </c>
      <c r="AC397" s="39"/>
      <c r="AD397" s="39"/>
      <c r="AE397" s="39"/>
      <c r="AF397" s="39"/>
      <c r="AG397" s="39"/>
      <c r="AH397" s="33"/>
      <c r="AI397" s="39"/>
      <c r="AJ397" s="33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3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0"/>
      <c r="BK397" s="30"/>
      <c r="BL397" s="30"/>
      <c r="BM397" s="24"/>
      <c r="BN397" s="24"/>
      <c r="BO397" s="24"/>
      <c r="BP397" s="30"/>
      <c r="BQ397" s="30"/>
      <c r="BR397" s="30"/>
      <c r="BS397" s="30"/>
      <c r="BT397" s="30"/>
      <c r="BU397" s="30"/>
      <c r="BV397" s="30"/>
      <c r="BW397" s="30"/>
      <c r="BX397" s="30"/>
      <c r="BY397" s="24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</row>
    <row r="398" spans="1:88" ht="40.5" customHeight="1">
      <c r="A398" s="24">
        <f t="shared" si="10"/>
        <v>396</v>
      </c>
      <c r="B398" s="24" t="str">
        <f t="shared" si="11"/>
        <v xml:space="preserve">MA
</v>
      </c>
      <c r="C398" s="24" t="s">
        <v>1081</v>
      </c>
      <c r="D398" s="24" t="s">
        <v>851</v>
      </c>
      <c r="E398" s="30">
        <v>0</v>
      </c>
      <c r="F398" s="30">
        <v>0</v>
      </c>
      <c r="G398" s="24" t="s">
        <v>89</v>
      </c>
      <c r="H398" s="30"/>
      <c r="I398" s="30">
        <f>35725870960</f>
        <v>35725870960</v>
      </c>
      <c r="J398" s="30"/>
      <c r="K398" s="70" t="s">
        <v>1082</v>
      </c>
      <c r="L398" s="30"/>
      <c r="M398" s="30"/>
      <c r="N398" s="33" t="str">
        <f t="shared" si="12"/>
        <v xml:space="preserve">Voudaskas Irinarhos Ltd
</v>
      </c>
      <c r="O398" s="34" t="s">
        <v>78</v>
      </c>
      <c r="P398" s="35">
        <v>1</v>
      </c>
      <c r="Q398" s="36">
        <v>44952</v>
      </c>
      <c r="R398" s="35">
        <v>1</v>
      </c>
      <c r="S398" s="37">
        <v>2.2222222222222223E-2</v>
      </c>
      <c r="T398" s="34" t="s">
        <v>4</v>
      </c>
      <c r="U398" s="38" t="str">
        <f t="shared" si="2"/>
        <v xml:space="preserve">Voudaskas Irinarhos Ltd
</v>
      </c>
      <c r="V398" s="33"/>
      <c r="W398" s="33"/>
      <c r="X398" s="33"/>
      <c r="Y398" s="33"/>
      <c r="Z398" s="33"/>
      <c r="AA398" s="33"/>
      <c r="AB398" s="39" t="str">
        <f t="shared" si="13"/>
        <v xml:space="preserve">Voudaskas Irinarhos Ltd
</v>
      </c>
      <c r="AC398" s="39"/>
      <c r="AD398" s="39"/>
      <c r="AE398" s="39"/>
      <c r="AF398" s="39"/>
      <c r="AG398" s="39"/>
      <c r="AH398" s="33"/>
      <c r="AI398" s="39"/>
      <c r="AJ398" s="33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3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0"/>
      <c r="BK398" s="30"/>
      <c r="BL398" s="30"/>
      <c r="BM398" s="24"/>
      <c r="BN398" s="24"/>
      <c r="BO398" s="24"/>
      <c r="BP398" s="30"/>
      <c r="BQ398" s="30"/>
      <c r="BR398" s="30"/>
      <c r="BS398" s="30"/>
      <c r="BT398" s="30"/>
      <c r="BU398" s="30"/>
      <c r="BV398" s="30"/>
      <c r="BW398" s="30"/>
      <c r="BX398" s="30"/>
      <c r="BY398" s="24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</row>
    <row r="399" spans="1:88" ht="40.5" customHeight="1">
      <c r="A399" s="9">
        <f t="shared" si="10"/>
        <v>397</v>
      </c>
      <c r="B399" s="9" t="str">
        <f t="shared" si="11"/>
        <v xml:space="preserve">MA
</v>
      </c>
      <c r="C399" s="9" t="s">
        <v>1083</v>
      </c>
      <c r="D399" s="9" t="s">
        <v>851</v>
      </c>
      <c r="E399" s="12">
        <v>0</v>
      </c>
      <c r="F399" s="12">
        <v>0</v>
      </c>
      <c r="G399" s="9" t="s">
        <v>89</v>
      </c>
      <c r="H399" s="12"/>
      <c r="I399" s="12">
        <f>35726910625</f>
        <v>35726910625</v>
      </c>
      <c r="J399" s="12"/>
      <c r="K399" s="11" t="s">
        <v>1084</v>
      </c>
      <c r="L399" s="12"/>
      <c r="M399" s="12"/>
      <c r="N399" s="13" t="str">
        <f t="shared" si="12"/>
        <v>Shadeports Plus Ltd</v>
      </c>
      <c r="O399" s="16" t="s">
        <v>78</v>
      </c>
      <c r="P399" s="14">
        <v>1</v>
      </c>
      <c r="Q399" s="25">
        <v>44952</v>
      </c>
      <c r="R399" s="14">
        <v>4</v>
      </c>
      <c r="S399" s="26">
        <v>8.611111111111111E-2</v>
      </c>
      <c r="T399" s="16" t="s">
        <v>81</v>
      </c>
      <c r="U399" s="17" t="str">
        <f t="shared" si="2"/>
        <v>Shadeports Plus Ltd</v>
      </c>
      <c r="V399" s="13"/>
      <c r="W399" s="13"/>
      <c r="X399" s="13"/>
      <c r="Y399" s="13"/>
      <c r="Z399" s="13"/>
      <c r="AA399" s="13"/>
      <c r="AB399" s="18" t="str">
        <f t="shared" si="13"/>
        <v>Shadeports Plus Ltd</v>
      </c>
      <c r="AC399" s="18"/>
      <c r="AD399" s="18"/>
      <c r="AE399" s="18"/>
      <c r="AF399" s="18"/>
      <c r="AG399" s="18"/>
      <c r="AH399" s="13"/>
      <c r="AI399" s="18"/>
      <c r="AJ399" s="13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3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2"/>
      <c r="BK399" s="12"/>
      <c r="BL399" s="12"/>
      <c r="BM399" s="9"/>
      <c r="BN399" s="9"/>
      <c r="BO399" s="9"/>
      <c r="BP399" s="12"/>
      <c r="BQ399" s="12"/>
      <c r="BR399" s="12"/>
      <c r="BS399" s="12"/>
      <c r="BT399" s="12"/>
      <c r="BU399" s="12"/>
      <c r="BV399" s="12"/>
      <c r="BW399" s="12"/>
      <c r="BX399" s="12"/>
      <c r="BY399" s="9"/>
      <c r="BZ399" s="21"/>
      <c r="CA399" s="21"/>
      <c r="CB399" s="21"/>
      <c r="CC399" s="21"/>
      <c r="CD399" s="21"/>
      <c r="CE399" s="21"/>
      <c r="CF399" s="21"/>
      <c r="CG399" s="21"/>
      <c r="CH399" s="21"/>
      <c r="CI399" s="21"/>
      <c r="CJ399" s="21"/>
    </row>
    <row r="400" spans="1:88" ht="40.5" customHeight="1">
      <c r="A400" s="9">
        <f t="shared" si="10"/>
        <v>398</v>
      </c>
      <c r="B400" s="9" t="str">
        <f t="shared" si="11"/>
        <v xml:space="preserve">MA
</v>
      </c>
      <c r="C400" s="9" t="s">
        <v>1085</v>
      </c>
      <c r="D400" s="9" t="s">
        <v>851</v>
      </c>
      <c r="E400" s="12">
        <v>0</v>
      </c>
      <c r="F400" s="12">
        <v>0</v>
      </c>
      <c r="G400" s="9" t="s">
        <v>89</v>
      </c>
      <c r="H400" s="12"/>
      <c r="I400" s="9">
        <v>3922335389</v>
      </c>
      <c r="J400" s="12"/>
      <c r="K400" s="11" t="s">
        <v>1086</v>
      </c>
      <c r="L400" s="12"/>
      <c r="M400" s="12"/>
      <c r="N400" s="13" t="str">
        <f t="shared" si="12"/>
        <v xml:space="preserve">Darem Trading Ltd.
</v>
      </c>
      <c r="O400" s="16" t="s">
        <v>78</v>
      </c>
      <c r="P400" s="14">
        <v>1</v>
      </c>
      <c r="Q400" s="25">
        <v>44952</v>
      </c>
      <c r="R400" s="14">
        <v>3</v>
      </c>
      <c r="S400" s="26">
        <v>0.11944444444444445</v>
      </c>
      <c r="T400" s="16" t="s">
        <v>81</v>
      </c>
      <c r="U400" s="17" t="str">
        <f t="shared" si="2"/>
        <v xml:space="preserve">Darem Trading Ltd.
</v>
      </c>
      <c r="V400" s="13"/>
      <c r="W400" s="13"/>
      <c r="X400" s="13"/>
      <c r="Y400" s="13"/>
      <c r="Z400" s="13"/>
      <c r="AA400" s="13"/>
      <c r="AB400" s="18" t="str">
        <f t="shared" si="13"/>
        <v xml:space="preserve">Darem Trading Ltd.
</v>
      </c>
      <c r="AC400" s="18"/>
      <c r="AD400" s="18"/>
      <c r="AE400" s="18"/>
      <c r="AF400" s="18"/>
      <c r="AG400" s="18"/>
      <c r="AH400" s="13"/>
      <c r="AI400" s="18"/>
      <c r="AJ400" s="13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3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2"/>
      <c r="BK400" s="12"/>
      <c r="BL400" s="12"/>
      <c r="BM400" s="9"/>
      <c r="BN400" s="9"/>
      <c r="BO400" s="9"/>
      <c r="BP400" s="12"/>
      <c r="BQ400" s="12"/>
      <c r="BR400" s="12"/>
      <c r="BS400" s="12"/>
      <c r="BT400" s="12"/>
      <c r="BU400" s="12"/>
      <c r="BV400" s="12"/>
      <c r="BW400" s="12"/>
      <c r="BX400" s="12"/>
      <c r="BY400" s="9"/>
      <c r="BZ400" s="21"/>
      <c r="CA400" s="21"/>
      <c r="CB400" s="21"/>
      <c r="CC400" s="21"/>
      <c r="CD400" s="21"/>
      <c r="CE400" s="21"/>
      <c r="CF400" s="21"/>
      <c r="CG400" s="21"/>
      <c r="CH400" s="21"/>
      <c r="CI400" s="21"/>
      <c r="CJ400" s="21"/>
    </row>
    <row r="401" spans="1:88" ht="40.5" customHeight="1">
      <c r="A401" s="9">
        <f t="shared" si="10"/>
        <v>399</v>
      </c>
      <c r="B401" s="9" t="str">
        <f t="shared" si="11"/>
        <v xml:space="preserve">MA
</v>
      </c>
      <c r="C401" s="9" t="s">
        <v>1087</v>
      </c>
      <c r="D401" s="9" t="s">
        <v>851</v>
      </c>
      <c r="E401" s="12">
        <v>0</v>
      </c>
      <c r="F401" s="12">
        <v>0</v>
      </c>
      <c r="G401" s="9" t="s">
        <v>89</v>
      </c>
      <c r="H401" s="12"/>
      <c r="I401" s="12">
        <f>35722018340</f>
        <v>35722018340</v>
      </c>
      <c r="J401" s="12"/>
      <c r="K401" s="12"/>
      <c r="L401" s="12"/>
      <c r="M401" s="12"/>
      <c r="N401" s="13" t="str">
        <f t="shared" si="12"/>
        <v xml:space="preserve">Alumil aluminium systems
</v>
      </c>
      <c r="O401" s="16" t="s">
        <v>78</v>
      </c>
      <c r="P401" s="14">
        <v>1</v>
      </c>
      <c r="Q401" s="25">
        <v>44952</v>
      </c>
      <c r="R401" s="17"/>
      <c r="S401" s="17"/>
      <c r="T401" s="16" t="s">
        <v>126</v>
      </c>
      <c r="U401" s="17" t="str">
        <f t="shared" si="2"/>
        <v xml:space="preserve">Alumil aluminium systems
</v>
      </c>
      <c r="V401" s="13"/>
      <c r="W401" s="13"/>
      <c r="X401" s="13"/>
      <c r="Y401" s="13"/>
      <c r="Z401" s="13"/>
      <c r="AA401" s="13"/>
      <c r="AB401" s="18" t="str">
        <f t="shared" si="13"/>
        <v xml:space="preserve">Alumil aluminium systems
</v>
      </c>
      <c r="AC401" s="18"/>
      <c r="AD401" s="18"/>
      <c r="AE401" s="18"/>
      <c r="AF401" s="18"/>
      <c r="AG401" s="18"/>
      <c r="AH401" s="13"/>
      <c r="AI401" s="18"/>
      <c r="AJ401" s="13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3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2"/>
      <c r="BK401" s="12"/>
      <c r="BL401" s="12"/>
      <c r="BM401" s="9"/>
      <c r="BN401" s="9"/>
      <c r="BO401" s="9"/>
      <c r="BP401" s="12"/>
      <c r="BQ401" s="12"/>
      <c r="BR401" s="12"/>
      <c r="BS401" s="12"/>
      <c r="BT401" s="12"/>
      <c r="BU401" s="12"/>
      <c r="BV401" s="12"/>
      <c r="BW401" s="12"/>
      <c r="BX401" s="12"/>
      <c r="BY401" s="9"/>
      <c r="BZ401" s="21"/>
      <c r="CA401" s="21"/>
      <c r="CB401" s="21"/>
      <c r="CC401" s="21"/>
      <c r="CD401" s="21"/>
      <c r="CE401" s="21"/>
      <c r="CF401" s="21"/>
      <c r="CG401" s="21"/>
      <c r="CH401" s="21"/>
      <c r="CI401" s="21"/>
      <c r="CJ401" s="21"/>
    </row>
    <row r="402" spans="1:88" ht="40.5" customHeight="1">
      <c r="A402" s="9">
        <f t="shared" si="10"/>
        <v>400</v>
      </c>
      <c r="B402" s="9" t="str">
        <f t="shared" si="11"/>
        <v xml:space="preserve">MA
</v>
      </c>
      <c r="C402" s="9" t="s">
        <v>1088</v>
      </c>
      <c r="D402" s="9" t="s">
        <v>851</v>
      </c>
      <c r="E402" s="12">
        <v>0</v>
      </c>
      <c r="F402" s="12">
        <v>0</v>
      </c>
      <c r="G402" s="9" t="s">
        <v>89</v>
      </c>
      <c r="H402" s="12"/>
      <c r="I402" s="12">
        <f>35799671106</f>
        <v>35799671106</v>
      </c>
      <c r="J402" s="12"/>
      <c r="K402" s="11" t="s">
        <v>1035</v>
      </c>
      <c r="L402" s="12"/>
      <c r="M402" s="12"/>
      <c r="N402" s="13" t="str">
        <f t="shared" si="12"/>
        <v xml:space="preserve">Aluminium Tsiakkas
</v>
      </c>
      <c r="O402" s="16" t="s">
        <v>78</v>
      </c>
      <c r="P402" s="14">
        <v>1</v>
      </c>
      <c r="Q402" s="25">
        <v>44952</v>
      </c>
      <c r="R402" s="17"/>
      <c r="S402" s="17"/>
      <c r="T402" s="16" t="s">
        <v>126</v>
      </c>
      <c r="U402" s="17" t="str">
        <f t="shared" si="2"/>
        <v xml:space="preserve">Aluminium Tsiakkas
</v>
      </c>
      <c r="V402" s="13"/>
      <c r="W402" s="13"/>
      <c r="X402" s="13"/>
      <c r="Y402" s="13"/>
      <c r="Z402" s="13"/>
      <c r="AA402" s="13"/>
      <c r="AB402" s="18" t="str">
        <f t="shared" si="13"/>
        <v xml:space="preserve">Aluminium Tsiakkas
</v>
      </c>
      <c r="AC402" s="18"/>
      <c r="AD402" s="18"/>
      <c r="AE402" s="18"/>
      <c r="AF402" s="18"/>
      <c r="AG402" s="18"/>
      <c r="AH402" s="13"/>
      <c r="AI402" s="18"/>
      <c r="AJ402" s="13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3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2"/>
      <c r="BK402" s="12"/>
      <c r="BL402" s="12"/>
      <c r="BM402" s="9"/>
      <c r="BN402" s="9"/>
      <c r="BO402" s="9"/>
      <c r="BP402" s="12"/>
      <c r="BQ402" s="12"/>
      <c r="BR402" s="12"/>
      <c r="BS402" s="12"/>
      <c r="BT402" s="12"/>
      <c r="BU402" s="12"/>
      <c r="BV402" s="12"/>
      <c r="BW402" s="12"/>
      <c r="BX402" s="12"/>
      <c r="BY402" s="9"/>
      <c r="BZ402" s="21"/>
      <c r="CA402" s="21"/>
      <c r="CB402" s="21"/>
      <c r="CC402" s="21"/>
      <c r="CD402" s="21"/>
      <c r="CE402" s="21"/>
      <c r="CF402" s="21"/>
      <c r="CG402" s="21"/>
      <c r="CH402" s="21"/>
      <c r="CI402" s="21"/>
      <c r="CJ402" s="21"/>
    </row>
    <row r="403" spans="1:88" ht="40.5" customHeight="1">
      <c r="A403" s="9">
        <f t="shared" si="10"/>
        <v>401</v>
      </c>
      <c r="B403" s="9" t="str">
        <f t="shared" si="11"/>
        <v xml:space="preserve">MA
</v>
      </c>
      <c r="C403" s="9" t="s">
        <v>1089</v>
      </c>
      <c r="D403" s="9" t="s">
        <v>851</v>
      </c>
      <c r="E403" s="12">
        <v>0</v>
      </c>
      <c r="F403" s="12">
        <v>0</v>
      </c>
      <c r="G403" s="9" t="s">
        <v>89</v>
      </c>
      <c r="H403" s="12"/>
      <c r="I403" s="9" t="s">
        <v>1090</v>
      </c>
      <c r="J403" s="12"/>
      <c r="K403" s="11" t="s">
        <v>1091</v>
      </c>
      <c r="L403" s="12"/>
      <c r="M403" s="12"/>
      <c r="N403" s="13" t="str">
        <f t="shared" si="12"/>
        <v>Pochanis &amp; Charalambous Aluminium Co LTD</v>
      </c>
      <c r="O403" s="16" t="s">
        <v>78</v>
      </c>
      <c r="P403" s="14">
        <v>1</v>
      </c>
      <c r="Q403" s="25">
        <v>44952</v>
      </c>
      <c r="R403" s="17"/>
      <c r="S403" s="17"/>
      <c r="T403" s="16" t="s">
        <v>126</v>
      </c>
      <c r="U403" s="17" t="str">
        <f t="shared" si="2"/>
        <v>Pochanis &amp; Charalambous Aluminium Co LTD</v>
      </c>
      <c r="V403" s="13"/>
      <c r="W403" s="13"/>
      <c r="X403" s="13"/>
      <c r="Y403" s="13"/>
      <c r="Z403" s="13"/>
      <c r="AA403" s="13"/>
      <c r="AB403" s="18" t="str">
        <f t="shared" si="13"/>
        <v>Pochanis &amp; Charalambous Aluminium Co LTD</v>
      </c>
      <c r="AC403" s="18"/>
      <c r="AD403" s="18"/>
      <c r="AE403" s="18"/>
      <c r="AF403" s="18"/>
      <c r="AG403" s="18"/>
      <c r="AH403" s="13"/>
      <c r="AI403" s="18"/>
      <c r="AJ403" s="13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3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2"/>
      <c r="BK403" s="12"/>
      <c r="BL403" s="12"/>
      <c r="BM403" s="9"/>
      <c r="BN403" s="9"/>
      <c r="BO403" s="9"/>
      <c r="BP403" s="12"/>
      <c r="BQ403" s="12"/>
      <c r="BR403" s="12"/>
      <c r="BS403" s="12"/>
      <c r="BT403" s="12"/>
      <c r="BU403" s="12"/>
      <c r="BV403" s="12"/>
      <c r="BW403" s="12"/>
      <c r="BX403" s="12"/>
      <c r="BY403" s="9"/>
      <c r="BZ403" s="21"/>
      <c r="CA403" s="21"/>
      <c r="CB403" s="21"/>
      <c r="CC403" s="21"/>
      <c r="CD403" s="21"/>
      <c r="CE403" s="21"/>
      <c r="CF403" s="21"/>
      <c r="CG403" s="21"/>
      <c r="CH403" s="21"/>
      <c r="CI403" s="21"/>
      <c r="CJ403" s="21"/>
    </row>
    <row r="404" spans="1:88" ht="40.5" customHeight="1">
      <c r="A404" s="9">
        <f t="shared" si="10"/>
        <v>402</v>
      </c>
      <c r="B404" s="9" t="str">
        <f t="shared" si="11"/>
        <v xml:space="preserve">MA
</v>
      </c>
      <c r="C404" s="9" t="s">
        <v>1092</v>
      </c>
      <c r="D404" s="9" t="s">
        <v>851</v>
      </c>
      <c r="E404" s="12">
        <v>0</v>
      </c>
      <c r="F404" s="12">
        <v>0</v>
      </c>
      <c r="G404" s="9" t="s">
        <v>89</v>
      </c>
      <c r="H404" s="12"/>
      <c r="I404" s="12">
        <f>35725933654</f>
        <v>35725933654</v>
      </c>
      <c r="J404" s="12"/>
      <c r="K404" s="12"/>
      <c r="L404" s="12"/>
      <c r="M404" s="12"/>
      <c r="N404" s="13" t="str">
        <f t="shared" si="12"/>
        <v xml:space="preserve">K Papasavva
</v>
      </c>
      <c r="O404" s="16" t="s">
        <v>78</v>
      </c>
      <c r="P404" s="14">
        <v>1</v>
      </c>
      <c r="Q404" s="25">
        <v>44952</v>
      </c>
      <c r="R404" s="17"/>
      <c r="S404" s="17"/>
      <c r="T404" s="16" t="s">
        <v>126</v>
      </c>
      <c r="U404" s="17" t="str">
        <f t="shared" si="2"/>
        <v xml:space="preserve">K Papasavva
</v>
      </c>
      <c r="V404" s="13"/>
      <c r="W404" s="13"/>
      <c r="X404" s="13"/>
      <c r="Y404" s="13"/>
      <c r="Z404" s="13"/>
      <c r="AA404" s="13"/>
      <c r="AB404" s="18" t="str">
        <f t="shared" si="13"/>
        <v xml:space="preserve">K Papasavva
</v>
      </c>
      <c r="AC404" s="18"/>
      <c r="AD404" s="18"/>
      <c r="AE404" s="18"/>
      <c r="AF404" s="18"/>
      <c r="AG404" s="18"/>
      <c r="AH404" s="13"/>
      <c r="AI404" s="18"/>
      <c r="AJ404" s="13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3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2"/>
      <c r="BK404" s="12"/>
      <c r="BL404" s="12"/>
      <c r="BM404" s="9"/>
      <c r="BN404" s="9"/>
      <c r="BO404" s="9"/>
      <c r="BP404" s="12"/>
      <c r="BQ404" s="12"/>
      <c r="BR404" s="12"/>
      <c r="BS404" s="12"/>
      <c r="BT404" s="12"/>
      <c r="BU404" s="12"/>
      <c r="BV404" s="12"/>
      <c r="BW404" s="12"/>
      <c r="BX404" s="12"/>
      <c r="BY404" s="9"/>
      <c r="BZ404" s="21"/>
      <c r="CA404" s="21"/>
      <c r="CB404" s="21"/>
      <c r="CC404" s="21"/>
      <c r="CD404" s="21"/>
      <c r="CE404" s="21"/>
      <c r="CF404" s="21"/>
      <c r="CG404" s="21"/>
      <c r="CH404" s="21"/>
      <c r="CI404" s="21"/>
      <c r="CJ404" s="21"/>
    </row>
    <row r="405" spans="1:88" ht="40.5" customHeight="1">
      <c r="A405" s="9">
        <f t="shared" si="10"/>
        <v>403</v>
      </c>
      <c r="B405" s="9" t="str">
        <f t="shared" si="11"/>
        <v xml:space="preserve">MA
</v>
      </c>
      <c r="C405" s="9" t="s">
        <v>1093</v>
      </c>
      <c r="D405" s="9" t="s">
        <v>851</v>
      </c>
      <c r="E405" s="12">
        <v>0</v>
      </c>
      <c r="F405" s="12">
        <v>0</v>
      </c>
      <c r="G405" s="9" t="s">
        <v>89</v>
      </c>
      <c r="H405" s="12"/>
      <c r="I405" s="12">
        <f>35722621814</f>
        <v>35722621814</v>
      </c>
      <c r="J405" s="12"/>
      <c r="K405" s="12"/>
      <c r="L405" s="12"/>
      <c r="M405" s="12"/>
      <c r="N405" s="13" t="str">
        <f t="shared" si="12"/>
        <v xml:space="preserve">Kasmiris Aluminium Ltd
</v>
      </c>
      <c r="O405" s="16" t="s">
        <v>78</v>
      </c>
      <c r="P405" s="14">
        <v>1</v>
      </c>
      <c r="Q405" s="25">
        <v>44952</v>
      </c>
      <c r="R405" s="17"/>
      <c r="S405" s="17"/>
      <c r="T405" s="16" t="s">
        <v>126</v>
      </c>
      <c r="U405" s="17" t="str">
        <f t="shared" si="2"/>
        <v xml:space="preserve">Kasmiris Aluminium Ltd
</v>
      </c>
      <c r="V405" s="13"/>
      <c r="W405" s="13"/>
      <c r="X405" s="13"/>
      <c r="Y405" s="13"/>
      <c r="Z405" s="13"/>
      <c r="AA405" s="13"/>
      <c r="AB405" s="18" t="str">
        <f t="shared" si="13"/>
        <v xml:space="preserve">Kasmiris Aluminium Ltd
</v>
      </c>
      <c r="AC405" s="18"/>
      <c r="AD405" s="18"/>
      <c r="AE405" s="18"/>
      <c r="AF405" s="18"/>
      <c r="AG405" s="18"/>
      <c r="AH405" s="13"/>
      <c r="AI405" s="18"/>
      <c r="AJ405" s="13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3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2"/>
      <c r="BK405" s="12"/>
      <c r="BL405" s="12"/>
      <c r="BM405" s="9"/>
      <c r="BN405" s="9"/>
      <c r="BO405" s="9"/>
      <c r="BP405" s="12"/>
      <c r="BQ405" s="12"/>
      <c r="BR405" s="12"/>
      <c r="BS405" s="12"/>
      <c r="BT405" s="12"/>
      <c r="BU405" s="12"/>
      <c r="BV405" s="12"/>
      <c r="BW405" s="12"/>
      <c r="BX405" s="12"/>
      <c r="BY405" s="9"/>
      <c r="BZ405" s="21"/>
      <c r="CA405" s="21"/>
      <c r="CB405" s="21"/>
      <c r="CC405" s="21"/>
      <c r="CD405" s="21"/>
      <c r="CE405" s="21"/>
      <c r="CF405" s="21"/>
      <c r="CG405" s="21"/>
      <c r="CH405" s="21"/>
      <c r="CI405" s="21"/>
      <c r="CJ405" s="21"/>
    </row>
    <row r="406" spans="1:88" ht="40.5" customHeight="1">
      <c r="A406" s="9">
        <f t="shared" si="10"/>
        <v>404</v>
      </c>
      <c r="B406" s="9" t="str">
        <f t="shared" si="11"/>
        <v xml:space="preserve">MA
</v>
      </c>
      <c r="C406" s="9" t="s">
        <v>1094</v>
      </c>
      <c r="D406" s="9" t="s">
        <v>851</v>
      </c>
      <c r="E406" s="12">
        <v>0</v>
      </c>
      <c r="F406" s="12">
        <v>0</v>
      </c>
      <c r="G406" s="9" t="s">
        <v>89</v>
      </c>
      <c r="H406" s="12"/>
      <c r="I406" s="12">
        <f>35799656447</f>
        <v>35799656447</v>
      </c>
      <c r="J406" s="12"/>
      <c r="K406" s="22" t="s">
        <v>1095</v>
      </c>
      <c r="L406" s="12"/>
      <c r="M406" s="12"/>
      <c r="N406" s="13" t="str">
        <f t="shared" si="12"/>
        <v xml:space="preserve">Smeka Ltd
</v>
      </c>
      <c r="O406" s="16" t="s">
        <v>78</v>
      </c>
      <c r="P406" s="14">
        <v>1</v>
      </c>
      <c r="Q406" s="25">
        <v>44952</v>
      </c>
      <c r="R406" s="17"/>
      <c r="S406" s="17"/>
      <c r="T406" s="16" t="s">
        <v>961</v>
      </c>
      <c r="U406" s="17" t="str">
        <f t="shared" si="2"/>
        <v xml:space="preserve">Smeka Ltd
</v>
      </c>
      <c r="V406" s="13"/>
      <c r="W406" s="13"/>
      <c r="X406" s="13"/>
      <c r="Y406" s="13"/>
      <c r="Z406" s="13"/>
      <c r="AA406" s="13"/>
      <c r="AB406" s="18" t="str">
        <f t="shared" si="13"/>
        <v xml:space="preserve">Smeka Ltd
</v>
      </c>
      <c r="AC406" s="18"/>
      <c r="AD406" s="18"/>
      <c r="AE406" s="18"/>
      <c r="AF406" s="18"/>
      <c r="AG406" s="18"/>
      <c r="AH406" s="13"/>
      <c r="AI406" s="18"/>
      <c r="AJ406" s="13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3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2"/>
      <c r="BK406" s="12"/>
      <c r="BL406" s="12"/>
      <c r="BM406" s="9"/>
      <c r="BN406" s="9"/>
      <c r="BO406" s="9"/>
      <c r="BP406" s="12"/>
      <c r="BQ406" s="12"/>
      <c r="BR406" s="12"/>
      <c r="BS406" s="12"/>
      <c r="BT406" s="12"/>
      <c r="BU406" s="12"/>
      <c r="BV406" s="12"/>
      <c r="BW406" s="12"/>
      <c r="BX406" s="12"/>
      <c r="BY406" s="9"/>
      <c r="BZ406" s="21"/>
      <c r="CA406" s="21"/>
      <c r="CB406" s="21"/>
      <c r="CC406" s="21"/>
      <c r="CD406" s="21"/>
      <c r="CE406" s="21"/>
      <c r="CF406" s="21"/>
      <c r="CG406" s="21"/>
      <c r="CH406" s="21"/>
      <c r="CI406" s="21"/>
      <c r="CJ406" s="21"/>
    </row>
    <row r="407" spans="1:88" ht="40.5" customHeight="1">
      <c r="A407" s="9">
        <f t="shared" si="10"/>
        <v>405</v>
      </c>
      <c r="B407" s="9" t="str">
        <f t="shared" si="11"/>
        <v xml:space="preserve">MA
</v>
      </c>
      <c r="C407" s="9" t="s">
        <v>1096</v>
      </c>
      <c r="D407" s="9" t="s">
        <v>851</v>
      </c>
      <c r="E407" s="12">
        <v>0</v>
      </c>
      <c r="F407" s="12">
        <v>0</v>
      </c>
      <c r="G407" s="9" t="s">
        <v>89</v>
      </c>
      <c r="H407" s="12"/>
      <c r="I407" s="12">
        <f>35799815584</f>
        <v>35799815584</v>
      </c>
      <c r="J407" s="12"/>
      <c r="K407" s="12"/>
      <c r="L407" s="12"/>
      <c r="M407" s="12"/>
      <c r="N407" s="13" t="str">
        <f t="shared" si="12"/>
        <v xml:space="preserve">p.k.c. aluminium ltd
</v>
      </c>
      <c r="O407" s="16" t="s">
        <v>78</v>
      </c>
      <c r="P407" s="14">
        <v>1</v>
      </c>
      <c r="Q407" s="25">
        <v>44952</v>
      </c>
      <c r="R407" s="17"/>
      <c r="S407" s="17"/>
      <c r="T407" s="16" t="s">
        <v>126</v>
      </c>
      <c r="U407" s="17" t="str">
        <f t="shared" si="2"/>
        <v xml:space="preserve">p.k.c. aluminium ltd
</v>
      </c>
      <c r="V407" s="13"/>
      <c r="W407" s="13"/>
      <c r="X407" s="13"/>
      <c r="Y407" s="13"/>
      <c r="Z407" s="13"/>
      <c r="AA407" s="13"/>
      <c r="AB407" s="18" t="str">
        <f t="shared" si="13"/>
        <v xml:space="preserve">p.k.c. aluminium ltd
</v>
      </c>
      <c r="AC407" s="18"/>
      <c r="AD407" s="18"/>
      <c r="AE407" s="18"/>
      <c r="AF407" s="18"/>
      <c r="AG407" s="18"/>
      <c r="AH407" s="13"/>
      <c r="AI407" s="18"/>
      <c r="AJ407" s="13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3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2"/>
      <c r="BK407" s="12"/>
      <c r="BL407" s="12"/>
      <c r="BM407" s="9"/>
      <c r="BN407" s="9"/>
      <c r="BO407" s="9"/>
      <c r="BP407" s="12"/>
      <c r="BQ407" s="12"/>
      <c r="BR407" s="12"/>
      <c r="BS407" s="12"/>
      <c r="BT407" s="12"/>
      <c r="BU407" s="12"/>
      <c r="BV407" s="12"/>
      <c r="BW407" s="12"/>
      <c r="BX407" s="12"/>
      <c r="BY407" s="9"/>
      <c r="BZ407" s="21"/>
      <c r="CA407" s="21"/>
      <c r="CB407" s="21"/>
      <c r="CC407" s="21"/>
      <c r="CD407" s="21"/>
      <c r="CE407" s="21"/>
      <c r="CF407" s="21"/>
      <c r="CG407" s="21"/>
      <c r="CH407" s="21"/>
      <c r="CI407" s="21"/>
      <c r="CJ407" s="21"/>
    </row>
    <row r="408" spans="1:88" ht="40.5" customHeight="1">
      <c r="A408" s="24">
        <f t="shared" si="10"/>
        <v>406</v>
      </c>
      <c r="B408" s="24" t="str">
        <f t="shared" si="11"/>
        <v xml:space="preserve">MA
</v>
      </c>
      <c r="C408" s="24" t="s">
        <v>1097</v>
      </c>
      <c r="D408" s="24" t="s">
        <v>851</v>
      </c>
      <c r="E408" s="30">
        <v>0</v>
      </c>
      <c r="F408" s="30">
        <v>0</v>
      </c>
      <c r="G408" s="24" t="s">
        <v>89</v>
      </c>
      <c r="H408" s="30"/>
      <c r="I408" s="30">
        <f>35725747800</f>
        <v>35725747800</v>
      </c>
      <c r="J408" s="32" t="s">
        <v>1098</v>
      </c>
      <c r="K408" s="30"/>
      <c r="L408" s="30"/>
      <c r="M408" s="30"/>
      <c r="N408" s="33" t="str">
        <f t="shared" si="12"/>
        <v xml:space="preserve">Alucon Limited
</v>
      </c>
      <c r="O408" s="34" t="s">
        <v>78</v>
      </c>
      <c r="P408" s="35">
        <v>1</v>
      </c>
      <c r="Q408" s="36">
        <v>44952</v>
      </c>
      <c r="R408" s="35">
        <v>1</v>
      </c>
      <c r="S408" s="37">
        <v>4.583333333333333E-2</v>
      </c>
      <c r="T408" s="34" t="s">
        <v>4</v>
      </c>
      <c r="U408" s="38" t="str">
        <f t="shared" si="2"/>
        <v xml:space="preserve">Alucon Limited
</v>
      </c>
      <c r="V408" s="33"/>
      <c r="W408" s="33"/>
      <c r="X408" s="33"/>
      <c r="Y408" s="33"/>
      <c r="Z408" s="33"/>
      <c r="AA408" s="33"/>
      <c r="AB408" s="39" t="str">
        <f t="shared" si="13"/>
        <v xml:space="preserve">Alucon Limited
</v>
      </c>
      <c r="AC408" s="39"/>
      <c r="AD408" s="39"/>
      <c r="AE408" s="39"/>
      <c r="AF408" s="39"/>
      <c r="AG408" s="39"/>
      <c r="AH408" s="33"/>
      <c r="AI408" s="39"/>
      <c r="AJ408" s="33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3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0"/>
      <c r="BK408" s="30"/>
      <c r="BL408" s="30"/>
      <c r="BM408" s="24"/>
      <c r="BN408" s="24"/>
      <c r="BO408" s="24"/>
      <c r="BP408" s="30"/>
      <c r="BQ408" s="30"/>
      <c r="BR408" s="30"/>
      <c r="BS408" s="30"/>
      <c r="BT408" s="30"/>
      <c r="BU408" s="30"/>
      <c r="BV408" s="30"/>
      <c r="BW408" s="30"/>
      <c r="BX408" s="30"/>
      <c r="BY408" s="24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</row>
    <row r="409" spans="1:88" ht="40.5" customHeight="1">
      <c r="A409" s="9">
        <f t="shared" si="10"/>
        <v>407</v>
      </c>
      <c r="B409" s="9" t="str">
        <f t="shared" si="11"/>
        <v xml:space="preserve">MA
</v>
      </c>
      <c r="C409" s="9" t="s">
        <v>1099</v>
      </c>
      <c r="D409" s="9" t="s">
        <v>851</v>
      </c>
      <c r="E409" s="12">
        <v>0</v>
      </c>
      <c r="F409" s="12">
        <v>0</v>
      </c>
      <c r="G409" s="9" t="s">
        <v>89</v>
      </c>
      <c r="H409" s="12"/>
      <c r="I409" s="12">
        <f>35799277668</f>
        <v>35799277668</v>
      </c>
      <c r="J409" s="11" t="s">
        <v>1100</v>
      </c>
      <c r="K409" s="12"/>
      <c r="L409" s="12"/>
      <c r="M409" s="12"/>
      <c r="N409" s="13" t="str">
        <f t="shared" si="12"/>
        <v xml:space="preserve">Finestre - Veneta Cucine
</v>
      </c>
      <c r="O409" s="16" t="s">
        <v>78</v>
      </c>
      <c r="P409" s="14">
        <v>1</v>
      </c>
      <c r="Q409" s="25">
        <v>44952</v>
      </c>
      <c r="R409" s="14">
        <v>5</v>
      </c>
      <c r="S409" s="26">
        <v>0.1388888888888889</v>
      </c>
      <c r="T409" s="16" t="s">
        <v>108</v>
      </c>
      <c r="U409" s="17" t="str">
        <f t="shared" si="2"/>
        <v xml:space="preserve">Finestre - Veneta Cucine
</v>
      </c>
      <c r="V409" s="13"/>
      <c r="W409" s="13"/>
      <c r="X409" s="13"/>
      <c r="Y409" s="13"/>
      <c r="Z409" s="13"/>
      <c r="AA409" s="13"/>
      <c r="AB409" s="18" t="str">
        <f t="shared" si="13"/>
        <v xml:space="preserve">Finestre - Veneta Cucine
</v>
      </c>
      <c r="AC409" s="18"/>
      <c r="AD409" s="18"/>
      <c r="AE409" s="18"/>
      <c r="AF409" s="18"/>
      <c r="AG409" s="18"/>
      <c r="AH409" s="13"/>
      <c r="AI409" s="18"/>
      <c r="AJ409" s="13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3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2"/>
      <c r="BK409" s="12"/>
      <c r="BL409" s="12"/>
      <c r="BM409" s="9"/>
      <c r="BN409" s="9"/>
      <c r="BO409" s="9"/>
      <c r="BP409" s="12"/>
      <c r="BQ409" s="12"/>
      <c r="BR409" s="12"/>
      <c r="BS409" s="12"/>
      <c r="BT409" s="12"/>
      <c r="BU409" s="12"/>
      <c r="BV409" s="12"/>
      <c r="BW409" s="12"/>
      <c r="BX409" s="12"/>
      <c r="BY409" s="9"/>
      <c r="BZ409" s="21"/>
      <c r="CA409" s="21"/>
      <c r="CB409" s="21"/>
      <c r="CC409" s="21"/>
      <c r="CD409" s="21"/>
      <c r="CE409" s="21"/>
      <c r="CF409" s="21"/>
      <c r="CG409" s="21"/>
      <c r="CH409" s="21"/>
      <c r="CI409" s="21"/>
      <c r="CJ409" s="21"/>
    </row>
    <row r="410" spans="1:88" ht="40.5" customHeight="1">
      <c r="A410" s="9">
        <f t="shared" si="10"/>
        <v>408</v>
      </c>
      <c r="B410" s="9" t="str">
        <f t="shared" si="11"/>
        <v xml:space="preserve">MA
</v>
      </c>
      <c r="C410" s="9" t="s">
        <v>1101</v>
      </c>
      <c r="D410" s="9" t="s">
        <v>851</v>
      </c>
      <c r="E410" s="12">
        <v>0</v>
      </c>
      <c r="F410" s="12">
        <v>0</v>
      </c>
      <c r="G410" s="9" t="s">
        <v>89</v>
      </c>
      <c r="H410" s="12"/>
      <c r="I410" s="12">
        <f>35722778214</f>
        <v>35722778214</v>
      </c>
      <c r="J410" s="11" t="s">
        <v>1102</v>
      </c>
      <c r="K410" s="12"/>
      <c r="L410" s="12"/>
      <c r="M410" s="12"/>
      <c r="N410" s="13" t="str">
        <f t="shared" si="12"/>
        <v>Architectural Aluminium Applications Center A3C</v>
      </c>
      <c r="O410" s="16" t="s">
        <v>78</v>
      </c>
      <c r="P410" s="14">
        <v>1</v>
      </c>
      <c r="Q410" s="25">
        <v>44952</v>
      </c>
      <c r="R410" s="17"/>
      <c r="S410" s="17"/>
      <c r="T410" s="16" t="s">
        <v>126</v>
      </c>
      <c r="U410" s="17" t="str">
        <f t="shared" si="2"/>
        <v>Architectural Aluminium Applications Center A3C</v>
      </c>
      <c r="V410" s="13"/>
      <c r="W410" s="13"/>
      <c r="X410" s="13"/>
      <c r="Y410" s="13"/>
      <c r="Z410" s="13"/>
      <c r="AA410" s="13"/>
      <c r="AB410" s="18" t="str">
        <f t="shared" si="13"/>
        <v>Architectural Aluminium Applications Center A3C</v>
      </c>
      <c r="AC410" s="18"/>
      <c r="AD410" s="18"/>
      <c r="AE410" s="18"/>
      <c r="AF410" s="18"/>
      <c r="AG410" s="18"/>
      <c r="AH410" s="13"/>
      <c r="AI410" s="18"/>
      <c r="AJ410" s="13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3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2"/>
      <c r="BK410" s="12"/>
      <c r="BL410" s="12"/>
      <c r="BM410" s="9"/>
      <c r="BN410" s="9"/>
      <c r="BO410" s="9"/>
      <c r="BP410" s="12"/>
      <c r="BQ410" s="12"/>
      <c r="BR410" s="12"/>
      <c r="BS410" s="12"/>
      <c r="BT410" s="12"/>
      <c r="BU410" s="12"/>
      <c r="BV410" s="12"/>
      <c r="BW410" s="12"/>
      <c r="BX410" s="12"/>
      <c r="BY410" s="9"/>
      <c r="BZ410" s="21"/>
      <c r="CA410" s="21"/>
      <c r="CB410" s="21"/>
      <c r="CC410" s="21"/>
      <c r="CD410" s="21"/>
      <c r="CE410" s="21"/>
      <c r="CF410" s="21"/>
      <c r="CG410" s="21"/>
      <c r="CH410" s="21"/>
      <c r="CI410" s="21"/>
      <c r="CJ410" s="21"/>
    </row>
    <row r="411" spans="1:88" ht="40.5" customHeight="1">
      <c r="A411" s="9">
        <f t="shared" si="10"/>
        <v>409</v>
      </c>
      <c r="B411" s="9" t="str">
        <f t="shared" si="11"/>
        <v xml:space="preserve">MA
</v>
      </c>
      <c r="C411" s="9" t="s">
        <v>1103</v>
      </c>
      <c r="D411" s="9" t="s">
        <v>851</v>
      </c>
      <c r="E411" s="12">
        <v>0</v>
      </c>
      <c r="F411" s="12">
        <v>0</v>
      </c>
      <c r="G411" s="9" t="s">
        <v>89</v>
      </c>
      <c r="H411" s="12"/>
      <c r="I411" s="12">
        <f>35770007212</f>
        <v>35770007212</v>
      </c>
      <c r="J411" s="11" t="s">
        <v>1104</v>
      </c>
      <c r="K411" s="12"/>
      <c r="L411" s="12"/>
      <c r="M411" s="12"/>
      <c r="N411" s="13" t="str">
        <f t="shared" si="12"/>
        <v xml:space="preserve">Fixmor
</v>
      </c>
      <c r="O411" s="16" t="s">
        <v>78</v>
      </c>
      <c r="P411" s="14">
        <v>1</v>
      </c>
      <c r="Q411" s="25">
        <v>44952</v>
      </c>
      <c r="R411" s="14">
        <v>1</v>
      </c>
      <c r="S411" s="26">
        <v>0.1111111111111111</v>
      </c>
      <c r="T411" s="16" t="s">
        <v>4</v>
      </c>
      <c r="U411" s="17" t="str">
        <f t="shared" si="2"/>
        <v xml:space="preserve">Fixmor
</v>
      </c>
      <c r="V411" s="13"/>
      <c r="W411" s="13"/>
      <c r="X411" s="13"/>
      <c r="Y411" s="13"/>
      <c r="Z411" s="13"/>
      <c r="AA411" s="13"/>
      <c r="AB411" s="18" t="str">
        <f t="shared" si="13"/>
        <v xml:space="preserve">Fixmor
</v>
      </c>
      <c r="AC411" s="18"/>
      <c r="AD411" s="18"/>
      <c r="AE411" s="18"/>
      <c r="AF411" s="18"/>
      <c r="AG411" s="18"/>
      <c r="AH411" s="13"/>
      <c r="AI411" s="18"/>
      <c r="AJ411" s="13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3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2"/>
      <c r="BK411" s="12"/>
      <c r="BL411" s="12"/>
      <c r="BM411" s="9"/>
      <c r="BN411" s="9"/>
      <c r="BO411" s="9"/>
      <c r="BP411" s="12"/>
      <c r="BQ411" s="12"/>
      <c r="BR411" s="12"/>
      <c r="BS411" s="12"/>
      <c r="BT411" s="12"/>
      <c r="BU411" s="12"/>
      <c r="BV411" s="12"/>
      <c r="BW411" s="12"/>
      <c r="BX411" s="12"/>
      <c r="BY411" s="9"/>
      <c r="BZ411" s="21"/>
      <c r="CA411" s="21"/>
      <c r="CB411" s="21"/>
      <c r="CC411" s="21"/>
      <c r="CD411" s="21"/>
      <c r="CE411" s="21"/>
      <c r="CF411" s="21"/>
      <c r="CG411" s="21"/>
      <c r="CH411" s="21"/>
      <c r="CI411" s="21"/>
      <c r="CJ411" s="21"/>
    </row>
    <row r="412" spans="1:88" ht="40.5" customHeight="1">
      <c r="A412" s="9">
        <f t="shared" si="10"/>
        <v>410</v>
      </c>
      <c r="B412" s="9" t="str">
        <f t="shared" si="11"/>
        <v xml:space="preserve">MA
</v>
      </c>
      <c r="C412" s="9" t="s">
        <v>1105</v>
      </c>
      <c r="D412" s="9" t="s">
        <v>851</v>
      </c>
      <c r="E412" s="12">
        <v>0</v>
      </c>
      <c r="F412" s="12">
        <v>0</v>
      </c>
      <c r="G412" s="9" t="s">
        <v>89</v>
      </c>
      <c r="H412" s="12"/>
      <c r="I412" s="9">
        <v>5338647106</v>
      </c>
      <c r="J412" s="12"/>
      <c r="K412" s="12"/>
      <c r="L412" s="12"/>
      <c r="M412" s="12"/>
      <c r="N412" s="13" t="str">
        <f t="shared" si="12"/>
        <v xml:space="preserve">Ölmez Alüminyum
</v>
      </c>
      <c r="O412" s="13"/>
      <c r="P412" s="17"/>
      <c r="Q412" s="13"/>
      <c r="R412" s="17"/>
      <c r="S412" s="17"/>
      <c r="T412" s="13"/>
      <c r="U412" s="17" t="str">
        <f t="shared" si="2"/>
        <v xml:space="preserve">Ölmez Alüminyum
</v>
      </c>
      <c r="V412" s="13"/>
      <c r="W412" s="13"/>
      <c r="X412" s="13"/>
      <c r="Y412" s="13"/>
      <c r="Z412" s="13"/>
      <c r="AA412" s="13"/>
      <c r="AB412" s="18" t="str">
        <f t="shared" si="13"/>
        <v xml:space="preserve">Ölmez Alüminyum
</v>
      </c>
      <c r="AC412" s="18"/>
      <c r="AD412" s="18"/>
      <c r="AE412" s="18"/>
      <c r="AF412" s="18"/>
      <c r="AG412" s="18"/>
      <c r="AH412" s="13"/>
      <c r="AI412" s="18"/>
      <c r="AJ412" s="13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3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2"/>
      <c r="BK412" s="12"/>
      <c r="BL412" s="12"/>
      <c r="BM412" s="9"/>
      <c r="BN412" s="9"/>
      <c r="BO412" s="9"/>
      <c r="BP412" s="12"/>
      <c r="BQ412" s="12"/>
      <c r="BR412" s="12"/>
      <c r="BS412" s="12"/>
      <c r="BT412" s="12"/>
      <c r="BU412" s="12"/>
      <c r="BV412" s="12"/>
      <c r="BW412" s="12"/>
      <c r="BX412" s="12"/>
      <c r="BY412" s="9"/>
      <c r="BZ412" s="21"/>
      <c r="CA412" s="21"/>
      <c r="CB412" s="21"/>
      <c r="CC412" s="21"/>
      <c r="CD412" s="21"/>
      <c r="CE412" s="21"/>
      <c r="CF412" s="21"/>
      <c r="CG412" s="21"/>
      <c r="CH412" s="21"/>
      <c r="CI412" s="21"/>
      <c r="CJ412" s="21"/>
    </row>
    <row r="413" spans="1:88" ht="40.5" customHeight="1">
      <c r="A413" s="9">
        <f t="shared" si="10"/>
        <v>411</v>
      </c>
      <c r="B413" s="9" t="str">
        <f t="shared" si="11"/>
        <v xml:space="preserve">MA
</v>
      </c>
      <c r="C413" s="9" t="s">
        <v>1106</v>
      </c>
      <c r="D413" s="9" t="s">
        <v>851</v>
      </c>
      <c r="E413" s="12">
        <v>0</v>
      </c>
      <c r="F413" s="12">
        <v>0</v>
      </c>
      <c r="G413" s="9" t="s">
        <v>89</v>
      </c>
      <c r="H413" s="12"/>
      <c r="I413" s="12">
        <f>35722484400</f>
        <v>35722484400</v>
      </c>
      <c r="J413" s="12"/>
      <c r="K413" s="12"/>
      <c r="L413" s="12"/>
      <c r="M413" s="12"/>
      <c r="N413" s="13" t="str">
        <f t="shared" si="12"/>
        <v>TAF Theodorou Aluminium Fabrication LTD</v>
      </c>
      <c r="O413" s="16" t="s">
        <v>78</v>
      </c>
      <c r="P413" s="14">
        <v>1</v>
      </c>
      <c r="Q413" s="25">
        <v>44952</v>
      </c>
      <c r="R413" s="17"/>
      <c r="S413" s="17"/>
      <c r="T413" s="16" t="s">
        <v>108</v>
      </c>
      <c r="U413" s="17" t="str">
        <f t="shared" si="2"/>
        <v>TAF Theodorou Aluminium Fabrication LTD</v>
      </c>
      <c r="V413" s="13"/>
      <c r="W413" s="13"/>
      <c r="X413" s="13"/>
      <c r="Y413" s="13"/>
      <c r="Z413" s="13"/>
      <c r="AA413" s="13"/>
      <c r="AB413" s="18" t="str">
        <f t="shared" si="13"/>
        <v>TAF Theodorou Aluminium Fabrication LTD</v>
      </c>
      <c r="AC413" s="18"/>
      <c r="AD413" s="18"/>
      <c r="AE413" s="18"/>
      <c r="AF413" s="18"/>
      <c r="AG413" s="18"/>
      <c r="AH413" s="13"/>
      <c r="AI413" s="18"/>
      <c r="AJ413" s="13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3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2"/>
      <c r="BK413" s="12"/>
      <c r="BL413" s="12"/>
      <c r="BM413" s="9"/>
      <c r="BN413" s="9"/>
      <c r="BO413" s="9"/>
      <c r="BP413" s="12"/>
      <c r="BQ413" s="12"/>
      <c r="BR413" s="12"/>
      <c r="BS413" s="12"/>
      <c r="BT413" s="12"/>
      <c r="BU413" s="12"/>
      <c r="BV413" s="12"/>
      <c r="BW413" s="12"/>
      <c r="BX413" s="12"/>
      <c r="BY413" s="9"/>
      <c r="BZ413" s="21"/>
      <c r="CA413" s="21"/>
      <c r="CB413" s="21"/>
      <c r="CC413" s="21"/>
      <c r="CD413" s="21"/>
      <c r="CE413" s="21"/>
      <c r="CF413" s="21"/>
      <c r="CG413" s="21"/>
      <c r="CH413" s="21"/>
      <c r="CI413" s="21"/>
      <c r="CJ413" s="21"/>
    </row>
    <row r="414" spans="1:88" ht="40.5" customHeight="1">
      <c r="A414" s="9">
        <f t="shared" si="10"/>
        <v>412</v>
      </c>
      <c r="B414" s="9" t="str">
        <f t="shared" si="11"/>
        <v xml:space="preserve">MA
</v>
      </c>
      <c r="C414" s="9" t="s">
        <v>1107</v>
      </c>
      <c r="D414" s="9" t="s">
        <v>851</v>
      </c>
      <c r="E414" s="12">
        <v>0</v>
      </c>
      <c r="F414" s="12">
        <v>0</v>
      </c>
      <c r="G414" s="9" t="s">
        <v>89</v>
      </c>
      <c r="H414" s="12"/>
      <c r="I414" s="12">
        <f>35799139840</f>
        <v>35799139840</v>
      </c>
      <c r="J414" s="12"/>
      <c r="K414" s="11" t="s">
        <v>1108</v>
      </c>
      <c r="L414" s="12"/>
      <c r="M414" s="12"/>
      <c r="N414" s="13" t="str">
        <f t="shared" si="12"/>
        <v xml:space="preserve">
A.N ALUMIN CONSTRUCTIONS LTD
</v>
      </c>
      <c r="O414" s="16" t="s">
        <v>78</v>
      </c>
      <c r="P414" s="14">
        <v>1</v>
      </c>
      <c r="Q414" s="25">
        <v>44949</v>
      </c>
      <c r="R414" s="17"/>
      <c r="S414" s="17"/>
      <c r="T414" s="16" t="s">
        <v>101</v>
      </c>
      <c r="U414" s="17" t="str">
        <f t="shared" si="2"/>
        <v xml:space="preserve">
A.N ALUMIN CONSTRUCTIONS LTD
</v>
      </c>
      <c r="V414" s="16" t="s">
        <v>78</v>
      </c>
      <c r="W414" s="16">
        <v>2</v>
      </c>
      <c r="X414" s="25">
        <v>44952</v>
      </c>
      <c r="Y414" s="13"/>
      <c r="Z414" s="13"/>
      <c r="AA414" s="16" t="s">
        <v>101</v>
      </c>
      <c r="AB414" s="18" t="str">
        <f t="shared" si="13"/>
        <v xml:space="preserve">
A.N ALUMIN CONSTRUCTIONS LTD
</v>
      </c>
      <c r="AC414" s="18"/>
      <c r="AD414" s="18"/>
      <c r="AE414" s="18"/>
      <c r="AF414" s="18"/>
      <c r="AG414" s="18"/>
      <c r="AH414" s="13"/>
      <c r="AI414" s="18"/>
      <c r="AJ414" s="13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3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2"/>
      <c r="BK414" s="12"/>
      <c r="BL414" s="12"/>
      <c r="BM414" s="9"/>
      <c r="BN414" s="9"/>
      <c r="BO414" s="9"/>
      <c r="BP414" s="12"/>
      <c r="BQ414" s="12"/>
      <c r="BR414" s="12"/>
      <c r="BS414" s="12"/>
      <c r="BT414" s="12"/>
      <c r="BU414" s="12"/>
      <c r="BV414" s="12"/>
      <c r="BW414" s="12"/>
      <c r="BX414" s="12"/>
      <c r="BY414" s="9"/>
      <c r="BZ414" s="21"/>
      <c r="CA414" s="21"/>
      <c r="CB414" s="21"/>
      <c r="CC414" s="21"/>
      <c r="CD414" s="21"/>
      <c r="CE414" s="21"/>
      <c r="CF414" s="21"/>
      <c r="CG414" s="21"/>
      <c r="CH414" s="21"/>
      <c r="CI414" s="21"/>
      <c r="CJ414" s="21"/>
    </row>
    <row r="415" spans="1:88" ht="40.5" customHeight="1">
      <c r="A415" s="24">
        <f t="shared" si="10"/>
        <v>413</v>
      </c>
      <c r="B415" s="24" t="str">
        <f t="shared" si="11"/>
        <v xml:space="preserve">MA
</v>
      </c>
      <c r="C415" s="24" t="s">
        <v>1109</v>
      </c>
      <c r="D415" s="24" t="s">
        <v>851</v>
      </c>
      <c r="E415" s="30">
        <v>0</v>
      </c>
      <c r="F415" s="30">
        <v>0</v>
      </c>
      <c r="G415" s="24" t="s">
        <v>89</v>
      </c>
      <c r="H415" s="30"/>
      <c r="I415" s="30">
        <f>35799812481</f>
        <v>35799812481</v>
      </c>
      <c r="J415" s="30"/>
      <c r="K415" s="70" t="s">
        <v>1110</v>
      </c>
      <c r="L415" s="30"/>
      <c r="M415" s="30"/>
      <c r="N415" s="33" t="str">
        <f t="shared" si="12"/>
        <v xml:space="preserve">Cyprus Shade and Sails
</v>
      </c>
      <c r="O415" s="34" t="s">
        <v>78</v>
      </c>
      <c r="P415" s="35">
        <v>1</v>
      </c>
      <c r="Q415" s="36">
        <v>44949</v>
      </c>
      <c r="R415" s="35">
        <v>1</v>
      </c>
      <c r="S415" s="37">
        <v>5.1388888888888887E-2</v>
      </c>
      <c r="T415" s="34" t="s">
        <v>4</v>
      </c>
      <c r="U415" s="38" t="str">
        <f t="shared" si="2"/>
        <v xml:space="preserve">Cyprus Shade and Sails
</v>
      </c>
      <c r="V415" s="33"/>
      <c r="W415" s="33"/>
      <c r="X415" s="33"/>
      <c r="Y415" s="33"/>
      <c r="Z415" s="33"/>
      <c r="AA415" s="33"/>
      <c r="AB415" s="39" t="str">
        <f t="shared" si="13"/>
        <v xml:space="preserve">Cyprus Shade and Sails
</v>
      </c>
      <c r="AC415" s="39"/>
      <c r="AD415" s="39"/>
      <c r="AE415" s="39"/>
      <c r="AF415" s="39"/>
      <c r="AG415" s="39"/>
      <c r="AH415" s="33"/>
      <c r="AI415" s="39"/>
      <c r="AJ415" s="33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3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0"/>
      <c r="BK415" s="30"/>
      <c r="BL415" s="30"/>
      <c r="BM415" s="24"/>
      <c r="BN415" s="24"/>
      <c r="BO415" s="24"/>
      <c r="BP415" s="30"/>
      <c r="BQ415" s="30"/>
      <c r="BR415" s="30"/>
      <c r="BS415" s="30"/>
      <c r="BT415" s="30"/>
      <c r="BU415" s="30"/>
      <c r="BV415" s="30"/>
      <c r="BW415" s="30"/>
      <c r="BX415" s="30"/>
      <c r="BY415" s="24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</row>
    <row r="416" spans="1:88" ht="40.5" customHeight="1">
      <c r="A416" s="9">
        <f t="shared" si="10"/>
        <v>414</v>
      </c>
      <c r="B416" s="9" t="str">
        <f t="shared" si="11"/>
        <v xml:space="preserve">MA
</v>
      </c>
      <c r="C416" s="9" t="s">
        <v>1111</v>
      </c>
      <c r="D416" s="9" t="s">
        <v>851</v>
      </c>
      <c r="E416" s="12">
        <v>0</v>
      </c>
      <c r="F416" s="12">
        <v>0</v>
      </c>
      <c r="G416" s="9" t="s">
        <v>89</v>
      </c>
      <c r="H416" s="12"/>
      <c r="I416" s="12">
        <f>35799489142</f>
        <v>35799489142</v>
      </c>
      <c r="J416" s="9" t="s">
        <v>1112</v>
      </c>
      <c r="K416" s="12"/>
      <c r="L416" s="12"/>
      <c r="M416" s="12"/>
      <c r="N416" s="13" t="str">
        <f t="shared" si="12"/>
        <v xml:space="preserve">Tsivikos Aluminium
</v>
      </c>
      <c r="O416" s="16" t="s">
        <v>78</v>
      </c>
      <c r="P416" s="14">
        <v>1</v>
      </c>
      <c r="Q416" s="25">
        <v>44949</v>
      </c>
      <c r="R416" s="14">
        <v>4</v>
      </c>
      <c r="S416" s="26">
        <v>9.2361111111111116E-2</v>
      </c>
      <c r="T416" s="16" t="s">
        <v>153</v>
      </c>
      <c r="U416" s="17" t="str">
        <f t="shared" si="2"/>
        <v xml:space="preserve">Tsivikos Aluminium
</v>
      </c>
      <c r="V416" s="16" t="s">
        <v>78</v>
      </c>
      <c r="W416" s="16">
        <v>2</v>
      </c>
      <c r="X416" s="25">
        <v>44952</v>
      </c>
      <c r="Y416" s="13"/>
      <c r="Z416" s="13"/>
      <c r="AA416" s="16" t="s">
        <v>101</v>
      </c>
      <c r="AB416" s="18" t="str">
        <f t="shared" si="13"/>
        <v xml:space="preserve">Tsivikos Aluminium
</v>
      </c>
      <c r="AC416" s="18"/>
      <c r="AD416" s="18"/>
      <c r="AE416" s="18"/>
      <c r="AF416" s="18"/>
      <c r="AG416" s="18"/>
      <c r="AH416" s="13"/>
      <c r="AI416" s="18"/>
      <c r="AJ416" s="13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3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2"/>
      <c r="BK416" s="12"/>
      <c r="BL416" s="12"/>
      <c r="BM416" s="9"/>
      <c r="BN416" s="9"/>
      <c r="BO416" s="9"/>
      <c r="BP416" s="12"/>
      <c r="BQ416" s="12"/>
      <c r="BR416" s="12"/>
      <c r="BS416" s="12"/>
      <c r="BT416" s="12"/>
      <c r="BU416" s="12"/>
      <c r="BV416" s="12"/>
      <c r="BW416" s="12"/>
      <c r="BX416" s="12"/>
      <c r="BY416" s="9"/>
      <c r="BZ416" s="21"/>
      <c r="CA416" s="21"/>
      <c r="CB416" s="21"/>
      <c r="CC416" s="21"/>
      <c r="CD416" s="21"/>
      <c r="CE416" s="21"/>
      <c r="CF416" s="21"/>
      <c r="CG416" s="21"/>
      <c r="CH416" s="21"/>
      <c r="CI416" s="21"/>
      <c r="CJ416" s="21"/>
    </row>
    <row r="417" spans="1:88" ht="40.5" customHeight="1">
      <c r="A417" s="24">
        <f t="shared" si="10"/>
        <v>415</v>
      </c>
      <c r="B417" s="24" t="str">
        <f t="shared" si="11"/>
        <v xml:space="preserve">MA
</v>
      </c>
      <c r="C417" s="24" t="s">
        <v>1113</v>
      </c>
      <c r="D417" s="24" t="s">
        <v>851</v>
      </c>
      <c r="E417" s="30">
        <v>0</v>
      </c>
      <c r="F417" s="30">
        <v>0</v>
      </c>
      <c r="G417" s="24" t="s">
        <v>89</v>
      </c>
      <c r="H417" s="30"/>
      <c r="I417" s="30">
        <f>35799674137</f>
        <v>35799674137</v>
      </c>
      <c r="J417" s="30"/>
      <c r="K417" s="30"/>
      <c r="L417" s="30"/>
      <c r="M417" s="30"/>
      <c r="N417" s="33" t="str">
        <f t="shared" si="12"/>
        <v xml:space="preserve">Pambos M. Charalambous
</v>
      </c>
      <c r="O417" s="34" t="s">
        <v>78</v>
      </c>
      <c r="P417" s="35">
        <v>1</v>
      </c>
      <c r="Q417" s="36">
        <v>44949</v>
      </c>
      <c r="R417" s="35">
        <v>3</v>
      </c>
      <c r="S417" s="37">
        <v>0.11736111111111111</v>
      </c>
      <c r="T417" s="34" t="s">
        <v>153</v>
      </c>
      <c r="U417" s="38" t="str">
        <f t="shared" si="2"/>
        <v xml:space="preserve">Pambos M. Charalambous
</v>
      </c>
      <c r="V417" s="34" t="s">
        <v>78</v>
      </c>
      <c r="W417" s="34">
        <v>2</v>
      </c>
      <c r="X417" s="36">
        <v>44952</v>
      </c>
      <c r="Y417" s="34">
        <v>1</v>
      </c>
      <c r="Z417" s="33"/>
      <c r="AA417" s="34" t="s">
        <v>4</v>
      </c>
      <c r="AB417" s="39" t="str">
        <f t="shared" si="13"/>
        <v xml:space="preserve">Pambos M. Charalambous
</v>
      </c>
      <c r="AC417" s="39"/>
      <c r="AD417" s="39"/>
      <c r="AE417" s="39"/>
      <c r="AF417" s="39"/>
      <c r="AG417" s="39"/>
      <c r="AH417" s="33"/>
      <c r="AI417" s="39"/>
      <c r="AJ417" s="33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3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0"/>
      <c r="BK417" s="30"/>
      <c r="BL417" s="30"/>
      <c r="BM417" s="24"/>
      <c r="BN417" s="24"/>
      <c r="BO417" s="24"/>
      <c r="BP417" s="30"/>
      <c r="BQ417" s="30"/>
      <c r="BR417" s="30"/>
      <c r="BS417" s="30"/>
      <c r="BT417" s="30"/>
      <c r="BU417" s="30"/>
      <c r="BV417" s="30"/>
      <c r="BW417" s="30"/>
      <c r="BX417" s="30"/>
      <c r="BY417" s="24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</row>
    <row r="418" spans="1:88" ht="40.5" customHeight="1">
      <c r="A418" s="9">
        <f t="shared" si="10"/>
        <v>416</v>
      </c>
      <c r="B418" s="9" t="str">
        <f t="shared" si="11"/>
        <v xml:space="preserve">MA
</v>
      </c>
      <c r="C418" s="9" t="s">
        <v>1114</v>
      </c>
      <c r="D418" s="9" t="s">
        <v>851</v>
      </c>
      <c r="E418" s="12">
        <v>0</v>
      </c>
      <c r="F418" s="12">
        <v>0</v>
      </c>
      <c r="G418" s="9" t="s">
        <v>89</v>
      </c>
      <c r="H418" s="12"/>
      <c r="I418" s="12">
        <f>35799405816</f>
        <v>35799405816</v>
      </c>
      <c r="J418" s="12"/>
      <c r="K418" s="12"/>
      <c r="L418" s="12"/>
      <c r="M418" s="12"/>
      <c r="N418" s="13" t="str">
        <f t="shared" si="12"/>
        <v xml:space="preserve">Hadjithomas Aluminium
</v>
      </c>
      <c r="O418" s="16" t="s">
        <v>78</v>
      </c>
      <c r="P418" s="14">
        <v>1</v>
      </c>
      <c r="Q418" s="25">
        <v>44949</v>
      </c>
      <c r="R418" s="17"/>
      <c r="S418" s="17"/>
      <c r="T418" s="16" t="s">
        <v>126</v>
      </c>
      <c r="U418" s="17" t="str">
        <f t="shared" si="2"/>
        <v xml:space="preserve">Hadjithomas Aluminium
</v>
      </c>
      <c r="V418" s="16" t="s">
        <v>78</v>
      </c>
      <c r="W418" s="16">
        <v>2</v>
      </c>
      <c r="X418" s="25">
        <v>44952</v>
      </c>
      <c r="Y418" s="13"/>
      <c r="Z418" s="13"/>
      <c r="AA418" s="16" t="s">
        <v>126</v>
      </c>
      <c r="AB418" s="18" t="str">
        <f t="shared" si="13"/>
        <v xml:space="preserve">Hadjithomas Aluminium
</v>
      </c>
      <c r="AC418" s="18"/>
      <c r="AD418" s="18"/>
      <c r="AE418" s="18"/>
      <c r="AF418" s="18"/>
      <c r="AG418" s="18"/>
      <c r="AH418" s="13"/>
      <c r="AI418" s="18"/>
      <c r="AJ418" s="13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3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2"/>
      <c r="BK418" s="12"/>
      <c r="BL418" s="12"/>
      <c r="BM418" s="9"/>
      <c r="BN418" s="9"/>
      <c r="BO418" s="9"/>
      <c r="BP418" s="12"/>
      <c r="BQ418" s="12"/>
      <c r="BR418" s="12"/>
      <c r="BS418" s="12"/>
      <c r="BT418" s="12"/>
      <c r="BU418" s="12"/>
      <c r="BV418" s="12"/>
      <c r="BW418" s="12"/>
      <c r="BX418" s="12"/>
      <c r="BY418" s="9"/>
      <c r="BZ418" s="21"/>
      <c r="CA418" s="21"/>
      <c r="CB418" s="21"/>
      <c r="CC418" s="21"/>
      <c r="CD418" s="21"/>
      <c r="CE418" s="21"/>
      <c r="CF418" s="21"/>
      <c r="CG418" s="21"/>
      <c r="CH418" s="21"/>
      <c r="CI418" s="21"/>
      <c r="CJ418" s="21"/>
    </row>
    <row r="419" spans="1:88" ht="40.5" customHeight="1">
      <c r="A419" s="24">
        <f t="shared" si="10"/>
        <v>417</v>
      </c>
      <c r="B419" s="24" t="str">
        <f t="shared" si="11"/>
        <v xml:space="preserve">MA
</v>
      </c>
      <c r="C419" s="24" t="s">
        <v>1115</v>
      </c>
      <c r="D419" s="24" t="s">
        <v>851</v>
      </c>
      <c r="E419" s="30">
        <v>0</v>
      </c>
      <c r="F419" s="30">
        <v>0</v>
      </c>
      <c r="G419" s="24" t="s">
        <v>89</v>
      </c>
      <c r="H419" s="30"/>
      <c r="I419" s="30">
        <f>35725716838</f>
        <v>35725716838</v>
      </c>
      <c r="J419" s="30"/>
      <c r="K419" s="70" t="s">
        <v>1116</v>
      </c>
      <c r="L419" s="30"/>
      <c r="M419" s="30"/>
      <c r="N419" s="33" t="str">
        <f t="shared" si="12"/>
        <v xml:space="preserve">ΛΑΜΠΡΟΣ ΠΑΜΠΟΣΚΗΣ Glass Workshop
</v>
      </c>
      <c r="O419" s="34" t="s">
        <v>78</v>
      </c>
      <c r="P419" s="35">
        <v>1</v>
      </c>
      <c r="Q419" s="36">
        <v>44949</v>
      </c>
      <c r="R419" s="35">
        <v>1</v>
      </c>
      <c r="S419" s="37">
        <v>3.2638888888888891E-2</v>
      </c>
      <c r="T419" s="34" t="s">
        <v>4</v>
      </c>
      <c r="U419" s="38" t="str">
        <f t="shared" si="2"/>
        <v xml:space="preserve">ΛΑΜΠΡΟΣ ΠΑΜΠΟΣΚΗΣ Glass Workshop
</v>
      </c>
      <c r="V419" s="33"/>
      <c r="W419" s="33"/>
      <c r="X419" s="33"/>
      <c r="Y419" s="33"/>
      <c r="Z419" s="33"/>
      <c r="AA419" s="33"/>
      <c r="AB419" s="39" t="str">
        <f t="shared" si="13"/>
        <v xml:space="preserve">ΛΑΜΠΡΟΣ ΠΑΜΠΟΣΚΗΣ Glass Workshop
</v>
      </c>
      <c r="AC419" s="39"/>
      <c r="AD419" s="39"/>
      <c r="AE419" s="39"/>
      <c r="AF419" s="39"/>
      <c r="AG419" s="39"/>
      <c r="AH419" s="33"/>
      <c r="AI419" s="39"/>
      <c r="AJ419" s="33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3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0"/>
      <c r="BK419" s="30"/>
      <c r="BL419" s="30"/>
      <c r="BM419" s="24"/>
      <c r="BN419" s="24"/>
      <c r="BO419" s="24"/>
      <c r="BP419" s="30"/>
      <c r="BQ419" s="30"/>
      <c r="BR419" s="30"/>
      <c r="BS419" s="30"/>
      <c r="BT419" s="30"/>
      <c r="BU419" s="30"/>
      <c r="BV419" s="30"/>
      <c r="BW419" s="30"/>
      <c r="BX419" s="30"/>
      <c r="BY419" s="24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</row>
    <row r="420" spans="1:88" ht="40.5" customHeight="1">
      <c r="A420" s="9">
        <f t="shared" si="10"/>
        <v>418</v>
      </c>
      <c r="B420" s="9" t="str">
        <f t="shared" si="11"/>
        <v xml:space="preserve">MA
</v>
      </c>
      <c r="C420" s="9" t="s">
        <v>1117</v>
      </c>
      <c r="D420" s="9" t="s">
        <v>851</v>
      </c>
      <c r="E420" s="12">
        <v>0</v>
      </c>
      <c r="F420" s="12">
        <v>0</v>
      </c>
      <c r="G420" s="9" t="s">
        <v>89</v>
      </c>
      <c r="H420" s="12"/>
      <c r="I420" s="12">
        <f>35797697680</f>
        <v>35797697680</v>
      </c>
      <c r="J420" s="9" t="s">
        <v>1118</v>
      </c>
      <c r="K420" s="11" t="s">
        <v>1119</v>
      </c>
      <c r="L420" s="12"/>
      <c r="M420" s="12"/>
      <c r="N420" s="13" t="str">
        <f t="shared" si="12"/>
        <v xml:space="preserve">Demetris Stavrou Carpentry
</v>
      </c>
      <c r="O420" s="16" t="s">
        <v>78</v>
      </c>
      <c r="P420" s="14">
        <v>1</v>
      </c>
      <c r="Q420" s="25">
        <v>44949</v>
      </c>
      <c r="R420" s="14">
        <v>5</v>
      </c>
      <c r="S420" s="26">
        <v>0.10486111111111111</v>
      </c>
      <c r="T420" s="16" t="s">
        <v>108</v>
      </c>
      <c r="U420" s="17" t="str">
        <f t="shared" si="2"/>
        <v xml:space="preserve">Demetris Stavrou Carpentry
</v>
      </c>
      <c r="V420" s="16" t="s">
        <v>78</v>
      </c>
      <c r="W420" s="16">
        <v>2</v>
      </c>
      <c r="X420" s="25">
        <v>44952</v>
      </c>
      <c r="Y420" s="13"/>
      <c r="Z420" s="13"/>
      <c r="AA420" s="16" t="s">
        <v>101</v>
      </c>
      <c r="AB420" s="18" t="str">
        <f t="shared" si="13"/>
        <v xml:space="preserve">Demetris Stavrou Carpentry
</v>
      </c>
      <c r="AC420" s="18"/>
      <c r="AD420" s="18"/>
      <c r="AE420" s="18"/>
      <c r="AF420" s="18"/>
      <c r="AG420" s="18"/>
      <c r="AH420" s="13"/>
      <c r="AI420" s="18"/>
      <c r="AJ420" s="13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3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2"/>
      <c r="BK420" s="12"/>
      <c r="BL420" s="12"/>
      <c r="BM420" s="9"/>
      <c r="BN420" s="9"/>
      <c r="BO420" s="9"/>
      <c r="BP420" s="12"/>
      <c r="BQ420" s="12"/>
      <c r="BR420" s="12"/>
      <c r="BS420" s="12"/>
      <c r="BT420" s="12"/>
      <c r="BU420" s="12"/>
      <c r="BV420" s="12"/>
      <c r="BW420" s="12"/>
      <c r="BX420" s="12"/>
      <c r="BY420" s="9"/>
      <c r="BZ420" s="21"/>
      <c r="CA420" s="21"/>
      <c r="CB420" s="21"/>
      <c r="CC420" s="21"/>
      <c r="CD420" s="21"/>
      <c r="CE420" s="21"/>
      <c r="CF420" s="21"/>
      <c r="CG420" s="21"/>
      <c r="CH420" s="21"/>
      <c r="CI420" s="21"/>
      <c r="CJ420" s="21"/>
    </row>
    <row r="421" spans="1:88" ht="40.5" customHeight="1">
      <c r="A421" s="9">
        <f t="shared" si="10"/>
        <v>419</v>
      </c>
      <c r="B421" s="9" t="str">
        <f t="shared" si="11"/>
        <v xml:space="preserve">MA
</v>
      </c>
      <c r="C421" s="9" t="s">
        <v>1120</v>
      </c>
      <c r="D421" s="9" t="s">
        <v>851</v>
      </c>
      <c r="E421" s="12">
        <v>0</v>
      </c>
      <c r="F421" s="12">
        <v>0</v>
      </c>
      <c r="G421" s="9" t="s">
        <v>89</v>
      </c>
      <c r="H421" s="12"/>
      <c r="I421" s="9">
        <v>3322372378</v>
      </c>
      <c r="J421" s="12"/>
      <c r="K421" s="11" t="s">
        <v>1121</v>
      </c>
      <c r="L421" s="12"/>
      <c r="M421" s="12"/>
      <c r="N421" s="13" t="str">
        <f t="shared" si="12"/>
        <v xml:space="preserve">DIAMOND ALUMINIUM
</v>
      </c>
      <c r="O421" s="13"/>
      <c r="P421" s="17"/>
      <c r="Q421" s="13"/>
      <c r="R421" s="17"/>
      <c r="S421" s="17"/>
      <c r="T421" s="13"/>
      <c r="U421" s="17" t="str">
        <f t="shared" si="2"/>
        <v xml:space="preserve">DIAMOND ALUMINIUM
</v>
      </c>
      <c r="V421" s="13"/>
      <c r="W421" s="13"/>
      <c r="X421" s="13"/>
      <c r="Y421" s="13"/>
      <c r="Z421" s="13"/>
      <c r="AA421" s="13"/>
      <c r="AB421" s="18" t="str">
        <f t="shared" si="13"/>
        <v xml:space="preserve">DIAMOND ALUMINIUM
</v>
      </c>
      <c r="AC421" s="18"/>
      <c r="AD421" s="18"/>
      <c r="AE421" s="18"/>
      <c r="AF421" s="18"/>
      <c r="AG421" s="18"/>
      <c r="AH421" s="13"/>
      <c r="AI421" s="18"/>
      <c r="AJ421" s="13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3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2"/>
      <c r="BK421" s="12"/>
      <c r="BL421" s="12"/>
      <c r="BM421" s="9"/>
      <c r="BN421" s="9"/>
      <c r="BO421" s="9"/>
      <c r="BP421" s="12"/>
      <c r="BQ421" s="12"/>
      <c r="BR421" s="12"/>
      <c r="BS421" s="12"/>
      <c r="BT421" s="12"/>
      <c r="BU421" s="12"/>
      <c r="BV421" s="12"/>
      <c r="BW421" s="12"/>
      <c r="BX421" s="12"/>
      <c r="BY421" s="9"/>
      <c r="BZ421" s="21"/>
      <c r="CA421" s="21"/>
      <c r="CB421" s="21"/>
      <c r="CC421" s="21"/>
      <c r="CD421" s="21"/>
      <c r="CE421" s="21"/>
      <c r="CF421" s="21"/>
      <c r="CG421" s="21"/>
      <c r="CH421" s="21"/>
      <c r="CI421" s="21"/>
      <c r="CJ421" s="21"/>
    </row>
    <row r="422" spans="1:88" ht="40.5" customHeight="1">
      <c r="A422" s="24">
        <f t="shared" si="10"/>
        <v>420</v>
      </c>
      <c r="B422" s="24" t="str">
        <f t="shared" si="11"/>
        <v xml:space="preserve">MA
</v>
      </c>
      <c r="C422" s="24" t="s">
        <v>1122</v>
      </c>
      <c r="D422" s="24" t="s">
        <v>851</v>
      </c>
      <c r="E422" s="30">
        <v>0</v>
      </c>
      <c r="F422" s="30">
        <v>0</v>
      </c>
      <c r="G422" s="24" t="s">
        <v>89</v>
      </c>
      <c r="H422" s="30"/>
      <c r="I422" s="30">
        <f>35799433287</f>
        <v>35799433287</v>
      </c>
      <c r="J422" s="30"/>
      <c r="K422" s="30"/>
      <c r="L422" s="30"/>
      <c r="M422" s="30"/>
      <c r="N422" s="33" t="str">
        <f t="shared" si="12"/>
        <v xml:space="preserve">Anoirkatiko Haloumi
</v>
      </c>
      <c r="O422" s="34" t="s">
        <v>78</v>
      </c>
      <c r="P422" s="35">
        <v>1</v>
      </c>
      <c r="Q422" s="36">
        <v>44949</v>
      </c>
      <c r="R422" s="35">
        <v>5</v>
      </c>
      <c r="S422" s="37">
        <v>2.7777777777777776E-2</v>
      </c>
      <c r="T422" s="34" t="s">
        <v>153</v>
      </c>
      <c r="U422" s="38" t="str">
        <f t="shared" si="2"/>
        <v xml:space="preserve">Anoirkatiko Haloumi
</v>
      </c>
      <c r="V422" s="34" t="s">
        <v>78</v>
      </c>
      <c r="W422" s="34">
        <v>2</v>
      </c>
      <c r="X422" s="36">
        <v>44952</v>
      </c>
      <c r="Y422" s="33"/>
      <c r="Z422" s="33"/>
      <c r="AA422" s="34" t="s">
        <v>4</v>
      </c>
      <c r="AB422" s="39" t="str">
        <f t="shared" si="13"/>
        <v xml:space="preserve">Anoirkatiko Haloumi
</v>
      </c>
      <c r="AC422" s="39"/>
      <c r="AD422" s="39"/>
      <c r="AE422" s="39"/>
      <c r="AF422" s="39"/>
      <c r="AG422" s="39"/>
      <c r="AH422" s="33"/>
      <c r="AI422" s="39"/>
      <c r="AJ422" s="33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3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0"/>
      <c r="BK422" s="30"/>
      <c r="BL422" s="30"/>
      <c r="BM422" s="24"/>
      <c r="BN422" s="24"/>
      <c r="BO422" s="24"/>
      <c r="BP422" s="30"/>
      <c r="BQ422" s="30"/>
      <c r="BR422" s="30"/>
      <c r="BS422" s="30"/>
      <c r="BT422" s="30"/>
      <c r="BU422" s="30"/>
      <c r="BV422" s="30"/>
      <c r="BW422" s="30"/>
      <c r="BX422" s="30"/>
      <c r="BY422" s="24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</row>
    <row r="423" spans="1:88" ht="40.5" customHeight="1">
      <c r="A423" s="24">
        <f t="shared" si="10"/>
        <v>421</v>
      </c>
      <c r="B423" s="24" t="str">
        <f t="shared" si="11"/>
        <v xml:space="preserve">MA
</v>
      </c>
      <c r="C423" s="24" t="s">
        <v>1123</v>
      </c>
      <c r="D423" s="24" t="s">
        <v>851</v>
      </c>
      <c r="E423" s="30">
        <v>0</v>
      </c>
      <c r="F423" s="30">
        <v>0</v>
      </c>
      <c r="G423" s="24" t="s">
        <v>89</v>
      </c>
      <c r="H423" s="30"/>
      <c r="I423" s="30">
        <f>35797824629</f>
        <v>35797824629</v>
      </c>
      <c r="J423" s="30"/>
      <c r="K423" s="30"/>
      <c r="L423" s="30"/>
      <c r="M423" s="30"/>
      <c r="N423" s="33" t="str">
        <f t="shared" si="12"/>
        <v xml:space="preserve">Paphos Gardening
</v>
      </c>
      <c r="O423" s="34" t="s">
        <v>78</v>
      </c>
      <c r="P423" s="35">
        <v>1</v>
      </c>
      <c r="Q423" s="36">
        <v>44949</v>
      </c>
      <c r="R423" s="35">
        <v>1</v>
      </c>
      <c r="S423" s="37">
        <v>7.5694444444444439E-2</v>
      </c>
      <c r="T423" s="34" t="s">
        <v>4</v>
      </c>
      <c r="U423" s="38" t="str">
        <f t="shared" si="2"/>
        <v xml:space="preserve">Paphos Gardening
</v>
      </c>
      <c r="V423" s="33"/>
      <c r="W423" s="33"/>
      <c r="X423" s="33"/>
      <c r="Y423" s="33"/>
      <c r="Z423" s="33"/>
      <c r="AA423" s="33"/>
      <c r="AB423" s="39" t="str">
        <f t="shared" si="13"/>
        <v xml:space="preserve">Paphos Gardening
</v>
      </c>
      <c r="AC423" s="39"/>
      <c r="AD423" s="39"/>
      <c r="AE423" s="39"/>
      <c r="AF423" s="39"/>
      <c r="AG423" s="39"/>
      <c r="AH423" s="33"/>
      <c r="AI423" s="39"/>
      <c r="AJ423" s="33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3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0"/>
      <c r="BK423" s="30"/>
      <c r="BL423" s="30"/>
      <c r="BM423" s="24"/>
      <c r="BN423" s="24"/>
      <c r="BO423" s="24"/>
      <c r="BP423" s="30"/>
      <c r="BQ423" s="30"/>
      <c r="BR423" s="30"/>
      <c r="BS423" s="30"/>
      <c r="BT423" s="30"/>
      <c r="BU423" s="30"/>
      <c r="BV423" s="30"/>
      <c r="BW423" s="30"/>
      <c r="BX423" s="30"/>
      <c r="BY423" s="24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</row>
    <row r="424" spans="1:88" ht="40.5" customHeight="1">
      <c r="A424" s="24">
        <f t="shared" si="10"/>
        <v>422</v>
      </c>
      <c r="B424" s="24" t="str">
        <f t="shared" si="11"/>
        <v xml:space="preserve">MA
</v>
      </c>
      <c r="C424" s="24" t="s">
        <v>1124</v>
      </c>
      <c r="D424" s="24" t="s">
        <v>851</v>
      </c>
      <c r="E424" s="30">
        <v>0</v>
      </c>
      <c r="F424" s="30">
        <v>0</v>
      </c>
      <c r="G424" s="24" t="s">
        <v>89</v>
      </c>
      <c r="H424" s="30"/>
      <c r="I424" s="30">
        <f>35725565607</f>
        <v>35725565607</v>
      </c>
      <c r="J424" s="30"/>
      <c r="K424" s="32" t="s">
        <v>1125</v>
      </c>
      <c r="L424" s="30"/>
      <c r="M424" s="30"/>
      <c r="N424" s="33" t="str">
        <f t="shared" si="12"/>
        <v xml:space="preserve">SYDEA TRADING LTD
</v>
      </c>
      <c r="O424" s="34" t="s">
        <v>78</v>
      </c>
      <c r="P424" s="35">
        <v>1</v>
      </c>
      <c r="Q424" s="36">
        <v>44949</v>
      </c>
      <c r="R424" s="35">
        <v>1</v>
      </c>
      <c r="S424" s="37">
        <v>6.7361111111111108E-2</v>
      </c>
      <c r="T424" s="34" t="s">
        <v>4</v>
      </c>
      <c r="U424" s="38" t="str">
        <f t="shared" si="2"/>
        <v xml:space="preserve">SYDEA TRADING LTD
</v>
      </c>
      <c r="V424" s="33"/>
      <c r="W424" s="33"/>
      <c r="X424" s="33"/>
      <c r="Y424" s="33"/>
      <c r="Z424" s="33"/>
      <c r="AA424" s="33"/>
      <c r="AB424" s="39" t="str">
        <f t="shared" si="13"/>
        <v xml:space="preserve">SYDEA TRADING LTD
</v>
      </c>
      <c r="AC424" s="39"/>
      <c r="AD424" s="39"/>
      <c r="AE424" s="39"/>
      <c r="AF424" s="39"/>
      <c r="AG424" s="39"/>
      <c r="AH424" s="33"/>
      <c r="AI424" s="39"/>
      <c r="AJ424" s="33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3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0"/>
      <c r="BK424" s="30"/>
      <c r="BL424" s="30"/>
      <c r="BM424" s="24"/>
      <c r="BN424" s="24"/>
      <c r="BO424" s="24"/>
      <c r="BP424" s="30"/>
      <c r="BQ424" s="30"/>
      <c r="BR424" s="30"/>
      <c r="BS424" s="30"/>
      <c r="BT424" s="30"/>
      <c r="BU424" s="30"/>
      <c r="BV424" s="30"/>
      <c r="BW424" s="30"/>
      <c r="BX424" s="30"/>
      <c r="BY424" s="24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</row>
    <row r="425" spans="1:88" ht="40.5" customHeight="1">
      <c r="A425" s="24">
        <f t="shared" si="10"/>
        <v>423</v>
      </c>
      <c r="B425" s="24" t="str">
        <f t="shared" si="11"/>
        <v xml:space="preserve">MA
</v>
      </c>
      <c r="C425" s="24" t="s">
        <v>1126</v>
      </c>
      <c r="D425" s="24" t="s">
        <v>851</v>
      </c>
      <c r="E425" s="30">
        <v>0</v>
      </c>
      <c r="F425" s="30">
        <v>0</v>
      </c>
      <c r="G425" s="24" t="s">
        <v>89</v>
      </c>
      <c r="H425" s="30"/>
      <c r="I425" s="30">
        <f>35725710810</f>
        <v>35725710810</v>
      </c>
      <c r="J425" s="30"/>
      <c r="K425" s="30"/>
      <c r="L425" s="30"/>
      <c r="M425" s="30"/>
      <c r="N425" s="33" t="str">
        <f t="shared" si="12"/>
        <v xml:space="preserve">Stelios Stylianou Garage
</v>
      </c>
      <c r="O425" s="34" t="s">
        <v>78</v>
      </c>
      <c r="P425" s="35">
        <v>1</v>
      </c>
      <c r="Q425" s="36">
        <v>44949</v>
      </c>
      <c r="R425" s="35">
        <v>1</v>
      </c>
      <c r="S425" s="37">
        <v>6.7361111111111108E-2</v>
      </c>
      <c r="T425" s="34" t="s">
        <v>4</v>
      </c>
      <c r="U425" s="38" t="str">
        <f t="shared" si="2"/>
        <v xml:space="preserve">Stelios Stylianou Garage
</v>
      </c>
      <c r="V425" s="33"/>
      <c r="W425" s="33"/>
      <c r="X425" s="33"/>
      <c r="Y425" s="33"/>
      <c r="Z425" s="33"/>
      <c r="AA425" s="33"/>
      <c r="AB425" s="39" t="str">
        <f t="shared" si="13"/>
        <v xml:space="preserve">Stelios Stylianou Garage
</v>
      </c>
      <c r="AC425" s="39"/>
      <c r="AD425" s="39"/>
      <c r="AE425" s="39"/>
      <c r="AF425" s="39"/>
      <c r="AG425" s="39"/>
      <c r="AH425" s="33"/>
      <c r="AI425" s="39"/>
      <c r="AJ425" s="33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3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0"/>
      <c r="BK425" s="30"/>
      <c r="BL425" s="30"/>
      <c r="BM425" s="24"/>
      <c r="BN425" s="24"/>
      <c r="BO425" s="24"/>
      <c r="BP425" s="30"/>
      <c r="BQ425" s="30"/>
      <c r="BR425" s="30"/>
      <c r="BS425" s="30"/>
      <c r="BT425" s="30"/>
      <c r="BU425" s="30"/>
      <c r="BV425" s="30"/>
      <c r="BW425" s="30"/>
      <c r="BX425" s="30"/>
      <c r="BY425" s="24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</row>
    <row r="426" spans="1:88" ht="40.5" customHeight="1">
      <c r="A426" s="9">
        <f t="shared" si="10"/>
        <v>424</v>
      </c>
      <c r="B426" s="9" t="str">
        <f t="shared" si="11"/>
        <v xml:space="preserve">MA
</v>
      </c>
      <c r="C426" s="9" t="s">
        <v>1127</v>
      </c>
      <c r="D426" s="9" t="s">
        <v>851</v>
      </c>
      <c r="E426" s="12">
        <v>0</v>
      </c>
      <c r="F426" s="12">
        <v>0</v>
      </c>
      <c r="G426" s="9" t="s">
        <v>89</v>
      </c>
      <c r="H426" s="12"/>
      <c r="I426" s="12"/>
      <c r="J426" s="12"/>
      <c r="K426" s="11" t="s">
        <v>1128</v>
      </c>
      <c r="L426" s="12"/>
      <c r="M426" s="12"/>
      <c r="N426" s="13" t="str">
        <f t="shared" si="12"/>
        <v xml:space="preserve">Ado Aluminium
</v>
      </c>
      <c r="O426" s="13"/>
      <c r="P426" s="17"/>
      <c r="Q426" s="13"/>
      <c r="R426" s="17"/>
      <c r="S426" s="17"/>
      <c r="T426" s="13"/>
      <c r="U426" s="17" t="str">
        <f t="shared" si="2"/>
        <v xml:space="preserve">Ado Aluminium
</v>
      </c>
      <c r="V426" s="13"/>
      <c r="W426" s="13"/>
      <c r="X426" s="13"/>
      <c r="Y426" s="13"/>
      <c r="Z426" s="13"/>
      <c r="AA426" s="13"/>
      <c r="AB426" s="18" t="str">
        <f t="shared" si="13"/>
        <v xml:space="preserve">Ado Aluminium
</v>
      </c>
      <c r="AC426" s="18"/>
      <c r="AD426" s="18"/>
      <c r="AE426" s="18"/>
      <c r="AF426" s="18"/>
      <c r="AG426" s="18"/>
      <c r="AH426" s="13"/>
      <c r="AI426" s="18"/>
      <c r="AJ426" s="13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3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2"/>
      <c r="BK426" s="12"/>
      <c r="BL426" s="12"/>
      <c r="BM426" s="9"/>
      <c r="BN426" s="9"/>
      <c r="BO426" s="9"/>
      <c r="BP426" s="12"/>
      <c r="BQ426" s="12"/>
      <c r="BR426" s="12"/>
      <c r="BS426" s="12"/>
      <c r="BT426" s="12"/>
      <c r="BU426" s="12"/>
      <c r="BV426" s="12"/>
      <c r="BW426" s="12"/>
      <c r="BX426" s="12"/>
      <c r="BY426" s="9"/>
      <c r="BZ426" s="21"/>
      <c r="CA426" s="21"/>
      <c r="CB426" s="21"/>
      <c r="CC426" s="21"/>
      <c r="CD426" s="21"/>
      <c r="CE426" s="21"/>
      <c r="CF426" s="21"/>
      <c r="CG426" s="21"/>
      <c r="CH426" s="21"/>
      <c r="CI426" s="21"/>
      <c r="CJ426" s="21"/>
    </row>
    <row r="427" spans="1:88" ht="40.5" customHeight="1">
      <c r="A427" s="24">
        <f t="shared" si="10"/>
        <v>425</v>
      </c>
      <c r="B427" s="24" t="str">
        <f t="shared" si="11"/>
        <v xml:space="preserve">MA
</v>
      </c>
      <c r="C427" s="24" t="s">
        <v>1129</v>
      </c>
      <c r="D427" s="24" t="s">
        <v>851</v>
      </c>
      <c r="E427" s="30">
        <v>0</v>
      </c>
      <c r="F427" s="30">
        <v>0</v>
      </c>
      <c r="G427" s="24" t="s">
        <v>89</v>
      </c>
      <c r="H427" s="30"/>
      <c r="I427" s="30">
        <f>35725325060</f>
        <v>35725325060</v>
      </c>
      <c r="J427" s="30"/>
      <c r="K427" s="70" t="s">
        <v>1130</v>
      </c>
      <c r="L427" s="30"/>
      <c r="M427" s="30"/>
      <c r="N427" s="33" t="str">
        <f t="shared" si="12"/>
        <v xml:space="preserve">P&amp;P ILIKODOMIKI LTD
</v>
      </c>
      <c r="O427" s="34" t="s">
        <v>78</v>
      </c>
      <c r="P427" s="35">
        <v>1</v>
      </c>
      <c r="Q427" s="36">
        <v>44949</v>
      </c>
      <c r="R427" s="35">
        <v>1</v>
      </c>
      <c r="S427" s="37">
        <v>4.583333333333333E-2</v>
      </c>
      <c r="T427" s="34" t="s">
        <v>4</v>
      </c>
      <c r="U427" s="38" t="str">
        <f t="shared" si="2"/>
        <v xml:space="preserve">P&amp;P ILIKODOMIKI LTD
</v>
      </c>
      <c r="V427" s="33"/>
      <c r="W427" s="33"/>
      <c r="X427" s="33"/>
      <c r="Y427" s="33"/>
      <c r="Z427" s="33"/>
      <c r="AA427" s="33"/>
      <c r="AB427" s="39" t="str">
        <f t="shared" si="13"/>
        <v xml:space="preserve">P&amp;P ILIKODOMIKI LTD
</v>
      </c>
      <c r="AC427" s="39"/>
      <c r="AD427" s="39"/>
      <c r="AE427" s="39"/>
      <c r="AF427" s="39"/>
      <c r="AG427" s="39"/>
      <c r="AH427" s="33"/>
      <c r="AI427" s="39"/>
      <c r="AJ427" s="33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3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0"/>
      <c r="BK427" s="30"/>
      <c r="BL427" s="30"/>
      <c r="BM427" s="24"/>
      <c r="BN427" s="24"/>
      <c r="BO427" s="24"/>
      <c r="BP427" s="30"/>
      <c r="BQ427" s="30"/>
      <c r="BR427" s="30"/>
      <c r="BS427" s="30"/>
      <c r="BT427" s="30"/>
      <c r="BU427" s="30"/>
      <c r="BV427" s="30"/>
      <c r="BW427" s="30"/>
      <c r="BX427" s="30"/>
      <c r="BY427" s="24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</row>
    <row r="428" spans="1:88" ht="40.5" customHeight="1">
      <c r="A428" s="9">
        <f t="shared" si="10"/>
        <v>426</v>
      </c>
      <c r="B428" s="9" t="str">
        <f t="shared" si="11"/>
        <v xml:space="preserve">MA
</v>
      </c>
      <c r="C428" s="9" t="s">
        <v>1131</v>
      </c>
      <c r="D428" s="9" t="s">
        <v>851</v>
      </c>
      <c r="E428" s="12">
        <v>0</v>
      </c>
      <c r="F428" s="12">
        <v>0</v>
      </c>
      <c r="G428" s="9" t="s">
        <v>89</v>
      </c>
      <c r="H428" s="12"/>
      <c r="I428" s="12">
        <f>35722431351</f>
        <v>35722431351</v>
      </c>
      <c r="J428" s="12"/>
      <c r="K428" s="12"/>
      <c r="L428" s="12"/>
      <c r="M428" s="12"/>
      <c r="N428" s="13" t="str">
        <f t="shared" si="12"/>
        <v xml:space="preserve">P.P.C Metal Way LTD
</v>
      </c>
      <c r="O428" s="16" t="s">
        <v>78</v>
      </c>
      <c r="P428" s="14">
        <v>1</v>
      </c>
      <c r="Q428" s="25">
        <v>44949</v>
      </c>
      <c r="R428" s="14">
        <v>5</v>
      </c>
      <c r="S428" s="26">
        <v>0.20416666666666666</v>
      </c>
      <c r="T428" s="16" t="s">
        <v>81</v>
      </c>
      <c r="U428" s="17" t="str">
        <f t="shared" si="2"/>
        <v xml:space="preserve">P.P.C Metal Way LTD
</v>
      </c>
      <c r="V428" s="13"/>
      <c r="W428" s="13"/>
      <c r="X428" s="13"/>
      <c r="Y428" s="13"/>
      <c r="Z428" s="13"/>
      <c r="AA428" s="13"/>
      <c r="AB428" s="18" t="str">
        <f t="shared" si="13"/>
        <v xml:space="preserve">P.P.C Metal Way LTD
</v>
      </c>
      <c r="AC428" s="18"/>
      <c r="AD428" s="18"/>
      <c r="AE428" s="18"/>
      <c r="AF428" s="18"/>
      <c r="AG428" s="18"/>
      <c r="AH428" s="13"/>
      <c r="AI428" s="18"/>
      <c r="AJ428" s="13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3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2"/>
      <c r="BK428" s="12"/>
      <c r="BL428" s="12"/>
      <c r="BM428" s="9"/>
      <c r="BN428" s="9"/>
      <c r="BO428" s="9"/>
      <c r="BP428" s="12"/>
      <c r="BQ428" s="12"/>
      <c r="BR428" s="12"/>
      <c r="BS428" s="12"/>
      <c r="BT428" s="12"/>
      <c r="BU428" s="12"/>
      <c r="BV428" s="12"/>
      <c r="BW428" s="12"/>
      <c r="BX428" s="12"/>
      <c r="BY428" s="9"/>
      <c r="BZ428" s="21"/>
      <c r="CA428" s="21"/>
      <c r="CB428" s="21"/>
      <c r="CC428" s="21"/>
      <c r="CD428" s="21"/>
      <c r="CE428" s="21"/>
      <c r="CF428" s="21"/>
      <c r="CG428" s="21"/>
      <c r="CH428" s="21"/>
      <c r="CI428" s="21"/>
      <c r="CJ428" s="21"/>
    </row>
    <row r="429" spans="1:88" ht="40.5" customHeight="1">
      <c r="A429" s="24">
        <f t="shared" si="10"/>
        <v>427</v>
      </c>
      <c r="B429" s="24" t="str">
        <f t="shared" si="11"/>
        <v xml:space="preserve">MA
</v>
      </c>
      <c r="C429" s="24" t="s">
        <v>1132</v>
      </c>
      <c r="D429" s="24" t="s">
        <v>851</v>
      </c>
      <c r="E429" s="30">
        <v>0</v>
      </c>
      <c r="F429" s="30">
        <v>0</v>
      </c>
      <c r="G429" s="24" t="s">
        <v>89</v>
      </c>
      <c r="H429" s="30"/>
      <c r="I429" s="30">
        <f>35722355777</f>
        <v>35722355777</v>
      </c>
      <c r="J429" s="30"/>
      <c r="K429" s="70" t="s">
        <v>1133</v>
      </c>
      <c r="L429" s="30"/>
      <c r="M429" s="30"/>
      <c r="N429" s="33" t="str">
        <f t="shared" si="12"/>
        <v xml:space="preserve">KTICIC WOOD &amp; STEEL SOLUTIONS LTD
</v>
      </c>
      <c r="O429" s="34" t="s">
        <v>78</v>
      </c>
      <c r="P429" s="35">
        <v>1</v>
      </c>
      <c r="Q429" s="36">
        <v>44949</v>
      </c>
      <c r="R429" s="35">
        <v>1</v>
      </c>
      <c r="S429" s="37">
        <v>5.9027777777777776E-2</v>
      </c>
      <c r="T429" s="34" t="s">
        <v>4</v>
      </c>
      <c r="U429" s="38" t="str">
        <f t="shared" si="2"/>
        <v xml:space="preserve">KTICIC WOOD &amp; STEEL SOLUTIONS LTD
</v>
      </c>
      <c r="V429" s="33"/>
      <c r="W429" s="33"/>
      <c r="X429" s="33"/>
      <c r="Y429" s="33"/>
      <c r="Z429" s="33"/>
      <c r="AA429" s="33"/>
      <c r="AB429" s="39" t="str">
        <f t="shared" si="13"/>
        <v xml:space="preserve">KTICIC WOOD &amp; STEEL SOLUTIONS LTD
</v>
      </c>
      <c r="AC429" s="39"/>
      <c r="AD429" s="39"/>
      <c r="AE429" s="39"/>
      <c r="AF429" s="39"/>
      <c r="AG429" s="39"/>
      <c r="AH429" s="33"/>
      <c r="AI429" s="39"/>
      <c r="AJ429" s="33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3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0"/>
      <c r="BK429" s="30"/>
      <c r="BL429" s="30"/>
      <c r="BM429" s="24"/>
      <c r="BN429" s="24"/>
      <c r="BO429" s="24"/>
      <c r="BP429" s="30"/>
      <c r="BQ429" s="30"/>
      <c r="BR429" s="30"/>
      <c r="BS429" s="30"/>
      <c r="BT429" s="30"/>
      <c r="BU429" s="30"/>
      <c r="BV429" s="30"/>
      <c r="BW429" s="30"/>
      <c r="BX429" s="30"/>
      <c r="BY429" s="24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</row>
    <row r="430" spans="1:88" ht="40.5" customHeight="1">
      <c r="A430" s="24">
        <f t="shared" si="10"/>
        <v>428</v>
      </c>
      <c r="B430" s="24" t="str">
        <f t="shared" si="11"/>
        <v xml:space="preserve">MA
</v>
      </c>
      <c r="C430" s="24" t="s">
        <v>1134</v>
      </c>
      <c r="D430" s="24" t="s">
        <v>851</v>
      </c>
      <c r="E430" s="30">
        <v>0</v>
      </c>
      <c r="F430" s="30">
        <v>0</v>
      </c>
      <c r="G430" s="24" t="s">
        <v>89</v>
      </c>
      <c r="H430" s="30"/>
      <c r="I430" s="30">
        <f>35725870988</f>
        <v>35725870988</v>
      </c>
      <c r="J430" s="30"/>
      <c r="K430" s="70" t="s">
        <v>1135</v>
      </c>
      <c r="L430" s="30"/>
      <c r="M430" s="30"/>
      <c r="N430" s="33" t="str">
        <f t="shared" si="12"/>
        <v xml:space="preserve">Χριστοφής Σιαλής
</v>
      </c>
      <c r="O430" s="34" t="s">
        <v>78</v>
      </c>
      <c r="P430" s="35">
        <v>1</v>
      </c>
      <c r="Q430" s="36">
        <v>44949</v>
      </c>
      <c r="R430" s="35">
        <v>1</v>
      </c>
      <c r="S430" s="37">
        <v>1.3888888888888888E-2</v>
      </c>
      <c r="T430" s="34" t="s">
        <v>4</v>
      </c>
      <c r="U430" s="38" t="str">
        <f t="shared" si="2"/>
        <v xml:space="preserve">Χριστοφής Σιαλής
</v>
      </c>
      <c r="V430" s="33"/>
      <c r="W430" s="33"/>
      <c r="X430" s="33"/>
      <c r="Y430" s="33"/>
      <c r="Z430" s="33"/>
      <c r="AA430" s="33"/>
      <c r="AB430" s="39" t="str">
        <f t="shared" si="13"/>
        <v xml:space="preserve">Χριστοφής Σιαλής
</v>
      </c>
      <c r="AC430" s="39"/>
      <c r="AD430" s="39"/>
      <c r="AE430" s="39"/>
      <c r="AF430" s="39"/>
      <c r="AG430" s="39"/>
      <c r="AH430" s="33"/>
      <c r="AI430" s="39"/>
      <c r="AJ430" s="33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3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0"/>
      <c r="BK430" s="30"/>
      <c r="BL430" s="30"/>
      <c r="BM430" s="24"/>
      <c r="BN430" s="24"/>
      <c r="BO430" s="24"/>
      <c r="BP430" s="30"/>
      <c r="BQ430" s="30"/>
      <c r="BR430" s="30"/>
      <c r="BS430" s="30"/>
      <c r="BT430" s="30"/>
      <c r="BU430" s="30"/>
      <c r="BV430" s="30"/>
      <c r="BW430" s="30"/>
      <c r="BX430" s="30"/>
      <c r="BY430" s="24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</row>
    <row r="431" spans="1:88" ht="40.5" customHeight="1">
      <c r="A431" s="9">
        <f t="shared" si="10"/>
        <v>429</v>
      </c>
      <c r="B431" s="9" t="str">
        <f t="shared" si="11"/>
        <v xml:space="preserve">MA
</v>
      </c>
      <c r="C431" s="9" t="s">
        <v>1136</v>
      </c>
      <c r="D431" s="9" t="s">
        <v>851</v>
      </c>
      <c r="E431" s="12">
        <v>0</v>
      </c>
      <c r="F431" s="12">
        <v>0</v>
      </c>
      <c r="G431" s="9" t="s">
        <v>89</v>
      </c>
      <c r="H431" s="12"/>
      <c r="I431" s="9">
        <v>3123487593</v>
      </c>
      <c r="J431" s="12"/>
      <c r="K431" s="12"/>
      <c r="L431" s="12"/>
      <c r="M431" s="12"/>
      <c r="N431" s="13" t="str">
        <f t="shared" si="12"/>
        <v xml:space="preserve">Meral Alüminyum
</v>
      </c>
      <c r="O431" s="13"/>
      <c r="P431" s="17"/>
      <c r="Q431" s="13"/>
      <c r="R431" s="17"/>
      <c r="S431" s="17"/>
      <c r="T431" s="13"/>
      <c r="U431" s="17" t="str">
        <f t="shared" si="2"/>
        <v xml:space="preserve">Meral Alüminyum
</v>
      </c>
      <c r="V431" s="13"/>
      <c r="W431" s="13"/>
      <c r="X431" s="13"/>
      <c r="Y431" s="13"/>
      <c r="Z431" s="13"/>
      <c r="AA431" s="13"/>
      <c r="AB431" s="18" t="str">
        <f t="shared" si="13"/>
        <v xml:space="preserve">Meral Alüminyum
</v>
      </c>
      <c r="AC431" s="18"/>
      <c r="AD431" s="18"/>
      <c r="AE431" s="18"/>
      <c r="AF431" s="18"/>
      <c r="AG431" s="18"/>
      <c r="AH431" s="13"/>
      <c r="AI431" s="18"/>
      <c r="AJ431" s="13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3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2"/>
      <c r="BK431" s="12"/>
      <c r="BL431" s="12"/>
      <c r="BM431" s="9"/>
      <c r="BN431" s="9"/>
      <c r="BO431" s="9"/>
      <c r="BP431" s="12"/>
      <c r="BQ431" s="12"/>
      <c r="BR431" s="12"/>
      <c r="BS431" s="12"/>
      <c r="BT431" s="12"/>
      <c r="BU431" s="12"/>
      <c r="BV431" s="12"/>
      <c r="BW431" s="12"/>
      <c r="BX431" s="12"/>
      <c r="BY431" s="9"/>
      <c r="BZ431" s="21"/>
      <c r="CA431" s="21"/>
      <c r="CB431" s="21"/>
      <c r="CC431" s="21"/>
      <c r="CD431" s="21"/>
      <c r="CE431" s="21"/>
      <c r="CF431" s="21"/>
      <c r="CG431" s="21"/>
      <c r="CH431" s="21"/>
      <c r="CI431" s="21"/>
      <c r="CJ431" s="21"/>
    </row>
    <row r="432" spans="1:88" ht="40.5" customHeight="1">
      <c r="A432" s="24">
        <f t="shared" si="10"/>
        <v>430</v>
      </c>
      <c r="B432" s="24" t="str">
        <f t="shared" si="11"/>
        <v xml:space="preserve">MA
</v>
      </c>
      <c r="C432" s="24" t="s">
        <v>1137</v>
      </c>
      <c r="D432" s="24" t="s">
        <v>851</v>
      </c>
      <c r="E432" s="30">
        <v>0</v>
      </c>
      <c r="F432" s="30">
        <v>0</v>
      </c>
      <c r="G432" s="24" t="s">
        <v>89</v>
      </c>
      <c r="H432" s="30"/>
      <c r="I432" s="30">
        <f>35725364610</f>
        <v>35725364610</v>
      </c>
      <c r="J432" s="30"/>
      <c r="K432" s="30"/>
      <c r="L432" s="30"/>
      <c r="M432" s="30"/>
      <c r="N432" s="33" t="str">
        <f t="shared" si="12"/>
        <v xml:space="preserve">GK STRICTLY GOURMET LTD
</v>
      </c>
      <c r="O432" s="34" t="s">
        <v>78</v>
      </c>
      <c r="P432" s="35">
        <v>1</v>
      </c>
      <c r="Q432" s="36">
        <v>44949</v>
      </c>
      <c r="R432" s="35">
        <v>4</v>
      </c>
      <c r="S432" s="37">
        <v>7.6388888888888895E-2</v>
      </c>
      <c r="T432" s="34" t="s">
        <v>108</v>
      </c>
      <c r="U432" s="38" t="str">
        <f t="shared" si="2"/>
        <v xml:space="preserve">GK STRICTLY GOURMET LTD
</v>
      </c>
      <c r="V432" s="34" t="s">
        <v>78</v>
      </c>
      <c r="W432" s="34">
        <v>1</v>
      </c>
      <c r="X432" s="36">
        <v>44952</v>
      </c>
      <c r="Y432" s="34">
        <v>1</v>
      </c>
      <c r="Z432" s="43">
        <v>9.0277777777777776E-2</v>
      </c>
      <c r="AA432" s="34" t="s">
        <v>4</v>
      </c>
      <c r="AB432" s="39" t="str">
        <f t="shared" si="13"/>
        <v xml:space="preserve">GK STRICTLY GOURMET LTD
</v>
      </c>
      <c r="AC432" s="39"/>
      <c r="AD432" s="39"/>
      <c r="AE432" s="39"/>
      <c r="AF432" s="39"/>
      <c r="AG432" s="39"/>
      <c r="AH432" s="33"/>
      <c r="AI432" s="39"/>
      <c r="AJ432" s="33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3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0"/>
      <c r="BK432" s="30"/>
      <c r="BL432" s="30"/>
      <c r="BM432" s="24"/>
      <c r="BN432" s="24"/>
      <c r="BO432" s="24"/>
      <c r="BP432" s="30"/>
      <c r="BQ432" s="30"/>
      <c r="BR432" s="30"/>
      <c r="BS432" s="30"/>
      <c r="BT432" s="30"/>
      <c r="BU432" s="30"/>
      <c r="BV432" s="30"/>
      <c r="BW432" s="30"/>
      <c r="BX432" s="30"/>
      <c r="BY432" s="24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</row>
    <row r="433" spans="1:88" ht="40.5" customHeight="1">
      <c r="A433" s="9">
        <f t="shared" si="10"/>
        <v>431</v>
      </c>
      <c r="B433" s="9" t="str">
        <f t="shared" si="11"/>
        <v xml:space="preserve">MA
</v>
      </c>
      <c r="C433" s="9" t="s">
        <v>1138</v>
      </c>
      <c r="D433" s="9" t="s">
        <v>851</v>
      </c>
      <c r="E433" s="12">
        <v>0</v>
      </c>
      <c r="F433" s="12">
        <v>0</v>
      </c>
      <c r="G433" s="9" t="s">
        <v>89</v>
      </c>
      <c r="H433" s="12"/>
      <c r="I433" s="12">
        <f>35725586486</f>
        <v>35725586486</v>
      </c>
      <c r="J433" s="12"/>
      <c r="K433" s="22" t="s">
        <v>1139</v>
      </c>
      <c r="L433" s="12"/>
      <c r="M433" s="12"/>
      <c r="N433" s="13" t="str">
        <f t="shared" si="12"/>
        <v xml:space="preserve">ANDREAS KALAVAZIDES LTD
</v>
      </c>
      <c r="O433" s="16" t="s">
        <v>78</v>
      </c>
      <c r="P433" s="14">
        <v>1</v>
      </c>
      <c r="Q433" s="25">
        <v>44949</v>
      </c>
      <c r="R433" s="14">
        <v>3</v>
      </c>
      <c r="S433" s="26">
        <v>2.9166666666666667E-2</v>
      </c>
      <c r="T433" s="16" t="s">
        <v>153</v>
      </c>
      <c r="U433" s="17" t="str">
        <f t="shared" si="2"/>
        <v xml:space="preserve">ANDREAS KALAVAZIDES LTD
</v>
      </c>
      <c r="V433" s="13"/>
      <c r="W433" s="13"/>
      <c r="X433" s="13"/>
      <c r="Y433" s="13"/>
      <c r="Z433" s="13"/>
      <c r="AA433" s="13"/>
      <c r="AB433" s="18" t="str">
        <f t="shared" si="13"/>
        <v xml:space="preserve">ANDREAS KALAVAZIDES LTD
</v>
      </c>
      <c r="AC433" s="18"/>
      <c r="AD433" s="18"/>
      <c r="AE433" s="18"/>
      <c r="AF433" s="18"/>
      <c r="AG433" s="18"/>
      <c r="AH433" s="13"/>
      <c r="AI433" s="18"/>
      <c r="AJ433" s="13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3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2"/>
      <c r="BK433" s="12"/>
      <c r="BL433" s="12"/>
      <c r="BM433" s="9"/>
      <c r="BN433" s="9"/>
      <c r="BO433" s="9"/>
      <c r="BP433" s="12"/>
      <c r="BQ433" s="12"/>
      <c r="BR433" s="12"/>
      <c r="BS433" s="12"/>
      <c r="BT433" s="12"/>
      <c r="BU433" s="12"/>
      <c r="BV433" s="12"/>
      <c r="BW433" s="12"/>
      <c r="BX433" s="12"/>
      <c r="BY433" s="9"/>
      <c r="BZ433" s="21"/>
      <c r="CA433" s="21"/>
      <c r="CB433" s="21"/>
      <c r="CC433" s="21"/>
      <c r="CD433" s="21"/>
      <c r="CE433" s="21"/>
      <c r="CF433" s="21"/>
      <c r="CG433" s="21"/>
      <c r="CH433" s="21"/>
      <c r="CI433" s="21"/>
      <c r="CJ433" s="21"/>
    </row>
    <row r="434" spans="1:88" ht="40.5" customHeight="1">
      <c r="A434" s="9">
        <f t="shared" si="10"/>
        <v>432</v>
      </c>
      <c r="B434" s="9" t="str">
        <f t="shared" si="11"/>
        <v xml:space="preserve">MA
</v>
      </c>
      <c r="C434" s="9" t="s">
        <v>1140</v>
      </c>
      <c r="D434" s="9" t="s">
        <v>851</v>
      </c>
      <c r="E434" s="12">
        <v>0</v>
      </c>
      <c r="F434" s="12">
        <v>0</v>
      </c>
      <c r="G434" s="9" t="s">
        <v>89</v>
      </c>
      <c r="H434" s="12"/>
      <c r="I434" s="9">
        <v>3523221555</v>
      </c>
      <c r="J434" s="12"/>
      <c r="K434" s="11" t="s">
        <v>1141</v>
      </c>
      <c r="L434" s="12"/>
      <c r="M434" s="12"/>
      <c r="N434" s="13" t="str">
        <f t="shared" si="12"/>
        <v xml:space="preserve">formal Aluminum
</v>
      </c>
      <c r="O434" s="16"/>
      <c r="P434" s="17"/>
      <c r="Q434" s="13"/>
      <c r="R434" s="17"/>
      <c r="S434" s="17"/>
      <c r="T434" s="13"/>
      <c r="U434" s="17" t="str">
        <f t="shared" si="2"/>
        <v xml:space="preserve">formal Aluminum
</v>
      </c>
      <c r="V434" s="13"/>
      <c r="W434" s="13"/>
      <c r="X434" s="13"/>
      <c r="Y434" s="13"/>
      <c r="Z434" s="13"/>
      <c r="AA434" s="13"/>
      <c r="AB434" s="18" t="str">
        <f t="shared" si="13"/>
        <v xml:space="preserve">formal Aluminum
</v>
      </c>
      <c r="AC434" s="18"/>
      <c r="AD434" s="18"/>
      <c r="AE434" s="18"/>
      <c r="AF434" s="18"/>
      <c r="AG434" s="18"/>
      <c r="AH434" s="13"/>
      <c r="AI434" s="18"/>
      <c r="AJ434" s="13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3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2"/>
      <c r="BK434" s="12"/>
      <c r="BL434" s="12"/>
      <c r="BM434" s="9"/>
      <c r="BN434" s="9"/>
      <c r="BO434" s="9"/>
      <c r="BP434" s="12"/>
      <c r="BQ434" s="12"/>
      <c r="BR434" s="12"/>
      <c r="BS434" s="12"/>
      <c r="BT434" s="12"/>
      <c r="BU434" s="12"/>
      <c r="BV434" s="12"/>
      <c r="BW434" s="12"/>
      <c r="BX434" s="12"/>
      <c r="BY434" s="9"/>
      <c r="BZ434" s="21"/>
      <c r="CA434" s="21"/>
      <c r="CB434" s="21"/>
      <c r="CC434" s="21"/>
      <c r="CD434" s="21"/>
      <c r="CE434" s="21"/>
      <c r="CF434" s="21"/>
      <c r="CG434" s="21"/>
      <c r="CH434" s="21"/>
      <c r="CI434" s="21"/>
      <c r="CJ434" s="21"/>
    </row>
    <row r="435" spans="1:88" ht="40.5" customHeight="1">
      <c r="A435" s="9">
        <f t="shared" si="10"/>
        <v>433</v>
      </c>
      <c r="B435" s="9" t="str">
        <f t="shared" si="11"/>
        <v xml:space="preserve">MA
</v>
      </c>
      <c r="C435" s="9" t="s">
        <v>1142</v>
      </c>
      <c r="D435" s="9" t="s">
        <v>851</v>
      </c>
      <c r="E435" s="12">
        <v>0</v>
      </c>
      <c r="F435" s="12">
        <v>0</v>
      </c>
      <c r="G435" s="9" t="s">
        <v>89</v>
      </c>
      <c r="H435" s="12"/>
      <c r="I435" s="12">
        <f>35725729789</f>
        <v>35725729789</v>
      </c>
      <c r="J435" s="12"/>
      <c r="K435" s="22" t="s">
        <v>1143</v>
      </c>
      <c r="L435" s="12"/>
      <c r="M435" s="12"/>
      <c r="N435" s="13" t="str">
        <f t="shared" si="12"/>
        <v xml:space="preserve">CHR KONTOS ENTERPRISES
</v>
      </c>
      <c r="O435" s="16" t="s">
        <v>78</v>
      </c>
      <c r="P435" s="14">
        <v>1</v>
      </c>
      <c r="Q435" s="25">
        <v>44949</v>
      </c>
      <c r="R435" s="14">
        <v>5</v>
      </c>
      <c r="S435" s="26">
        <v>0.15902777777777777</v>
      </c>
      <c r="T435" s="16" t="s">
        <v>81</v>
      </c>
      <c r="U435" s="17" t="str">
        <f t="shared" si="2"/>
        <v xml:space="preserve">CHR KONTOS ENTERPRISES
</v>
      </c>
      <c r="V435" s="13"/>
      <c r="W435" s="13"/>
      <c r="X435" s="13"/>
      <c r="Y435" s="13"/>
      <c r="Z435" s="13"/>
      <c r="AA435" s="13"/>
      <c r="AB435" s="18" t="str">
        <f t="shared" si="13"/>
        <v xml:space="preserve">CHR KONTOS ENTERPRISES
</v>
      </c>
      <c r="AC435" s="18"/>
      <c r="AD435" s="18"/>
      <c r="AE435" s="18"/>
      <c r="AF435" s="18"/>
      <c r="AG435" s="18"/>
      <c r="AH435" s="13"/>
      <c r="AI435" s="18"/>
      <c r="AJ435" s="13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3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2"/>
      <c r="BK435" s="12"/>
      <c r="BL435" s="12"/>
      <c r="BM435" s="9"/>
      <c r="BN435" s="9"/>
      <c r="BO435" s="9"/>
      <c r="BP435" s="12"/>
      <c r="BQ435" s="12"/>
      <c r="BR435" s="12"/>
      <c r="BS435" s="12"/>
      <c r="BT435" s="12"/>
      <c r="BU435" s="12"/>
      <c r="BV435" s="12"/>
      <c r="BW435" s="12"/>
      <c r="BX435" s="12"/>
      <c r="BY435" s="9"/>
      <c r="BZ435" s="21"/>
      <c r="CA435" s="21"/>
      <c r="CB435" s="21"/>
      <c r="CC435" s="21"/>
      <c r="CD435" s="21"/>
      <c r="CE435" s="21"/>
      <c r="CF435" s="21"/>
      <c r="CG435" s="21"/>
      <c r="CH435" s="21"/>
      <c r="CI435" s="21"/>
      <c r="CJ435" s="21"/>
    </row>
    <row r="436" spans="1:88" ht="40.5" customHeight="1">
      <c r="A436" s="9">
        <f t="shared" si="10"/>
        <v>434</v>
      </c>
      <c r="B436" s="9" t="str">
        <f t="shared" si="11"/>
        <v xml:space="preserve">MA
</v>
      </c>
      <c r="C436" s="9" t="s">
        <v>1144</v>
      </c>
      <c r="D436" s="9" t="s">
        <v>851</v>
      </c>
      <c r="E436" s="12">
        <v>0</v>
      </c>
      <c r="F436" s="12">
        <v>0</v>
      </c>
      <c r="G436" s="9" t="s">
        <v>89</v>
      </c>
      <c r="H436" s="12"/>
      <c r="I436" s="12">
        <f>35725716111</f>
        <v>35725716111</v>
      </c>
      <c r="J436" s="12"/>
      <c r="K436" s="12"/>
      <c r="L436" s="12"/>
      <c r="M436" s="12"/>
      <c r="N436" s="13" t="str">
        <f t="shared" si="12"/>
        <v xml:space="preserve">SEMO MOT Station
</v>
      </c>
      <c r="O436" s="16" t="s">
        <v>78</v>
      </c>
      <c r="P436" s="14">
        <v>1</v>
      </c>
      <c r="Q436" s="25">
        <v>44949</v>
      </c>
      <c r="R436" s="14"/>
      <c r="S436" s="17"/>
      <c r="T436" s="16" t="s">
        <v>126</v>
      </c>
      <c r="U436" s="17" t="str">
        <f t="shared" si="2"/>
        <v xml:space="preserve">SEMO MOT Station
</v>
      </c>
      <c r="V436" s="13"/>
      <c r="W436" s="13"/>
      <c r="X436" s="13"/>
      <c r="Y436" s="13"/>
      <c r="Z436" s="13"/>
      <c r="AA436" s="13"/>
      <c r="AB436" s="18" t="str">
        <f t="shared" si="13"/>
        <v xml:space="preserve">SEMO MOT Station
</v>
      </c>
      <c r="AC436" s="18"/>
      <c r="AD436" s="18"/>
      <c r="AE436" s="18"/>
      <c r="AF436" s="18"/>
      <c r="AG436" s="18"/>
      <c r="AH436" s="13"/>
      <c r="AI436" s="18"/>
      <c r="AJ436" s="13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3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2"/>
      <c r="BK436" s="12"/>
      <c r="BL436" s="12"/>
      <c r="BM436" s="9"/>
      <c r="BN436" s="9"/>
      <c r="BO436" s="9"/>
      <c r="BP436" s="12"/>
      <c r="BQ436" s="12"/>
      <c r="BR436" s="12"/>
      <c r="BS436" s="12"/>
      <c r="BT436" s="12"/>
      <c r="BU436" s="12"/>
      <c r="BV436" s="12"/>
      <c r="BW436" s="12"/>
      <c r="BX436" s="12"/>
      <c r="BY436" s="9"/>
      <c r="BZ436" s="21"/>
      <c r="CA436" s="21"/>
      <c r="CB436" s="21"/>
      <c r="CC436" s="21"/>
      <c r="CD436" s="21"/>
      <c r="CE436" s="21"/>
      <c r="CF436" s="21"/>
      <c r="CG436" s="21"/>
      <c r="CH436" s="21"/>
      <c r="CI436" s="21"/>
      <c r="CJ436" s="21"/>
    </row>
    <row r="437" spans="1:88" ht="40.5" customHeight="1">
      <c r="A437" s="24">
        <f t="shared" si="10"/>
        <v>435</v>
      </c>
      <c r="B437" s="24" t="str">
        <f t="shared" si="11"/>
        <v xml:space="preserve">MA
</v>
      </c>
      <c r="C437" s="24" t="s">
        <v>1145</v>
      </c>
      <c r="D437" s="24" t="s">
        <v>851</v>
      </c>
      <c r="E437" s="30">
        <v>0</v>
      </c>
      <c r="F437" s="30">
        <v>0</v>
      </c>
      <c r="G437" s="24" t="s">
        <v>89</v>
      </c>
      <c r="H437" s="30"/>
      <c r="I437" s="30">
        <f>35725251248</f>
        <v>35725251248</v>
      </c>
      <c r="J437" s="30"/>
      <c r="K437" s="30"/>
      <c r="L437" s="30"/>
      <c r="M437" s="30"/>
      <c r="N437" s="33" t="str">
        <f t="shared" si="12"/>
        <v xml:space="preserve">Lesxi Proodos
</v>
      </c>
      <c r="O437" s="34" t="s">
        <v>78</v>
      </c>
      <c r="P437" s="35">
        <v>1</v>
      </c>
      <c r="Q437" s="36">
        <v>44949</v>
      </c>
      <c r="R437" s="38"/>
      <c r="S437" s="38"/>
      <c r="T437" s="34" t="s">
        <v>4</v>
      </c>
      <c r="U437" s="38" t="str">
        <f t="shared" si="2"/>
        <v xml:space="preserve">Lesxi Proodos
</v>
      </c>
      <c r="V437" s="33"/>
      <c r="W437" s="33"/>
      <c r="X437" s="33"/>
      <c r="Y437" s="33"/>
      <c r="Z437" s="33"/>
      <c r="AA437" s="33"/>
      <c r="AB437" s="39" t="str">
        <f t="shared" si="13"/>
        <v xml:space="preserve">Lesxi Proodos
</v>
      </c>
      <c r="AC437" s="39"/>
      <c r="AD437" s="39"/>
      <c r="AE437" s="39"/>
      <c r="AF437" s="39"/>
      <c r="AG437" s="39"/>
      <c r="AH437" s="33"/>
      <c r="AI437" s="39"/>
      <c r="AJ437" s="33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3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0"/>
      <c r="BK437" s="30"/>
      <c r="BL437" s="30"/>
      <c r="BM437" s="24"/>
      <c r="BN437" s="24"/>
      <c r="BO437" s="24"/>
      <c r="BP437" s="30"/>
      <c r="BQ437" s="30"/>
      <c r="BR437" s="30"/>
      <c r="BS437" s="30"/>
      <c r="BT437" s="30"/>
      <c r="BU437" s="30"/>
      <c r="BV437" s="30"/>
      <c r="BW437" s="30"/>
      <c r="BX437" s="30"/>
      <c r="BY437" s="24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</row>
    <row r="438" spans="1:88" ht="40.5" customHeight="1">
      <c r="A438" s="9">
        <f t="shared" si="10"/>
        <v>436</v>
      </c>
      <c r="B438" s="9" t="str">
        <f t="shared" si="11"/>
        <v xml:space="preserve">MA
</v>
      </c>
      <c r="C438" s="9" t="s">
        <v>1146</v>
      </c>
      <c r="D438" s="9" t="s">
        <v>746</v>
      </c>
      <c r="E438" s="12">
        <v>0</v>
      </c>
      <c r="F438" s="12">
        <v>0</v>
      </c>
      <c r="G438" s="9" t="s">
        <v>89</v>
      </c>
      <c r="H438" s="12"/>
      <c r="I438" s="9">
        <v>966569318696</v>
      </c>
      <c r="J438" s="9" t="s">
        <v>1147</v>
      </c>
      <c r="K438" s="12"/>
      <c r="L438" s="12"/>
      <c r="M438" s="12"/>
      <c r="N438" s="13" t="str">
        <f t="shared" si="12"/>
        <v>SGAPCO</v>
      </c>
      <c r="O438" s="16" t="s">
        <v>78</v>
      </c>
      <c r="P438" s="14">
        <v>1</v>
      </c>
      <c r="Q438" s="25">
        <v>44952</v>
      </c>
      <c r="R438" s="14">
        <v>5</v>
      </c>
      <c r="S438" s="26">
        <v>0.16666666666666666</v>
      </c>
      <c r="T438" s="16" t="s">
        <v>108</v>
      </c>
      <c r="U438" s="17" t="str">
        <f t="shared" si="2"/>
        <v>SGAPCO</v>
      </c>
      <c r="V438" s="13"/>
      <c r="W438" s="13"/>
      <c r="X438" s="13"/>
      <c r="Y438" s="13"/>
      <c r="Z438" s="13"/>
      <c r="AA438" s="13"/>
      <c r="AB438" s="18" t="str">
        <f t="shared" si="13"/>
        <v>SGAPCO</v>
      </c>
      <c r="AC438" s="18"/>
      <c r="AD438" s="18"/>
      <c r="AE438" s="18"/>
      <c r="AF438" s="18"/>
      <c r="AG438" s="18"/>
      <c r="AH438" s="13"/>
      <c r="AI438" s="18"/>
      <c r="AJ438" s="13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3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2"/>
      <c r="BK438" s="12"/>
      <c r="BL438" s="12"/>
      <c r="BM438" s="9"/>
      <c r="BN438" s="9"/>
      <c r="BO438" s="9"/>
      <c r="BP438" s="12"/>
      <c r="BQ438" s="12"/>
      <c r="BR438" s="12"/>
      <c r="BS438" s="12"/>
      <c r="BT438" s="12"/>
      <c r="BU438" s="12"/>
      <c r="BV438" s="12"/>
      <c r="BW438" s="12"/>
      <c r="BX438" s="12"/>
      <c r="BY438" s="9"/>
      <c r="BZ438" s="21"/>
      <c r="CA438" s="21"/>
      <c r="CB438" s="21"/>
      <c r="CC438" s="21"/>
      <c r="CD438" s="21"/>
      <c r="CE438" s="21"/>
      <c r="CF438" s="21"/>
      <c r="CG438" s="21"/>
      <c r="CH438" s="21"/>
      <c r="CI438" s="21"/>
      <c r="CJ438" s="21"/>
    </row>
    <row r="439" spans="1:88" ht="40.5" customHeight="1">
      <c r="A439" s="9">
        <f t="shared" si="10"/>
        <v>437</v>
      </c>
      <c r="B439" s="9" t="str">
        <f t="shared" si="11"/>
        <v xml:space="preserve">MA
</v>
      </c>
      <c r="C439" s="9" t="s">
        <v>1148</v>
      </c>
      <c r="D439" s="9" t="s">
        <v>1149</v>
      </c>
      <c r="E439" s="12">
        <v>0</v>
      </c>
      <c r="F439" s="12">
        <v>0</v>
      </c>
      <c r="G439" s="9" t="s">
        <v>89</v>
      </c>
      <c r="H439" s="12"/>
      <c r="I439" s="12">
        <f>355692091900</f>
        <v>355692091900</v>
      </c>
      <c r="J439" s="12"/>
      <c r="K439" s="11" t="s">
        <v>1150</v>
      </c>
      <c r="L439" s="12"/>
      <c r="M439" s="12"/>
      <c r="N439" s="13" t="str">
        <f t="shared" si="12"/>
        <v xml:space="preserve">Window Tech shpk
</v>
      </c>
      <c r="O439" s="16" t="s">
        <v>78</v>
      </c>
      <c r="P439" s="23" t="s">
        <v>785</v>
      </c>
      <c r="Q439" s="15" t="s">
        <v>139</v>
      </c>
      <c r="R439" s="23" t="s">
        <v>232</v>
      </c>
      <c r="S439" s="23" t="s">
        <v>181</v>
      </c>
      <c r="T439" s="16" t="s">
        <v>166</v>
      </c>
      <c r="U439" s="17" t="str">
        <f t="shared" si="2"/>
        <v xml:space="preserve">Window Tech shpk
</v>
      </c>
      <c r="V439" s="16" t="s">
        <v>98</v>
      </c>
      <c r="W439" s="16" t="s">
        <v>79</v>
      </c>
      <c r="X439" s="15" t="s">
        <v>140</v>
      </c>
      <c r="Y439" s="16" t="s">
        <v>75</v>
      </c>
      <c r="Z439" s="16" t="s">
        <v>75</v>
      </c>
      <c r="AA439" s="16" t="s">
        <v>86</v>
      </c>
      <c r="AB439" s="18" t="str">
        <f t="shared" si="13"/>
        <v xml:space="preserve">Window Tech shpk
</v>
      </c>
      <c r="AC439" s="18"/>
      <c r="AD439" s="18"/>
      <c r="AE439" s="18"/>
      <c r="AF439" s="18"/>
      <c r="AG439" s="18"/>
      <c r="AH439" s="13"/>
      <c r="AI439" s="18"/>
      <c r="AJ439" s="13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3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2"/>
      <c r="BK439" s="12"/>
      <c r="BL439" s="12"/>
      <c r="BM439" s="9"/>
      <c r="BN439" s="9"/>
      <c r="BO439" s="9"/>
      <c r="BP439" s="12"/>
      <c r="BQ439" s="12"/>
      <c r="BR439" s="12"/>
      <c r="BS439" s="12"/>
      <c r="BT439" s="12"/>
      <c r="BU439" s="12"/>
      <c r="BV439" s="12"/>
      <c r="BW439" s="12"/>
      <c r="BX439" s="12"/>
      <c r="BY439" s="9"/>
      <c r="BZ439" s="21"/>
      <c r="CA439" s="21"/>
      <c r="CB439" s="21"/>
      <c r="CC439" s="21"/>
      <c r="CD439" s="21"/>
      <c r="CE439" s="21"/>
      <c r="CF439" s="21"/>
      <c r="CG439" s="21"/>
      <c r="CH439" s="21"/>
      <c r="CI439" s="21"/>
      <c r="CJ439" s="21"/>
    </row>
    <row r="440" spans="1:88" ht="40.5" customHeight="1">
      <c r="A440" s="9">
        <f t="shared" si="10"/>
        <v>438</v>
      </c>
      <c r="B440" s="9" t="str">
        <f t="shared" si="11"/>
        <v xml:space="preserve">MA
</v>
      </c>
      <c r="C440" s="9" t="s">
        <v>1151</v>
      </c>
      <c r="D440" s="9" t="s">
        <v>1149</v>
      </c>
      <c r="E440" s="12">
        <v>0</v>
      </c>
      <c r="F440" s="12">
        <v>0</v>
      </c>
      <c r="G440" s="9" t="s">
        <v>89</v>
      </c>
      <c r="H440" s="12"/>
      <c r="I440" s="12">
        <f>355675309960</f>
        <v>355675309960</v>
      </c>
      <c r="J440" s="12"/>
      <c r="K440" s="12"/>
      <c r="L440" s="12"/>
      <c r="M440" s="12"/>
      <c r="N440" s="13" t="str">
        <f t="shared" si="12"/>
        <v xml:space="preserve">AL13-Aluminium Construction
</v>
      </c>
      <c r="O440" s="16" t="s">
        <v>78</v>
      </c>
      <c r="P440" s="23" t="s">
        <v>785</v>
      </c>
      <c r="Q440" s="15" t="s">
        <v>139</v>
      </c>
      <c r="R440" s="14" t="s">
        <v>75</v>
      </c>
      <c r="S440" s="14" t="s">
        <v>75</v>
      </c>
      <c r="T440" s="16" t="s">
        <v>101</v>
      </c>
      <c r="U440" s="17" t="str">
        <f t="shared" si="2"/>
        <v xml:space="preserve">AL13-Aluminium Construction
</v>
      </c>
      <c r="V440" s="16" t="s">
        <v>98</v>
      </c>
      <c r="W440" s="16" t="s">
        <v>79</v>
      </c>
      <c r="X440" s="15" t="s">
        <v>140</v>
      </c>
      <c r="Y440" s="16" t="s">
        <v>75</v>
      </c>
      <c r="Z440" s="16" t="s">
        <v>75</v>
      </c>
      <c r="AA440" s="16" t="s">
        <v>86</v>
      </c>
      <c r="AB440" s="18" t="str">
        <f t="shared" si="13"/>
        <v xml:space="preserve">AL13-Aluminium Construction
</v>
      </c>
      <c r="AC440" s="18"/>
      <c r="AD440" s="18"/>
      <c r="AE440" s="18"/>
      <c r="AF440" s="18"/>
      <c r="AG440" s="18"/>
      <c r="AH440" s="13"/>
      <c r="AI440" s="18"/>
      <c r="AJ440" s="13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3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2"/>
      <c r="BK440" s="12"/>
      <c r="BL440" s="12"/>
      <c r="BM440" s="9"/>
      <c r="BN440" s="9"/>
      <c r="BO440" s="9"/>
      <c r="BP440" s="12"/>
      <c r="BQ440" s="12"/>
      <c r="BR440" s="12"/>
      <c r="BS440" s="12"/>
      <c r="BT440" s="12"/>
      <c r="BU440" s="12"/>
      <c r="BV440" s="12"/>
      <c r="BW440" s="12"/>
      <c r="BX440" s="12"/>
      <c r="BY440" s="9"/>
      <c r="BZ440" s="21"/>
      <c r="CA440" s="21"/>
      <c r="CB440" s="21"/>
      <c r="CC440" s="21"/>
      <c r="CD440" s="21"/>
      <c r="CE440" s="21"/>
      <c r="CF440" s="21"/>
      <c r="CG440" s="21"/>
      <c r="CH440" s="21"/>
      <c r="CI440" s="21"/>
      <c r="CJ440" s="21"/>
    </row>
    <row r="441" spans="1:88" ht="40.5" customHeight="1">
      <c r="A441" s="9">
        <f t="shared" si="10"/>
        <v>439</v>
      </c>
      <c r="B441" s="9" t="str">
        <f t="shared" si="11"/>
        <v xml:space="preserve">MA
</v>
      </c>
      <c r="C441" s="9" t="s">
        <v>1152</v>
      </c>
      <c r="D441" s="9" t="s">
        <v>1149</v>
      </c>
      <c r="E441" s="12">
        <v>0</v>
      </c>
      <c r="F441" s="12">
        <v>0</v>
      </c>
      <c r="G441" s="9" t="s">
        <v>89</v>
      </c>
      <c r="H441" s="12"/>
      <c r="I441" s="12">
        <f>355672067422</f>
        <v>355672067422</v>
      </c>
      <c r="J441" s="12"/>
      <c r="K441" s="11" t="s">
        <v>1153</v>
      </c>
      <c r="L441" s="12"/>
      <c r="M441" s="12"/>
      <c r="N441" s="13" t="str">
        <f t="shared" si="12"/>
        <v xml:space="preserve">Atra Group
</v>
      </c>
      <c r="O441" s="16" t="s">
        <v>78</v>
      </c>
      <c r="P441" s="23" t="s">
        <v>785</v>
      </c>
      <c r="Q441" s="15" t="s">
        <v>139</v>
      </c>
      <c r="R441" s="14" t="s">
        <v>75</v>
      </c>
      <c r="S441" s="14" t="s">
        <v>75</v>
      </c>
      <c r="T441" s="16" t="s">
        <v>101</v>
      </c>
      <c r="U441" s="17" t="str">
        <f t="shared" si="2"/>
        <v xml:space="preserve">Atra Group
</v>
      </c>
      <c r="V441" s="16" t="s">
        <v>98</v>
      </c>
      <c r="W441" s="16" t="s">
        <v>79</v>
      </c>
      <c r="X441" s="15" t="s">
        <v>140</v>
      </c>
      <c r="Y441" s="16" t="s">
        <v>75</v>
      </c>
      <c r="Z441" s="16" t="s">
        <v>75</v>
      </c>
      <c r="AA441" s="16" t="s">
        <v>86</v>
      </c>
      <c r="AB441" s="18" t="str">
        <f t="shared" si="13"/>
        <v xml:space="preserve">Atra Group
</v>
      </c>
      <c r="AC441" s="18"/>
      <c r="AD441" s="18"/>
      <c r="AE441" s="18"/>
      <c r="AF441" s="18"/>
      <c r="AG441" s="18"/>
      <c r="AH441" s="13"/>
      <c r="AI441" s="18"/>
      <c r="AJ441" s="13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3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2"/>
      <c r="BK441" s="12"/>
      <c r="BL441" s="12"/>
      <c r="BM441" s="9"/>
      <c r="BN441" s="9"/>
      <c r="BO441" s="9"/>
      <c r="BP441" s="12"/>
      <c r="BQ441" s="12"/>
      <c r="BR441" s="12"/>
      <c r="BS441" s="12"/>
      <c r="BT441" s="12"/>
      <c r="BU441" s="12"/>
      <c r="BV441" s="12"/>
      <c r="BW441" s="12"/>
      <c r="BX441" s="12"/>
      <c r="BY441" s="9"/>
      <c r="BZ441" s="21"/>
      <c r="CA441" s="21"/>
      <c r="CB441" s="21"/>
      <c r="CC441" s="21"/>
      <c r="CD441" s="21"/>
      <c r="CE441" s="21"/>
      <c r="CF441" s="21"/>
      <c r="CG441" s="21"/>
      <c r="CH441" s="21"/>
      <c r="CI441" s="21"/>
      <c r="CJ441" s="21"/>
    </row>
    <row r="442" spans="1:88" ht="40.5" customHeight="1">
      <c r="A442" s="9">
        <f t="shared" si="10"/>
        <v>440</v>
      </c>
      <c r="B442" s="9" t="str">
        <f t="shared" si="11"/>
        <v xml:space="preserve">MA
</v>
      </c>
      <c r="C442" s="9" t="s">
        <v>1154</v>
      </c>
      <c r="D442" s="9" t="s">
        <v>1149</v>
      </c>
      <c r="E442" s="12">
        <v>0</v>
      </c>
      <c r="F442" s="12">
        <v>0</v>
      </c>
      <c r="G442" s="9" t="s">
        <v>89</v>
      </c>
      <c r="H442" s="12"/>
      <c r="I442" s="12">
        <f>355672067026</f>
        <v>355672067026</v>
      </c>
      <c r="J442" s="12"/>
      <c r="K442" s="11" t="s">
        <v>1155</v>
      </c>
      <c r="L442" s="12"/>
      <c r="M442" s="12"/>
      <c r="N442" s="13" t="str">
        <f t="shared" si="12"/>
        <v xml:space="preserve">2FAF Albania
</v>
      </c>
      <c r="O442" s="16" t="s">
        <v>78</v>
      </c>
      <c r="P442" s="23" t="s">
        <v>785</v>
      </c>
      <c r="Q442" s="15" t="s">
        <v>139</v>
      </c>
      <c r="R442" s="23" t="s">
        <v>232</v>
      </c>
      <c r="S442" s="23" t="s">
        <v>1156</v>
      </c>
      <c r="T442" s="16" t="s">
        <v>166</v>
      </c>
      <c r="U442" s="17" t="str">
        <f t="shared" si="2"/>
        <v xml:space="preserve">2FAF Albania
</v>
      </c>
      <c r="V442" s="16" t="s">
        <v>98</v>
      </c>
      <c r="W442" s="16" t="s">
        <v>79</v>
      </c>
      <c r="X442" s="15" t="s">
        <v>140</v>
      </c>
      <c r="Y442" s="16" t="s">
        <v>75</v>
      </c>
      <c r="Z442" s="16" t="s">
        <v>75</v>
      </c>
      <c r="AA442" s="16" t="s">
        <v>86</v>
      </c>
      <c r="AB442" s="18" t="str">
        <f t="shared" si="13"/>
        <v xml:space="preserve">2FAF Albania
</v>
      </c>
      <c r="AC442" s="18"/>
      <c r="AD442" s="18"/>
      <c r="AE442" s="18"/>
      <c r="AF442" s="18"/>
      <c r="AG442" s="18"/>
      <c r="AH442" s="13"/>
      <c r="AI442" s="18"/>
      <c r="AJ442" s="13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3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2"/>
      <c r="BK442" s="12"/>
      <c r="BL442" s="12"/>
      <c r="BM442" s="9"/>
      <c r="BN442" s="9"/>
      <c r="BO442" s="9"/>
      <c r="BP442" s="12"/>
      <c r="BQ442" s="12"/>
      <c r="BR442" s="12"/>
      <c r="BS442" s="12"/>
      <c r="BT442" s="12"/>
      <c r="BU442" s="12"/>
      <c r="BV442" s="12"/>
      <c r="BW442" s="12"/>
      <c r="BX442" s="12"/>
      <c r="BY442" s="9"/>
      <c r="BZ442" s="21"/>
      <c r="CA442" s="21"/>
      <c r="CB442" s="21"/>
      <c r="CC442" s="21"/>
      <c r="CD442" s="21"/>
      <c r="CE442" s="21"/>
      <c r="CF442" s="21"/>
      <c r="CG442" s="21"/>
      <c r="CH442" s="21"/>
      <c r="CI442" s="21"/>
      <c r="CJ442" s="21"/>
    </row>
    <row r="443" spans="1:88" ht="40.5" customHeight="1">
      <c r="A443" s="9">
        <f t="shared" si="10"/>
        <v>441</v>
      </c>
      <c r="B443" s="9" t="str">
        <f t="shared" si="11"/>
        <v xml:space="preserve">MA
</v>
      </c>
      <c r="C443" s="9" t="s">
        <v>1157</v>
      </c>
      <c r="D443" s="9" t="s">
        <v>1149</v>
      </c>
      <c r="E443" s="12">
        <v>0</v>
      </c>
      <c r="F443" s="12">
        <v>0</v>
      </c>
      <c r="G443" s="9" t="s">
        <v>89</v>
      </c>
      <c r="H443" s="12"/>
      <c r="I443" s="12">
        <f>355697033533</f>
        <v>355697033533</v>
      </c>
      <c r="J443" s="12"/>
      <c r="K443" s="12"/>
      <c r="L443" s="12"/>
      <c r="M443" s="12"/>
      <c r="N443" s="13" t="str">
        <f t="shared" si="12"/>
        <v xml:space="preserve">KELI ALBANIA ALUMIN PVC
</v>
      </c>
      <c r="O443" s="16" t="s">
        <v>78</v>
      </c>
      <c r="P443" s="14" t="s">
        <v>79</v>
      </c>
      <c r="Q443" s="15" t="s">
        <v>139</v>
      </c>
      <c r="R443" s="23" t="s">
        <v>242</v>
      </c>
      <c r="S443" s="23" t="s">
        <v>154</v>
      </c>
      <c r="T443" s="16" t="s">
        <v>166</v>
      </c>
      <c r="U443" s="17" t="str">
        <f t="shared" si="2"/>
        <v xml:space="preserve">KELI ALBANIA ALUMIN PVC
</v>
      </c>
      <c r="V443" s="16" t="s">
        <v>98</v>
      </c>
      <c r="W443" s="16" t="s">
        <v>79</v>
      </c>
      <c r="X443" s="15" t="s">
        <v>140</v>
      </c>
      <c r="Y443" s="16" t="s">
        <v>75</v>
      </c>
      <c r="Z443" s="16" t="s">
        <v>75</v>
      </c>
      <c r="AA443" s="16" t="s">
        <v>86</v>
      </c>
      <c r="AB443" s="18" t="str">
        <f t="shared" si="13"/>
        <v xml:space="preserve">KELI ALBANIA ALUMIN PVC
</v>
      </c>
      <c r="AC443" s="18"/>
      <c r="AD443" s="18"/>
      <c r="AE443" s="18"/>
      <c r="AF443" s="18"/>
      <c r="AG443" s="18"/>
      <c r="AH443" s="13"/>
      <c r="AI443" s="18"/>
      <c r="AJ443" s="13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3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2"/>
      <c r="BK443" s="12"/>
      <c r="BL443" s="12"/>
      <c r="BM443" s="9"/>
      <c r="BN443" s="9"/>
      <c r="BO443" s="9"/>
      <c r="BP443" s="12"/>
      <c r="BQ443" s="12"/>
      <c r="BR443" s="12"/>
      <c r="BS443" s="12"/>
      <c r="BT443" s="12"/>
      <c r="BU443" s="12"/>
      <c r="BV443" s="12"/>
      <c r="BW443" s="12"/>
      <c r="BX443" s="12"/>
      <c r="BY443" s="9"/>
      <c r="BZ443" s="21"/>
      <c r="CA443" s="21"/>
      <c r="CB443" s="21"/>
      <c r="CC443" s="21"/>
      <c r="CD443" s="21"/>
      <c r="CE443" s="21"/>
      <c r="CF443" s="21"/>
      <c r="CG443" s="21"/>
      <c r="CH443" s="21"/>
      <c r="CI443" s="21"/>
      <c r="CJ443" s="21"/>
    </row>
    <row r="444" spans="1:88" ht="40.5" customHeight="1">
      <c r="A444" s="9">
        <f t="shared" si="10"/>
        <v>442</v>
      </c>
      <c r="B444" s="9" t="str">
        <f t="shared" si="11"/>
        <v xml:space="preserve">MA
</v>
      </c>
      <c r="C444" s="9" t="s">
        <v>1158</v>
      </c>
      <c r="D444" s="9" t="s">
        <v>1149</v>
      </c>
      <c r="E444" s="12">
        <v>0</v>
      </c>
      <c r="F444" s="12">
        <v>0</v>
      </c>
      <c r="G444" s="9" t="s">
        <v>89</v>
      </c>
      <c r="H444" s="12"/>
      <c r="I444" s="12">
        <f>355684052344</f>
        <v>355684052344</v>
      </c>
      <c r="J444" s="12"/>
      <c r="K444" s="11" t="s">
        <v>1159</v>
      </c>
      <c r="L444" s="12"/>
      <c r="M444" s="12"/>
      <c r="N444" s="13" t="str">
        <f t="shared" si="12"/>
        <v xml:space="preserve">Arti Alumin
</v>
      </c>
      <c r="O444" s="16" t="s">
        <v>78</v>
      </c>
      <c r="P444" s="23" t="s">
        <v>785</v>
      </c>
      <c r="Q444" s="15" t="s">
        <v>139</v>
      </c>
      <c r="R444" s="14" t="s">
        <v>75</v>
      </c>
      <c r="S444" s="23" t="s">
        <v>1160</v>
      </c>
      <c r="T444" s="16" t="s">
        <v>166</v>
      </c>
      <c r="U444" s="17" t="str">
        <f t="shared" si="2"/>
        <v xml:space="preserve">Arti Alumin
</v>
      </c>
      <c r="V444" s="16" t="s">
        <v>98</v>
      </c>
      <c r="W444" s="16" t="s">
        <v>79</v>
      </c>
      <c r="X444" s="15" t="s">
        <v>140</v>
      </c>
      <c r="Y444" s="16" t="s">
        <v>75</v>
      </c>
      <c r="Z444" s="16" t="s">
        <v>75</v>
      </c>
      <c r="AA444" s="16" t="s">
        <v>86</v>
      </c>
      <c r="AB444" s="18" t="str">
        <f t="shared" si="13"/>
        <v xml:space="preserve">Arti Alumin
</v>
      </c>
      <c r="AC444" s="18"/>
      <c r="AD444" s="18"/>
      <c r="AE444" s="18"/>
      <c r="AF444" s="18"/>
      <c r="AG444" s="18"/>
      <c r="AH444" s="13"/>
      <c r="AI444" s="18"/>
      <c r="AJ444" s="13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3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2"/>
      <c r="BK444" s="12"/>
      <c r="BL444" s="12"/>
      <c r="BM444" s="9"/>
      <c r="BN444" s="9"/>
      <c r="BO444" s="9"/>
      <c r="BP444" s="12"/>
      <c r="BQ444" s="12"/>
      <c r="BR444" s="12"/>
      <c r="BS444" s="12"/>
      <c r="BT444" s="12"/>
      <c r="BU444" s="12"/>
      <c r="BV444" s="12"/>
      <c r="BW444" s="12"/>
      <c r="BX444" s="12"/>
      <c r="BY444" s="9"/>
      <c r="BZ444" s="21"/>
      <c r="CA444" s="21"/>
      <c r="CB444" s="21"/>
      <c r="CC444" s="21"/>
      <c r="CD444" s="21"/>
      <c r="CE444" s="21"/>
      <c r="CF444" s="21"/>
      <c r="CG444" s="21"/>
      <c r="CH444" s="21"/>
      <c r="CI444" s="21"/>
      <c r="CJ444" s="21"/>
    </row>
    <row r="445" spans="1:88" ht="40.5" customHeight="1">
      <c r="A445" s="9">
        <f t="shared" si="10"/>
        <v>443</v>
      </c>
      <c r="B445" s="9" t="str">
        <f t="shared" si="11"/>
        <v xml:space="preserve">MA
</v>
      </c>
      <c r="C445" s="9" t="s">
        <v>1161</v>
      </c>
      <c r="D445" s="9" t="s">
        <v>1149</v>
      </c>
      <c r="E445" s="12">
        <v>0</v>
      </c>
      <c r="F445" s="12">
        <v>0</v>
      </c>
      <c r="G445" s="9" t="s">
        <v>89</v>
      </c>
      <c r="H445" s="12"/>
      <c r="I445" s="12">
        <f>35542453787</f>
        <v>35542453787</v>
      </c>
      <c r="J445" s="12"/>
      <c r="K445" s="11" t="s">
        <v>1162</v>
      </c>
      <c r="L445" s="12"/>
      <c r="M445" s="12"/>
      <c r="N445" s="13" t="str">
        <f t="shared" si="12"/>
        <v xml:space="preserve">MARTINI shpk
</v>
      </c>
      <c r="O445" s="16" t="s">
        <v>78</v>
      </c>
      <c r="P445" s="23" t="s">
        <v>785</v>
      </c>
      <c r="Q445" s="15" t="s">
        <v>139</v>
      </c>
      <c r="R445" s="14" t="s">
        <v>75</v>
      </c>
      <c r="S445" s="14" t="s">
        <v>75</v>
      </c>
      <c r="T445" s="16" t="s">
        <v>126</v>
      </c>
      <c r="U445" s="17" t="str">
        <f t="shared" si="2"/>
        <v xml:space="preserve">MARTINI shpk
</v>
      </c>
      <c r="V445" s="16" t="s">
        <v>7</v>
      </c>
      <c r="W445" s="16" t="s">
        <v>79</v>
      </c>
      <c r="X445" s="15" t="s">
        <v>140</v>
      </c>
      <c r="Y445" s="16" t="s">
        <v>75</v>
      </c>
      <c r="Z445" s="15" t="s">
        <v>84</v>
      </c>
      <c r="AA445" s="16" t="s">
        <v>86</v>
      </c>
      <c r="AB445" s="18" t="str">
        <f t="shared" si="13"/>
        <v xml:space="preserve">MARTINI shpk
</v>
      </c>
      <c r="AC445" s="18"/>
      <c r="AD445" s="18"/>
      <c r="AE445" s="18"/>
      <c r="AF445" s="18"/>
      <c r="AG445" s="18"/>
      <c r="AH445" s="13"/>
      <c r="AI445" s="18"/>
      <c r="AJ445" s="13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3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2"/>
      <c r="BK445" s="12"/>
      <c r="BL445" s="12"/>
      <c r="BM445" s="9"/>
      <c r="BN445" s="9"/>
      <c r="BO445" s="9"/>
      <c r="BP445" s="12"/>
      <c r="BQ445" s="12"/>
      <c r="BR445" s="12"/>
      <c r="BS445" s="12"/>
      <c r="BT445" s="12"/>
      <c r="BU445" s="12"/>
      <c r="BV445" s="12"/>
      <c r="BW445" s="12"/>
      <c r="BX445" s="12"/>
      <c r="BY445" s="9"/>
      <c r="BZ445" s="21"/>
      <c r="CA445" s="21"/>
      <c r="CB445" s="21"/>
      <c r="CC445" s="21"/>
      <c r="CD445" s="21"/>
      <c r="CE445" s="21"/>
      <c r="CF445" s="21"/>
      <c r="CG445" s="21"/>
      <c r="CH445" s="21"/>
      <c r="CI445" s="21"/>
      <c r="CJ445" s="21"/>
    </row>
    <row r="446" spans="1:88" ht="40.5" customHeight="1">
      <c r="A446" s="9">
        <f t="shared" si="10"/>
        <v>444</v>
      </c>
      <c r="B446" s="9" t="str">
        <f t="shared" si="11"/>
        <v xml:space="preserve">MA
</v>
      </c>
      <c r="C446" s="9" t="s">
        <v>1163</v>
      </c>
      <c r="D446" s="9" t="s">
        <v>1149</v>
      </c>
      <c r="E446" s="12">
        <v>0</v>
      </c>
      <c r="F446" s="12">
        <v>0</v>
      </c>
      <c r="G446" s="9" t="s">
        <v>89</v>
      </c>
      <c r="H446" s="12"/>
      <c r="I446" s="12">
        <f>355682079005</f>
        <v>355682079005</v>
      </c>
      <c r="J446" s="12"/>
      <c r="K446" s="11" t="s">
        <v>1164</v>
      </c>
      <c r="L446" s="12"/>
      <c r="M446" s="12"/>
      <c r="N446" s="13" t="str">
        <f t="shared" si="12"/>
        <v xml:space="preserve">ThermAG
</v>
      </c>
      <c r="O446" s="16" t="s">
        <v>78</v>
      </c>
      <c r="P446" s="23" t="s">
        <v>785</v>
      </c>
      <c r="Q446" s="15" t="s">
        <v>139</v>
      </c>
      <c r="R446" s="14" t="s">
        <v>75</v>
      </c>
      <c r="S446" s="14" t="s">
        <v>75</v>
      </c>
      <c r="T446" s="16" t="s">
        <v>101</v>
      </c>
      <c r="U446" s="17" t="str">
        <f t="shared" si="2"/>
        <v xml:space="preserve">ThermAG
</v>
      </c>
      <c r="V446" s="16" t="s">
        <v>98</v>
      </c>
      <c r="W446" s="16" t="s">
        <v>79</v>
      </c>
      <c r="X446" s="15" t="s">
        <v>140</v>
      </c>
      <c r="Y446" s="16" t="s">
        <v>75</v>
      </c>
      <c r="Z446" s="16" t="s">
        <v>75</v>
      </c>
      <c r="AA446" s="16" t="s">
        <v>86</v>
      </c>
      <c r="AB446" s="18" t="str">
        <f t="shared" si="13"/>
        <v xml:space="preserve">ThermAG
</v>
      </c>
      <c r="AC446" s="18"/>
      <c r="AD446" s="18"/>
      <c r="AE446" s="18"/>
      <c r="AF446" s="18"/>
      <c r="AG446" s="18"/>
      <c r="AH446" s="13"/>
      <c r="AI446" s="18"/>
      <c r="AJ446" s="13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3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2"/>
      <c r="BK446" s="12"/>
      <c r="BL446" s="12"/>
      <c r="BM446" s="9"/>
      <c r="BN446" s="9"/>
      <c r="BO446" s="9"/>
      <c r="BP446" s="12"/>
      <c r="BQ446" s="12"/>
      <c r="BR446" s="12"/>
      <c r="BS446" s="12"/>
      <c r="BT446" s="12"/>
      <c r="BU446" s="12"/>
      <c r="BV446" s="12"/>
      <c r="BW446" s="12"/>
      <c r="BX446" s="12"/>
      <c r="BY446" s="9"/>
      <c r="BZ446" s="21"/>
      <c r="CA446" s="21"/>
      <c r="CB446" s="21"/>
      <c r="CC446" s="21"/>
      <c r="CD446" s="21"/>
      <c r="CE446" s="21"/>
      <c r="CF446" s="21"/>
      <c r="CG446" s="21"/>
      <c r="CH446" s="21"/>
      <c r="CI446" s="21"/>
      <c r="CJ446" s="21"/>
    </row>
    <row r="447" spans="1:88" ht="40.5" customHeight="1">
      <c r="A447" s="9">
        <f t="shared" si="10"/>
        <v>445</v>
      </c>
      <c r="B447" s="9" t="str">
        <f t="shared" si="11"/>
        <v xml:space="preserve">MA
</v>
      </c>
      <c r="C447" s="9" t="s">
        <v>1165</v>
      </c>
      <c r="D447" s="9" t="s">
        <v>1149</v>
      </c>
      <c r="E447" s="12">
        <v>0</v>
      </c>
      <c r="F447" s="12">
        <v>0</v>
      </c>
      <c r="G447" s="9" t="s">
        <v>89</v>
      </c>
      <c r="H447" s="12"/>
      <c r="I447" s="12">
        <f>355676060363</f>
        <v>355676060363</v>
      </c>
      <c r="J447" s="12"/>
      <c r="K447" s="11" t="s">
        <v>1166</v>
      </c>
      <c r="L447" s="12"/>
      <c r="M447" s="12"/>
      <c r="N447" s="13" t="str">
        <f t="shared" si="12"/>
        <v xml:space="preserve">Weiss Profil Shkoder - Albania
</v>
      </c>
      <c r="O447" s="16" t="s">
        <v>78</v>
      </c>
      <c r="P447" s="23" t="s">
        <v>785</v>
      </c>
      <c r="Q447" s="15" t="s">
        <v>139</v>
      </c>
      <c r="R447" s="14" t="s">
        <v>75</v>
      </c>
      <c r="S447" s="14" t="s">
        <v>75</v>
      </c>
      <c r="T447" s="16" t="s">
        <v>101</v>
      </c>
      <c r="U447" s="17" t="str">
        <f t="shared" si="2"/>
        <v xml:space="preserve">Weiss Profil Shkoder - Albania
</v>
      </c>
      <c r="V447" s="16" t="s">
        <v>78</v>
      </c>
      <c r="W447" s="16" t="s">
        <v>79</v>
      </c>
      <c r="X447" s="15" t="s">
        <v>140</v>
      </c>
      <c r="Y447" s="16" t="s">
        <v>75</v>
      </c>
      <c r="Z447" s="16" t="s">
        <v>75</v>
      </c>
      <c r="AA447" s="16" t="s">
        <v>86</v>
      </c>
      <c r="AB447" s="18" t="str">
        <f t="shared" si="13"/>
        <v xml:space="preserve">Weiss Profil Shkoder - Albania
</v>
      </c>
      <c r="AC447" s="18"/>
      <c r="AD447" s="18"/>
      <c r="AE447" s="18"/>
      <c r="AF447" s="18"/>
      <c r="AG447" s="18"/>
      <c r="AH447" s="13"/>
      <c r="AI447" s="18"/>
      <c r="AJ447" s="13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3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2"/>
      <c r="BK447" s="12"/>
      <c r="BL447" s="12"/>
      <c r="BM447" s="9"/>
      <c r="BN447" s="9"/>
      <c r="BO447" s="9"/>
      <c r="BP447" s="12"/>
      <c r="BQ447" s="12"/>
      <c r="BR447" s="12"/>
      <c r="BS447" s="12"/>
      <c r="BT447" s="12"/>
      <c r="BU447" s="12"/>
      <c r="BV447" s="12"/>
      <c r="BW447" s="12"/>
      <c r="BX447" s="12"/>
      <c r="BY447" s="9"/>
      <c r="BZ447" s="21"/>
      <c r="CA447" s="21"/>
      <c r="CB447" s="21"/>
      <c r="CC447" s="21"/>
      <c r="CD447" s="21"/>
      <c r="CE447" s="21"/>
      <c r="CF447" s="21"/>
      <c r="CG447" s="21"/>
      <c r="CH447" s="21"/>
      <c r="CI447" s="21"/>
      <c r="CJ447" s="21"/>
    </row>
    <row r="448" spans="1:88" ht="40.5" customHeight="1">
      <c r="A448" s="9">
        <f t="shared" si="10"/>
        <v>446</v>
      </c>
      <c r="B448" s="9" t="str">
        <f t="shared" si="11"/>
        <v xml:space="preserve">MA
</v>
      </c>
      <c r="C448" s="9" t="s">
        <v>1167</v>
      </c>
      <c r="D448" s="9" t="s">
        <v>1149</v>
      </c>
      <c r="E448" s="12">
        <v>0</v>
      </c>
      <c r="F448" s="12">
        <v>0</v>
      </c>
      <c r="G448" s="9" t="s">
        <v>89</v>
      </c>
      <c r="H448" s="12"/>
      <c r="I448" s="12">
        <f>355686743936</f>
        <v>355686743936</v>
      </c>
      <c r="J448" s="12"/>
      <c r="K448" s="12"/>
      <c r="L448" s="12"/>
      <c r="M448" s="12"/>
      <c r="N448" s="13" t="str">
        <f t="shared" si="12"/>
        <v xml:space="preserve">Pvc &amp; Alumin System
</v>
      </c>
      <c r="O448" s="16" t="s">
        <v>78</v>
      </c>
      <c r="P448" s="23" t="s">
        <v>785</v>
      </c>
      <c r="Q448" s="15" t="s">
        <v>139</v>
      </c>
      <c r="R448" s="14" t="s">
        <v>75</v>
      </c>
      <c r="S448" s="14" t="s">
        <v>75</v>
      </c>
      <c r="T448" s="16" t="s">
        <v>101</v>
      </c>
      <c r="U448" s="17" t="str">
        <f t="shared" si="2"/>
        <v xml:space="preserve">Pvc &amp; Alumin System
</v>
      </c>
      <c r="V448" s="16" t="s">
        <v>98</v>
      </c>
      <c r="W448" s="16" t="s">
        <v>79</v>
      </c>
      <c r="X448" s="15" t="s">
        <v>140</v>
      </c>
      <c r="Y448" s="16" t="s">
        <v>75</v>
      </c>
      <c r="Z448" s="16" t="s">
        <v>75</v>
      </c>
      <c r="AA448" s="16" t="s">
        <v>86</v>
      </c>
      <c r="AB448" s="18" t="str">
        <f t="shared" si="13"/>
        <v xml:space="preserve">Pvc &amp; Alumin System
</v>
      </c>
      <c r="AC448" s="18"/>
      <c r="AD448" s="18"/>
      <c r="AE448" s="18"/>
      <c r="AF448" s="18"/>
      <c r="AG448" s="18"/>
      <c r="AH448" s="13"/>
      <c r="AI448" s="18"/>
      <c r="AJ448" s="13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3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2"/>
      <c r="BK448" s="12"/>
      <c r="BL448" s="12"/>
      <c r="BM448" s="9"/>
      <c r="BN448" s="9"/>
      <c r="BO448" s="9"/>
      <c r="BP448" s="12"/>
      <c r="BQ448" s="12"/>
      <c r="BR448" s="12"/>
      <c r="BS448" s="12"/>
      <c r="BT448" s="12"/>
      <c r="BU448" s="12"/>
      <c r="BV448" s="12"/>
      <c r="BW448" s="12"/>
      <c r="BX448" s="12"/>
      <c r="BY448" s="9"/>
      <c r="BZ448" s="21"/>
      <c r="CA448" s="21"/>
      <c r="CB448" s="21"/>
      <c r="CC448" s="21"/>
      <c r="CD448" s="21"/>
      <c r="CE448" s="21"/>
      <c r="CF448" s="21"/>
      <c r="CG448" s="21"/>
      <c r="CH448" s="21"/>
      <c r="CI448" s="21"/>
      <c r="CJ448" s="21"/>
    </row>
    <row r="449" spans="1:88" ht="40.5" customHeight="1">
      <c r="A449" s="9">
        <f t="shared" si="10"/>
        <v>447</v>
      </c>
      <c r="B449" s="9" t="str">
        <f t="shared" si="11"/>
        <v xml:space="preserve">MA
</v>
      </c>
      <c r="C449" s="9" t="s">
        <v>1168</v>
      </c>
      <c r="D449" s="9" t="s">
        <v>1149</v>
      </c>
      <c r="E449" s="12">
        <v>0</v>
      </c>
      <c r="F449" s="12">
        <v>0</v>
      </c>
      <c r="G449" s="9" t="s">
        <v>89</v>
      </c>
      <c r="H449" s="12"/>
      <c r="I449" s="12">
        <f>355684419293</f>
        <v>355684419293</v>
      </c>
      <c r="J449" s="12"/>
      <c r="K449" s="11" t="s">
        <v>1169</v>
      </c>
      <c r="L449" s="12"/>
      <c r="M449" s="12"/>
      <c r="N449" s="13" t="str">
        <f t="shared" si="12"/>
        <v xml:space="preserve">Punime Alumin Pvc
</v>
      </c>
      <c r="O449" s="16" t="s">
        <v>78</v>
      </c>
      <c r="P449" s="23" t="s">
        <v>785</v>
      </c>
      <c r="Q449" s="15" t="s">
        <v>139</v>
      </c>
      <c r="R449" s="14" t="s">
        <v>75</v>
      </c>
      <c r="S449" s="23" t="s">
        <v>154</v>
      </c>
      <c r="T449" s="16" t="s">
        <v>166</v>
      </c>
      <c r="U449" s="17" t="str">
        <f t="shared" si="2"/>
        <v xml:space="preserve">Punime Alumin Pvc
</v>
      </c>
      <c r="V449" s="16" t="s">
        <v>78</v>
      </c>
      <c r="W449" s="16" t="s">
        <v>79</v>
      </c>
      <c r="X449" s="15" t="s">
        <v>140</v>
      </c>
      <c r="Y449" s="16" t="s">
        <v>75</v>
      </c>
      <c r="Z449" s="16" t="s">
        <v>75</v>
      </c>
      <c r="AA449" s="16" t="s">
        <v>86</v>
      </c>
      <c r="AB449" s="18" t="str">
        <f t="shared" si="13"/>
        <v xml:space="preserve">Punime Alumin Pvc
</v>
      </c>
      <c r="AC449" s="18"/>
      <c r="AD449" s="18"/>
      <c r="AE449" s="18"/>
      <c r="AF449" s="18"/>
      <c r="AG449" s="18"/>
      <c r="AH449" s="13"/>
      <c r="AI449" s="18"/>
      <c r="AJ449" s="13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3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2"/>
      <c r="BK449" s="12"/>
      <c r="BL449" s="12"/>
      <c r="BM449" s="9"/>
      <c r="BN449" s="9"/>
      <c r="BO449" s="9"/>
      <c r="BP449" s="12"/>
      <c r="BQ449" s="12"/>
      <c r="BR449" s="12"/>
      <c r="BS449" s="12"/>
      <c r="BT449" s="12"/>
      <c r="BU449" s="12"/>
      <c r="BV449" s="12"/>
      <c r="BW449" s="12"/>
      <c r="BX449" s="12"/>
      <c r="BY449" s="9"/>
      <c r="BZ449" s="21"/>
      <c r="CA449" s="21"/>
      <c r="CB449" s="21"/>
      <c r="CC449" s="21"/>
      <c r="CD449" s="21"/>
      <c r="CE449" s="21"/>
      <c r="CF449" s="21"/>
      <c r="CG449" s="21"/>
      <c r="CH449" s="21"/>
      <c r="CI449" s="21"/>
      <c r="CJ449" s="21"/>
    </row>
    <row r="450" spans="1:88" ht="40.5" customHeight="1">
      <c r="A450" s="9">
        <f t="shared" si="10"/>
        <v>448</v>
      </c>
      <c r="B450" s="9" t="str">
        <f t="shared" si="11"/>
        <v xml:space="preserve">MA
</v>
      </c>
      <c r="C450" s="9" t="s">
        <v>1170</v>
      </c>
      <c r="D450" s="9" t="s">
        <v>1149</v>
      </c>
      <c r="E450" s="12">
        <v>0</v>
      </c>
      <c r="F450" s="12">
        <v>0</v>
      </c>
      <c r="G450" s="9" t="s">
        <v>89</v>
      </c>
      <c r="H450" s="12"/>
      <c r="I450" s="12">
        <f>355682043414</f>
        <v>355682043414</v>
      </c>
      <c r="J450" s="12"/>
      <c r="K450" s="11" t="s">
        <v>1171</v>
      </c>
      <c r="L450" s="12"/>
      <c r="M450" s="12"/>
      <c r="N450" s="13" t="str">
        <f t="shared" si="12"/>
        <v xml:space="preserve">Everest SHPK
</v>
      </c>
      <c r="O450" s="16" t="s">
        <v>78</v>
      </c>
      <c r="P450" s="23" t="s">
        <v>785</v>
      </c>
      <c r="Q450" s="15" t="s">
        <v>139</v>
      </c>
      <c r="R450" s="14" t="s">
        <v>75</v>
      </c>
      <c r="S450" s="23" t="s">
        <v>154</v>
      </c>
      <c r="T450" s="16" t="s">
        <v>166</v>
      </c>
      <c r="U450" s="17" t="str">
        <f t="shared" si="2"/>
        <v xml:space="preserve">Everest SHPK
</v>
      </c>
      <c r="V450" s="16" t="s">
        <v>98</v>
      </c>
      <c r="W450" s="16" t="s">
        <v>79</v>
      </c>
      <c r="X450" s="15" t="s">
        <v>140</v>
      </c>
      <c r="Y450" s="16" t="s">
        <v>75</v>
      </c>
      <c r="Z450" s="16" t="s">
        <v>75</v>
      </c>
      <c r="AA450" s="16" t="s">
        <v>86</v>
      </c>
      <c r="AB450" s="18" t="str">
        <f t="shared" si="13"/>
        <v xml:space="preserve">Everest SHPK
</v>
      </c>
      <c r="AC450" s="18"/>
      <c r="AD450" s="18"/>
      <c r="AE450" s="18"/>
      <c r="AF450" s="18"/>
      <c r="AG450" s="18"/>
      <c r="AH450" s="13"/>
      <c r="AI450" s="18"/>
      <c r="AJ450" s="13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3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2"/>
      <c r="BK450" s="12"/>
      <c r="BL450" s="12"/>
      <c r="BM450" s="9"/>
      <c r="BN450" s="9"/>
      <c r="BO450" s="9"/>
      <c r="BP450" s="12"/>
      <c r="BQ450" s="12"/>
      <c r="BR450" s="12"/>
      <c r="BS450" s="12"/>
      <c r="BT450" s="12"/>
      <c r="BU450" s="12"/>
      <c r="BV450" s="12"/>
      <c r="BW450" s="12"/>
      <c r="BX450" s="12"/>
      <c r="BY450" s="9"/>
      <c r="BZ450" s="21"/>
      <c r="CA450" s="21"/>
      <c r="CB450" s="21"/>
      <c r="CC450" s="21"/>
      <c r="CD450" s="21"/>
      <c r="CE450" s="21"/>
      <c r="CF450" s="21"/>
      <c r="CG450" s="21"/>
      <c r="CH450" s="21"/>
      <c r="CI450" s="21"/>
      <c r="CJ450" s="21"/>
    </row>
    <row r="451" spans="1:88" ht="40.5" customHeight="1">
      <c r="A451" s="9">
        <f t="shared" si="10"/>
        <v>449</v>
      </c>
      <c r="B451" s="9" t="str">
        <f t="shared" si="11"/>
        <v xml:space="preserve">MA
</v>
      </c>
      <c r="C451" s="9" t="s">
        <v>1172</v>
      </c>
      <c r="D451" s="9" t="s">
        <v>1149</v>
      </c>
      <c r="E451" s="12">
        <v>0</v>
      </c>
      <c r="F451" s="12">
        <v>0</v>
      </c>
      <c r="G451" s="9" t="s">
        <v>89</v>
      </c>
      <c r="H451" s="12"/>
      <c r="I451" s="12">
        <f>35533420420</f>
        <v>35533420420</v>
      </c>
      <c r="J451" s="12"/>
      <c r="K451" s="11" t="s">
        <v>1173</v>
      </c>
      <c r="L451" s="12"/>
      <c r="M451" s="12"/>
      <c r="N451" s="13" t="str">
        <f t="shared" si="12"/>
        <v xml:space="preserve">Vlora Alumin
</v>
      </c>
      <c r="O451" s="16" t="s">
        <v>78</v>
      </c>
      <c r="P451" s="23" t="s">
        <v>785</v>
      </c>
      <c r="Q451" s="15" t="s">
        <v>139</v>
      </c>
      <c r="R451" s="14" t="s">
        <v>75</v>
      </c>
      <c r="S451" s="14" t="s">
        <v>75</v>
      </c>
      <c r="T451" s="16" t="s">
        <v>126</v>
      </c>
      <c r="U451" s="17" t="str">
        <f t="shared" si="2"/>
        <v xml:space="preserve">Vlora Alumin
</v>
      </c>
      <c r="V451" s="16" t="s">
        <v>7</v>
      </c>
      <c r="W451" s="16" t="s">
        <v>79</v>
      </c>
      <c r="X451" s="15" t="s">
        <v>140</v>
      </c>
      <c r="Y451" s="16" t="s">
        <v>75</v>
      </c>
      <c r="Z451" s="15" t="s">
        <v>84</v>
      </c>
      <c r="AA451" s="16" t="s">
        <v>86</v>
      </c>
      <c r="AB451" s="18" t="str">
        <f t="shared" si="13"/>
        <v xml:space="preserve">Vlora Alumin
</v>
      </c>
      <c r="AC451" s="18"/>
      <c r="AD451" s="18"/>
      <c r="AE451" s="18"/>
      <c r="AF451" s="18"/>
      <c r="AG451" s="18"/>
      <c r="AH451" s="13"/>
      <c r="AI451" s="18"/>
      <c r="AJ451" s="13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3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2"/>
      <c r="BK451" s="12"/>
      <c r="BL451" s="12"/>
      <c r="BM451" s="9"/>
      <c r="BN451" s="9"/>
      <c r="BO451" s="9"/>
      <c r="BP451" s="12"/>
      <c r="BQ451" s="12"/>
      <c r="BR451" s="12"/>
      <c r="BS451" s="12"/>
      <c r="BT451" s="12"/>
      <c r="BU451" s="12"/>
      <c r="BV451" s="12"/>
      <c r="BW451" s="12"/>
      <c r="BX451" s="12"/>
      <c r="BY451" s="9"/>
      <c r="BZ451" s="21"/>
      <c r="CA451" s="21"/>
      <c r="CB451" s="21"/>
      <c r="CC451" s="21"/>
      <c r="CD451" s="21"/>
      <c r="CE451" s="21"/>
      <c r="CF451" s="21"/>
      <c r="CG451" s="21"/>
      <c r="CH451" s="21"/>
      <c r="CI451" s="21"/>
      <c r="CJ451" s="21"/>
    </row>
    <row r="452" spans="1:88" ht="40.5" customHeight="1">
      <c r="A452" s="9">
        <f t="shared" si="10"/>
        <v>450</v>
      </c>
      <c r="B452" s="9" t="str">
        <f t="shared" si="11"/>
        <v xml:space="preserve">MA
</v>
      </c>
      <c r="C452" s="9" t="s">
        <v>1174</v>
      </c>
      <c r="D452" s="9" t="s">
        <v>1149</v>
      </c>
      <c r="E452" s="12">
        <v>0</v>
      </c>
      <c r="F452" s="12">
        <v>0</v>
      </c>
      <c r="G452" s="9" t="s">
        <v>89</v>
      </c>
      <c r="H452" s="12"/>
      <c r="I452" s="12">
        <f>355697070334</f>
        <v>355697070334</v>
      </c>
      <c r="J452" s="12"/>
      <c r="K452" s="11" t="s">
        <v>1175</v>
      </c>
      <c r="L452" s="12"/>
      <c r="M452" s="12"/>
      <c r="N452" s="13" t="str">
        <f t="shared" si="12"/>
        <v xml:space="preserve">Alu glass shpk
</v>
      </c>
      <c r="O452" s="16" t="s">
        <v>78</v>
      </c>
      <c r="P452" s="23" t="s">
        <v>785</v>
      </c>
      <c r="Q452" s="15" t="s">
        <v>139</v>
      </c>
      <c r="R452" s="14" t="s">
        <v>75</v>
      </c>
      <c r="S452" s="23" t="s">
        <v>181</v>
      </c>
      <c r="T452" s="16" t="s">
        <v>166</v>
      </c>
      <c r="U452" s="17" t="str">
        <f t="shared" si="2"/>
        <v xml:space="preserve">Alu glass shpk
</v>
      </c>
      <c r="V452" s="16" t="s">
        <v>98</v>
      </c>
      <c r="W452" s="16" t="s">
        <v>79</v>
      </c>
      <c r="X452" s="15" t="s">
        <v>140</v>
      </c>
      <c r="Y452" s="16" t="s">
        <v>75</v>
      </c>
      <c r="Z452" s="16" t="s">
        <v>75</v>
      </c>
      <c r="AA452" s="16" t="s">
        <v>86</v>
      </c>
      <c r="AB452" s="18" t="str">
        <f t="shared" si="13"/>
        <v xml:space="preserve">Alu glass shpk
</v>
      </c>
      <c r="AC452" s="18"/>
      <c r="AD452" s="18"/>
      <c r="AE452" s="18"/>
      <c r="AF452" s="18"/>
      <c r="AG452" s="18"/>
      <c r="AH452" s="13"/>
      <c r="AI452" s="18"/>
      <c r="AJ452" s="13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3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2"/>
      <c r="BK452" s="12"/>
      <c r="BL452" s="12"/>
      <c r="BM452" s="9"/>
      <c r="BN452" s="9"/>
      <c r="BO452" s="9"/>
      <c r="BP452" s="12"/>
      <c r="BQ452" s="12"/>
      <c r="BR452" s="12"/>
      <c r="BS452" s="12"/>
      <c r="BT452" s="12"/>
      <c r="BU452" s="12"/>
      <c r="BV452" s="12"/>
      <c r="BW452" s="12"/>
      <c r="BX452" s="12"/>
      <c r="BY452" s="9"/>
      <c r="BZ452" s="21"/>
      <c r="CA452" s="21"/>
      <c r="CB452" s="21"/>
      <c r="CC452" s="21"/>
      <c r="CD452" s="21"/>
      <c r="CE452" s="21"/>
      <c r="CF452" s="21"/>
      <c r="CG452" s="21"/>
      <c r="CH452" s="21"/>
      <c r="CI452" s="21"/>
      <c r="CJ452" s="21"/>
    </row>
    <row r="453" spans="1:88" ht="40.5" customHeight="1">
      <c r="A453" s="9">
        <f t="shared" si="10"/>
        <v>451</v>
      </c>
      <c r="B453" s="9" t="str">
        <f t="shared" si="11"/>
        <v xml:space="preserve">MA
</v>
      </c>
      <c r="C453" s="9" t="s">
        <v>1176</v>
      </c>
      <c r="D453" s="9" t="s">
        <v>1149</v>
      </c>
      <c r="E453" s="12">
        <v>0</v>
      </c>
      <c r="F453" s="12">
        <v>0</v>
      </c>
      <c r="G453" s="9" t="s">
        <v>89</v>
      </c>
      <c r="H453" s="12"/>
      <c r="I453" s="12">
        <f>355694026448</f>
        <v>355694026448</v>
      </c>
      <c r="J453" s="12"/>
      <c r="K453" s="22" t="s">
        <v>1177</v>
      </c>
      <c r="L453" s="12"/>
      <c r="M453" s="12"/>
      <c r="N453" s="13" t="str">
        <f t="shared" si="12"/>
        <v xml:space="preserve">Martini shpk
</v>
      </c>
      <c r="O453" s="16" t="s">
        <v>78</v>
      </c>
      <c r="P453" s="23" t="s">
        <v>785</v>
      </c>
      <c r="Q453" s="15" t="s">
        <v>139</v>
      </c>
      <c r="R453" s="14" t="s">
        <v>75</v>
      </c>
      <c r="S453" s="23" t="s">
        <v>181</v>
      </c>
      <c r="T453" s="16" t="s">
        <v>166</v>
      </c>
      <c r="U453" s="17" t="str">
        <f t="shared" si="2"/>
        <v xml:space="preserve">Martini shpk
</v>
      </c>
      <c r="V453" s="16" t="s">
        <v>98</v>
      </c>
      <c r="W453" s="16" t="s">
        <v>79</v>
      </c>
      <c r="X453" s="15" t="s">
        <v>140</v>
      </c>
      <c r="Y453" s="16" t="s">
        <v>75</v>
      </c>
      <c r="Z453" s="16" t="s">
        <v>75</v>
      </c>
      <c r="AA453" s="16" t="s">
        <v>86</v>
      </c>
      <c r="AB453" s="18" t="str">
        <f t="shared" si="13"/>
        <v xml:space="preserve">Martini shpk
</v>
      </c>
      <c r="AC453" s="18"/>
      <c r="AD453" s="18"/>
      <c r="AE453" s="18"/>
      <c r="AF453" s="18"/>
      <c r="AG453" s="18"/>
      <c r="AH453" s="13"/>
      <c r="AI453" s="18"/>
      <c r="AJ453" s="13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3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2"/>
      <c r="BK453" s="12"/>
      <c r="BL453" s="12"/>
      <c r="BM453" s="9"/>
      <c r="BN453" s="9"/>
      <c r="BO453" s="9"/>
      <c r="BP453" s="12"/>
      <c r="BQ453" s="12"/>
      <c r="BR453" s="12"/>
      <c r="BS453" s="12"/>
      <c r="BT453" s="12"/>
      <c r="BU453" s="12"/>
      <c r="BV453" s="12"/>
      <c r="BW453" s="12"/>
      <c r="BX453" s="12"/>
      <c r="BY453" s="9"/>
      <c r="BZ453" s="21"/>
      <c r="CA453" s="21"/>
      <c r="CB453" s="21"/>
      <c r="CC453" s="21"/>
      <c r="CD453" s="21"/>
      <c r="CE453" s="21"/>
      <c r="CF453" s="21"/>
      <c r="CG453" s="21"/>
      <c r="CH453" s="21"/>
      <c r="CI453" s="21"/>
      <c r="CJ453" s="21"/>
    </row>
    <row r="454" spans="1:88" ht="40.5" customHeight="1">
      <c r="A454" s="9">
        <f t="shared" si="10"/>
        <v>452</v>
      </c>
      <c r="B454" s="9" t="str">
        <f t="shared" si="11"/>
        <v xml:space="preserve">MA
</v>
      </c>
      <c r="C454" s="9" t="s">
        <v>1178</v>
      </c>
      <c r="D454" s="9" t="s">
        <v>1149</v>
      </c>
      <c r="E454" s="12">
        <v>0</v>
      </c>
      <c r="F454" s="12">
        <v>0</v>
      </c>
      <c r="G454" s="9" t="s">
        <v>89</v>
      </c>
      <c r="H454" s="12"/>
      <c r="I454" s="12">
        <f>355682054281</f>
        <v>355682054281</v>
      </c>
      <c r="J454" s="12"/>
      <c r="K454" s="52" t="s">
        <v>1179</v>
      </c>
      <c r="L454" s="12"/>
      <c r="M454" s="12"/>
      <c r="N454" s="13" t="str">
        <f t="shared" si="12"/>
        <v xml:space="preserve">ALL GLLAS
</v>
      </c>
      <c r="O454" s="16" t="s">
        <v>78</v>
      </c>
      <c r="P454" s="23" t="s">
        <v>785</v>
      </c>
      <c r="Q454" s="15" t="s">
        <v>139</v>
      </c>
      <c r="R454" s="14" t="s">
        <v>75</v>
      </c>
      <c r="S454" s="14" t="s">
        <v>75</v>
      </c>
      <c r="T454" s="16" t="s">
        <v>101</v>
      </c>
      <c r="U454" s="17" t="str">
        <f t="shared" si="2"/>
        <v xml:space="preserve">ALL GLLAS
</v>
      </c>
      <c r="V454" s="16" t="s">
        <v>98</v>
      </c>
      <c r="W454" s="16" t="s">
        <v>79</v>
      </c>
      <c r="X454" s="15" t="s">
        <v>140</v>
      </c>
      <c r="Y454" s="16" t="s">
        <v>75</v>
      </c>
      <c r="Z454" s="16" t="s">
        <v>75</v>
      </c>
      <c r="AA454" s="16" t="s">
        <v>86</v>
      </c>
      <c r="AB454" s="18" t="str">
        <f t="shared" si="13"/>
        <v xml:space="preserve">ALL GLLAS
</v>
      </c>
      <c r="AC454" s="18"/>
      <c r="AD454" s="18"/>
      <c r="AE454" s="18"/>
      <c r="AF454" s="18"/>
      <c r="AG454" s="18"/>
      <c r="AH454" s="13"/>
      <c r="AI454" s="18"/>
      <c r="AJ454" s="13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3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2"/>
      <c r="BK454" s="12"/>
      <c r="BL454" s="12"/>
      <c r="BM454" s="9"/>
      <c r="BN454" s="9"/>
      <c r="BO454" s="9"/>
      <c r="BP454" s="12"/>
      <c r="BQ454" s="12"/>
      <c r="BR454" s="12"/>
      <c r="BS454" s="12"/>
      <c r="BT454" s="12"/>
      <c r="BU454" s="12"/>
      <c r="BV454" s="12"/>
      <c r="BW454" s="12"/>
      <c r="BX454" s="12"/>
      <c r="BY454" s="9"/>
      <c r="BZ454" s="21"/>
      <c r="CA454" s="21"/>
      <c r="CB454" s="21"/>
      <c r="CC454" s="21"/>
      <c r="CD454" s="21"/>
      <c r="CE454" s="21"/>
      <c r="CF454" s="21"/>
      <c r="CG454" s="21"/>
      <c r="CH454" s="21"/>
      <c r="CI454" s="21"/>
      <c r="CJ454" s="21"/>
    </row>
    <row r="455" spans="1:88" ht="40.5" customHeight="1">
      <c r="A455" s="9">
        <f t="shared" si="10"/>
        <v>453</v>
      </c>
      <c r="B455" s="9" t="str">
        <f t="shared" si="11"/>
        <v xml:space="preserve">MA
</v>
      </c>
      <c r="C455" s="9" t="s">
        <v>1180</v>
      </c>
      <c r="D455" s="9" t="s">
        <v>134</v>
      </c>
      <c r="E455" s="12">
        <v>0</v>
      </c>
      <c r="F455" s="12">
        <v>0</v>
      </c>
      <c r="G455" s="9" t="s">
        <v>89</v>
      </c>
      <c r="H455" s="9" t="s">
        <v>79</v>
      </c>
      <c r="I455" s="10" t="s">
        <v>1181</v>
      </c>
      <c r="J455" s="9" t="s">
        <v>79</v>
      </c>
      <c r="K455" s="59" t="s">
        <v>1182</v>
      </c>
      <c r="L455" s="12"/>
      <c r="M455" s="12"/>
      <c r="N455" s="13" t="str">
        <f t="shared" si="12"/>
        <v>Everest Kosovo (Everest Group Albania )</v>
      </c>
      <c r="O455" s="16" t="s">
        <v>1183</v>
      </c>
      <c r="P455" s="23" t="s">
        <v>242</v>
      </c>
      <c r="Q455" s="15" t="s">
        <v>139</v>
      </c>
      <c r="R455" s="14" t="s">
        <v>79</v>
      </c>
      <c r="S455" s="14" t="s">
        <v>79</v>
      </c>
      <c r="T455" s="16" t="s">
        <v>101</v>
      </c>
      <c r="U455" s="17" t="str">
        <f t="shared" si="2"/>
        <v>Everest Kosovo (Everest Group Albania )</v>
      </c>
      <c r="V455" s="16" t="s">
        <v>98</v>
      </c>
      <c r="W455" s="16" t="s">
        <v>79</v>
      </c>
      <c r="X455" s="15" t="s">
        <v>140</v>
      </c>
      <c r="Y455" s="16" t="s">
        <v>75</v>
      </c>
      <c r="Z455" s="16" t="s">
        <v>75</v>
      </c>
      <c r="AA455" s="16" t="s">
        <v>86</v>
      </c>
      <c r="AB455" s="18" t="str">
        <f t="shared" si="13"/>
        <v>Everest Kosovo (Everest Group Albania )</v>
      </c>
      <c r="AC455" s="19" t="s">
        <v>78</v>
      </c>
      <c r="AD455" s="19" t="s">
        <v>79</v>
      </c>
      <c r="AE455" s="20" t="s">
        <v>668</v>
      </c>
      <c r="AF455" s="19" t="s">
        <v>75</v>
      </c>
      <c r="AG455" s="19" t="s">
        <v>75</v>
      </c>
      <c r="AH455" s="16" t="s">
        <v>4</v>
      </c>
      <c r="AI455" s="18"/>
      <c r="AJ455" s="13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3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2"/>
      <c r="BK455" s="12"/>
      <c r="BL455" s="12"/>
      <c r="BM455" s="9"/>
      <c r="BN455" s="9"/>
      <c r="BO455" s="9"/>
      <c r="BP455" s="12"/>
      <c r="BQ455" s="12"/>
      <c r="BR455" s="12"/>
      <c r="BS455" s="12"/>
      <c r="BT455" s="12"/>
      <c r="BU455" s="12"/>
      <c r="BV455" s="12"/>
      <c r="BW455" s="12"/>
      <c r="BX455" s="12"/>
      <c r="BY455" s="9"/>
      <c r="BZ455" s="21"/>
      <c r="CA455" s="21"/>
      <c r="CB455" s="21"/>
      <c r="CC455" s="21"/>
      <c r="CD455" s="21"/>
      <c r="CE455" s="21"/>
      <c r="CF455" s="21"/>
      <c r="CG455" s="21"/>
      <c r="CH455" s="21"/>
      <c r="CI455" s="21"/>
      <c r="CJ455" s="21"/>
    </row>
    <row r="456" spans="1:88" ht="40.5" customHeight="1">
      <c r="A456" s="9">
        <f t="shared" si="10"/>
        <v>454</v>
      </c>
      <c r="B456" s="9" t="str">
        <f t="shared" si="11"/>
        <v xml:space="preserve">MA
</v>
      </c>
      <c r="C456" s="9" t="s">
        <v>1184</v>
      </c>
      <c r="D456" s="9" t="s">
        <v>75</v>
      </c>
      <c r="E456" s="12">
        <v>0</v>
      </c>
      <c r="F456" s="12">
        <v>0</v>
      </c>
      <c r="G456" s="9" t="s">
        <v>89</v>
      </c>
      <c r="H456" s="9" t="s">
        <v>75</v>
      </c>
      <c r="I456" s="9" t="s">
        <v>75</v>
      </c>
      <c r="J456" s="9" t="s">
        <v>75</v>
      </c>
      <c r="K456" s="9" t="s">
        <v>75</v>
      </c>
      <c r="L456" s="12"/>
      <c r="M456" s="12"/>
      <c r="N456" s="13" t="str">
        <f t="shared" si="12"/>
        <v>alu masar</v>
      </c>
      <c r="O456" s="13"/>
      <c r="P456" s="17"/>
      <c r="Q456" s="13"/>
      <c r="R456" s="17"/>
      <c r="S456" s="17"/>
      <c r="T456" s="13"/>
      <c r="U456" s="17" t="str">
        <f t="shared" si="2"/>
        <v>alu masar</v>
      </c>
      <c r="V456" s="13"/>
      <c r="W456" s="13"/>
      <c r="X456" s="13"/>
      <c r="Y456" s="13"/>
      <c r="Z456" s="13"/>
      <c r="AA456" s="13"/>
      <c r="AB456" s="18" t="str">
        <f t="shared" si="13"/>
        <v>alu masar</v>
      </c>
      <c r="AC456" s="18"/>
      <c r="AD456" s="18"/>
      <c r="AE456" s="18"/>
      <c r="AF456" s="18"/>
      <c r="AG456" s="18"/>
      <c r="AH456" s="13"/>
      <c r="AI456" s="18"/>
      <c r="AJ456" s="13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3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2"/>
      <c r="BK456" s="12"/>
      <c r="BL456" s="12"/>
      <c r="BM456" s="9"/>
      <c r="BN456" s="9"/>
      <c r="BO456" s="9"/>
      <c r="BP456" s="12"/>
      <c r="BQ456" s="12"/>
      <c r="BR456" s="12"/>
      <c r="BS456" s="12"/>
      <c r="BT456" s="12"/>
      <c r="BU456" s="12"/>
      <c r="BV456" s="12"/>
      <c r="BW456" s="12"/>
      <c r="BX456" s="12"/>
      <c r="BY456" s="9"/>
      <c r="BZ456" s="21"/>
      <c r="CA456" s="21"/>
      <c r="CB456" s="21"/>
      <c r="CC456" s="21"/>
      <c r="CD456" s="21"/>
      <c r="CE456" s="21"/>
      <c r="CF456" s="21"/>
      <c r="CG456" s="21"/>
      <c r="CH456" s="21"/>
      <c r="CI456" s="21"/>
      <c r="CJ456" s="21"/>
    </row>
    <row r="457" spans="1:88" ht="40.5" customHeight="1">
      <c r="A457" s="9" t="str">
        <f t="shared" si="10"/>
        <v/>
      </c>
      <c r="B457" s="9" t="str">
        <f t="shared" si="11"/>
        <v/>
      </c>
      <c r="C457" s="9"/>
      <c r="D457" s="9"/>
      <c r="E457" s="12">
        <v>0</v>
      </c>
      <c r="F457" s="12">
        <v>0</v>
      </c>
      <c r="G457" s="9" t="s">
        <v>89</v>
      </c>
      <c r="H457" s="9" t="s">
        <v>75</v>
      </c>
      <c r="I457" s="9" t="s">
        <v>75</v>
      </c>
      <c r="J457" s="9" t="s">
        <v>75</v>
      </c>
      <c r="K457" s="9" t="s">
        <v>75</v>
      </c>
      <c r="L457" s="12"/>
      <c r="M457" s="12"/>
      <c r="N457" s="13">
        <f t="shared" si="12"/>
        <v>0</v>
      </c>
      <c r="O457" s="13"/>
      <c r="P457" s="17"/>
      <c r="Q457" s="13"/>
      <c r="R457" s="17"/>
      <c r="S457" s="17"/>
      <c r="T457" s="13"/>
      <c r="U457" s="17">
        <f t="shared" si="2"/>
        <v>0</v>
      </c>
      <c r="V457" s="13"/>
      <c r="W457" s="13"/>
      <c r="X457" s="13"/>
      <c r="Y457" s="13"/>
      <c r="Z457" s="13"/>
      <c r="AA457" s="13"/>
      <c r="AB457" s="18">
        <f t="shared" si="13"/>
        <v>0</v>
      </c>
      <c r="AC457" s="18"/>
      <c r="AD457" s="18"/>
      <c r="AE457" s="18"/>
      <c r="AF457" s="18"/>
      <c r="AG457" s="18"/>
      <c r="AH457" s="13"/>
      <c r="AI457" s="18"/>
      <c r="AJ457" s="13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3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9" t="s">
        <v>1185</v>
      </c>
      <c r="BK457" s="9" t="s">
        <v>79</v>
      </c>
      <c r="BL457" s="9" t="s">
        <v>79</v>
      </c>
      <c r="BM457" s="9" t="s">
        <v>79</v>
      </c>
      <c r="BN457" s="9" t="s">
        <v>79</v>
      </c>
      <c r="BO457" s="9" t="s">
        <v>79</v>
      </c>
      <c r="BP457" s="12"/>
      <c r="BQ457" s="12"/>
      <c r="BR457" s="12"/>
      <c r="BS457" s="12"/>
      <c r="BT457" s="12"/>
      <c r="BU457" s="12"/>
      <c r="BV457" s="12"/>
      <c r="BW457" s="12"/>
      <c r="BX457" s="12"/>
      <c r="BY457" s="9"/>
      <c r="BZ457" s="21"/>
      <c r="CA457" s="21"/>
      <c r="CB457" s="21"/>
      <c r="CC457" s="21"/>
      <c r="CD457" s="21"/>
      <c r="CE457" s="21"/>
      <c r="CF457" s="21"/>
      <c r="CG457" s="21"/>
      <c r="CH457" s="21"/>
      <c r="CI457" s="21"/>
      <c r="CJ457" s="21"/>
    </row>
    <row r="458" spans="1:88" ht="40.5" customHeight="1">
      <c r="A458" s="9">
        <f t="shared" si="10"/>
        <v>456</v>
      </c>
      <c r="B458" s="9" t="str">
        <f t="shared" si="11"/>
        <v xml:space="preserve">MA
</v>
      </c>
      <c r="C458" s="9" t="s">
        <v>1186</v>
      </c>
      <c r="D458" s="9" t="s">
        <v>1149</v>
      </c>
      <c r="E458" s="12">
        <v>0</v>
      </c>
      <c r="F458" s="12">
        <v>0</v>
      </c>
      <c r="G458" s="9" t="s">
        <v>89</v>
      </c>
      <c r="H458" s="12"/>
      <c r="I458" s="12">
        <f>355694041209</f>
        <v>355694041209</v>
      </c>
      <c r="J458" s="12"/>
      <c r="K458" s="11" t="s">
        <v>1187</v>
      </c>
      <c r="L458" s="12"/>
      <c r="M458" s="12"/>
      <c r="N458" s="13" t="str">
        <f t="shared" si="12"/>
        <v xml:space="preserve">ALUFLOR Construction Group
</v>
      </c>
      <c r="O458" s="16" t="s">
        <v>78</v>
      </c>
      <c r="P458" s="23" t="s">
        <v>242</v>
      </c>
      <c r="Q458" s="15" t="s">
        <v>139</v>
      </c>
      <c r="R458" s="14" t="s">
        <v>75</v>
      </c>
      <c r="S458" s="23" t="s">
        <v>84</v>
      </c>
      <c r="T458" s="16" t="s">
        <v>126</v>
      </c>
      <c r="U458" s="17" t="str">
        <f t="shared" si="2"/>
        <v xml:space="preserve">ALUFLOR Construction Group
</v>
      </c>
      <c r="V458" s="16" t="s">
        <v>7</v>
      </c>
      <c r="W458" s="16" t="s">
        <v>75</v>
      </c>
      <c r="X458" s="15" t="s">
        <v>140</v>
      </c>
      <c r="Y458" s="16" t="s">
        <v>79</v>
      </c>
      <c r="Z458" s="16" t="s">
        <v>79</v>
      </c>
      <c r="AA458" s="16" t="s">
        <v>86</v>
      </c>
      <c r="AB458" s="18" t="str">
        <f t="shared" si="13"/>
        <v xml:space="preserve">ALUFLOR Construction Group
</v>
      </c>
      <c r="AC458" s="18"/>
      <c r="AD458" s="18"/>
      <c r="AE458" s="18"/>
      <c r="AF458" s="18"/>
      <c r="AG458" s="18"/>
      <c r="AH458" s="13"/>
      <c r="AI458" s="18"/>
      <c r="AJ458" s="13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3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9" t="s">
        <v>75</v>
      </c>
      <c r="BK458" s="9" t="s">
        <v>75</v>
      </c>
      <c r="BL458" s="9" t="s">
        <v>75</v>
      </c>
      <c r="BM458" s="9" t="s">
        <v>75</v>
      </c>
      <c r="BN458" s="9" t="s">
        <v>75</v>
      </c>
      <c r="BO458" s="9" t="s">
        <v>75</v>
      </c>
      <c r="BP458" s="12"/>
      <c r="BQ458" s="12"/>
      <c r="BR458" s="12"/>
      <c r="BS458" s="12"/>
      <c r="BT458" s="12"/>
      <c r="BU458" s="12"/>
      <c r="BV458" s="12"/>
      <c r="BW458" s="12"/>
      <c r="BX458" s="12"/>
      <c r="BY458" s="9"/>
      <c r="BZ458" s="21"/>
      <c r="CA458" s="21"/>
      <c r="CB458" s="21"/>
      <c r="CC458" s="21"/>
      <c r="CD458" s="21"/>
      <c r="CE458" s="21"/>
      <c r="CF458" s="21"/>
      <c r="CG458" s="21"/>
      <c r="CH458" s="21"/>
      <c r="CI458" s="21"/>
      <c r="CJ458" s="21"/>
    </row>
    <row r="459" spans="1:88" ht="40.5" customHeight="1">
      <c r="A459" s="9">
        <f t="shared" si="10"/>
        <v>457</v>
      </c>
      <c r="B459" s="9" t="str">
        <f t="shared" si="11"/>
        <v xml:space="preserve">MA
</v>
      </c>
      <c r="C459" s="9" t="s">
        <v>103</v>
      </c>
      <c r="D459" s="9" t="s">
        <v>104</v>
      </c>
      <c r="E459" s="12">
        <v>0</v>
      </c>
      <c r="F459" s="12">
        <v>0</v>
      </c>
      <c r="G459" s="9" t="s">
        <v>89</v>
      </c>
      <c r="H459" s="9" t="s">
        <v>75</v>
      </c>
      <c r="I459" s="9" t="s">
        <v>1188</v>
      </c>
      <c r="J459" s="9" t="s">
        <v>107</v>
      </c>
      <c r="K459" s="9" t="s">
        <v>75</v>
      </c>
      <c r="L459" s="12"/>
      <c r="M459" s="12"/>
      <c r="N459" s="13" t="str">
        <f t="shared" si="12"/>
        <v>sama</v>
      </c>
      <c r="O459" s="13"/>
      <c r="P459" s="17"/>
      <c r="Q459" s="13"/>
      <c r="R459" s="17"/>
      <c r="S459" s="17"/>
      <c r="T459" s="13"/>
      <c r="U459" s="17" t="str">
        <f t="shared" si="2"/>
        <v>sama</v>
      </c>
      <c r="V459" s="13"/>
      <c r="W459" s="13"/>
      <c r="X459" s="13"/>
      <c r="Y459" s="13"/>
      <c r="Z459" s="13"/>
      <c r="AA459" s="13"/>
      <c r="AB459" s="18" t="str">
        <f t="shared" si="13"/>
        <v>sama</v>
      </c>
      <c r="AC459" s="18"/>
      <c r="AD459" s="18"/>
      <c r="AE459" s="18"/>
      <c r="AF459" s="18"/>
      <c r="AG459" s="18"/>
      <c r="AH459" s="13"/>
      <c r="AI459" s="18"/>
      <c r="AJ459" s="13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3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2"/>
      <c r="BK459" s="12"/>
      <c r="BL459" s="12"/>
      <c r="BM459" s="9"/>
      <c r="BN459" s="9"/>
      <c r="BO459" s="9"/>
      <c r="BP459" s="12"/>
      <c r="BQ459" s="12"/>
      <c r="BR459" s="12"/>
      <c r="BS459" s="12"/>
      <c r="BT459" s="12"/>
      <c r="BU459" s="12"/>
      <c r="BV459" s="12"/>
      <c r="BW459" s="12"/>
      <c r="BX459" s="12"/>
      <c r="BY459" s="9"/>
      <c r="BZ459" s="21"/>
      <c r="CA459" s="21"/>
      <c r="CB459" s="21"/>
      <c r="CC459" s="21"/>
      <c r="CD459" s="21"/>
      <c r="CE459" s="21"/>
      <c r="CF459" s="21"/>
      <c r="CG459" s="21"/>
      <c r="CH459" s="21"/>
      <c r="CI459" s="21"/>
      <c r="CJ459" s="21"/>
    </row>
    <row r="460" spans="1:88" ht="40.5" customHeight="1">
      <c r="A460" s="9">
        <f t="shared" si="10"/>
        <v>458</v>
      </c>
      <c r="B460" s="9" t="str">
        <f t="shared" si="11"/>
        <v xml:space="preserve">MA
</v>
      </c>
      <c r="C460" s="9" t="s">
        <v>103</v>
      </c>
      <c r="D460" s="9" t="s">
        <v>104</v>
      </c>
      <c r="E460" s="12">
        <v>0</v>
      </c>
      <c r="F460" s="12">
        <v>0</v>
      </c>
      <c r="G460" s="9" t="s">
        <v>89</v>
      </c>
      <c r="H460" s="9" t="s">
        <v>75</v>
      </c>
      <c r="I460" s="9" t="s">
        <v>1188</v>
      </c>
      <c r="J460" s="9" t="s">
        <v>107</v>
      </c>
      <c r="K460" s="9" t="s">
        <v>75</v>
      </c>
      <c r="L460" s="12"/>
      <c r="M460" s="12"/>
      <c r="N460" s="13" t="str">
        <f t="shared" si="12"/>
        <v>sama</v>
      </c>
      <c r="O460" s="13"/>
      <c r="P460" s="17"/>
      <c r="Q460" s="13"/>
      <c r="R460" s="17"/>
      <c r="S460" s="17"/>
      <c r="T460" s="13"/>
      <c r="U460" s="17" t="str">
        <f t="shared" si="2"/>
        <v>sama</v>
      </c>
      <c r="V460" s="13"/>
      <c r="W460" s="13"/>
      <c r="X460" s="13"/>
      <c r="Y460" s="13"/>
      <c r="Z460" s="13"/>
      <c r="AA460" s="13"/>
      <c r="AB460" s="18" t="str">
        <f t="shared" si="13"/>
        <v>sama</v>
      </c>
      <c r="AC460" s="18"/>
      <c r="AD460" s="18"/>
      <c r="AE460" s="18"/>
      <c r="AF460" s="18"/>
      <c r="AG460" s="18"/>
      <c r="AH460" s="13"/>
      <c r="AI460" s="18"/>
      <c r="AJ460" s="13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3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2"/>
      <c r="BK460" s="12"/>
      <c r="BL460" s="12"/>
      <c r="BM460" s="9"/>
      <c r="BN460" s="9"/>
      <c r="BO460" s="9"/>
      <c r="BP460" s="12"/>
      <c r="BQ460" s="12"/>
      <c r="BR460" s="12"/>
      <c r="BS460" s="12"/>
      <c r="BT460" s="12"/>
      <c r="BU460" s="12"/>
      <c r="BV460" s="12"/>
      <c r="BW460" s="12"/>
      <c r="BX460" s="12"/>
      <c r="BY460" s="9"/>
      <c r="BZ460" s="21"/>
      <c r="CA460" s="21"/>
      <c r="CB460" s="21"/>
      <c r="CC460" s="21"/>
      <c r="CD460" s="21"/>
      <c r="CE460" s="21"/>
      <c r="CF460" s="21"/>
      <c r="CG460" s="21"/>
      <c r="CH460" s="21"/>
      <c r="CI460" s="21"/>
      <c r="CJ460" s="21"/>
    </row>
    <row r="461" spans="1:88" ht="40.5" customHeight="1">
      <c r="A461" s="9">
        <f t="shared" si="10"/>
        <v>459</v>
      </c>
      <c r="B461" s="9" t="str">
        <f t="shared" si="11"/>
        <v xml:space="preserve">MA
</v>
      </c>
      <c r="C461" s="9" t="s">
        <v>1189</v>
      </c>
      <c r="D461" s="9" t="s">
        <v>104</v>
      </c>
      <c r="E461" s="12">
        <v>0</v>
      </c>
      <c r="F461" s="12">
        <v>0</v>
      </c>
      <c r="G461" s="9" t="s">
        <v>89</v>
      </c>
      <c r="H461" s="9" t="s">
        <v>75</v>
      </c>
      <c r="I461" s="9" t="s">
        <v>1190</v>
      </c>
      <c r="J461" s="9" t="s">
        <v>87</v>
      </c>
      <c r="K461" s="9" t="s">
        <v>75</v>
      </c>
      <c r="L461" s="12"/>
      <c r="M461" s="12"/>
      <c r="N461" s="13" t="str">
        <f t="shared" si="12"/>
        <v>Alwadi</v>
      </c>
      <c r="O461" s="13"/>
      <c r="P461" s="17"/>
      <c r="Q461" s="13"/>
      <c r="R461" s="17"/>
      <c r="S461" s="17"/>
      <c r="T461" s="13"/>
      <c r="U461" s="17" t="str">
        <f t="shared" si="2"/>
        <v>Alwadi</v>
      </c>
      <c r="V461" s="13"/>
      <c r="W461" s="13"/>
      <c r="X461" s="13"/>
      <c r="Y461" s="13"/>
      <c r="Z461" s="13"/>
      <c r="AA461" s="13"/>
      <c r="AB461" s="18" t="str">
        <f t="shared" si="13"/>
        <v>Alwadi</v>
      </c>
      <c r="AC461" s="18"/>
      <c r="AD461" s="18"/>
      <c r="AE461" s="18"/>
      <c r="AF461" s="18"/>
      <c r="AG461" s="18"/>
      <c r="AH461" s="13"/>
      <c r="AI461" s="18"/>
      <c r="AJ461" s="13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3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2"/>
      <c r="BK461" s="12"/>
      <c r="BL461" s="12"/>
      <c r="BM461" s="9"/>
      <c r="BN461" s="9"/>
      <c r="BO461" s="9"/>
      <c r="BP461" s="12"/>
      <c r="BQ461" s="12"/>
      <c r="BR461" s="12"/>
      <c r="BS461" s="12"/>
      <c r="BT461" s="12"/>
      <c r="BU461" s="12"/>
      <c r="BV461" s="12"/>
      <c r="BW461" s="12"/>
      <c r="BX461" s="12"/>
      <c r="BY461" s="9"/>
      <c r="BZ461" s="21"/>
      <c r="CA461" s="21"/>
      <c r="CB461" s="21"/>
      <c r="CC461" s="21"/>
      <c r="CD461" s="21"/>
      <c r="CE461" s="21"/>
      <c r="CF461" s="21"/>
      <c r="CG461" s="21"/>
      <c r="CH461" s="21"/>
      <c r="CI461" s="21"/>
      <c r="CJ461" s="21"/>
    </row>
    <row r="462" spans="1:88" ht="40.5" customHeight="1">
      <c r="A462" s="9">
        <f t="shared" si="10"/>
        <v>460</v>
      </c>
      <c r="B462" s="9" t="str">
        <f t="shared" si="11"/>
        <v xml:space="preserve">MA
</v>
      </c>
      <c r="C462" s="9" t="s">
        <v>1189</v>
      </c>
      <c r="D462" s="9" t="s">
        <v>104</v>
      </c>
      <c r="E462" s="12">
        <v>0</v>
      </c>
      <c r="F462" s="12">
        <v>0</v>
      </c>
      <c r="G462" s="9" t="s">
        <v>89</v>
      </c>
      <c r="H462" s="9" t="s">
        <v>75</v>
      </c>
      <c r="I462" s="9" t="s">
        <v>1190</v>
      </c>
      <c r="J462" s="9" t="s">
        <v>87</v>
      </c>
      <c r="K462" s="9" t="s">
        <v>75</v>
      </c>
      <c r="L462" s="12"/>
      <c r="M462" s="12"/>
      <c r="N462" s="13" t="str">
        <f t="shared" si="12"/>
        <v>Alwadi</v>
      </c>
      <c r="O462" s="13"/>
      <c r="P462" s="17"/>
      <c r="Q462" s="13"/>
      <c r="R462" s="17"/>
      <c r="S462" s="17"/>
      <c r="T462" s="13"/>
      <c r="U462" s="17" t="str">
        <f t="shared" si="2"/>
        <v>Alwadi</v>
      </c>
      <c r="V462" s="13"/>
      <c r="W462" s="13"/>
      <c r="X462" s="13"/>
      <c r="Y462" s="13"/>
      <c r="Z462" s="13"/>
      <c r="AA462" s="13"/>
      <c r="AB462" s="18" t="str">
        <f t="shared" si="13"/>
        <v>Alwadi</v>
      </c>
      <c r="AC462" s="18"/>
      <c r="AD462" s="18"/>
      <c r="AE462" s="18"/>
      <c r="AF462" s="18"/>
      <c r="AG462" s="18"/>
      <c r="AH462" s="13"/>
      <c r="AI462" s="18"/>
      <c r="AJ462" s="13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3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2"/>
      <c r="BK462" s="12"/>
      <c r="BL462" s="12"/>
      <c r="BM462" s="9"/>
      <c r="BN462" s="9"/>
      <c r="BO462" s="9"/>
      <c r="BP462" s="12"/>
      <c r="BQ462" s="12"/>
      <c r="BR462" s="12"/>
      <c r="BS462" s="12"/>
      <c r="BT462" s="12"/>
      <c r="BU462" s="12"/>
      <c r="BV462" s="12"/>
      <c r="BW462" s="12"/>
      <c r="BX462" s="12"/>
      <c r="BY462" s="9"/>
      <c r="BZ462" s="21"/>
      <c r="CA462" s="21"/>
      <c r="CB462" s="21"/>
      <c r="CC462" s="21"/>
      <c r="CD462" s="21"/>
      <c r="CE462" s="21"/>
      <c r="CF462" s="21"/>
      <c r="CG462" s="21"/>
      <c r="CH462" s="21"/>
      <c r="CI462" s="21"/>
      <c r="CJ462" s="21"/>
    </row>
    <row r="463" spans="1:88" ht="40.5" customHeight="1">
      <c r="A463" s="9">
        <f t="shared" si="10"/>
        <v>461</v>
      </c>
      <c r="B463" s="9" t="str">
        <f t="shared" si="11"/>
        <v xml:space="preserve">MA
</v>
      </c>
      <c r="C463" s="9" t="s">
        <v>1191</v>
      </c>
      <c r="D463" s="9" t="s">
        <v>104</v>
      </c>
      <c r="E463" s="12">
        <v>0</v>
      </c>
      <c r="F463" s="12">
        <v>0</v>
      </c>
      <c r="G463" s="9" t="s">
        <v>89</v>
      </c>
      <c r="H463" s="9" t="s">
        <v>79</v>
      </c>
      <c r="I463" s="9" t="s">
        <v>1190</v>
      </c>
      <c r="J463" s="9" t="s">
        <v>87</v>
      </c>
      <c r="K463" s="9" t="s">
        <v>79</v>
      </c>
      <c r="L463" s="12"/>
      <c r="M463" s="12"/>
      <c r="N463" s="13" t="str">
        <f t="shared" si="12"/>
        <v>Alwadi misir</v>
      </c>
      <c r="O463" s="13"/>
      <c r="P463" s="17"/>
      <c r="Q463" s="13"/>
      <c r="R463" s="17"/>
      <c r="S463" s="17"/>
      <c r="T463" s="13"/>
      <c r="U463" s="17" t="str">
        <f t="shared" si="2"/>
        <v>Alwadi misir</v>
      </c>
      <c r="V463" s="13"/>
      <c r="W463" s="13"/>
      <c r="X463" s="13"/>
      <c r="Y463" s="13"/>
      <c r="Z463" s="13"/>
      <c r="AA463" s="13"/>
      <c r="AB463" s="18" t="str">
        <f t="shared" si="13"/>
        <v>Alwadi misir</v>
      </c>
      <c r="AC463" s="18"/>
      <c r="AD463" s="18"/>
      <c r="AE463" s="18"/>
      <c r="AF463" s="18"/>
      <c r="AG463" s="18"/>
      <c r="AH463" s="13"/>
      <c r="AI463" s="18"/>
      <c r="AJ463" s="13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3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2"/>
      <c r="BK463" s="12"/>
      <c r="BL463" s="12"/>
      <c r="BM463" s="9"/>
      <c r="BN463" s="9"/>
      <c r="BO463" s="9"/>
      <c r="BP463" s="12"/>
      <c r="BQ463" s="12"/>
      <c r="BR463" s="12"/>
      <c r="BS463" s="12"/>
      <c r="BT463" s="12"/>
      <c r="BU463" s="12"/>
      <c r="BV463" s="12"/>
      <c r="BW463" s="12"/>
      <c r="BX463" s="12"/>
      <c r="BY463" s="9"/>
      <c r="BZ463" s="21"/>
      <c r="CA463" s="21"/>
      <c r="CB463" s="21"/>
      <c r="CC463" s="21"/>
      <c r="CD463" s="21"/>
      <c r="CE463" s="21"/>
      <c r="CF463" s="21"/>
      <c r="CG463" s="21"/>
      <c r="CH463" s="21"/>
      <c r="CI463" s="21"/>
      <c r="CJ463" s="21"/>
    </row>
    <row r="464" spans="1:88" ht="40.5" customHeight="1">
      <c r="A464" s="9">
        <f t="shared" si="10"/>
        <v>462</v>
      </c>
      <c r="B464" s="9" t="str">
        <f t="shared" si="11"/>
        <v xml:space="preserve">MA
</v>
      </c>
      <c r="C464" s="9" t="s">
        <v>1192</v>
      </c>
      <c r="D464" s="9" t="s">
        <v>104</v>
      </c>
      <c r="E464" s="12">
        <v>0</v>
      </c>
      <c r="F464" s="12">
        <v>0</v>
      </c>
      <c r="G464" s="9" t="s">
        <v>89</v>
      </c>
      <c r="H464" s="9" t="s">
        <v>75</v>
      </c>
      <c r="I464" s="9" t="s">
        <v>1190</v>
      </c>
      <c r="J464" s="9" t="s">
        <v>186</v>
      </c>
      <c r="K464" s="9" t="s">
        <v>75</v>
      </c>
      <c r="L464" s="12"/>
      <c r="M464" s="12"/>
      <c r="N464" s="13" t="str">
        <f t="shared" si="12"/>
        <v>Alwadi in Libya</v>
      </c>
      <c r="O464" s="13"/>
      <c r="P464" s="17"/>
      <c r="Q464" s="13"/>
      <c r="R464" s="17"/>
      <c r="S464" s="17"/>
      <c r="T464" s="13"/>
      <c r="U464" s="17" t="str">
        <f t="shared" si="2"/>
        <v>Alwadi in Libya</v>
      </c>
      <c r="V464" s="13"/>
      <c r="W464" s="13"/>
      <c r="X464" s="13"/>
      <c r="Y464" s="13"/>
      <c r="Z464" s="13"/>
      <c r="AA464" s="13"/>
      <c r="AB464" s="18" t="str">
        <f t="shared" si="13"/>
        <v>Alwadi in Libya</v>
      </c>
      <c r="AC464" s="18"/>
      <c r="AD464" s="18"/>
      <c r="AE464" s="18"/>
      <c r="AF464" s="18"/>
      <c r="AG464" s="18"/>
      <c r="AH464" s="13"/>
      <c r="AI464" s="18"/>
      <c r="AJ464" s="13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3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2"/>
      <c r="BK464" s="12"/>
      <c r="BL464" s="12"/>
      <c r="BM464" s="9"/>
      <c r="BN464" s="9"/>
      <c r="BO464" s="9"/>
      <c r="BP464" s="12"/>
      <c r="BQ464" s="12"/>
      <c r="BR464" s="12"/>
      <c r="BS464" s="12"/>
      <c r="BT464" s="12"/>
      <c r="BU464" s="12"/>
      <c r="BV464" s="12"/>
      <c r="BW464" s="12"/>
      <c r="BX464" s="12"/>
      <c r="BY464" s="9"/>
      <c r="BZ464" s="21"/>
      <c r="CA464" s="21"/>
      <c r="CB464" s="21"/>
      <c r="CC464" s="21"/>
      <c r="CD464" s="21"/>
      <c r="CE464" s="21"/>
      <c r="CF464" s="21"/>
      <c r="CG464" s="21"/>
      <c r="CH464" s="21"/>
      <c r="CI464" s="21"/>
      <c r="CJ464" s="21"/>
    </row>
    <row r="465" spans="1:88" ht="40.5" customHeight="1">
      <c r="A465" s="9">
        <f t="shared" si="10"/>
        <v>463</v>
      </c>
      <c r="B465" s="9" t="str">
        <f t="shared" si="11"/>
        <v xml:space="preserve">MA
</v>
      </c>
      <c r="C465" s="9" t="s">
        <v>1192</v>
      </c>
      <c r="D465" s="9" t="s">
        <v>104</v>
      </c>
      <c r="E465" s="12">
        <v>0</v>
      </c>
      <c r="F465" s="12">
        <v>0</v>
      </c>
      <c r="G465" s="9" t="s">
        <v>89</v>
      </c>
      <c r="H465" s="9" t="s">
        <v>75</v>
      </c>
      <c r="I465" s="9" t="s">
        <v>1190</v>
      </c>
      <c r="J465" s="9" t="s">
        <v>186</v>
      </c>
      <c r="K465" s="9" t="s">
        <v>75</v>
      </c>
      <c r="L465" s="12"/>
      <c r="M465" s="12"/>
      <c r="N465" s="13" t="str">
        <f t="shared" si="12"/>
        <v>Alwadi in Libya</v>
      </c>
      <c r="O465" s="13"/>
      <c r="P465" s="17"/>
      <c r="Q465" s="13"/>
      <c r="R465" s="17"/>
      <c r="S465" s="17"/>
      <c r="T465" s="13"/>
      <c r="U465" s="17" t="str">
        <f t="shared" si="2"/>
        <v>Alwadi in Libya</v>
      </c>
      <c r="V465" s="13"/>
      <c r="W465" s="13"/>
      <c r="X465" s="13"/>
      <c r="Y465" s="13"/>
      <c r="Z465" s="13"/>
      <c r="AA465" s="13"/>
      <c r="AB465" s="18" t="str">
        <f t="shared" si="13"/>
        <v>Alwadi in Libya</v>
      </c>
      <c r="AC465" s="18"/>
      <c r="AD465" s="18"/>
      <c r="AE465" s="18"/>
      <c r="AF465" s="18"/>
      <c r="AG465" s="18"/>
      <c r="AH465" s="13"/>
      <c r="AI465" s="18"/>
      <c r="AJ465" s="13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3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2"/>
      <c r="BK465" s="12"/>
      <c r="BL465" s="12"/>
      <c r="BM465" s="9"/>
      <c r="BN465" s="9"/>
      <c r="BO465" s="9"/>
      <c r="BP465" s="12"/>
      <c r="BQ465" s="12"/>
      <c r="BR465" s="12"/>
      <c r="BS465" s="12"/>
      <c r="BT465" s="12"/>
      <c r="BU465" s="12"/>
      <c r="BV465" s="12"/>
      <c r="BW465" s="12"/>
      <c r="BX465" s="12"/>
      <c r="BY465" s="9"/>
      <c r="BZ465" s="21"/>
      <c r="CA465" s="21"/>
      <c r="CB465" s="21"/>
      <c r="CC465" s="21"/>
      <c r="CD465" s="21"/>
      <c r="CE465" s="21"/>
      <c r="CF465" s="21"/>
      <c r="CG465" s="21"/>
      <c r="CH465" s="21"/>
      <c r="CI465" s="21"/>
      <c r="CJ465" s="21"/>
    </row>
    <row r="466" spans="1:88" ht="40.5" customHeight="1">
      <c r="A466" s="9" t="str">
        <f t="shared" si="10"/>
        <v/>
      </c>
      <c r="B466" s="9" t="str">
        <f t="shared" si="11"/>
        <v/>
      </c>
      <c r="C466" s="9" t="s">
        <v>75</v>
      </c>
      <c r="D466" s="9" t="s">
        <v>75</v>
      </c>
      <c r="E466" s="12">
        <v>0</v>
      </c>
      <c r="F466" s="12">
        <v>0</v>
      </c>
      <c r="G466" s="9" t="s">
        <v>89</v>
      </c>
      <c r="H466" s="9" t="s">
        <v>75</v>
      </c>
      <c r="I466" s="9" t="s">
        <v>75</v>
      </c>
      <c r="J466" s="9" t="s">
        <v>75</v>
      </c>
      <c r="K466" s="9" t="s">
        <v>75</v>
      </c>
      <c r="L466" s="12"/>
      <c r="M466" s="12"/>
      <c r="N466" s="13"/>
      <c r="O466" s="13"/>
      <c r="P466" s="17"/>
      <c r="Q466" s="13"/>
      <c r="R466" s="17"/>
      <c r="S466" s="17"/>
      <c r="T466" s="13"/>
      <c r="U466" s="17" t="str">
        <f t="shared" si="2"/>
        <v/>
      </c>
      <c r="V466" s="13"/>
      <c r="W466" s="13"/>
      <c r="X466" s="13"/>
      <c r="Y466" s="13"/>
      <c r="Z466" s="13"/>
      <c r="AA466" s="13"/>
      <c r="AB466" s="18" t="str">
        <f t="shared" si="13"/>
        <v/>
      </c>
      <c r="AC466" s="18"/>
      <c r="AD466" s="18"/>
      <c r="AE466" s="18"/>
      <c r="AF466" s="18"/>
      <c r="AG466" s="18"/>
      <c r="AH466" s="13"/>
      <c r="AI466" s="18"/>
      <c r="AJ466" s="13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3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2"/>
      <c r="BK466" s="12"/>
      <c r="BL466" s="12"/>
      <c r="BM466" s="9"/>
      <c r="BN466" s="9"/>
      <c r="BO466" s="9"/>
      <c r="BP466" s="12"/>
      <c r="BQ466" s="12"/>
      <c r="BR466" s="12"/>
      <c r="BS466" s="12"/>
      <c r="BT466" s="12"/>
      <c r="BU466" s="12"/>
      <c r="BV466" s="12"/>
      <c r="BW466" s="12"/>
      <c r="BX466" s="12"/>
      <c r="BY466" s="9"/>
      <c r="BZ466" s="21"/>
      <c r="CA466" s="21"/>
      <c r="CB466" s="21"/>
      <c r="CC466" s="21"/>
      <c r="CD466" s="21"/>
      <c r="CE466" s="21"/>
      <c r="CF466" s="21"/>
      <c r="CG466" s="21"/>
      <c r="CH466" s="21"/>
      <c r="CI466" s="21"/>
      <c r="CJ466" s="21"/>
    </row>
    <row r="467" spans="1:88" ht="40.5" customHeight="1">
      <c r="A467" s="9">
        <f t="shared" si="10"/>
        <v>465</v>
      </c>
      <c r="B467" s="9" t="str">
        <f t="shared" si="11"/>
        <v xml:space="preserve">MA
</v>
      </c>
      <c r="C467" s="9" t="s">
        <v>1193</v>
      </c>
      <c r="D467" s="9" t="s">
        <v>119</v>
      </c>
      <c r="E467" s="12">
        <v>0</v>
      </c>
      <c r="F467" s="12">
        <v>0</v>
      </c>
      <c r="G467" s="9" t="s">
        <v>89</v>
      </c>
      <c r="H467" s="9" t="s">
        <v>79</v>
      </c>
      <c r="I467" s="9" t="s">
        <v>128</v>
      </c>
      <c r="J467" s="9" t="s">
        <v>129</v>
      </c>
      <c r="K467" s="11" t="s">
        <v>130</v>
      </c>
      <c r="L467" s="12"/>
      <c r="M467" s="12"/>
      <c r="N467" s="13"/>
      <c r="O467" s="16" t="s">
        <v>78</v>
      </c>
      <c r="P467" s="14" t="s">
        <v>79</v>
      </c>
      <c r="Q467" s="15" t="s">
        <v>80</v>
      </c>
      <c r="R467" s="14" t="s">
        <v>75</v>
      </c>
      <c r="S467" s="14" t="s">
        <v>75</v>
      </c>
      <c r="T467" s="16" t="s">
        <v>4</v>
      </c>
      <c r="U467" s="17" t="str">
        <f t="shared" si="2"/>
        <v>Sohel gazi alduwalia</v>
      </c>
      <c r="V467" s="13"/>
      <c r="W467" s="13"/>
      <c r="X467" s="13"/>
      <c r="Y467" s="13"/>
      <c r="Z467" s="13"/>
      <c r="AA467" s="13"/>
      <c r="AB467" s="18" t="str">
        <f t="shared" si="13"/>
        <v>Sohel gazi alduwalia</v>
      </c>
      <c r="AC467" s="18"/>
      <c r="AD467" s="18"/>
      <c r="AE467" s="18"/>
      <c r="AF467" s="18"/>
      <c r="AG467" s="18"/>
      <c r="AH467" s="13"/>
      <c r="AI467" s="18"/>
      <c r="AJ467" s="13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3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2"/>
      <c r="BK467" s="12"/>
      <c r="BL467" s="12"/>
      <c r="BM467" s="9"/>
      <c r="BN467" s="9"/>
      <c r="BO467" s="9"/>
      <c r="BP467" s="12"/>
      <c r="BQ467" s="12"/>
      <c r="BR467" s="12"/>
      <c r="BS467" s="12"/>
      <c r="BT467" s="12"/>
      <c r="BU467" s="12"/>
      <c r="BV467" s="12"/>
      <c r="BW467" s="12"/>
      <c r="BX467" s="12"/>
      <c r="BY467" s="9"/>
      <c r="BZ467" s="21"/>
      <c r="CA467" s="21"/>
      <c r="CB467" s="21"/>
      <c r="CC467" s="21"/>
      <c r="CD467" s="21"/>
      <c r="CE467" s="21"/>
      <c r="CF467" s="21"/>
      <c r="CG467" s="21"/>
      <c r="CH467" s="21"/>
      <c r="CI467" s="21"/>
      <c r="CJ467" s="21"/>
    </row>
    <row r="468" spans="1:88" ht="40.5" customHeight="1">
      <c r="A468" s="9">
        <f t="shared" si="10"/>
        <v>466</v>
      </c>
      <c r="B468" s="9" t="str">
        <f t="shared" si="11"/>
        <v xml:space="preserve">MA
</v>
      </c>
      <c r="C468" s="9" t="s">
        <v>1194</v>
      </c>
      <c r="D468" s="9" t="s">
        <v>1195</v>
      </c>
      <c r="E468" s="12">
        <v>0</v>
      </c>
      <c r="F468" s="12">
        <v>0</v>
      </c>
      <c r="G468" s="9" t="s">
        <v>89</v>
      </c>
      <c r="H468" s="9" t="s">
        <v>75</v>
      </c>
      <c r="I468" s="9" t="s">
        <v>1196</v>
      </c>
      <c r="J468" s="9" t="s">
        <v>75</v>
      </c>
      <c r="K468" s="9" t="s">
        <v>86</v>
      </c>
      <c r="L468" s="12"/>
      <c r="M468" s="12"/>
      <c r="N468" s="13"/>
      <c r="O468" s="13"/>
      <c r="P468" s="17"/>
      <c r="Q468" s="13"/>
      <c r="R468" s="17"/>
      <c r="S468" s="17"/>
      <c r="T468" s="13"/>
      <c r="U468" s="17" t="str">
        <f t="shared" si="2"/>
        <v>arama</v>
      </c>
      <c r="V468" s="13"/>
      <c r="W468" s="13"/>
      <c r="X468" s="13"/>
      <c r="Y468" s="13"/>
      <c r="Z468" s="13"/>
      <c r="AA468" s="13"/>
      <c r="AB468" s="18" t="str">
        <f t="shared" si="13"/>
        <v>arama</v>
      </c>
      <c r="AC468" s="18"/>
      <c r="AD468" s="18"/>
      <c r="AE468" s="18"/>
      <c r="AF468" s="18"/>
      <c r="AG468" s="18"/>
      <c r="AH468" s="13"/>
      <c r="AI468" s="18"/>
      <c r="AJ468" s="13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3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2"/>
      <c r="BK468" s="12"/>
      <c r="BL468" s="12"/>
      <c r="BM468" s="9"/>
      <c r="BN468" s="9"/>
      <c r="BO468" s="9"/>
      <c r="BP468" s="12"/>
      <c r="BQ468" s="12"/>
      <c r="BR468" s="12"/>
      <c r="BS468" s="12"/>
      <c r="BT468" s="12"/>
      <c r="BU468" s="12"/>
      <c r="BV468" s="12"/>
      <c r="BW468" s="12"/>
      <c r="BX468" s="12"/>
      <c r="BY468" s="9"/>
      <c r="BZ468" s="21"/>
      <c r="CA468" s="21"/>
      <c r="CB468" s="21"/>
      <c r="CC468" s="21"/>
      <c r="CD468" s="21"/>
      <c r="CE468" s="21"/>
      <c r="CF468" s="21"/>
      <c r="CG468" s="21"/>
      <c r="CH468" s="21"/>
      <c r="CI468" s="21"/>
      <c r="CJ468" s="21"/>
    </row>
    <row r="469" spans="1:88" ht="40.5" customHeight="1">
      <c r="A469" s="9">
        <f t="shared" si="10"/>
        <v>467</v>
      </c>
      <c r="B469" s="9" t="str">
        <f t="shared" si="11"/>
        <v xml:space="preserve">MA
</v>
      </c>
      <c r="C469" s="9" t="s">
        <v>1197</v>
      </c>
      <c r="D469" s="9" t="s">
        <v>1198</v>
      </c>
      <c r="E469" s="12">
        <v>0</v>
      </c>
      <c r="F469" s="12">
        <v>0</v>
      </c>
      <c r="G469" s="9" t="s">
        <v>89</v>
      </c>
      <c r="H469" s="9" t="s">
        <v>75</v>
      </c>
      <c r="I469" s="10" t="s">
        <v>1199</v>
      </c>
      <c r="J469" s="9" t="s">
        <v>75</v>
      </c>
      <c r="K469" s="11" t="s">
        <v>1200</v>
      </c>
      <c r="L469" s="12"/>
      <c r="M469" s="12"/>
      <c r="N469" s="13"/>
      <c r="O469" s="16" t="s">
        <v>78</v>
      </c>
      <c r="P469" s="23" t="s">
        <v>785</v>
      </c>
      <c r="Q469" s="15" t="s">
        <v>138</v>
      </c>
      <c r="R469" s="14" t="s">
        <v>75</v>
      </c>
      <c r="S469" s="14" t="s">
        <v>75</v>
      </c>
      <c r="T469" s="16" t="s">
        <v>126</v>
      </c>
      <c r="U469" s="17" t="str">
        <f t="shared" si="2"/>
        <v xml:space="preserve">ALTOM Window Factory | Windows, doors, facades from PVC and aluminum
</v>
      </c>
      <c r="V469" s="16" t="s">
        <v>75</v>
      </c>
      <c r="W469" s="16" t="s">
        <v>75</v>
      </c>
      <c r="X469" s="16" t="s">
        <v>75</v>
      </c>
      <c r="Y469" s="16" t="s">
        <v>75</v>
      </c>
      <c r="Z469" s="16" t="s">
        <v>75</v>
      </c>
      <c r="AA469" s="16" t="s">
        <v>75</v>
      </c>
      <c r="AB469" s="18" t="str">
        <f t="shared" si="13"/>
        <v xml:space="preserve">ALTOM Window Factory | Windows, doors, facades from PVC and aluminum
</v>
      </c>
      <c r="AC469" s="19" t="s">
        <v>75</v>
      </c>
      <c r="AD469" s="19" t="s">
        <v>75</v>
      </c>
      <c r="AE469" s="19" t="s">
        <v>75</v>
      </c>
      <c r="AF469" s="19" t="s">
        <v>75</v>
      </c>
      <c r="AG469" s="19" t="s">
        <v>75</v>
      </c>
      <c r="AH469" s="16" t="s">
        <v>75</v>
      </c>
      <c r="AI469" s="18"/>
      <c r="AJ469" s="13"/>
      <c r="AK469" s="18"/>
      <c r="AL469" s="18"/>
      <c r="AM469" s="18"/>
      <c r="AN469" s="18"/>
      <c r="AO469" s="18"/>
      <c r="AP469" s="18"/>
      <c r="AQ469" s="19" t="s">
        <v>75</v>
      </c>
      <c r="AR469" s="19" t="s">
        <v>79</v>
      </c>
      <c r="AS469" s="19" t="s">
        <v>75</v>
      </c>
      <c r="AT469" s="19" t="s">
        <v>75</v>
      </c>
      <c r="AU469" s="19" t="s">
        <v>75</v>
      </c>
      <c r="AV469" s="19" t="s">
        <v>75</v>
      </c>
      <c r="AW469" s="18"/>
      <c r="AX469" s="13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2"/>
      <c r="BK469" s="12"/>
      <c r="BL469" s="12"/>
      <c r="BM469" s="9"/>
      <c r="BN469" s="9"/>
      <c r="BO469" s="9"/>
      <c r="BP469" s="12"/>
      <c r="BQ469" s="12"/>
      <c r="BR469" s="12"/>
      <c r="BS469" s="12"/>
      <c r="BT469" s="12"/>
      <c r="BU469" s="12"/>
      <c r="BV469" s="12"/>
      <c r="BW469" s="12"/>
      <c r="BX469" s="12"/>
      <c r="BY469" s="9"/>
      <c r="BZ469" s="21"/>
      <c r="CA469" s="21"/>
      <c r="CB469" s="21"/>
      <c r="CC469" s="21"/>
      <c r="CD469" s="21"/>
      <c r="CE469" s="21"/>
      <c r="CF469" s="21"/>
      <c r="CG469" s="21"/>
      <c r="CH469" s="21"/>
      <c r="CI469" s="21"/>
      <c r="CJ469" s="21"/>
    </row>
    <row r="470" spans="1:88" ht="40.5" customHeight="1">
      <c r="A470" s="9">
        <f t="shared" si="10"/>
        <v>468</v>
      </c>
      <c r="B470" s="9" t="str">
        <f t="shared" si="11"/>
        <v xml:space="preserve">MA
</v>
      </c>
      <c r="C470" s="9" t="s">
        <v>1201</v>
      </c>
      <c r="D470" s="9" t="s">
        <v>1198</v>
      </c>
      <c r="E470" s="12">
        <v>0</v>
      </c>
      <c r="F470" s="12">
        <v>0</v>
      </c>
      <c r="G470" s="9" t="s">
        <v>89</v>
      </c>
      <c r="H470" s="9" t="s">
        <v>75</v>
      </c>
      <c r="I470" s="9" t="s">
        <v>75</v>
      </c>
      <c r="J470" s="9" t="s">
        <v>75</v>
      </c>
      <c r="K470" s="11" t="s">
        <v>1202</v>
      </c>
      <c r="L470" s="12"/>
      <c r="M470" s="12"/>
      <c r="N470" s="13"/>
      <c r="O470" s="16" t="s">
        <v>78</v>
      </c>
      <c r="P470" s="23" t="s">
        <v>785</v>
      </c>
      <c r="Q470" s="15" t="s">
        <v>138</v>
      </c>
      <c r="R470" s="14" t="s">
        <v>75</v>
      </c>
      <c r="S470" s="14" t="s">
        <v>75</v>
      </c>
      <c r="T470" s="16" t="s">
        <v>145</v>
      </c>
      <c r="U470" s="17" t="str">
        <f t="shared" si="2"/>
        <v xml:space="preserve">debesto - European windows, doors &amp; more B2B broker
</v>
      </c>
      <c r="V470" s="16" t="s">
        <v>75</v>
      </c>
      <c r="W470" s="16" t="s">
        <v>75</v>
      </c>
      <c r="X470" s="16" t="s">
        <v>75</v>
      </c>
      <c r="Y470" s="16" t="s">
        <v>75</v>
      </c>
      <c r="Z470" s="16" t="s">
        <v>75</v>
      </c>
      <c r="AA470" s="16" t="s">
        <v>75</v>
      </c>
      <c r="AB470" s="18" t="str">
        <f t="shared" si="13"/>
        <v xml:space="preserve">debesto - European windows, doors &amp; more B2B broker
</v>
      </c>
      <c r="AC470" s="18"/>
      <c r="AD470" s="18"/>
      <c r="AE470" s="18"/>
      <c r="AF470" s="18"/>
      <c r="AG470" s="18"/>
      <c r="AH470" s="13"/>
      <c r="AI470" s="18"/>
      <c r="AJ470" s="13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3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2"/>
      <c r="BK470" s="12"/>
      <c r="BL470" s="12"/>
      <c r="BM470" s="9"/>
      <c r="BN470" s="9"/>
      <c r="BO470" s="9"/>
      <c r="BP470" s="12"/>
      <c r="BQ470" s="12"/>
      <c r="BR470" s="12"/>
      <c r="BS470" s="12"/>
      <c r="BT470" s="12"/>
      <c r="BU470" s="12"/>
      <c r="BV470" s="12"/>
      <c r="BW470" s="12"/>
      <c r="BX470" s="12"/>
      <c r="BY470" s="9"/>
      <c r="BZ470" s="21"/>
      <c r="CA470" s="21"/>
      <c r="CB470" s="21"/>
      <c r="CC470" s="21"/>
      <c r="CD470" s="21"/>
      <c r="CE470" s="21"/>
      <c r="CF470" s="21"/>
      <c r="CG470" s="21"/>
      <c r="CH470" s="21"/>
      <c r="CI470" s="21"/>
      <c r="CJ470" s="21"/>
    </row>
    <row r="471" spans="1:88" ht="40.5" customHeight="1">
      <c r="A471" s="9">
        <f t="shared" si="10"/>
        <v>469</v>
      </c>
      <c r="B471" s="9" t="str">
        <f t="shared" si="11"/>
        <v xml:space="preserve">MA
</v>
      </c>
      <c r="C471" s="9" t="s">
        <v>1203</v>
      </c>
      <c r="D471" s="9" t="s">
        <v>1198</v>
      </c>
      <c r="E471" s="12">
        <v>0</v>
      </c>
      <c r="F471" s="12">
        <v>0</v>
      </c>
      <c r="G471" s="9" t="s">
        <v>89</v>
      </c>
      <c r="H471" s="9" t="s">
        <v>75</v>
      </c>
      <c r="I471" s="10" t="s">
        <v>1204</v>
      </c>
      <c r="J471" s="9" t="s">
        <v>75</v>
      </c>
      <c r="K471" s="11" t="s">
        <v>1205</v>
      </c>
      <c r="L471" s="12"/>
      <c r="M471" s="12"/>
      <c r="N471" s="13"/>
      <c r="O471" s="13"/>
      <c r="P471" s="17"/>
      <c r="Q471" s="13"/>
      <c r="R471" s="17"/>
      <c r="S471" s="17"/>
      <c r="T471" s="13"/>
      <c r="U471" s="17" t="str">
        <f t="shared" si="2"/>
        <v xml:space="preserve">Wes. The manufacturer of windows and doors
</v>
      </c>
      <c r="V471" s="16" t="s">
        <v>78</v>
      </c>
      <c r="W471" s="15" t="s">
        <v>785</v>
      </c>
      <c r="X471" s="15" t="s">
        <v>138</v>
      </c>
      <c r="Y471" s="16" t="s">
        <v>75</v>
      </c>
      <c r="Z471" s="16" t="s">
        <v>75</v>
      </c>
      <c r="AA471" s="16" t="s">
        <v>145</v>
      </c>
      <c r="AB471" s="18" t="str">
        <f t="shared" si="13"/>
        <v xml:space="preserve">Wes. The manufacturer of windows and doors
</v>
      </c>
      <c r="AC471" s="18"/>
      <c r="AD471" s="18"/>
      <c r="AE471" s="18"/>
      <c r="AF471" s="18"/>
      <c r="AG471" s="18"/>
      <c r="AH471" s="13"/>
      <c r="AI471" s="18"/>
      <c r="AJ471" s="13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3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2"/>
      <c r="BK471" s="12"/>
      <c r="BL471" s="12"/>
      <c r="BM471" s="9"/>
      <c r="BN471" s="9"/>
      <c r="BO471" s="9"/>
      <c r="BP471" s="12"/>
      <c r="BQ471" s="12"/>
      <c r="BR471" s="12"/>
      <c r="BS471" s="12"/>
      <c r="BT471" s="12"/>
      <c r="BU471" s="12"/>
      <c r="BV471" s="12"/>
      <c r="BW471" s="12"/>
      <c r="BX471" s="12"/>
      <c r="BY471" s="9"/>
      <c r="BZ471" s="21"/>
      <c r="CA471" s="21"/>
      <c r="CB471" s="21"/>
      <c r="CC471" s="21"/>
      <c r="CD471" s="21"/>
      <c r="CE471" s="21"/>
      <c r="CF471" s="21"/>
      <c r="CG471" s="21"/>
      <c r="CH471" s="21"/>
      <c r="CI471" s="21"/>
      <c r="CJ471" s="21"/>
    </row>
    <row r="472" spans="1:88" ht="40.5" customHeight="1">
      <c r="A472" s="9">
        <f t="shared" si="10"/>
        <v>470</v>
      </c>
      <c r="B472" s="9" t="str">
        <f t="shared" si="11"/>
        <v xml:space="preserve">MA
</v>
      </c>
      <c r="C472" s="9" t="s">
        <v>1206</v>
      </c>
      <c r="D472" s="9" t="s">
        <v>1198</v>
      </c>
      <c r="E472" s="12">
        <v>0</v>
      </c>
      <c r="F472" s="12">
        <v>0</v>
      </c>
      <c r="G472" s="9" t="s">
        <v>89</v>
      </c>
      <c r="H472" s="9" t="s">
        <v>75</v>
      </c>
      <c r="I472" s="10" t="s">
        <v>1207</v>
      </c>
      <c r="J472" s="9" t="s">
        <v>75</v>
      </c>
      <c r="K472" s="11" t="s">
        <v>1208</v>
      </c>
      <c r="L472" s="12"/>
      <c r="M472" s="12"/>
      <c r="N472" s="13"/>
      <c r="O472" s="13"/>
      <c r="P472" s="17"/>
      <c r="Q472" s="13"/>
      <c r="R472" s="17"/>
      <c r="S472" s="17"/>
      <c r="T472" s="13"/>
      <c r="U472" s="17" t="str">
        <f t="shared" si="2"/>
        <v xml:space="preserve">Pro-Fil Producent stolarki aluminiowej, okna, drzwi, ogrody zimowe
</v>
      </c>
      <c r="V472" s="16" t="s">
        <v>78</v>
      </c>
      <c r="W472" s="15" t="s">
        <v>785</v>
      </c>
      <c r="X472" s="15" t="s">
        <v>138</v>
      </c>
      <c r="Y472" s="16" t="s">
        <v>75</v>
      </c>
      <c r="Z472" s="15" t="s">
        <v>1209</v>
      </c>
      <c r="AA472" s="16" t="s">
        <v>4</v>
      </c>
      <c r="AB472" s="18" t="str">
        <f t="shared" si="13"/>
        <v xml:space="preserve">Pro-Fil Producent stolarki aluminiowej, okna, drzwi, ogrody zimowe
</v>
      </c>
      <c r="AC472" s="18"/>
      <c r="AD472" s="18"/>
      <c r="AE472" s="18"/>
      <c r="AF472" s="18"/>
      <c r="AG472" s="18"/>
      <c r="AH472" s="13"/>
      <c r="AI472" s="18"/>
      <c r="AJ472" s="13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3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2"/>
      <c r="BK472" s="12"/>
      <c r="BL472" s="12"/>
      <c r="BM472" s="9"/>
      <c r="BN472" s="9"/>
      <c r="BO472" s="9"/>
      <c r="BP472" s="12"/>
      <c r="BQ472" s="12"/>
      <c r="BR472" s="12"/>
      <c r="BS472" s="12"/>
      <c r="BT472" s="12"/>
      <c r="BU472" s="12"/>
      <c r="BV472" s="12"/>
      <c r="BW472" s="12"/>
      <c r="BX472" s="12"/>
      <c r="BY472" s="9"/>
      <c r="BZ472" s="21"/>
      <c r="CA472" s="21"/>
      <c r="CB472" s="21"/>
      <c r="CC472" s="21"/>
      <c r="CD472" s="21"/>
      <c r="CE472" s="21"/>
      <c r="CF472" s="21"/>
      <c r="CG472" s="21"/>
      <c r="CH472" s="21"/>
      <c r="CI472" s="21"/>
      <c r="CJ472" s="21"/>
    </row>
    <row r="473" spans="1:88" ht="40.5" customHeight="1">
      <c r="A473" s="9">
        <f t="shared" si="10"/>
        <v>471</v>
      </c>
      <c r="B473" s="9" t="str">
        <f t="shared" si="11"/>
        <v xml:space="preserve">MA
</v>
      </c>
      <c r="C473" s="9" t="s">
        <v>1210</v>
      </c>
      <c r="D473" s="9" t="s">
        <v>1198</v>
      </c>
      <c r="E473" s="12">
        <v>0</v>
      </c>
      <c r="F473" s="12">
        <v>0</v>
      </c>
      <c r="G473" s="9" t="s">
        <v>89</v>
      </c>
      <c r="H473" s="9" t="s">
        <v>75</v>
      </c>
      <c r="I473" s="10" t="s">
        <v>1211</v>
      </c>
      <c r="J473" s="9" t="s">
        <v>75</v>
      </c>
      <c r="K473" s="9" t="s">
        <v>75</v>
      </c>
      <c r="L473" s="12"/>
      <c r="M473" s="12"/>
      <c r="N473" s="13"/>
      <c r="O473" s="13"/>
      <c r="P473" s="17"/>
      <c r="Q473" s="13"/>
      <c r="R473" s="17"/>
      <c r="S473" s="17"/>
      <c r="T473" s="13"/>
      <c r="U473" s="17" t="str">
        <f t="shared" si="2"/>
        <v xml:space="preserve">Scandinavian Windows
</v>
      </c>
      <c r="V473" s="16" t="s">
        <v>78</v>
      </c>
      <c r="W473" s="15" t="s">
        <v>785</v>
      </c>
      <c r="X473" s="16"/>
      <c r="Y473" s="16" t="s">
        <v>75</v>
      </c>
      <c r="Z473" s="16" t="s">
        <v>75</v>
      </c>
      <c r="AA473" s="16" t="s">
        <v>145</v>
      </c>
      <c r="AB473" s="18" t="str">
        <f t="shared" si="13"/>
        <v xml:space="preserve">Scandinavian Windows
</v>
      </c>
      <c r="AC473" s="19" t="s">
        <v>78</v>
      </c>
      <c r="AD473" s="20" t="s">
        <v>232</v>
      </c>
      <c r="AE473" s="20" t="s">
        <v>138</v>
      </c>
      <c r="AF473" s="19" t="s">
        <v>75</v>
      </c>
      <c r="AG473" s="19" t="s">
        <v>75</v>
      </c>
      <c r="AH473" s="16" t="s">
        <v>145</v>
      </c>
      <c r="AI473" s="18"/>
      <c r="AJ473" s="16" t="s">
        <v>78</v>
      </c>
      <c r="AK473" s="20" t="s">
        <v>785</v>
      </c>
      <c r="AL473" s="20" t="s">
        <v>138</v>
      </c>
      <c r="AM473" s="19" t="s">
        <v>75</v>
      </c>
      <c r="AN473" s="19" t="s">
        <v>75</v>
      </c>
      <c r="AO473" s="19" t="s">
        <v>145</v>
      </c>
      <c r="AP473" s="18"/>
      <c r="AQ473" s="18"/>
      <c r="AR473" s="18"/>
      <c r="AS473" s="18"/>
      <c r="AT473" s="18"/>
      <c r="AU473" s="18"/>
      <c r="AV473" s="18"/>
      <c r="AW473" s="18"/>
      <c r="AX473" s="13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2"/>
      <c r="BK473" s="12"/>
      <c r="BL473" s="12"/>
      <c r="BM473" s="9"/>
      <c r="BN473" s="9"/>
      <c r="BO473" s="9"/>
      <c r="BP473" s="12"/>
      <c r="BQ473" s="12"/>
      <c r="BR473" s="12"/>
      <c r="BS473" s="12"/>
      <c r="BT473" s="12"/>
      <c r="BU473" s="12"/>
      <c r="BV473" s="12"/>
      <c r="BW473" s="12"/>
      <c r="BX473" s="12"/>
      <c r="BY473" s="9"/>
      <c r="BZ473" s="21"/>
      <c r="CA473" s="21"/>
      <c r="CB473" s="21"/>
      <c r="CC473" s="21"/>
      <c r="CD473" s="21"/>
      <c r="CE473" s="21"/>
      <c r="CF473" s="21"/>
      <c r="CG473" s="21"/>
      <c r="CH473" s="21"/>
      <c r="CI473" s="21"/>
      <c r="CJ473" s="21"/>
    </row>
    <row r="474" spans="1:88" ht="40.5" customHeight="1">
      <c r="A474" s="9">
        <f t="shared" si="10"/>
        <v>472</v>
      </c>
      <c r="B474" s="9" t="str">
        <f t="shared" si="11"/>
        <v xml:space="preserve">MA
</v>
      </c>
      <c r="C474" s="9" t="s">
        <v>1212</v>
      </c>
      <c r="D474" s="9" t="s">
        <v>1198</v>
      </c>
      <c r="E474" s="12">
        <v>0</v>
      </c>
      <c r="F474" s="12">
        <v>0</v>
      </c>
      <c r="G474" s="9" t="s">
        <v>89</v>
      </c>
      <c r="H474" s="9" t="s">
        <v>75</v>
      </c>
      <c r="I474" s="10" t="s">
        <v>1213</v>
      </c>
      <c r="J474" s="9" t="s">
        <v>75</v>
      </c>
      <c r="K474" s="11" t="s">
        <v>1214</v>
      </c>
      <c r="L474" s="12"/>
      <c r="M474" s="12"/>
      <c r="N474" s="13"/>
      <c r="O474" s="13"/>
      <c r="P474" s="17"/>
      <c r="Q474" s="13"/>
      <c r="R474" s="17"/>
      <c r="S474" s="17"/>
      <c r="T474" s="13"/>
      <c r="U474" s="17" t="str">
        <f t="shared" si="2"/>
        <v xml:space="preserve">GVG Aluminium Stolarka Aluminiowa Okna Aluminiowe Drzwi Fasady Ogrody Zimowe Drzwi Tarasowe
</v>
      </c>
      <c r="V474" s="16" t="s">
        <v>78</v>
      </c>
      <c r="W474" s="15" t="s">
        <v>785</v>
      </c>
      <c r="X474" s="15" t="s">
        <v>138</v>
      </c>
      <c r="Y474" s="16" t="s">
        <v>75</v>
      </c>
      <c r="Z474" s="15" t="s">
        <v>213</v>
      </c>
      <c r="AA474" s="16" t="s">
        <v>81</v>
      </c>
      <c r="AB474" s="18" t="str">
        <f t="shared" si="13"/>
        <v xml:space="preserve">GVG Aluminium Stolarka Aluminiowa Okna Aluminiowe Drzwi Fasady Ogrody Zimowe Drzwi Tarasowe
</v>
      </c>
      <c r="AC474" s="18"/>
      <c r="AD474" s="18"/>
      <c r="AE474" s="18"/>
      <c r="AF474" s="18"/>
      <c r="AG474" s="18"/>
      <c r="AH474" s="13"/>
      <c r="AI474" s="18"/>
      <c r="AJ474" s="13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3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2"/>
      <c r="BK474" s="12"/>
      <c r="BL474" s="12"/>
      <c r="BM474" s="9"/>
      <c r="BN474" s="9"/>
      <c r="BO474" s="9"/>
      <c r="BP474" s="12"/>
      <c r="BQ474" s="12"/>
      <c r="BR474" s="12"/>
      <c r="BS474" s="12"/>
      <c r="BT474" s="12"/>
      <c r="BU474" s="12"/>
      <c r="BV474" s="12"/>
      <c r="BW474" s="12"/>
      <c r="BX474" s="12"/>
      <c r="BY474" s="9"/>
      <c r="BZ474" s="21"/>
      <c r="CA474" s="21"/>
      <c r="CB474" s="21"/>
      <c r="CC474" s="21"/>
      <c r="CD474" s="21"/>
      <c r="CE474" s="21"/>
      <c r="CF474" s="21"/>
      <c r="CG474" s="21"/>
      <c r="CH474" s="21"/>
      <c r="CI474" s="21"/>
      <c r="CJ474" s="21"/>
    </row>
    <row r="475" spans="1:88" ht="40.5" customHeight="1">
      <c r="A475" s="9">
        <f t="shared" si="10"/>
        <v>473</v>
      </c>
      <c r="B475" s="9" t="str">
        <f t="shared" si="11"/>
        <v xml:space="preserve">MA
</v>
      </c>
      <c r="C475" s="9" t="s">
        <v>1215</v>
      </c>
      <c r="D475" s="9" t="s">
        <v>1198</v>
      </c>
      <c r="E475" s="12">
        <v>0</v>
      </c>
      <c r="F475" s="12">
        <v>0</v>
      </c>
      <c r="G475" s="9" t="s">
        <v>89</v>
      </c>
      <c r="H475" s="9" t="s">
        <v>79</v>
      </c>
      <c r="I475" s="10" t="s">
        <v>1216</v>
      </c>
      <c r="J475" s="9" t="s">
        <v>75</v>
      </c>
      <c r="K475" s="11" t="s">
        <v>1217</v>
      </c>
      <c r="L475" s="12"/>
      <c r="M475" s="12"/>
      <c r="N475" s="13"/>
      <c r="O475" s="13"/>
      <c r="P475" s="17"/>
      <c r="Q475" s="13"/>
      <c r="R475" s="17"/>
      <c r="S475" s="17"/>
      <c r="T475" s="13"/>
      <c r="U475" s="17" t="str">
        <f t="shared" si="2"/>
        <v>AG Fenetres Sp.zo.o</v>
      </c>
      <c r="V475" s="16" t="s">
        <v>78</v>
      </c>
      <c r="W475" s="15" t="s">
        <v>785</v>
      </c>
      <c r="X475" s="15" t="s">
        <v>138</v>
      </c>
      <c r="Y475" s="16" t="s">
        <v>75</v>
      </c>
      <c r="Z475" s="16" t="s">
        <v>75</v>
      </c>
      <c r="AA475" s="16" t="s">
        <v>145</v>
      </c>
      <c r="AB475" s="18" t="str">
        <f t="shared" si="13"/>
        <v>AG Fenetres Sp.zo.o</v>
      </c>
      <c r="AC475" s="18"/>
      <c r="AD475" s="18"/>
      <c r="AE475" s="18"/>
      <c r="AF475" s="18"/>
      <c r="AG475" s="18"/>
      <c r="AH475" s="13"/>
      <c r="AI475" s="18"/>
      <c r="AJ475" s="13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3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2"/>
      <c r="BK475" s="12"/>
      <c r="BL475" s="12"/>
      <c r="BM475" s="9"/>
      <c r="BN475" s="9"/>
      <c r="BO475" s="9"/>
      <c r="BP475" s="12"/>
      <c r="BQ475" s="12"/>
      <c r="BR475" s="12"/>
      <c r="BS475" s="12"/>
      <c r="BT475" s="12"/>
      <c r="BU475" s="12"/>
      <c r="BV475" s="12"/>
      <c r="BW475" s="12"/>
      <c r="BX475" s="12"/>
      <c r="BY475" s="9"/>
      <c r="BZ475" s="21"/>
      <c r="CA475" s="21"/>
      <c r="CB475" s="21"/>
      <c r="CC475" s="21"/>
      <c r="CD475" s="21"/>
      <c r="CE475" s="21"/>
      <c r="CF475" s="21"/>
      <c r="CG475" s="21"/>
      <c r="CH475" s="21"/>
      <c r="CI475" s="21"/>
      <c r="CJ475" s="21"/>
    </row>
    <row r="476" spans="1:88" ht="40.5" customHeight="1">
      <c r="A476" s="9">
        <f t="shared" si="10"/>
        <v>474</v>
      </c>
      <c r="B476" s="9" t="str">
        <f t="shared" si="11"/>
        <v xml:space="preserve">MA
</v>
      </c>
      <c r="C476" s="9" t="s">
        <v>1218</v>
      </c>
      <c r="D476" s="9" t="s">
        <v>1198</v>
      </c>
      <c r="E476" s="12">
        <v>0</v>
      </c>
      <c r="F476" s="12">
        <v>0</v>
      </c>
      <c r="G476" s="9" t="s">
        <v>89</v>
      </c>
      <c r="H476" s="9" t="s">
        <v>75</v>
      </c>
      <c r="I476" s="10" t="s">
        <v>1219</v>
      </c>
      <c r="J476" s="9" t="s">
        <v>75</v>
      </c>
      <c r="K476" s="11" t="s">
        <v>1220</v>
      </c>
      <c r="L476" s="12"/>
      <c r="M476" s="12"/>
      <c r="N476" s="13"/>
      <c r="O476" s="13"/>
      <c r="P476" s="17"/>
      <c r="Q476" s="13"/>
      <c r="R476" s="17"/>
      <c r="S476" s="17"/>
      <c r="T476" s="13"/>
      <c r="U476" s="17" t="str">
        <f t="shared" si="2"/>
        <v xml:space="preserve">Bildau &amp; Bussmann Poland Sp. o.o.
</v>
      </c>
      <c r="V476" s="16" t="s">
        <v>78</v>
      </c>
      <c r="W476" s="15" t="s">
        <v>785</v>
      </c>
      <c r="X476" s="15" t="s">
        <v>138</v>
      </c>
      <c r="Y476" s="16" t="s">
        <v>75</v>
      </c>
      <c r="Z476" s="15" t="s">
        <v>786</v>
      </c>
      <c r="AA476" s="16" t="s">
        <v>81</v>
      </c>
      <c r="AB476" s="18" t="str">
        <f t="shared" si="13"/>
        <v xml:space="preserve">Bildau &amp; Bussmann Poland Sp. o.o.
</v>
      </c>
      <c r="AC476" s="18"/>
      <c r="AD476" s="18"/>
      <c r="AE476" s="18"/>
      <c r="AF476" s="18"/>
      <c r="AG476" s="18"/>
      <c r="AH476" s="13"/>
      <c r="AI476" s="18"/>
      <c r="AJ476" s="13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3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2"/>
      <c r="BK476" s="12"/>
      <c r="BL476" s="12"/>
      <c r="BM476" s="9"/>
      <c r="BN476" s="9"/>
      <c r="BO476" s="9"/>
      <c r="BP476" s="12"/>
      <c r="BQ476" s="12"/>
      <c r="BR476" s="12"/>
      <c r="BS476" s="12"/>
      <c r="BT476" s="12"/>
      <c r="BU476" s="12"/>
      <c r="BV476" s="12"/>
      <c r="BW476" s="12"/>
      <c r="BX476" s="12"/>
      <c r="BY476" s="9"/>
      <c r="BZ476" s="21"/>
      <c r="CA476" s="21"/>
      <c r="CB476" s="21"/>
      <c r="CC476" s="21"/>
      <c r="CD476" s="21"/>
      <c r="CE476" s="21"/>
      <c r="CF476" s="21"/>
      <c r="CG476" s="21"/>
      <c r="CH476" s="21"/>
      <c r="CI476" s="21"/>
      <c r="CJ476" s="21"/>
    </row>
    <row r="477" spans="1:88" ht="40.5" customHeight="1">
      <c r="A477" s="9">
        <f t="shared" si="10"/>
        <v>475</v>
      </c>
      <c r="B477" s="9" t="str">
        <f t="shared" si="11"/>
        <v xml:space="preserve">MA
</v>
      </c>
      <c r="C477" s="9" t="s">
        <v>1221</v>
      </c>
      <c r="D477" s="9" t="s">
        <v>1198</v>
      </c>
      <c r="E477" s="12">
        <v>0</v>
      </c>
      <c r="F477" s="12">
        <v>0</v>
      </c>
      <c r="G477" s="9" t="s">
        <v>89</v>
      </c>
      <c r="H477" s="9" t="s">
        <v>75</v>
      </c>
      <c r="I477" s="10" t="s">
        <v>1222</v>
      </c>
      <c r="J477" s="9" t="s">
        <v>75</v>
      </c>
      <c r="K477" s="11" t="s">
        <v>1223</v>
      </c>
      <c r="L477" s="12"/>
      <c r="M477" s="12"/>
      <c r="N477" s="13"/>
      <c r="O477" s="13"/>
      <c r="P477" s="17"/>
      <c r="Q477" s="13"/>
      <c r="R477" s="17"/>
      <c r="S477" s="17"/>
      <c r="T477" s="13"/>
      <c r="U477" s="17" t="str">
        <f t="shared" si="2"/>
        <v xml:space="preserve">ADM Sp. z o.o.
</v>
      </c>
      <c r="V477" s="16" t="s">
        <v>78</v>
      </c>
      <c r="W477" s="15" t="s">
        <v>785</v>
      </c>
      <c r="X477" s="15" t="s">
        <v>138</v>
      </c>
      <c r="Y477" s="16" t="s">
        <v>75</v>
      </c>
      <c r="Z477" s="16" t="s">
        <v>75</v>
      </c>
      <c r="AA477" s="16" t="s">
        <v>126</v>
      </c>
      <c r="AB477" s="18" t="str">
        <f t="shared" si="13"/>
        <v xml:space="preserve">ADM Sp. z o.o.
</v>
      </c>
      <c r="AC477" s="18"/>
      <c r="AD477" s="18"/>
      <c r="AE477" s="18"/>
      <c r="AF477" s="18"/>
      <c r="AG477" s="18"/>
      <c r="AH477" s="13"/>
      <c r="AI477" s="18"/>
      <c r="AJ477" s="13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3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2"/>
      <c r="BK477" s="12"/>
      <c r="BL477" s="12"/>
      <c r="BM477" s="9"/>
      <c r="BN477" s="9"/>
      <c r="BO477" s="9"/>
      <c r="BP477" s="12"/>
      <c r="BQ477" s="12"/>
      <c r="BR477" s="12"/>
      <c r="BS477" s="12"/>
      <c r="BT477" s="12"/>
      <c r="BU477" s="12"/>
      <c r="BV477" s="12"/>
      <c r="BW477" s="12"/>
      <c r="BX477" s="12"/>
      <c r="BY477" s="9"/>
      <c r="BZ477" s="21"/>
      <c r="CA477" s="21"/>
      <c r="CB477" s="21"/>
      <c r="CC477" s="21"/>
      <c r="CD477" s="21"/>
      <c r="CE477" s="21"/>
      <c r="CF477" s="21"/>
      <c r="CG477" s="21"/>
      <c r="CH477" s="21"/>
      <c r="CI477" s="21"/>
      <c r="CJ477" s="21"/>
    </row>
    <row r="478" spans="1:88" ht="40.5" customHeight="1">
      <c r="A478" s="9">
        <f t="shared" si="10"/>
        <v>476</v>
      </c>
      <c r="B478" s="9" t="str">
        <f t="shared" si="11"/>
        <v xml:space="preserve">MA
</v>
      </c>
      <c r="C478" s="9" t="s">
        <v>1224</v>
      </c>
      <c r="D478" s="9" t="s">
        <v>1198</v>
      </c>
      <c r="E478" s="12">
        <v>0</v>
      </c>
      <c r="F478" s="12">
        <v>0</v>
      </c>
      <c r="G478" s="9" t="s">
        <v>89</v>
      </c>
      <c r="H478" s="9" t="s">
        <v>75</v>
      </c>
      <c r="I478" s="10" t="s">
        <v>1225</v>
      </c>
      <c r="J478" s="9" t="s">
        <v>75</v>
      </c>
      <c r="K478" s="11" t="s">
        <v>1226</v>
      </c>
      <c r="L478" s="12"/>
      <c r="M478" s="12"/>
      <c r="N478" s="13"/>
      <c r="O478" s="13"/>
      <c r="P478" s="17"/>
      <c r="Q478" s="13"/>
      <c r="R478" s="17"/>
      <c r="S478" s="17"/>
      <c r="T478" s="13"/>
      <c r="U478" s="17" t="str">
        <f t="shared" si="2"/>
        <v xml:space="preserve">ALUMGLASS LLC - producent aluminiowych okien, drzwi
</v>
      </c>
      <c r="V478" s="16" t="s">
        <v>78</v>
      </c>
      <c r="W478" s="15" t="s">
        <v>785</v>
      </c>
      <c r="X478" s="15" t="s">
        <v>138</v>
      </c>
      <c r="Y478" s="16" t="s">
        <v>75</v>
      </c>
      <c r="Z478" s="16" t="s">
        <v>75</v>
      </c>
      <c r="AA478" s="16" t="s">
        <v>145</v>
      </c>
      <c r="AB478" s="18" t="str">
        <f t="shared" si="13"/>
        <v xml:space="preserve">ALUMGLASS LLC - producent aluminiowych okien, drzwi
</v>
      </c>
      <c r="AC478" s="18"/>
      <c r="AD478" s="18"/>
      <c r="AE478" s="18"/>
      <c r="AF478" s="18"/>
      <c r="AG478" s="18"/>
      <c r="AH478" s="13"/>
      <c r="AI478" s="18"/>
      <c r="AJ478" s="13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3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2"/>
      <c r="BK478" s="12"/>
      <c r="BL478" s="12"/>
      <c r="BM478" s="9"/>
      <c r="BN478" s="9"/>
      <c r="BO478" s="9"/>
      <c r="BP478" s="12"/>
      <c r="BQ478" s="12"/>
      <c r="BR478" s="12"/>
      <c r="BS478" s="12"/>
      <c r="BT478" s="12"/>
      <c r="BU478" s="12"/>
      <c r="BV478" s="12"/>
      <c r="BW478" s="12"/>
      <c r="BX478" s="12"/>
      <c r="BY478" s="9"/>
      <c r="BZ478" s="21"/>
      <c r="CA478" s="21"/>
      <c r="CB478" s="21"/>
      <c r="CC478" s="21"/>
      <c r="CD478" s="21"/>
      <c r="CE478" s="21"/>
      <c r="CF478" s="21"/>
      <c r="CG478" s="21"/>
      <c r="CH478" s="21"/>
      <c r="CI478" s="21"/>
      <c r="CJ478" s="21"/>
    </row>
    <row r="479" spans="1:88" ht="40.5" customHeight="1">
      <c r="A479" s="9">
        <f t="shared" si="10"/>
        <v>477</v>
      </c>
      <c r="B479" s="9" t="str">
        <f t="shared" si="11"/>
        <v xml:space="preserve">MA
</v>
      </c>
      <c r="C479" s="9" t="s">
        <v>1227</v>
      </c>
      <c r="D479" s="9" t="s">
        <v>1198</v>
      </c>
      <c r="E479" s="12">
        <v>0</v>
      </c>
      <c r="F479" s="12">
        <v>0</v>
      </c>
      <c r="G479" s="9" t="s">
        <v>89</v>
      </c>
      <c r="H479" s="9" t="s">
        <v>75</v>
      </c>
      <c r="I479" s="10" t="s">
        <v>1228</v>
      </c>
      <c r="J479" s="9" t="s">
        <v>75</v>
      </c>
      <c r="K479" s="11" t="s">
        <v>1229</v>
      </c>
      <c r="L479" s="12"/>
      <c r="M479" s="12"/>
      <c r="N479" s="13"/>
      <c r="O479" s="13"/>
      <c r="P479" s="17"/>
      <c r="Q479" s="13"/>
      <c r="R479" s="17"/>
      <c r="S479" s="17"/>
      <c r="T479" s="13"/>
      <c r="U479" s="17" t="str">
        <f t="shared" si="2"/>
        <v xml:space="preserve">All Windows Group
</v>
      </c>
      <c r="V479" s="16" t="s">
        <v>78</v>
      </c>
      <c r="W479" s="15" t="s">
        <v>785</v>
      </c>
      <c r="X479" s="15" t="s">
        <v>138</v>
      </c>
      <c r="Y479" s="16" t="s">
        <v>75</v>
      </c>
      <c r="Z479" s="16" t="s">
        <v>75</v>
      </c>
      <c r="AA479" s="16" t="s">
        <v>145</v>
      </c>
      <c r="AB479" s="18" t="str">
        <f t="shared" si="13"/>
        <v xml:space="preserve">All Windows Group
</v>
      </c>
      <c r="AC479" s="18"/>
      <c r="AD479" s="18"/>
      <c r="AE479" s="18"/>
      <c r="AF479" s="18"/>
      <c r="AG479" s="18"/>
      <c r="AH479" s="13"/>
      <c r="AI479" s="18"/>
      <c r="AJ479" s="13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3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2"/>
      <c r="BK479" s="12"/>
      <c r="BL479" s="12"/>
      <c r="BM479" s="9"/>
      <c r="BN479" s="9"/>
      <c r="BO479" s="9"/>
      <c r="BP479" s="12"/>
      <c r="BQ479" s="12"/>
      <c r="BR479" s="12"/>
      <c r="BS479" s="12"/>
      <c r="BT479" s="12"/>
      <c r="BU479" s="12"/>
      <c r="BV479" s="12"/>
      <c r="BW479" s="12"/>
      <c r="BX479" s="12"/>
      <c r="BY479" s="9"/>
      <c r="BZ479" s="21"/>
      <c r="CA479" s="21"/>
      <c r="CB479" s="21"/>
      <c r="CC479" s="21"/>
      <c r="CD479" s="21"/>
      <c r="CE479" s="21"/>
      <c r="CF479" s="21"/>
      <c r="CG479" s="21"/>
      <c r="CH479" s="21"/>
      <c r="CI479" s="21"/>
      <c r="CJ479" s="21"/>
    </row>
    <row r="480" spans="1:88" ht="40.5" customHeight="1">
      <c r="A480" s="9">
        <f t="shared" si="10"/>
        <v>478</v>
      </c>
      <c r="B480" s="9" t="str">
        <f t="shared" si="11"/>
        <v xml:space="preserve">MA
</v>
      </c>
      <c r="C480" s="9" t="s">
        <v>1230</v>
      </c>
      <c r="D480" s="9" t="s">
        <v>1198</v>
      </c>
      <c r="E480" s="12">
        <v>0</v>
      </c>
      <c r="F480" s="12">
        <v>0</v>
      </c>
      <c r="G480" s="9" t="s">
        <v>89</v>
      </c>
      <c r="H480" s="9" t="s">
        <v>75</v>
      </c>
      <c r="I480" s="10" t="s">
        <v>1231</v>
      </c>
      <c r="J480" s="9" t="s">
        <v>75</v>
      </c>
      <c r="K480" s="11" t="s">
        <v>1232</v>
      </c>
      <c r="L480" s="12"/>
      <c r="M480" s="12"/>
      <c r="N480" s="13"/>
      <c r="O480" s="13"/>
      <c r="P480" s="17"/>
      <c r="Q480" s="13"/>
      <c r="R480" s="17"/>
      <c r="S480" s="17"/>
      <c r="T480" s="13"/>
      <c r="U480" s="17" t="str">
        <f t="shared" si="2"/>
        <v xml:space="preserve">Dan-Styl - PVC Windows, Doors
</v>
      </c>
      <c r="V480" s="16" t="s">
        <v>78</v>
      </c>
      <c r="W480" s="15" t="s">
        <v>785</v>
      </c>
      <c r="X480" s="15" t="s">
        <v>138</v>
      </c>
      <c r="Y480" s="16" t="s">
        <v>75</v>
      </c>
      <c r="Z480" s="15" t="s">
        <v>1233</v>
      </c>
      <c r="AA480" s="16" t="s">
        <v>4</v>
      </c>
      <c r="AB480" s="18" t="str">
        <f t="shared" si="13"/>
        <v xml:space="preserve">Dan-Styl - PVC Windows, Doors
</v>
      </c>
      <c r="AC480" s="18"/>
      <c r="AD480" s="18"/>
      <c r="AE480" s="18"/>
      <c r="AF480" s="18"/>
      <c r="AG480" s="18"/>
      <c r="AH480" s="13"/>
      <c r="AI480" s="18"/>
      <c r="AJ480" s="13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3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2"/>
      <c r="BK480" s="12"/>
      <c r="BL480" s="12"/>
      <c r="BM480" s="9"/>
      <c r="BN480" s="9"/>
      <c r="BO480" s="9"/>
      <c r="BP480" s="12"/>
      <c r="BQ480" s="12"/>
      <c r="BR480" s="12"/>
      <c r="BS480" s="12"/>
      <c r="BT480" s="12"/>
      <c r="BU480" s="12"/>
      <c r="BV480" s="12"/>
      <c r="BW480" s="12"/>
      <c r="BX480" s="12"/>
      <c r="BY480" s="9"/>
      <c r="BZ480" s="21"/>
      <c r="CA480" s="21"/>
      <c r="CB480" s="21"/>
      <c r="CC480" s="21"/>
      <c r="CD480" s="21"/>
      <c r="CE480" s="21"/>
      <c r="CF480" s="21"/>
      <c r="CG480" s="21"/>
      <c r="CH480" s="21"/>
      <c r="CI480" s="21"/>
      <c r="CJ480" s="21"/>
    </row>
    <row r="481" spans="1:88" ht="40.5" customHeight="1">
      <c r="A481" s="9">
        <f t="shared" si="10"/>
        <v>479</v>
      </c>
      <c r="B481" s="9" t="str">
        <f t="shared" si="11"/>
        <v xml:space="preserve">MA
</v>
      </c>
      <c r="C481" s="9" t="s">
        <v>1234</v>
      </c>
      <c r="D481" s="9" t="s">
        <v>1198</v>
      </c>
      <c r="E481" s="12">
        <v>0</v>
      </c>
      <c r="F481" s="12">
        <v>0</v>
      </c>
      <c r="G481" s="9" t="s">
        <v>89</v>
      </c>
      <c r="H481" s="9" t="s">
        <v>75</v>
      </c>
      <c r="I481" s="10" t="s">
        <v>1235</v>
      </c>
      <c r="J481" s="9" t="s">
        <v>75</v>
      </c>
      <c r="K481" s="11" t="s">
        <v>1236</v>
      </c>
      <c r="L481" s="12"/>
      <c r="M481" s="12"/>
      <c r="N481" s="13"/>
      <c r="O481" s="13"/>
      <c r="P481" s="17"/>
      <c r="Q481" s="13"/>
      <c r="R481" s="17"/>
      <c r="S481" s="17"/>
      <c r="T481" s="13"/>
      <c r="U481" s="17" t="str">
        <f t="shared" si="2"/>
        <v xml:space="preserve">Alu-Prestige Poland Sp. z o.o. Producent stolarki otworowej
</v>
      </c>
      <c r="V481" s="16" t="s">
        <v>78</v>
      </c>
      <c r="W481" s="15" t="s">
        <v>785</v>
      </c>
      <c r="X481" s="15" t="s">
        <v>138</v>
      </c>
      <c r="Y481" s="16" t="s">
        <v>75</v>
      </c>
      <c r="Z481" s="16" t="s">
        <v>75</v>
      </c>
      <c r="AA481" s="16" t="s">
        <v>145</v>
      </c>
      <c r="AB481" s="18" t="str">
        <f t="shared" si="13"/>
        <v xml:space="preserve">Alu-Prestige Poland Sp. z o.o. Producent stolarki otworowej
</v>
      </c>
      <c r="AC481" s="18"/>
      <c r="AD481" s="18"/>
      <c r="AE481" s="18"/>
      <c r="AF481" s="18"/>
      <c r="AG481" s="18"/>
      <c r="AH481" s="13"/>
      <c r="AI481" s="18"/>
      <c r="AJ481" s="13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3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2"/>
      <c r="BK481" s="12"/>
      <c r="BL481" s="12"/>
      <c r="BM481" s="9"/>
      <c r="BN481" s="9"/>
      <c r="BO481" s="9"/>
      <c r="BP481" s="12"/>
      <c r="BQ481" s="12"/>
      <c r="BR481" s="12"/>
      <c r="BS481" s="12"/>
      <c r="BT481" s="12"/>
      <c r="BU481" s="12"/>
      <c r="BV481" s="12"/>
      <c r="BW481" s="12"/>
      <c r="BX481" s="12"/>
      <c r="BY481" s="9"/>
      <c r="BZ481" s="21"/>
      <c r="CA481" s="21"/>
      <c r="CB481" s="21"/>
      <c r="CC481" s="21"/>
      <c r="CD481" s="21"/>
      <c r="CE481" s="21"/>
      <c r="CF481" s="21"/>
      <c r="CG481" s="21"/>
      <c r="CH481" s="21"/>
      <c r="CI481" s="21"/>
      <c r="CJ481" s="21"/>
    </row>
    <row r="482" spans="1:88" ht="40.5" customHeight="1">
      <c r="A482" s="9">
        <f t="shared" si="10"/>
        <v>480</v>
      </c>
      <c r="B482" s="9" t="str">
        <f t="shared" si="11"/>
        <v xml:space="preserve">MA
</v>
      </c>
      <c r="C482" s="9" t="s">
        <v>1237</v>
      </c>
      <c r="D482" s="9" t="s">
        <v>1198</v>
      </c>
      <c r="E482" s="12">
        <v>0</v>
      </c>
      <c r="F482" s="12">
        <v>0</v>
      </c>
      <c r="G482" s="9" t="s">
        <v>89</v>
      </c>
      <c r="H482" s="9" t="s">
        <v>75</v>
      </c>
      <c r="I482" s="10" t="s">
        <v>1238</v>
      </c>
      <c r="J482" s="9" t="s">
        <v>75</v>
      </c>
      <c r="K482" s="11" t="s">
        <v>1239</v>
      </c>
      <c r="L482" s="12"/>
      <c r="M482" s="12"/>
      <c r="N482" s="13"/>
      <c r="O482" s="13"/>
      <c r="P482" s="17"/>
      <c r="Q482" s="13"/>
      <c r="R482" s="17"/>
      <c r="S482" s="17"/>
      <c r="T482" s="13"/>
      <c r="U482" s="17" t="str">
        <f t="shared" si="2"/>
        <v xml:space="preserve">Eurookno Dział Aluminium
</v>
      </c>
      <c r="V482" s="16" t="s">
        <v>78</v>
      </c>
      <c r="W482" s="15" t="s">
        <v>785</v>
      </c>
      <c r="X482" s="15" t="s">
        <v>138</v>
      </c>
      <c r="Y482" s="16" t="s">
        <v>75</v>
      </c>
      <c r="Z482" s="16" t="s">
        <v>75</v>
      </c>
      <c r="AA482" s="16" t="s">
        <v>145</v>
      </c>
      <c r="AB482" s="18" t="str">
        <f t="shared" si="13"/>
        <v xml:space="preserve">Eurookno Dział Aluminium
</v>
      </c>
      <c r="AC482" s="18"/>
      <c r="AD482" s="18"/>
      <c r="AE482" s="18"/>
      <c r="AF482" s="18"/>
      <c r="AG482" s="18"/>
      <c r="AH482" s="13"/>
      <c r="AI482" s="18"/>
      <c r="AJ482" s="13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3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2"/>
      <c r="BK482" s="12"/>
      <c r="BL482" s="12"/>
      <c r="BM482" s="9"/>
      <c r="BN482" s="9"/>
      <c r="BO482" s="9"/>
      <c r="BP482" s="12"/>
      <c r="BQ482" s="12"/>
      <c r="BR482" s="12"/>
      <c r="BS482" s="12"/>
      <c r="BT482" s="12"/>
      <c r="BU482" s="12"/>
      <c r="BV482" s="12"/>
      <c r="BW482" s="12"/>
      <c r="BX482" s="12"/>
      <c r="BY482" s="9"/>
      <c r="BZ482" s="21"/>
      <c r="CA482" s="21"/>
      <c r="CB482" s="21"/>
      <c r="CC482" s="21"/>
      <c r="CD482" s="21"/>
      <c r="CE482" s="21"/>
      <c r="CF482" s="21"/>
      <c r="CG482" s="21"/>
      <c r="CH482" s="21"/>
      <c r="CI482" s="21"/>
      <c r="CJ482" s="21"/>
    </row>
    <row r="483" spans="1:88" ht="40.5" customHeight="1">
      <c r="A483" s="9">
        <f t="shared" si="10"/>
        <v>481</v>
      </c>
      <c r="B483" s="9" t="str">
        <f t="shared" si="11"/>
        <v xml:space="preserve">MA
</v>
      </c>
      <c r="C483" s="9" t="s">
        <v>1240</v>
      </c>
      <c r="D483" s="9" t="s">
        <v>1198</v>
      </c>
      <c r="E483" s="12">
        <v>0</v>
      </c>
      <c r="F483" s="12">
        <v>0</v>
      </c>
      <c r="G483" s="9" t="s">
        <v>89</v>
      </c>
      <c r="H483" s="9" t="s">
        <v>75</v>
      </c>
      <c r="I483" s="10" t="s">
        <v>1241</v>
      </c>
      <c r="J483" s="9" t="s">
        <v>75</v>
      </c>
      <c r="K483" s="11" t="s">
        <v>1242</v>
      </c>
      <c r="L483" s="12"/>
      <c r="M483" s="12"/>
      <c r="N483" s="13"/>
      <c r="O483" s="13"/>
      <c r="P483" s="17"/>
      <c r="Q483" s="13"/>
      <c r="R483" s="17"/>
      <c r="S483" s="17"/>
      <c r="T483" s="13"/>
      <c r="U483" s="17" t="str">
        <f t="shared" si="2"/>
        <v xml:space="preserve">Reynaers Poland Sp. o.o.
</v>
      </c>
      <c r="V483" s="16" t="s">
        <v>78</v>
      </c>
      <c r="W483" s="15" t="s">
        <v>242</v>
      </c>
      <c r="X483" s="15" t="s">
        <v>138</v>
      </c>
      <c r="Y483" s="16" t="s">
        <v>75</v>
      </c>
      <c r="Z483" s="16" t="s">
        <v>75</v>
      </c>
      <c r="AA483" s="16" t="s">
        <v>4</v>
      </c>
      <c r="AB483" s="18" t="str">
        <f t="shared" si="13"/>
        <v xml:space="preserve">Reynaers Poland Sp. o.o.
</v>
      </c>
      <c r="AC483" s="18"/>
      <c r="AD483" s="18"/>
      <c r="AE483" s="18"/>
      <c r="AF483" s="18"/>
      <c r="AG483" s="18"/>
      <c r="AH483" s="13"/>
      <c r="AI483" s="18"/>
      <c r="AJ483" s="13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3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2"/>
      <c r="BK483" s="12"/>
      <c r="BL483" s="12"/>
      <c r="BM483" s="9"/>
      <c r="BN483" s="9"/>
      <c r="BO483" s="9"/>
      <c r="BP483" s="12"/>
      <c r="BQ483" s="12"/>
      <c r="BR483" s="12"/>
      <c r="BS483" s="12"/>
      <c r="BT483" s="12"/>
      <c r="BU483" s="12"/>
      <c r="BV483" s="12"/>
      <c r="BW483" s="12"/>
      <c r="BX483" s="12"/>
      <c r="BY483" s="9"/>
      <c r="BZ483" s="21"/>
      <c r="CA483" s="21"/>
      <c r="CB483" s="21"/>
      <c r="CC483" s="21"/>
      <c r="CD483" s="21"/>
      <c r="CE483" s="21"/>
      <c r="CF483" s="21"/>
      <c r="CG483" s="21"/>
      <c r="CH483" s="21"/>
      <c r="CI483" s="21"/>
      <c r="CJ483" s="21"/>
    </row>
    <row r="484" spans="1:88" ht="40.5" customHeight="1">
      <c r="A484" s="9">
        <f t="shared" si="10"/>
        <v>482</v>
      </c>
      <c r="B484" s="9" t="str">
        <f t="shared" si="11"/>
        <v xml:space="preserve">MA
</v>
      </c>
      <c r="C484" s="9" t="s">
        <v>1243</v>
      </c>
      <c r="D484" s="9" t="s">
        <v>1198</v>
      </c>
      <c r="E484" s="12">
        <v>0</v>
      </c>
      <c r="F484" s="12">
        <v>0</v>
      </c>
      <c r="G484" s="9" t="s">
        <v>89</v>
      </c>
      <c r="H484" s="9" t="s">
        <v>75</v>
      </c>
      <c r="I484" s="10" t="s">
        <v>1244</v>
      </c>
      <c r="J484" s="9" t="s">
        <v>75</v>
      </c>
      <c r="K484" s="11" t="s">
        <v>1245</v>
      </c>
      <c r="L484" s="12"/>
      <c r="M484" s="12"/>
      <c r="N484" s="13"/>
      <c r="O484" s="13"/>
      <c r="P484" s="17"/>
      <c r="Q484" s="13"/>
      <c r="R484" s="17"/>
      <c r="S484" s="17"/>
      <c r="T484" s="13"/>
      <c r="U484" s="17" t="str">
        <f t="shared" si="2"/>
        <v xml:space="preserve">PROFAL Aluminium - Producent Stolarki Aluminiowej
</v>
      </c>
      <c r="V484" s="16" t="s">
        <v>78</v>
      </c>
      <c r="W484" s="15" t="s">
        <v>785</v>
      </c>
      <c r="X484" s="15" t="s">
        <v>138</v>
      </c>
      <c r="Y484" s="16" t="s">
        <v>75</v>
      </c>
      <c r="Z484" s="15" t="s">
        <v>154</v>
      </c>
      <c r="AA484" s="16" t="s">
        <v>81</v>
      </c>
      <c r="AB484" s="18" t="str">
        <f t="shared" si="13"/>
        <v xml:space="preserve">PROFAL Aluminium - Producent Stolarki Aluminiowej
</v>
      </c>
      <c r="AC484" s="18"/>
      <c r="AD484" s="18"/>
      <c r="AE484" s="18"/>
      <c r="AF484" s="18"/>
      <c r="AG484" s="18"/>
      <c r="AH484" s="13"/>
      <c r="AI484" s="18"/>
      <c r="AJ484" s="13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3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2"/>
      <c r="BK484" s="12"/>
      <c r="BL484" s="12"/>
      <c r="BM484" s="9"/>
      <c r="BN484" s="9"/>
      <c r="BO484" s="9"/>
      <c r="BP484" s="12"/>
      <c r="BQ484" s="12"/>
      <c r="BR484" s="12"/>
      <c r="BS484" s="12"/>
      <c r="BT484" s="12"/>
      <c r="BU484" s="12"/>
      <c r="BV484" s="12"/>
      <c r="BW484" s="12"/>
      <c r="BX484" s="12"/>
      <c r="BY484" s="9"/>
      <c r="BZ484" s="21"/>
      <c r="CA484" s="21"/>
      <c r="CB484" s="21"/>
      <c r="CC484" s="21"/>
      <c r="CD484" s="21"/>
      <c r="CE484" s="21"/>
      <c r="CF484" s="21"/>
      <c r="CG484" s="21"/>
      <c r="CH484" s="21"/>
      <c r="CI484" s="21"/>
      <c r="CJ484" s="21"/>
    </row>
    <row r="485" spans="1:88" ht="40.5" customHeight="1">
      <c r="A485" s="9">
        <f t="shared" si="10"/>
        <v>483</v>
      </c>
      <c r="B485" s="9" t="str">
        <f t="shared" si="11"/>
        <v xml:space="preserve">MA
</v>
      </c>
      <c r="C485" s="9" t="s">
        <v>1246</v>
      </c>
      <c r="D485" s="9" t="s">
        <v>1198</v>
      </c>
      <c r="E485" s="12">
        <v>0</v>
      </c>
      <c r="F485" s="12">
        <v>0</v>
      </c>
      <c r="G485" s="9" t="s">
        <v>89</v>
      </c>
      <c r="H485" s="9" t="s">
        <v>75</v>
      </c>
      <c r="I485" s="10" t="s">
        <v>1247</v>
      </c>
      <c r="J485" s="9" t="s">
        <v>75</v>
      </c>
      <c r="K485" s="11" t="s">
        <v>1248</v>
      </c>
      <c r="L485" s="12"/>
      <c r="M485" s="12"/>
      <c r="N485" s="13"/>
      <c r="O485" s="13"/>
      <c r="P485" s="17"/>
      <c r="Q485" s="13"/>
      <c r="R485" s="17"/>
      <c r="S485" s="17"/>
      <c r="T485" s="13"/>
      <c r="U485" s="17" t="str">
        <f t="shared" si="2"/>
        <v xml:space="preserve">„SCORPIO aluminium” LLC Windows Manufacturer in Lubin
</v>
      </c>
      <c r="V485" s="16" t="s">
        <v>78</v>
      </c>
      <c r="W485" s="15" t="s">
        <v>785</v>
      </c>
      <c r="X485" s="15" t="s">
        <v>138</v>
      </c>
      <c r="Y485" s="16" t="s">
        <v>75</v>
      </c>
      <c r="Z485" s="15" t="s">
        <v>154</v>
      </c>
      <c r="AA485" s="16" t="s">
        <v>81</v>
      </c>
      <c r="AB485" s="18" t="str">
        <f t="shared" si="13"/>
        <v xml:space="preserve">„SCORPIO aluminium” LLC Windows Manufacturer in Lubin
</v>
      </c>
      <c r="AC485" s="18"/>
      <c r="AD485" s="18"/>
      <c r="AE485" s="18"/>
      <c r="AF485" s="18"/>
      <c r="AG485" s="18"/>
      <c r="AH485" s="13"/>
      <c r="AI485" s="18"/>
      <c r="AJ485" s="13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3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2"/>
      <c r="BK485" s="12"/>
      <c r="BL485" s="12"/>
      <c r="BM485" s="9"/>
      <c r="BN485" s="9"/>
      <c r="BO485" s="9"/>
      <c r="BP485" s="12"/>
      <c r="BQ485" s="12"/>
      <c r="BR485" s="12"/>
      <c r="BS485" s="12"/>
      <c r="BT485" s="12"/>
      <c r="BU485" s="12"/>
      <c r="BV485" s="12"/>
      <c r="BW485" s="12"/>
      <c r="BX485" s="12"/>
      <c r="BY485" s="9"/>
      <c r="BZ485" s="21"/>
      <c r="CA485" s="21"/>
      <c r="CB485" s="21"/>
      <c r="CC485" s="21"/>
      <c r="CD485" s="21"/>
      <c r="CE485" s="21"/>
      <c r="CF485" s="21"/>
      <c r="CG485" s="21"/>
      <c r="CH485" s="21"/>
      <c r="CI485" s="21"/>
      <c r="CJ485" s="21"/>
    </row>
    <row r="486" spans="1:88" ht="40.5" customHeight="1">
      <c r="A486" s="9">
        <f t="shared" si="10"/>
        <v>484</v>
      </c>
      <c r="B486" s="9" t="str">
        <f t="shared" si="11"/>
        <v xml:space="preserve">MA
</v>
      </c>
      <c r="C486" s="9" t="s">
        <v>1249</v>
      </c>
      <c r="D486" s="9" t="s">
        <v>1198</v>
      </c>
      <c r="E486" s="12">
        <v>0</v>
      </c>
      <c r="F486" s="12">
        <v>0</v>
      </c>
      <c r="G486" s="9" t="s">
        <v>89</v>
      </c>
      <c r="H486" s="9" t="s">
        <v>75</v>
      </c>
      <c r="I486" s="10" t="s">
        <v>1250</v>
      </c>
      <c r="J486" s="9" t="s">
        <v>75</v>
      </c>
      <c r="K486" s="11" t="s">
        <v>1251</v>
      </c>
      <c r="L486" s="12"/>
      <c r="M486" s="12"/>
      <c r="N486" s="13"/>
      <c r="O486" s="13"/>
      <c r="P486" s="17"/>
      <c r="Q486" s="13"/>
      <c r="R486" s="17"/>
      <c r="S486" s="17"/>
      <c r="T486" s="13"/>
      <c r="U486" s="17" t="str">
        <f t="shared" si="2"/>
        <v xml:space="preserve">SUPERDREW - Wooden Windows Manufacturer
</v>
      </c>
      <c r="V486" s="16" t="s">
        <v>78</v>
      </c>
      <c r="W486" s="15" t="s">
        <v>785</v>
      </c>
      <c r="X486" s="15" t="s">
        <v>138</v>
      </c>
      <c r="Y486" s="16" t="s">
        <v>75</v>
      </c>
      <c r="Z486" s="16" t="s">
        <v>75</v>
      </c>
      <c r="AA486" s="16" t="s">
        <v>145</v>
      </c>
      <c r="AB486" s="18" t="str">
        <f t="shared" si="13"/>
        <v xml:space="preserve">SUPERDREW - Wooden Windows Manufacturer
</v>
      </c>
      <c r="AC486" s="18"/>
      <c r="AD486" s="18"/>
      <c r="AE486" s="18"/>
      <c r="AF486" s="18"/>
      <c r="AG486" s="18"/>
      <c r="AH486" s="13"/>
      <c r="AI486" s="18"/>
      <c r="AJ486" s="13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3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2"/>
      <c r="BK486" s="12"/>
      <c r="BL486" s="12"/>
      <c r="BM486" s="9"/>
      <c r="BN486" s="9"/>
      <c r="BO486" s="9"/>
      <c r="BP486" s="12"/>
      <c r="BQ486" s="12"/>
      <c r="BR486" s="12"/>
      <c r="BS486" s="12"/>
      <c r="BT486" s="12"/>
      <c r="BU486" s="12"/>
      <c r="BV486" s="12"/>
      <c r="BW486" s="12"/>
      <c r="BX486" s="12"/>
      <c r="BY486" s="9"/>
      <c r="BZ486" s="21"/>
      <c r="CA486" s="21"/>
      <c r="CB486" s="21"/>
      <c r="CC486" s="21"/>
      <c r="CD486" s="21"/>
      <c r="CE486" s="21"/>
      <c r="CF486" s="21"/>
      <c r="CG486" s="21"/>
      <c r="CH486" s="21"/>
      <c r="CI486" s="21"/>
      <c r="CJ486" s="21"/>
    </row>
    <row r="487" spans="1:88" ht="40.5" customHeight="1">
      <c r="A487" s="9">
        <f t="shared" si="10"/>
        <v>485</v>
      </c>
      <c r="B487" s="9" t="str">
        <f t="shared" si="11"/>
        <v xml:space="preserve">MA
</v>
      </c>
      <c r="C487" s="9" t="s">
        <v>1252</v>
      </c>
      <c r="D487" s="9" t="s">
        <v>1198</v>
      </c>
      <c r="E487" s="12">
        <v>0</v>
      </c>
      <c r="F487" s="12">
        <v>0</v>
      </c>
      <c r="G487" s="9" t="s">
        <v>89</v>
      </c>
      <c r="H487" s="9" t="s">
        <v>75</v>
      </c>
      <c r="I487" s="10" t="s">
        <v>1253</v>
      </c>
      <c r="J487" s="9" t="s">
        <v>75</v>
      </c>
      <c r="K487" s="11" t="s">
        <v>1254</v>
      </c>
      <c r="L487" s="12"/>
      <c r="M487" s="12"/>
      <c r="N487" s="13"/>
      <c r="O487" s="13"/>
      <c r="P487" s="17"/>
      <c r="Q487" s="13"/>
      <c r="R487" s="17"/>
      <c r="S487" s="17"/>
      <c r="T487" s="13"/>
      <c r="U487" s="17" t="str">
        <f t="shared" si="2"/>
        <v xml:space="preserve">DOOR Filipek Producent Stolarki Aluminiowej i PCV - drzwi okna fasady ogrody zimowe
</v>
      </c>
      <c r="V487" s="16" t="s">
        <v>78</v>
      </c>
      <c r="W487" s="15" t="s">
        <v>785</v>
      </c>
      <c r="X487" s="15" t="s">
        <v>138</v>
      </c>
      <c r="Y487" s="16" t="s">
        <v>75</v>
      </c>
      <c r="Z487" s="15" t="s">
        <v>154</v>
      </c>
      <c r="AA487" s="16" t="s">
        <v>81</v>
      </c>
      <c r="AB487" s="18" t="str">
        <f t="shared" si="13"/>
        <v xml:space="preserve">DOOR Filipek Producent Stolarki Aluminiowej i PCV - drzwi okna fasady ogrody zimowe
</v>
      </c>
      <c r="AC487" s="18"/>
      <c r="AD487" s="18"/>
      <c r="AE487" s="18"/>
      <c r="AF487" s="18"/>
      <c r="AG487" s="18"/>
      <c r="AH487" s="13"/>
      <c r="AI487" s="18"/>
      <c r="AJ487" s="13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3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2"/>
      <c r="BK487" s="12"/>
      <c r="BL487" s="12"/>
      <c r="BM487" s="9"/>
      <c r="BN487" s="9"/>
      <c r="BO487" s="9"/>
      <c r="BP487" s="12"/>
      <c r="BQ487" s="12"/>
      <c r="BR487" s="12"/>
      <c r="BS487" s="12"/>
      <c r="BT487" s="12"/>
      <c r="BU487" s="12"/>
      <c r="BV487" s="12"/>
      <c r="BW487" s="12"/>
      <c r="BX487" s="12"/>
      <c r="BY487" s="9"/>
      <c r="BZ487" s="21"/>
      <c r="CA487" s="21"/>
      <c r="CB487" s="21"/>
      <c r="CC487" s="21"/>
      <c r="CD487" s="21"/>
      <c r="CE487" s="21"/>
      <c r="CF487" s="21"/>
      <c r="CG487" s="21"/>
      <c r="CH487" s="21"/>
      <c r="CI487" s="21"/>
      <c r="CJ487" s="21"/>
    </row>
    <row r="488" spans="1:88" ht="40.5" customHeight="1">
      <c r="A488" s="9">
        <f t="shared" si="10"/>
        <v>486</v>
      </c>
      <c r="B488" s="9" t="str">
        <f t="shared" si="11"/>
        <v xml:space="preserve">MA
</v>
      </c>
      <c r="C488" s="9" t="s">
        <v>1255</v>
      </c>
      <c r="D488" s="9" t="s">
        <v>1198</v>
      </c>
      <c r="E488" s="12">
        <v>0</v>
      </c>
      <c r="F488" s="12">
        <v>0</v>
      </c>
      <c r="G488" s="9" t="s">
        <v>89</v>
      </c>
      <c r="H488" s="9" t="s">
        <v>75</v>
      </c>
      <c r="I488" s="10" t="s">
        <v>1256</v>
      </c>
      <c r="J488" s="9" t="s">
        <v>75</v>
      </c>
      <c r="K488" s="11" t="s">
        <v>1257</v>
      </c>
      <c r="L488" s="12"/>
      <c r="M488" s="12"/>
      <c r="N488" s="13"/>
      <c r="O488" s="13"/>
      <c r="P488" s="17"/>
      <c r="Q488" s="13"/>
      <c r="R488" s="17"/>
      <c r="S488" s="17"/>
      <c r="T488" s="13"/>
      <c r="U488" s="17" t="str">
        <f t="shared" si="2"/>
        <v xml:space="preserve">PPHU PULZBUD, Aluminum &amp; Steel Windows And Doors
</v>
      </c>
      <c r="V488" s="16" t="s">
        <v>78</v>
      </c>
      <c r="W488" s="15" t="s">
        <v>785</v>
      </c>
      <c r="X488" s="15" t="s">
        <v>138</v>
      </c>
      <c r="Y488" s="16" t="s">
        <v>75</v>
      </c>
      <c r="Z488" s="15" t="s">
        <v>1258</v>
      </c>
      <c r="AA488" s="16" t="s">
        <v>81</v>
      </c>
      <c r="AB488" s="18" t="str">
        <f t="shared" si="13"/>
        <v xml:space="preserve">PPHU PULZBUD, Aluminum &amp; Steel Windows And Doors
</v>
      </c>
      <c r="AC488" s="18"/>
      <c r="AD488" s="18"/>
      <c r="AE488" s="18"/>
      <c r="AF488" s="18"/>
      <c r="AG488" s="18"/>
      <c r="AH488" s="13"/>
      <c r="AI488" s="18"/>
      <c r="AJ488" s="13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3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2"/>
      <c r="BK488" s="12"/>
      <c r="BL488" s="12"/>
      <c r="BM488" s="9"/>
      <c r="BN488" s="9"/>
      <c r="BO488" s="9"/>
      <c r="BP488" s="12"/>
      <c r="BQ488" s="12"/>
      <c r="BR488" s="12"/>
      <c r="BS488" s="12"/>
      <c r="BT488" s="12"/>
      <c r="BU488" s="12"/>
      <c r="BV488" s="12"/>
      <c r="BW488" s="12"/>
      <c r="BX488" s="12"/>
      <c r="BY488" s="9"/>
      <c r="BZ488" s="21"/>
      <c r="CA488" s="21"/>
      <c r="CB488" s="21"/>
      <c r="CC488" s="21"/>
      <c r="CD488" s="21"/>
      <c r="CE488" s="21"/>
      <c r="CF488" s="21"/>
      <c r="CG488" s="21"/>
      <c r="CH488" s="21"/>
      <c r="CI488" s="21"/>
      <c r="CJ488" s="21"/>
    </row>
    <row r="489" spans="1:88" ht="40.5" customHeight="1">
      <c r="A489" s="9">
        <f t="shared" si="10"/>
        <v>487</v>
      </c>
      <c r="B489" s="9" t="str">
        <f t="shared" si="11"/>
        <v xml:space="preserve">MA
</v>
      </c>
      <c r="C489" s="9" t="s">
        <v>1259</v>
      </c>
      <c r="D489" s="9" t="s">
        <v>1198</v>
      </c>
      <c r="E489" s="12">
        <v>0</v>
      </c>
      <c r="F489" s="12">
        <v>0</v>
      </c>
      <c r="G489" s="9" t="s">
        <v>89</v>
      </c>
      <c r="H489" s="9" t="s">
        <v>75</v>
      </c>
      <c r="I489" s="10" t="s">
        <v>1260</v>
      </c>
      <c r="J489" s="9" t="s">
        <v>75</v>
      </c>
      <c r="K489" s="11" t="s">
        <v>1261</v>
      </c>
      <c r="L489" s="12"/>
      <c r="M489" s="12"/>
      <c r="N489" s="13"/>
      <c r="O489" s="13"/>
      <c r="P489" s="17"/>
      <c r="Q489" s="13"/>
      <c r="R489" s="17"/>
      <c r="S489" s="17"/>
      <c r="T489" s="13"/>
      <c r="U489" s="17" t="str">
        <f t="shared" si="2"/>
        <v xml:space="preserve">Aikon Distribution
</v>
      </c>
      <c r="V489" s="16" t="s">
        <v>78</v>
      </c>
      <c r="W489" s="15" t="s">
        <v>785</v>
      </c>
      <c r="X489" s="15" t="s">
        <v>138</v>
      </c>
      <c r="Y489" s="16" t="s">
        <v>75</v>
      </c>
      <c r="Z489" s="16" t="s">
        <v>75</v>
      </c>
      <c r="AA489" s="16" t="s">
        <v>145</v>
      </c>
      <c r="AB489" s="18" t="str">
        <f t="shared" si="13"/>
        <v xml:space="preserve">Aikon Distribution
</v>
      </c>
      <c r="AC489" s="18"/>
      <c r="AD489" s="18"/>
      <c r="AE489" s="18"/>
      <c r="AF489" s="18"/>
      <c r="AG489" s="18"/>
      <c r="AH489" s="13"/>
      <c r="AI489" s="18"/>
      <c r="AJ489" s="13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3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2"/>
      <c r="BK489" s="12"/>
      <c r="BL489" s="12"/>
      <c r="BM489" s="9"/>
      <c r="BN489" s="9"/>
      <c r="BO489" s="9"/>
      <c r="BP489" s="12"/>
      <c r="BQ489" s="12"/>
      <c r="BR489" s="12"/>
      <c r="BS489" s="12"/>
      <c r="BT489" s="12"/>
      <c r="BU489" s="12"/>
      <c r="BV489" s="12"/>
      <c r="BW489" s="12"/>
      <c r="BX489" s="12"/>
      <c r="BY489" s="9"/>
      <c r="BZ489" s="21"/>
      <c r="CA489" s="21"/>
      <c r="CB489" s="21"/>
      <c r="CC489" s="21"/>
      <c r="CD489" s="21"/>
      <c r="CE489" s="21"/>
      <c r="CF489" s="21"/>
      <c r="CG489" s="21"/>
      <c r="CH489" s="21"/>
      <c r="CI489" s="21"/>
      <c r="CJ489" s="21"/>
    </row>
    <row r="490" spans="1:88" ht="40.5" customHeight="1">
      <c r="A490" s="9">
        <f t="shared" si="10"/>
        <v>488</v>
      </c>
      <c r="B490" s="9" t="str">
        <f t="shared" si="11"/>
        <v xml:space="preserve">MA
</v>
      </c>
      <c r="C490" s="9" t="s">
        <v>1262</v>
      </c>
      <c r="D490" s="9" t="s">
        <v>1198</v>
      </c>
      <c r="E490" s="12">
        <v>0</v>
      </c>
      <c r="F490" s="12">
        <v>0</v>
      </c>
      <c r="G490" s="9" t="s">
        <v>89</v>
      </c>
      <c r="H490" s="9" t="s">
        <v>75</v>
      </c>
      <c r="I490" s="10" t="s">
        <v>1263</v>
      </c>
      <c r="J490" s="9" t="s">
        <v>75</v>
      </c>
      <c r="K490" s="11" t="s">
        <v>1264</v>
      </c>
      <c r="L490" s="12"/>
      <c r="M490" s="12"/>
      <c r="N490" s="13"/>
      <c r="O490" s="13"/>
      <c r="P490" s="17"/>
      <c r="Q490" s="13"/>
      <c r="R490" s="17"/>
      <c r="S490" s="17"/>
      <c r="T490" s="13"/>
      <c r="U490" s="17" t="str">
        <f t="shared" si="2"/>
        <v xml:space="preserve">Alu in
</v>
      </c>
      <c r="V490" s="16" t="s">
        <v>78</v>
      </c>
      <c r="W490" s="15" t="s">
        <v>785</v>
      </c>
      <c r="X490" s="15" t="s">
        <v>138</v>
      </c>
      <c r="Y490" s="16" t="s">
        <v>75</v>
      </c>
      <c r="Z490" s="16" t="s">
        <v>75</v>
      </c>
      <c r="AA490" s="16" t="s">
        <v>145</v>
      </c>
      <c r="AB490" s="18" t="str">
        <f t="shared" si="13"/>
        <v xml:space="preserve">Alu in
</v>
      </c>
      <c r="AC490" s="18"/>
      <c r="AD490" s="18"/>
      <c r="AE490" s="18"/>
      <c r="AF490" s="18"/>
      <c r="AG490" s="18"/>
      <c r="AH490" s="13"/>
      <c r="AI490" s="18"/>
      <c r="AJ490" s="13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3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2"/>
      <c r="BK490" s="12"/>
      <c r="BL490" s="12"/>
      <c r="BM490" s="9"/>
      <c r="BN490" s="9"/>
      <c r="BO490" s="9"/>
      <c r="BP490" s="12"/>
      <c r="BQ490" s="12"/>
      <c r="BR490" s="12"/>
      <c r="BS490" s="12"/>
      <c r="BT490" s="12"/>
      <c r="BU490" s="12"/>
      <c r="BV490" s="12"/>
      <c r="BW490" s="12"/>
      <c r="BX490" s="12"/>
      <c r="BY490" s="9"/>
      <c r="BZ490" s="21"/>
      <c r="CA490" s="21"/>
      <c r="CB490" s="21"/>
      <c r="CC490" s="21"/>
      <c r="CD490" s="21"/>
      <c r="CE490" s="21"/>
      <c r="CF490" s="21"/>
      <c r="CG490" s="21"/>
      <c r="CH490" s="21"/>
      <c r="CI490" s="21"/>
      <c r="CJ490" s="21"/>
    </row>
    <row r="491" spans="1:88" ht="40.5" customHeight="1">
      <c r="A491" s="9">
        <f t="shared" si="10"/>
        <v>489</v>
      </c>
      <c r="B491" s="9" t="str">
        <f t="shared" si="11"/>
        <v xml:space="preserve">MA
</v>
      </c>
      <c r="C491" s="9" t="s">
        <v>1265</v>
      </c>
      <c r="D491" s="9" t="s">
        <v>134</v>
      </c>
      <c r="E491" s="12">
        <v>0</v>
      </c>
      <c r="F491" s="12">
        <v>0</v>
      </c>
      <c r="G491" s="9" t="s">
        <v>89</v>
      </c>
      <c r="H491" s="9" t="s">
        <v>1266</v>
      </c>
      <c r="I491" s="9" t="s">
        <v>1267</v>
      </c>
      <c r="J491" s="9" t="s">
        <v>79</v>
      </c>
      <c r="K491" s="9" t="s">
        <v>79</v>
      </c>
      <c r="L491" s="12"/>
      <c r="M491" s="12"/>
      <c r="N491" s="13"/>
      <c r="O491" s="16" t="s">
        <v>78</v>
      </c>
      <c r="P491" s="14">
        <v>1</v>
      </c>
      <c r="Q491" s="25">
        <v>44967</v>
      </c>
      <c r="R491" s="17"/>
      <c r="S491" s="17"/>
      <c r="T491" s="16" t="s">
        <v>81</v>
      </c>
      <c r="U491" s="17" t="str">
        <f t="shared" si="2"/>
        <v>Maloku Invest</v>
      </c>
      <c r="V491" s="16" t="s">
        <v>78</v>
      </c>
      <c r="W491" s="15" t="s">
        <v>792</v>
      </c>
      <c r="X491" s="15" t="s">
        <v>139</v>
      </c>
      <c r="Y491" s="16" t="s">
        <v>75</v>
      </c>
      <c r="Z491" s="15" t="s">
        <v>154</v>
      </c>
      <c r="AA491" s="16" t="s">
        <v>86</v>
      </c>
      <c r="AB491" s="18" t="str">
        <f t="shared" si="13"/>
        <v>Maloku Invest</v>
      </c>
      <c r="AC491" s="19" t="s">
        <v>98</v>
      </c>
      <c r="AD491" s="19" t="s">
        <v>79</v>
      </c>
      <c r="AE491" s="20" t="s">
        <v>140</v>
      </c>
      <c r="AF491" s="19" t="s">
        <v>75</v>
      </c>
      <c r="AG491" s="19" t="s">
        <v>75</v>
      </c>
      <c r="AH491" s="16" t="s">
        <v>86</v>
      </c>
      <c r="AI491" s="18"/>
      <c r="AJ491" s="16" t="s">
        <v>78</v>
      </c>
      <c r="AK491" s="19" t="s">
        <v>79</v>
      </c>
      <c r="AL491" s="20" t="s">
        <v>668</v>
      </c>
      <c r="AM491" s="19" t="s">
        <v>75</v>
      </c>
      <c r="AN491" s="19" t="s">
        <v>75</v>
      </c>
      <c r="AO491" s="19" t="s">
        <v>153</v>
      </c>
      <c r="AP491" s="18"/>
      <c r="AQ491" s="18"/>
      <c r="AR491" s="18"/>
      <c r="AS491" s="18"/>
      <c r="AT491" s="18"/>
      <c r="AU491" s="18"/>
      <c r="AV491" s="18"/>
      <c r="AW491" s="18"/>
      <c r="AX491" s="13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2"/>
      <c r="BK491" s="12"/>
      <c r="BL491" s="12"/>
      <c r="BM491" s="9"/>
      <c r="BN491" s="9"/>
      <c r="BO491" s="9"/>
      <c r="BP491" s="12"/>
      <c r="BQ491" s="12"/>
      <c r="BR491" s="12"/>
      <c r="BS491" s="12"/>
      <c r="BT491" s="12"/>
      <c r="BU491" s="12"/>
      <c r="BV491" s="12"/>
      <c r="BW491" s="12"/>
      <c r="BX491" s="12"/>
      <c r="BY491" s="9"/>
      <c r="BZ491" s="21"/>
      <c r="CA491" s="21"/>
      <c r="CB491" s="21"/>
      <c r="CC491" s="21"/>
      <c r="CD491" s="21"/>
      <c r="CE491" s="21"/>
      <c r="CF491" s="21"/>
      <c r="CG491" s="21"/>
      <c r="CH491" s="21"/>
      <c r="CI491" s="21"/>
      <c r="CJ491" s="21"/>
    </row>
    <row r="492" spans="1:88" ht="40.5" customHeight="1">
      <c r="A492" s="9">
        <f t="shared" si="10"/>
        <v>490</v>
      </c>
      <c r="B492" s="9" t="str">
        <f t="shared" si="11"/>
        <v xml:space="preserve">MA
</v>
      </c>
      <c r="C492" s="9" t="s">
        <v>1268</v>
      </c>
      <c r="D492" s="9" t="s">
        <v>134</v>
      </c>
      <c r="E492" s="12">
        <v>0</v>
      </c>
      <c r="F492" s="12">
        <v>0</v>
      </c>
      <c r="G492" s="9" t="s">
        <v>89</v>
      </c>
      <c r="H492" s="9" t="s">
        <v>75</v>
      </c>
      <c r="I492" s="9" t="s">
        <v>1269</v>
      </c>
      <c r="J492" s="9" t="s">
        <v>75</v>
      </c>
      <c r="K492" s="11" t="s">
        <v>1270</v>
      </c>
      <c r="L492" s="12"/>
      <c r="M492" s="12"/>
      <c r="N492" s="13"/>
      <c r="O492" s="16" t="s">
        <v>78</v>
      </c>
      <c r="P492" s="23" t="s">
        <v>792</v>
      </c>
      <c r="Q492" s="15" t="s">
        <v>139</v>
      </c>
      <c r="R492" s="14" t="s">
        <v>75</v>
      </c>
      <c r="S492" s="14" t="s">
        <v>75</v>
      </c>
      <c r="T492" s="16" t="s">
        <v>86</v>
      </c>
      <c r="U492" s="17" t="str">
        <f t="shared" si="2"/>
        <v xml:space="preserve">EM3 Plast shpk
</v>
      </c>
      <c r="V492" s="16" t="s">
        <v>78</v>
      </c>
      <c r="W492" s="15" t="s">
        <v>242</v>
      </c>
      <c r="X492" s="15" t="s">
        <v>138</v>
      </c>
      <c r="Y492" s="16" t="s">
        <v>75</v>
      </c>
      <c r="Z492" s="15" t="s">
        <v>1271</v>
      </c>
      <c r="AA492" s="16" t="s">
        <v>166</v>
      </c>
      <c r="AB492" s="18" t="str">
        <f t="shared" si="13"/>
        <v xml:space="preserve">EM3 Plast shpk
</v>
      </c>
      <c r="AC492" s="19" t="s">
        <v>98</v>
      </c>
      <c r="AD492" s="19" t="s">
        <v>79</v>
      </c>
      <c r="AE492" s="20" t="s">
        <v>140</v>
      </c>
      <c r="AF492" s="19" t="s">
        <v>75</v>
      </c>
      <c r="AG492" s="19" t="s">
        <v>75</v>
      </c>
      <c r="AH492" s="16" t="s">
        <v>86</v>
      </c>
      <c r="AI492" s="18"/>
      <c r="AJ492" s="16" t="s">
        <v>78</v>
      </c>
      <c r="AK492" s="19" t="s">
        <v>79</v>
      </c>
      <c r="AL492" s="20" t="s">
        <v>668</v>
      </c>
      <c r="AM492" s="19" t="s">
        <v>75</v>
      </c>
      <c r="AN492" s="19" t="s">
        <v>75</v>
      </c>
      <c r="AO492" s="19" t="s">
        <v>86</v>
      </c>
      <c r="AP492" s="18"/>
      <c r="AQ492" s="18"/>
      <c r="AR492" s="18"/>
      <c r="AS492" s="18"/>
      <c r="AT492" s="18"/>
      <c r="AU492" s="18"/>
      <c r="AV492" s="18"/>
      <c r="AW492" s="18"/>
      <c r="AX492" s="13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2"/>
      <c r="BK492" s="12"/>
      <c r="BL492" s="12"/>
      <c r="BM492" s="9"/>
      <c r="BN492" s="9"/>
      <c r="BO492" s="9"/>
      <c r="BP492" s="12"/>
      <c r="BQ492" s="12"/>
      <c r="BR492" s="12"/>
      <c r="BS492" s="12"/>
      <c r="BT492" s="12"/>
      <c r="BU492" s="12"/>
      <c r="BV492" s="12"/>
      <c r="BW492" s="12"/>
      <c r="BX492" s="12"/>
      <c r="BY492" s="9"/>
      <c r="BZ492" s="21"/>
      <c r="CA492" s="21"/>
      <c r="CB492" s="21"/>
      <c r="CC492" s="21"/>
      <c r="CD492" s="21"/>
      <c r="CE492" s="21"/>
      <c r="CF492" s="21"/>
      <c r="CG492" s="21"/>
      <c r="CH492" s="21"/>
      <c r="CI492" s="21"/>
      <c r="CJ492" s="21"/>
    </row>
    <row r="493" spans="1:88" ht="40.5" customHeight="1">
      <c r="A493" s="9">
        <f t="shared" si="10"/>
        <v>491</v>
      </c>
      <c r="B493" s="9" t="str">
        <f t="shared" si="11"/>
        <v xml:space="preserve">MA
</v>
      </c>
      <c r="C493" s="9" t="s">
        <v>1272</v>
      </c>
      <c r="D493" s="9" t="s">
        <v>134</v>
      </c>
      <c r="E493" s="12">
        <v>0</v>
      </c>
      <c r="F493" s="12">
        <v>0</v>
      </c>
      <c r="G493" s="9" t="s">
        <v>89</v>
      </c>
      <c r="H493" s="9" t="s">
        <v>75</v>
      </c>
      <c r="I493" s="9" t="s">
        <v>1273</v>
      </c>
      <c r="J493" s="9" t="s">
        <v>75</v>
      </c>
      <c r="K493" s="11" t="s">
        <v>1274</v>
      </c>
      <c r="L493" s="12"/>
      <c r="M493" s="12"/>
      <c r="N493" s="13"/>
      <c r="O493" s="16" t="s">
        <v>78</v>
      </c>
      <c r="P493" s="23" t="s">
        <v>792</v>
      </c>
      <c r="Q493" s="15" t="s">
        <v>139</v>
      </c>
      <c r="R493" s="14" t="s">
        <v>75</v>
      </c>
      <c r="S493" s="14" t="s">
        <v>75</v>
      </c>
      <c r="T493" s="16" t="s">
        <v>101</v>
      </c>
      <c r="U493" s="17" t="str">
        <f t="shared" si="2"/>
        <v xml:space="preserve">Alumin-AL SH.P.K
</v>
      </c>
      <c r="V493" s="16" t="s">
        <v>78</v>
      </c>
      <c r="W493" s="15" t="s">
        <v>785</v>
      </c>
      <c r="X493" s="15" t="s">
        <v>138</v>
      </c>
      <c r="Y493" s="16" t="s">
        <v>75</v>
      </c>
      <c r="Z493" s="15" t="s">
        <v>154</v>
      </c>
      <c r="AA493" s="16" t="s">
        <v>166</v>
      </c>
      <c r="AB493" s="18" t="str">
        <f t="shared" si="13"/>
        <v xml:space="preserve">Alumin-AL SH.P.K
</v>
      </c>
      <c r="AC493" s="19" t="s">
        <v>98</v>
      </c>
      <c r="AD493" s="19" t="s">
        <v>79</v>
      </c>
      <c r="AE493" s="20" t="s">
        <v>140</v>
      </c>
      <c r="AF493" s="19" t="s">
        <v>75</v>
      </c>
      <c r="AG493" s="19" t="s">
        <v>75</v>
      </c>
      <c r="AH493" s="16" t="s">
        <v>86</v>
      </c>
      <c r="AI493" s="18"/>
      <c r="AJ493" s="13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3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2"/>
      <c r="BK493" s="12"/>
      <c r="BL493" s="12"/>
      <c r="BM493" s="9"/>
      <c r="BN493" s="9"/>
      <c r="BO493" s="9"/>
      <c r="BP493" s="12"/>
      <c r="BQ493" s="12"/>
      <c r="BR493" s="12"/>
      <c r="BS493" s="12"/>
      <c r="BT493" s="12"/>
      <c r="BU493" s="12"/>
      <c r="BV493" s="12"/>
      <c r="BW493" s="12"/>
      <c r="BX493" s="12"/>
      <c r="BY493" s="9"/>
      <c r="BZ493" s="21"/>
      <c r="CA493" s="21"/>
      <c r="CB493" s="21"/>
      <c r="CC493" s="21"/>
      <c r="CD493" s="21"/>
      <c r="CE493" s="21"/>
      <c r="CF493" s="21"/>
      <c r="CG493" s="21"/>
      <c r="CH493" s="21"/>
      <c r="CI493" s="21"/>
      <c r="CJ493" s="21"/>
    </row>
    <row r="494" spans="1:88" ht="40.5" customHeight="1">
      <c r="A494" s="9">
        <f t="shared" si="10"/>
        <v>492</v>
      </c>
      <c r="B494" s="9" t="str">
        <f t="shared" si="11"/>
        <v xml:space="preserve">MA
</v>
      </c>
      <c r="C494" s="9" t="s">
        <v>1275</v>
      </c>
      <c r="D494" s="9" t="s">
        <v>134</v>
      </c>
      <c r="E494" s="12">
        <v>0</v>
      </c>
      <c r="F494" s="12">
        <v>0</v>
      </c>
      <c r="G494" s="9" t="s">
        <v>89</v>
      </c>
      <c r="H494" s="9" t="s">
        <v>75</v>
      </c>
      <c r="I494" s="9" t="s">
        <v>1276</v>
      </c>
      <c r="J494" s="9" t="s">
        <v>75</v>
      </c>
      <c r="K494" s="11" t="s">
        <v>1171</v>
      </c>
      <c r="L494" s="12"/>
      <c r="M494" s="12"/>
      <c r="N494" s="13"/>
      <c r="O494" s="13"/>
      <c r="P494" s="17"/>
      <c r="Q494" s="13"/>
      <c r="R494" s="17"/>
      <c r="S494" s="17"/>
      <c r="T494" s="13"/>
      <c r="U494" s="17" t="str">
        <f t="shared" si="2"/>
        <v xml:space="preserve">Everest Kosovo (Everest Group Albania )
</v>
      </c>
      <c r="V494" s="16" t="s">
        <v>78</v>
      </c>
      <c r="W494" s="15" t="s">
        <v>785</v>
      </c>
      <c r="X494" s="15" t="s">
        <v>138</v>
      </c>
      <c r="Y494" s="16" t="s">
        <v>75</v>
      </c>
      <c r="Z494" s="15" t="s">
        <v>154</v>
      </c>
      <c r="AA494" s="16" t="s">
        <v>4</v>
      </c>
      <c r="AB494" s="18" t="str">
        <f t="shared" si="13"/>
        <v xml:space="preserve">Everest Kosovo (Everest Group Albania )
</v>
      </c>
      <c r="AC494" s="18"/>
      <c r="AD494" s="18"/>
      <c r="AE494" s="18"/>
      <c r="AF494" s="18"/>
      <c r="AG494" s="18"/>
      <c r="AH494" s="13"/>
      <c r="AI494" s="18"/>
      <c r="AJ494" s="13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3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2"/>
      <c r="BK494" s="12"/>
      <c r="BL494" s="12"/>
      <c r="BM494" s="9"/>
      <c r="BN494" s="9"/>
      <c r="BO494" s="9"/>
      <c r="BP494" s="12"/>
      <c r="BQ494" s="12"/>
      <c r="BR494" s="12"/>
      <c r="BS494" s="12"/>
      <c r="BT494" s="12"/>
      <c r="BU494" s="12"/>
      <c r="BV494" s="12"/>
      <c r="BW494" s="12"/>
      <c r="BX494" s="12"/>
      <c r="BY494" s="9"/>
      <c r="BZ494" s="21"/>
      <c r="CA494" s="21"/>
      <c r="CB494" s="21"/>
      <c r="CC494" s="21"/>
      <c r="CD494" s="21"/>
      <c r="CE494" s="21"/>
      <c r="CF494" s="21"/>
      <c r="CG494" s="21"/>
      <c r="CH494" s="21"/>
      <c r="CI494" s="21"/>
      <c r="CJ494" s="21"/>
    </row>
    <row r="495" spans="1:88" ht="40.5" customHeight="1">
      <c r="A495" s="9">
        <f t="shared" si="10"/>
        <v>493</v>
      </c>
      <c r="B495" s="9" t="str">
        <f t="shared" si="11"/>
        <v xml:space="preserve">MA
</v>
      </c>
      <c r="C495" s="9" t="s">
        <v>1277</v>
      </c>
      <c r="D495" s="9" t="s">
        <v>134</v>
      </c>
      <c r="E495" s="12">
        <v>0</v>
      </c>
      <c r="F495" s="12">
        <v>0</v>
      </c>
      <c r="G495" s="9" t="s">
        <v>89</v>
      </c>
      <c r="H495" s="9" t="s">
        <v>75</v>
      </c>
      <c r="I495" s="9" t="s">
        <v>1278</v>
      </c>
      <c r="J495" s="9" t="s">
        <v>75</v>
      </c>
      <c r="K495" s="11" t="s">
        <v>1279</v>
      </c>
      <c r="L495" s="12"/>
      <c r="M495" s="12"/>
      <c r="N495" s="13"/>
      <c r="O495" s="16" t="s">
        <v>78</v>
      </c>
      <c r="P495" s="23" t="s">
        <v>792</v>
      </c>
      <c r="Q495" s="15" t="s">
        <v>139</v>
      </c>
      <c r="R495" s="14" t="s">
        <v>75</v>
      </c>
      <c r="S495" s="14" t="s">
        <v>75</v>
      </c>
      <c r="T495" s="16" t="s">
        <v>145</v>
      </c>
      <c r="U495" s="17" t="str">
        <f t="shared" si="2"/>
        <v xml:space="preserve">GAP Kosovo
</v>
      </c>
      <c r="V495" s="16" t="s">
        <v>78</v>
      </c>
      <c r="W495" s="15" t="s">
        <v>785</v>
      </c>
      <c r="X495" s="15" t="s">
        <v>138</v>
      </c>
      <c r="Y495" s="16" t="s">
        <v>75</v>
      </c>
      <c r="Z495" s="16" t="s">
        <v>75</v>
      </c>
      <c r="AA495" s="16" t="s">
        <v>145</v>
      </c>
      <c r="AB495" s="18" t="str">
        <f t="shared" si="13"/>
        <v xml:space="preserve">GAP Kosovo
</v>
      </c>
      <c r="AC495" s="19" t="s">
        <v>7</v>
      </c>
      <c r="AD495" s="19" t="s">
        <v>79</v>
      </c>
      <c r="AE495" s="20" t="s">
        <v>140</v>
      </c>
      <c r="AF495" s="19" t="s">
        <v>75</v>
      </c>
      <c r="AG495" s="19" t="s">
        <v>75</v>
      </c>
      <c r="AH495" s="16" t="s">
        <v>86</v>
      </c>
      <c r="AI495" s="18"/>
      <c r="AJ495" s="16" t="s">
        <v>78</v>
      </c>
      <c r="AK495" s="19" t="s">
        <v>79</v>
      </c>
      <c r="AL495" s="20" t="s">
        <v>668</v>
      </c>
      <c r="AM495" s="19" t="s">
        <v>75</v>
      </c>
      <c r="AN495" s="19" t="s">
        <v>75</v>
      </c>
      <c r="AO495" s="19" t="s">
        <v>86</v>
      </c>
      <c r="AP495" s="18"/>
      <c r="AQ495" s="18"/>
      <c r="AR495" s="18"/>
      <c r="AS495" s="18"/>
      <c r="AT495" s="18"/>
      <c r="AU495" s="18"/>
      <c r="AV495" s="18"/>
      <c r="AW495" s="18"/>
      <c r="AX495" s="13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2"/>
      <c r="BK495" s="12"/>
      <c r="BL495" s="12"/>
      <c r="BM495" s="9"/>
      <c r="BN495" s="9"/>
      <c r="BO495" s="9"/>
      <c r="BP495" s="12"/>
      <c r="BQ495" s="12"/>
      <c r="BR495" s="12"/>
      <c r="BS495" s="12"/>
      <c r="BT495" s="12"/>
      <c r="BU495" s="12"/>
      <c r="BV495" s="12"/>
      <c r="BW495" s="12"/>
      <c r="BX495" s="12"/>
      <c r="BY495" s="9"/>
      <c r="BZ495" s="21"/>
      <c r="CA495" s="21"/>
      <c r="CB495" s="21"/>
      <c r="CC495" s="21"/>
      <c r="CD495" s="21"/>
      <c r="CE495" s="21"/>
      <c r="CF495" s="21"/>
      <c r="CG495" s="21"/>
      <c r="CH495" s="21"/>
      <c r="CI495" s="21"/>
      <c r="CJ495" s="21"/>
    </row>
    <row r="496" spans="1:88" ht="40.5" customHeight="1">
      <c r="A496" s="9">
        <f t="shared" si="10"/>
        <v>494</v>
      </c>
      <c r="B496" s="9" t="str">
        <f t="shared" si="11"/>
        <v xml:space="preserve">MA
</v>
      </c>
      <c r="C496" s="9" t="s">
        <v>1280</v>
      </c>
      <c r="D496" s="9" t="s">
        <v>134</v>
      </c>
      <c r="E496" s="12">
        <v>0</v>
      </c>
      <c r="F496" s="12">
        <v>0</v>
      </c>
      <c r="G496" s="9" t="s">
        <v>89</v>
      </c>
      <c r="H496" s="9" t="s">
        <v>75</v>
      </c>
      <c r="I496" s="9" t="s">
        <v>135</v>
      </c>
      <c r="J496" s="9" t="s">
        <v>75</v>
      </c>
      <c r="K496" s="11" t="s">
        <v>136</v>
      </c>
      <c r="L496" s="12"/>
      <c r="M496" s="12"/>
      <c r="N496" s="13"/>
      <c r="O496" s="16" t="s">
        <v>98</v>
      </c>
      <c r="P496" s="14" t="s">
        <v>79</v>
      </c>
      <c r="Q496" s="15" t="s">
        <v>140</v>
      </c>
      <c r="R496" s="14" t="s">
        <v>75</v>
      </c>
      <c r="S496" s="14" t="s">
        <v>75</v>
      </c>
      <c r="T496" s="16" t="s">
        <v>86</v>
      </c>
      <c r="U496" s="17" t="str">
        <f t="shared" si="2"/>
        <v xml:space="preserve">Mitro-Plast Sh. P. K.
</v>
      </c>
      <c r="V496" s="16" t="s">
        <v>78</v>
      </c>
      <c r="W496" s="15" t="s">
        <v>785</v>
      </c>
      <c r="X496" s="15" t="s">
        <v>138</v>
      </c>
      <c r="Y496" s="16" t="s">
        <v>75</v>
      </c>
      <c r="Z496" s="16" t="s">
        <v>75</v>
      </c>
      <c r="AA496" s="16" t="s">
        <v>101</v>
      </c>
      <c r="AB496" s="18" t="str">
        <f t="shared" si="13"/>
        <v xml:space="preserve">Mitro-Plast Sh. P. K.
</v>
      </c>
      <c r="AC496" s="19" t="s">
        <v>78</v>
      </c>
      <c r="AD496" s="19" t="s">
        <v>79</v>
      </c>
      <c r="AE496" s="20" t="s">
        <v>668</v>
      </c>
      <c r="AF496" s="19" t="s">
        <v>75</v>
      </c>
      <c r="AG496" s="19" t="s">
        <v>75</v>
      </c>
      <c r="AH496" s="16" t="s">
        <v>4</v>
      </c>
      <c r="AI496" s="18"/>
      <c r="AJ496" s="13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3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2"/>
      <c r="BK496" s="12"/>
      <c r="BL496" s="12"/>
      <c r="BM496" s="9"/>
      <c r="BN496" s="9"/>
      <c r="BO496" s="9"/>
      <c r="BP496" s="12"/>
      <c r="BQ496" s="12"/>
      <c r="BR496" s="12"/>
      <c r="BS496" s="12"/>
      <c r="BT496" s="12"/>
      <c r="BU496" s="12"/>
      <c r="BV496" s="12"/>
      <c r="BW496" s="12"/>
      <c r="BX496" s="12"/>
      <c r="BY496" s="9"/>
      <c r="BZ496" s="21"/>
      <c r="CA496" s="21"/>
      <c r="CB496" s="21"/>
      <c r="CC496" s="21"/>
      <c r="CD496" s="21"/>
      <c r="CE496" s="21"/>
      <c r="CF496" s="21"/>
      <c r="CG496" s="21"/>
      <c r="CH496" s="21"/>
      <c r="CI496" s="21"/>
      <c r="CJ496" s="21"/>
    </row>
    <row r="497" spans="1:88" ht="40.5" customHeight="1">
      <c r="A497" s="9">
        <f t="shared" si="10"/>
        <v>495</v>
      </c>
      <c r="B497" s="9" t="str">
        <f t="shared" si="11"/>
        <v xml:space="preserve">MA
</v>
      </c>
      <c r="C497" s="9" t="s">
        <v>1281</v>
      </c>
      <c r="D497" s="9" t="s">
        <v>134</v>
      </c>
      <c r="E497" s="12">
        <v>0</v>
      </c>
      <c r="F497" s="12">
        <v>0</v>
      </c>
      <c r="G497" s="9" t="s">
        <v>89</v>
      </c>
      <c r="H497" s="9" t="s">
        <v>75</v>
      </c>
      <c r="I497" s="9" t="s">
        <v>1282</v>
      </c>
      <c r="J497" s="9" t="s">
        <v>75</v>
      </c>
      <c r="K497" s="9" t="s">
        <v>75</v>
      </c>
      <c r="L497" s="12"/>
      <c r="M497" s="12"/>
      <c r="N497" s="13"/>
      <c r="O497" s="16" t="s">
        <v>78</v>
      </c>
      <c r="P497" s="23" t="s">
        <v>792</v>
      </c>
      <c r="Q497" s="15" t="s">
        <v>139</v>
      </c>
      <c r="R497" s="14" t="s">
        <v>75</v>
      </c>
      <c r="S497" s="14" t="s">
        <v>75</v>
      </c>
      <c r="T497" s="16" t="s">
        <v>86</v>
      </c>
      <c r="U497" s="17" t="str">
        <f t="shared" si="2"/>
        <v xml:space="preserve">ATRIUM L.L.C
</v>
      </c>
      <c r="V497" s="16" t="s">
        <v>78</v>
      </c>
      <c r="W497" s="15" t="s">
        <v>785</v>
      </c>
      <c r="X497" s="15" t="s">
        <v>138</v>
      </c>
      <c r="Y497" s="16" t="s">
        <v>75</v>
      </c>
      <c r="Z497" s="15" t="s">
        <v>175</v>
      </c>
      <c r="AA497" s="16" t="s">
        <v>166</v>
      </c>
      <c r="AB497" s="18" t="str">
        <f t="shared" si="13"/>
        <v xml:space="preserve">ATRIUM L.L.C
</v>
      </c>
      <c r="AC497" s="19" t="s">
        <v>98</v>
      </c>
      <c r="AD497" s="19" t="s">
        <v>79</v>
      </c>
      <c r="AE497" s="20" t="s">
        <v>140</v>
      </c>
      <c r="AF497" s="19" t="s">
        <v>75</v>
      </c>
      <c r="AG497" s="19" t="s">
        <v>75</v>
      </c>
      <c r="AH497" s="16" t="s">
        <v>86</v>
      </c>
      <c r="AI497" s="18"/>
      <c r="AJ497" s="16" t="s">
        <v>98</v>
      </c>
      <c r="AK497" s="19" t="s">
        <v>79</v>
      </c>
      <c r="AL497" s="20" t="s">
        <v>668</v>
      </c>
      <c r="AM497" s="19" t="s">
        <v>75</v>
      </c>
      <c r="AN497" s="19" t="s">
        <v>75</v>
      </c>
      <c r="AO497" s="19" t="s">
        <v>86</v>
      </c>
      <c r="AP497" s="18"/>
      <c r="AQ497" s="18"/>
      <c r="AR497" s="18"/>
      <c r="AS497" s="18"/>
      <c r="AT497" s="18"/>
      <c r="AU497" s="18"/>
      <c r="AV497" s="18"/>
      <c r="AW497" s="18"/>
      <c r="AX497" s="13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2"/>
      <c r="BK497" s="12"/>
      <c r="BL497" s="12"/>
      <c r="BM497" s="9"/>
      <c r="BN497" s="9"/>
      <c r="BO497" s="9"/>
      <c r="BP497" s="12"/>
      <c r="BQ497" s="12"/>
      <c r="BR497" s="12"/>
      <c r="BS497" s="12"/>
      <c r="BT497" s="12"/>
      <c r="BU497" s="12"/>
      <c r="BV497" s="12"/>
      <c r="BW497" s="12"/>
      <c r="BX497" s="12"/>
      <c r="BY497" s="9"/>
      <c r="BZ497" s="21"/>
      <c r="CA497" s="21"/>
      <c r="CB497" s="21"/>
      <c r="CC497" s="21"/>
      <c r="CD497" s="21"/>
      <c r="CE497" s="21"/>
      <c r="CF497" s="21"/>
      <c r="CG497" s="21"/>
      <c r="CH497" s="21"/>
      <c r="CI497" s="21"/>
      <c r="CJ497" s="21"/>
    </row>
    <row r="498" spans="1:88" ht="40.5" customHeight="1">
      <c r="A498" s="9">
        <f t="shared" si="10"/>
        <v>496</v>
      </c>
      <c r="B498" s="9" t="str">
        <f t="shared" si="11"/>
        <v xml:space="preserve">MA
</v>
      </c>
      <c r="C498" s="9" t="s">
        <v>1283</v>
      </c>
      <c r="D498" s="9" t="s">
        <v>134</v>
      </c>
      <c r="E498" s="12">
        <v>0</v>
      </c>
      <c r="F498" s="12">
        <v>0</v>
      </c>
      <c r="G498" s="9" t="s">
        <v>89</v>
      </c>
      <c r="H498" s="9" t="s">
        <v>75</v>
      </c>
      <c r="I498" s="9" t="s">
        <v>1284</v>
      </c>
      <c r="J498" s="9" t="s">
        <v>75</v>
      </c>
      <c r="K498" s="11" t="s">
        <v>1285</v>
      </c>
      <c r="L498" s="12"/>
      <c r="M498" s="12"/>
      <c r="N498" s="13"/>
      <c r="O498" s="16" t="s">
        <v>78</v>
      </c>
      <c r="P498" s="23" t="s">
        <v>792</v>
      </c>
      <c r="Q498" s="15" t="s">
        <v>139</v>
      </c>
      <c r="R498" s="14" t="s">
        <v>75</v>
      </c>
      <c r="S498" s="14" t="s">
        <v>75</v>
      </c>
      <c r="T498" s="16" t="s">
        <v>145</v>
      </c>
      <c r="U498" s="17" t="str">
        <f t="shared" si="2"/>
        <v xml:space="preserve">M-Technologie
</v>
      </c>
      <c r="V498" s="16" t="s">
        <v>78</v>
      </c>
      <c r="W498" s="15" t="s">
        <v>785</v>
      </c>
      <c r="X498" s="15" t="s">
        <v>138</v>
      </c>
      <c r="Y498" s="16" t="s">
        <v>75</v>
      </c>
      <c r="Z498" s="16" t="s">
        <v>75</v>
      </c>
      <c r="AA498" s="16" t="s">
        <v>145</v>
      </c>
      <c r="AB498" s="18" t="str">
        <f t="shared" si="13"/>
        <v xml:space="preserve">M-Technologie
</v>
      </c>
      <c r="AC498" s="19" t="s">
        <v>7</v>
      </c>
      <c r="AD498" s="19" t="s">
        <v>79</v>
      </c>
      <c r="AE498" s="20" t="s">
        <v>140</v>
      </c>
      <c r="AF498" s="19" t="s">
        <v>75</v>
      </c>
      <c r="AG498" s="19" t="s">
        <v>75</v>
      </c>
      <c r="AH498" s="16" t="s">
        <v>86</v>
      </c>
      <c r="AI498" s="18"/>
      <c r="AJ498" s="13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3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2"/>
      <c r="BK498" s="12"/>
      <c r="BL498" s="12"/>
      <c r="BM498" s="9"/>
      <c r="BN498" s="9"/>
      <c r="BO498" s="9"/>
      <c r="BP498" s="12"/>
      <c r="BQ498" s="12"/>
      <c r="BR498" s="12"/>
      <c r="BS498" s="12"/>
      <c r="BT498" s="12"/>
      <c r="BU498" s="12"/>
      <c r="BV498" s="12"/>
      <c r="BW498" s="12"/>
      <c r="BX498" s="12"/>
      <c r="BY498" s="9"/>
      <c r="BZ498" s="21"/>
      <c r="CA498" s="21"/>
      <c r="CB498" s="21"/>
      <c r="CC498" s="21"/>
      <c r="CD498" s="21"/>
      <c r="CE498" s="21"/>
      <c r="CF498" s="21"/>
      <c r="CG498" s="21"/>
      <c r="CH498" s="21"/>
      <c r="CI498" s="21"/>
      <c r="CJ498" s="21"/>
    </row>
    <row r="499" spans="1:88" ht="40.5" customHeight="1">
      <c r="A499" s="9">
        <f t="shared" si="10"/>
        <v>497</v>
      </c>
      <c r="B499" s="9" t="str">
        <f t="shared" si="11"/>
        <v xml:space="preserve">MA
</v>
      </c>
      <c r="C499" s="9" t="s">
        <v>1286</v>
      </c>
      <c r="D499" s="9" t="s">
        <v>134</v>
      </c>
      <c r="E499" s="12">
        <v>0</v>
      </c>
      <c r="F499" s="12">
        <v>0</v>
      </c>
      <c r="G499" s="9" t="s">
        <v>89</v>
      </c>
      <c r="H499" s="9" t="s">
        <v>75</v>
      </c>
      <c r="I499" s="9" t="s">
        <v>1287</v>
      </c>
      <c r="J499" s="9" t="s">
        <v>75</v>
      </c>
      <c r="K499" s="11" t="s">
        <v>1288</v>
      </c>
      <c r="L499" s="12"/>
      <c r="M499" s="12"/>
      <c r="N499" s="13"/>
      <c r="O499" s="16" t="s">
        <v>78</v>
      </c>
      <c r="P499" s="23" t="s">
        <v>785</v>
      </c>
      <c r="Q499" s="15" t="s">
        <v>139</v>
      </c>
      <c r="R499" s="14" t="s">
        <v>75</v>
      </c>
      <c r="S499" s="14" t="s">
        <v>75</v>
      </c>
      <c r="T499" s="16" t="s">
        <v>101</v>
      </c>
      <c r="U499" s="17" t="str">
        <f t="shared" si="2"/>
        <v>Ginza</v>
      </c>
      <c r="V499" s="16" t="s">
        <v>78</v>
      </c>
      <c r="W499" s="15" t="s">
        <v>785</v>
      </c>
      <c r="X499" s="15" t="s">
        <v>138</v>
      </c>
      <c r="Y499" s="16" t="s">
        <v>75</v>
      </c>
      <c r="Z499" s="15" t="s">
        <v>1289</v>
      </c>
      <c r="AA499" s="16" t="s">
        <v>166</v>
      </c>
      <c r="AB499" s="18" t="str">
        <f t="shared" si="13"/>
        <v>Ginza</v>
      </c>
      <c r="AC499" s="19" t="s">
        <v>98</v>
      </c>
      <c r="AD499" s="19" t="s">
        <v>79</v>
      </c>
      <c r="AE499" s="20" t="s">
        <v>140</v>
      </c>
      <c r="AF499" s="19" t="s">
        <v>75</v>
      </c>
      <c r="AG499" s="19" t="s">
        <v>75</v>
      </c>
      <c r="AH499" s="16" t="s">
        <v>86</v>
      </c>
      <c r="AI499" s="18"/>
      <c r="AJ499" s="16" t="s">
        <v>78</v>
      </c>
      <c r="AK499" s="19" t="s">
        <v>79</v>
      </c>
      <c r="AL499" s="20" t="s">
        <v>668</v>
      </c>
      <c r="AM499" s="19" t="s">
        <v>75</v>
      </c>
      <c r="AN499" s="19" t="s">
        <v>75</v>
      </c>
      <c r="AO499" s="19" t="s">
        <v>99</v>
      </c>
      <c r="AP499" s="18"/>
      <c r="AQ499" s="18"/>
      <c r="AR499" s="18"/>
      <c r="AS499" s="18"/>
      <c r="AT499" s="18"/>
      <c r="AU499" s="18"/>
      <c r="AV499" s="18"/>
      <c r="AW499" s="18"/>
      <c r="AX499" s="13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2"/>
      <c r="BK499" s="12"/>
      <c r="BL499" s="12"/>
      <c r="BM499" s="9"/>
      <c r="BN499" s="9"/>
      <c r="BO499" s="9"/>
      <c r="BP499" s="12"/>
      <c r="BQ499" s="12"/>
      <c r="BR499" s="12"/>
      <c r="BS499" s="12"/>
      <c r="BT499" s="12"/>
      <c r="BU499" s="12"/>
      <c r="BV499" s="12"/>
      <c r="BW499" s="12"/>
      <c r="BX499" s="12"/>
      <c r="BY499" s="9"/>
      <c r="BZ499" s="21"/>
      <c r="CA499" s="21"/>
      <c r="CB499" s="21"/>
      <c r="CC499" s="21"/>
      <c r="CD499" s="21"/>
      <c r="CE499" s="21"/>
      <c r="CF499" s="21"/>
      <c r="CG499" s="21"/>
      <c r="CH499" s="21"/>
      <c r="CI499" s="21"/>
      <c r="CJ499" s="21"/>
    </row>
    <row r="500" spans="1:88" ht="40.5" customHeight="1">
      <c r="A500" s="9">
        <f t="shared" si="10"/>
        <v>498</v>
      </c>
      <c r="B500" s="9" t="str">
        <f t="shared" si="11"/>
        <v xml:space="preserve">MA
</v>
      </c>
      <c r="C500" s="9" t="s">
        <v>1290</v>
      </c>
      <c r="D500" s="9" t="s">
        <v>134</v>
      </c>
      <c r="E500" s="12">
        <v>0</v>
      </c>
      <c r="F500" s="12">
        <v>0</v>
      </c>
      <c r="G500" s="9" t="s">
        <v>89</v>
      </c>
      <c r="H500" s="9" t="s">
        <v>79</v>
      </c>
      <c r="I500" s="10" t="s">
        <v>1291</v>
      </c>
      <c r="J500" s="9" t="s">
        <v>79</v>
      </c>
      <c r="K500" s="11" t="s">
        <v>1292</v>
      </c>
      <c r="L500" s="12"/>
      <c r="M500" s="12"/>
      <c r="N500" s="13"/>
      <c r="O500" s="16" t="s">
        <v>78</v>
      </c>
      <c r="P500" s="23" t="s">
        <v>792</v>
      </c>
      <c r="Q500" s="15" t="s">
        <v>139</v>
      </c>
      <c r="R500" s="14" t="s">
        <v>75</v>
      </c>
      <c r="S500" s="23" t="s">
        <v>1293</v>
      </c>
      <c r="T500" s="16" t="s">
        <v>166</v>
      </c>
      <c r="U500" s="17" t="str">
        <f t="shared" si="2"/>
        <v>Roleta Megaplast</v>
      </c>
      <c r="V500" s="16" t="s">
        <v>78</v>
      </c>
      <c r="W500" s="15" t="s">
        <v>785</v>
      </c>
      <c r="X500" s="15" t="s">
        <v>138</v>
      </c>
      <c r="Y500" s="16" t="s">
        <v>75</v>
      </c>
      <c r="Z500" s="16" t="s">
        <v>75</v>
      </c>
      <c r="AA500" s="16" t="s">
        <v>145</v>
      </c>
      <c r="AB500" s="18" t="str">
        <f t="shared" si="13"/>
        <v>Roleta Megaplast</v>
      </c>
      <c r="AC500" s="19" t="s">
        <v>7</v>
      </c>
      <c r="AD500" s="19" t="s">
        <v>79</v>
      </c>
      <c r="AE500" s="20" t="s">
        <v>140</v>
      </c>
      <c r="AF500" s="19" t="s">
        <v>75</v>
      </c>
      <c r="AG500" s="19" t="s">
        <v>75</v>
      </c>
      <c r="AH500" s="16" t="s">
        <v>86</v>
      </c>
      <c r="AI500" s="18"/>
      <c r="AJ500" s="16" t="s">
        <v>78</v>
      </c>
      <c r="AK500" s="19" t="s">
        <v>79</v>
      </c>
      <c r="AL500" s="20" t="s">
        <v>668</v>
      </c>
      <c r="AM500" s="19" t="s">
        <v>75</v>
      </c>
      <c r="AN500" s="19" t="s">
        <v>75</v>
      </c>
      <c r="AO500" s="19" t="s">
        <v>166</v>
      </c>
      <c r="AP500" s="18"/>
      <c r="AQ500" s="18"/>
      <c r="AR500" s="18"/>
      <c r="AS500" s="18"/>
      <c r="AT500" s="18"/>
      <c r="AU500" s="18"/>
      <c r="AV500" s="18"/>
      <c r="AW500" s="18"/>
      <c r="AX500" s="13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2"/>
      <c r="BK500" s="12"/>
      <c r="BL500" s="12"/>
      <c r="BM500" s="9"/>
      <c r="BN500" s="9"/>
      <c r="BO500" s="9"/>
      <c r="BP500" s="12"/>
      <c r="BQ500" s="12"/>
      <c r="BR500" s="12"/>
      <c r="BS500" s="12"/>
      <c r="BT500" s="12"/>
      <c r="BU500" s="12"/>
      <c r="BV500" s="12"/>
      <c r="BW500" s="12"/>
      <c r="BX500" s="12"/>
      <c r="BY500" s="9"/>
      <c r="BZ500" s="21"/>
      <c r="CA500" s="21"/>
      <c r="CB500" s="21"/>
      <c r="CC500" s="21"/>
      <c r="CD500" s="21"/>
      <c r="CE500" s="21"/>
      <c r="CF500" s="21"/>
      <c r="CG500" s="21"/>
      <c r="CH500" s="21"/>
      <c r="CI500" s="21"/>
      <c r="CJ500" s="21"/>
    </row>
    <row r="501" spans="1:88" ht="40.5" customHeight="1">
      <c r="A501" s="9">
        <f t="shared" si="10"/>
        <v>499</v>
      </c>
      <c r="B501" s="9" t="str">
        <f t="shared" si="11"/>
        <v xml:space="preserve">MA
</v>
      </c>
      <c r="C501" s="9" t="s">
        <v>1294</v>
      </c>
      <c r="D501" s="9" t="s">
        <v>134</v>
      </c>
      <c r="E501" s="12">
        <v>0</v>
      </c>
      <c r="F501" s="12">
        <v>0</v>
      </c>
      <c r="G501" s="9" t="s">
        <v>89</v>
      </c>
      <c r="H501" s="9" t="s">
        <v>75</v>
      </c>
      <c r="I501" s="9" t="s">
        <v>1295</v>
      </c>
      <c r="J501" s="9" t="s">
        <v>75</v>
      </c>
      <c r="K501" s="11" t="s">
        <v>1296</v>
      </c>
      <c r="L501" s="12"/>
      <c r="M501" s="12"/>
      <c r="N501" s="13"/>
      <c r="O501" s="16" t="s">
        <v>78</v>
      </c>
      <c r="P501" s="23" t="s">
        <v>792</v>
      </c>
      <c r="Q501" s="15" t="s">
        <v>139</v>
      </c>
      <c r="R501" s="14" t="s">
        <v>75</v>
      </c>
      <c r="S501" s="14" t="s">
        <v>75</v>
      </c>
      <c r="T501" s="16" t="s">
        <v>145</v>
      </c>
      <c r="U501" s="17" t="str">
        <f t="shared" si="2"/>
        <v xml:space="preserve">Lesna
</v>
      </c>
      <c r="V501" s="16" t="s">
        <v>78</v>
      </c>
      <c r="W501" s="15" t="s">
        <v>785</v>
      </c>
      <c r="X501" s="15" t="s">
        <v>138</v>
      </c>
      <c r="Y501" s="16" t="s">
        <v>75</v>
      </c>
      <c r="Z501" s="16" t="s">
        <v>75</v>
      </c>
      <c r="AA501" s="16" t="s">
        <v>145</v>
      </c>
      <c r="AB501" s="18" t="str">
        <f t="shared" si="13"/>
        <v xml:space="preserve">Lesna
</v>
      </c>
      <c r="AC501" s="19" t="s">
        <v>7</v>
      </c>
      <c r="AD501" s="19" t="s">
        <v>79</v>
      </c>
      <c r="AE501" s="20" t="s">
        <v>140</v>
      </c>
      <c r="AF501" s="19" t="s">
        <v>75</v>
      </c>
      <c r="AG501" s="19" t="s">
        <v>75</v>
      </c>
      <c r="AH501" s="16" t="s">
        <v>86</v>
      </c>
      <c r="AI501" s="18"/>
      <c r="AJ501" s="13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3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2"/>
      <c r="BK501" s="12"/>
      <c r="BL501" s="12"/>
      <c r="BM501" s="9"/>
      <c r="BN501" s="9"/>
      <c r="BO501" s="9"/>
      <c r="BP501" s="12"/>
      <c r="BQ501" s="12"/>
      <c r="BR501" s="12"/>
      <c r="BS501" s="12"/>
      <c r="BT501" s="12"/>
      <c r="BU501" s="12"/>
      <c r="BV501" s="12"/>
      <c r="BW501" s="12"/>
      <c r="BX501" s="12"/>
      <c r="BY501" s="9"/>
      <c r="BZ501" s="21"/>
      <c r="CA501" s="21"/>
      <c r="CB501" s="21"/>
      <c r="CC501" s="21"/>
      <c r="CD501" s="21"/>
      <c r="CE501" s="21"/>
      <c r="CF501" s="21"/>
      <c r="CG501" s="21"/>
      <c r="CH501" s="21"/>
      <c r="CI501" s="21"/>
      <c r="CJ501" s="21"/>
    </row>
    <row r="502" spans="1:88" ht="40.5" customHeight="1">
      <c r="A502" s="9" t="str">
        <f t="shared" si="10"/>
        <v/>
      </c>
      <c r="B502" s="9" t="str">
        <f t="shared" si="11"/>
        <v/>
      </c>
      <c r="C502" s="9" t="s">
        <v>75</v>
      </c>
      <c r="D502" s="9" t="s">
        <v>75</v>
      </c>
      <c r="E502" s="12">
        <v>0</v>
      </c>
      <c r="F502" s="12">
        <v>0</v>
      </c>
      <c r="G502" s="9" t="s">
        <v>89</v>
      </c>
      <c r="H502" s="9" t="s">
        <v>79</v>
      </c>
      <c r="I502" s="9" t="s">
        <v>75</v>
      </c>
      <c r="J502" s="9" t="s">
        <v>75</v>
      </c>
      <c r="K502" s="9" t="s">
        <v>79</v>
      </c>
      <c r="L502" s="12"/>
      <c r="M502" s="12"/>
      <c r="N502" s="13"/>
      <c r="O502" s="13"/>
      <c r="P502" s="17"/>
      <c r="Q502" s="13"/>
      <c r="R502" s="17"/>
      <c r="S502" s="17"/>
      <c r="T502" s="13"/>
      <c r="U502" s="17" t="str">
        <f t="shared" si="2"/>
        <v/>
      </c>
      <c r="V502" s="13"/>
      <c r="W502" s="13"/>
      <c r="X502" s="13"/>
      <c r="Y502" s="13"/>
      <c r="Z502" s="13"/>
      <c r="AA502" s="13"/>
      <c r="AB502" s="18" t="str">
        <f t="shared" si="13"/>
        <v/>
      </c>
      <c r="AC502" s="18"/>
      <c r="AD502" s="18"/>
      <c r="AE502" s="18"/>
      <c r="AF502" s="18"/>
      <c r="AG502" s="18"/>
      <c r="AH502" s="13"/>
      <c r="AI502" s="18"/>
      <c r="AJ502" s="13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3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2"/>
      <c r="BK502" s="12"/>
      <c r="BL502" s="12"/>
      <c r="BM502" s="9"/>
      <c r="BN502" s="9"/>
      <c r="BO502" s="9"/>
      <c r="BP502" s="12"/>
      <c r="BQ502" s="12"/>
      <c r="BR502" s="12"/>
      <c r="BS502" s="12"/>
      <c r="BT502" s="12"/>
      <c r="BU502" s="12"/>
      <c r="BV502" s="12"/>
      <c r="BW502" s="12"/>
      <c r="BX502" s="12"/>
      <c r="BY502" s="9"/>
      <c r="BZ502" s="21"/>
      <c r="CA502" s="21"/>
      <c r="CB502" s="21"/>
      <c r="CC502" s="21"/>
      <c r="CD502" s="21"/>
      <c r="CE502" s="21"/>
      <c r="CF502" s="21"/>
      <c r="CG502" s="21"/>
      <c r="CH502" s="21"/>
      <c r="CI502" s="21"/>
      <c r="CJ502" s="21"/>
    </row>
    <row r="503" spans="1:88" ht="40.5" customHeight="1">
      <c r="A503" s="9">
        <f t="shared" si="10"/>
        <v>501</v>
      </c>
      <c r="B503" s="9" t="str">
        <f t="shared" si="11"/>
        <v xml:space="preserve">MA
</v>
      </c>
      <c r="C503" s="28" t="s">
        <v>1297</v>
      </c>
      <c r="D503" s="9" t="s">
        <v>1298</v>
      </c>
      <c r="E503" s="12">
        <v>0</v>
      </c>
      <c r="F503" s="12">
        <v>0</v>
      </c>
      <c r="G503" s="9" t="s">
        <v>89</v>
      </c>
      <c r="H503" s="9" t="s">
        <v>79</v>
      </c>
      <c r="I503" s="10" t="s">
        <v>1299</v>
      </c>
      <c r="J503" s="28" t="s">
        <v>1300</v>
      </c>
      <c r="K503" s="9" t="s">
        <v>79</v>
      </c>
      <c r="L503" s="12"/>
      <c r="M503" s="12"/>
      <c r="N503" s="13"/>
      <c r="O503" s="16" t="s">
        <v>78</v>
      </c>
      <c r="P503" s="23" t="s">
        <v>785</v>
      </c>
      <c r="Q503" s="15" t="s">
        <v>1301</v>
      </c>
      <c r="R503" s="14" t="s">
        <v>75</v>
      </c>
      <c r="S503" s="14" t="s">
        <v>75</v>
      </c>
      <c r="T503" s="16" t="s">
        <v>101</v>
      </c>
      <c r="U503" s="17" t="str">
        <f t="shared" si="2"/>
        <v>القارات للالمنيوم</v>
      </c>
      <c r="V503" s="13"/>
      <c r="W503" s="13"/>
      <c r="X503" s="13"/>
      <c r="Y503" s="13"/>
      <c r="Z503" s="13"/>
      <c r="AA503" s="13"/>
      <c r="AB503" s="18" t="str">
        <f t="shared" si="13"/>
        <v>القارات للالمنيوم</v>
      </c>
      <c r="AC503" s="18"/>
      <c r="AD503" s="18"/>
      <c r="AE503" s="18"/>
      <c r="AF503" s="18"/>
      <c r="AG503" s="18"/>
      <c r="AH503" s="13"/>
      <c r="AI503" s="18"/>
      <c r="AJ503" s="13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3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2"/>
      <c r="BK503" s="12"/>
      <c r="BL503" s="12"/>
      <c r="BM503" s="9"/>
      <c r="BN503" s="9"/>
      <c r="BO503" s="9"/>
      <c r="BP503" s="12"/>
      <c r="BQ503" s="12"/>
      <c r="BR503" s="12"/>
      <c r="BS503" s="12"/>
      <c r="BT503" s="12"/>
      <c r="BU503" s="12"/>
      <c r="BV503" s="12"/>
      <c r="BW503" s="12"/>
      <c r="BX503" s="12"/>
      <c r="BY503" s="9"/>
      <c r="BZ503" s="21"/>
      <c r="CA503" s="21"/>
      <c r="CB503" s="21"/>
      <c r="CC503" s="21"/>
      <c r="CD503" s="21"/>
      <c r="CE503" s="21"/>
      <c r="CF503" s="21"/>
      <c r="CG503" s="21"/>
      <c r="CH503" s="21"/>
      <c r="CI503" s="21"/>
      <c r="CJ503" s="21"/>
    </row>
    <row r="504" spans="1:88" ht="40.5" customHeight="1">
      <c r="A504" s="9">
        <f t="shared" si="10"/>
        <v>502</v>
      </c>
      <c r="B504" s="9" t="str">
        <f t="shared" si="11"/>
        <v xml:space="preserve">MA
</v>
      </c>
      <c r="C504" s="28" t="s">
        <v>1302</v>
      </c>
      <c r="D504" s="9" t="s">
        <v>1298</v>
      </c>
      <c r="E504" s="12">
        <v>0</v>
      </c>
      <c r="F504" s="12">
        <v>0</v>
      </c>
      <c r="G504" s="9" t="s">
        <v>89</v>
      </c>
      <c r="H504" s="9" t="s">
        <v>79</v>
      </c>
      <c r="I504" s="10" t="s">
        <v>1303</v>
      </c>
      <c r="J504" s="28" t="s">
        <v>1304</v>
      </c>
      <c r="K504" s="9" t="s">
        <v>75</v>
      </c>
      <c r="L504" s="12"/>
      <c r="M504" s="12"/>
      <c r="N504" s="13"/>
      <c r="O504" s="16" t="s">
        <v>78</v>
      </c>
      <c r="P504" s="23" t="s">
        <v>785</v>
      </c>
      <c r="Q504" s="15" t="s">
        <v>1301</v>
      </c>
      <c r="R504" s="14" t="s">
        <v>75</v>
      </c>
      <c r="S504" s="14" t="s">
        <v>75</v>
      </c>
      <c r="T504" s="16" t="s">
        <v>101</v>
      </c>
      <c r="U504" s="17" t="str">
        <f t="shared" si="2"/>
        <v>زووم للديكور والالمنيوم</v>
      </c>
      <c r="V504" s="13"/>
      <c r="W504" s="13"/>
      <c r="X504" s="13"/>
      <c r="Y504" s="13"/>
      <c r="Z504" s="13"/>
      <c r="AA504" s="13"/>
      <c r="AB504" s="18" t="str">
        <f t="shared" si="13"/>
        <v>زووم للديكور والالمنيوم</v>
      </c>
      <c r="AC504" s="18"/>
      <c r="AD504" s="18"/>
      <c r="AE504" s="18"/>
      <c r="AF504" s="18"/>
      <c r="AG504" s="18"/>
      <c r="AH504" s="13"/>
      <c r="AI504" s="18"/>
      <c r="AJ504" s="13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3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2"/>
      <c r="BK504" s="12"/>
      <c r="BL504" s="12"/>
      <c r="BM504" s="9"/>
      <c r="BN504" s="9"/>
      <c r="BO504" s="9"/>
      <c r="BP504" s="12"/>
      <c r="BQ504" s="12"/>
      <c r="BR504" s="12"/>
      <c r="BS504" s="12"/>
      <c r="BT504" s="12"/>
      <c r="BU504" s="12"/>
      <c r="BV504" s="12"/>
      <c r="BW504" s="12"/>
      <c r="BX504" s="12"/>
      <c r="BY504" s="9"/>
      <c r="BZ504" s="21"/>
      <c r="CA504" s="21"/>
      <c r="CB504" s="21"/>
      <c r="CC504" s="21"/>
      <c r="CD504" s="21"/>
      <c r="CE504" s="21"/>
      <c r="CF504" s="21"/>
      <c r="CG504" s="21"/>
      <c r="CH504" s="21"/>
      <c r="CI504" s="21"/>
      <c r="CJ504" s="21"/>
    </row>
    <row r="505" spans="1:88" ht="40.5" customHeight="1">
      <c r="A505" s="9">
        <f t="shared" si="10"/>
        <v>503</v>
      </c>
      <c r="B505" s="9" t="str">
        <f t="shared" si="11"/>
        <v xml:space="preserve">MA
</v>
      </c>
      <c r="C505" s="9" t="s">
        <v>1305</v>
      </c>
      <c r="D505" s="9" t="s">
        <v>1298</v>
      </c>
      <c r="E505" s="12">
        <v>0</v>
      </c>
      <c r="F505" s="12">
        <v>0</v>
      </c>
      <c r="G505" s="9" t="s">
        <v>89</v>
      </c>
      <c r="H505" s="9" t="s">
        <v>75</v>
      </c>
      <c r="I505" s="9" t="s">
        <v>1306</v>
      </c>
      <c r="J505" s="28" t="s">
        <v>1307</v>
      </c>
      <c r="K505" s="9" t="s">
        <v>79</v>
      </c>
      <c r="L505" s="12"/>
      <c r="M505" s="12"/>
      <c r="N505" s="13"/>
      <c r="O505" s="16" t="s">
        <v>78</v>
      </c>
      <c r="P505" s="23" t="s">
        <v>785</v>
      </c>
      <c r="Q505" s="15" t="s">
        <v>1301</v>
      </c>
      <c r="R505" s="14" t="s">
        <v>75</v>
      </c>
      <c r="S505" s="14" t="s">
        <v>75</v>
      </c>
      <c r="T505" s="16" t="s">
        <v>86</v>
      </c>
      <c r="U505" s="17" t="str">
        <f t="shared" si="2"/>
        <v xml:space="preserve"> Max Group</v>
      </c>
      <c r="V505" s="13"/>
      <c r="W505" s="13"/>
      <c r="X505" s="13"/>
      <c r="Y505" s="13"/>
      <c r="Z505" s="13"/>
      <c r="AA505" s="13"/>
      <c r="AB505" s="18" t="str">
        <f t="shared" si="13"/>
        <v xml:space="preserve"> Max Group</v>
      </c>
      <c r="AC505" s="18"/>
      <c r="AD505" s="18"/>
      <c r="AE505" s="18"/>
      <c r="AF505" s="18"/>
      <c r="AG505" s="18"/>
      <c r="AH505" s="13"/>
      <c r="AI505" s="18"/>
      <c r="AJ505" s="13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3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2"/>
      <c r="BK505" s="12"/>
      <c r="BL505" s="12"/>
      <c r="BM505" s="9"/>
      <c r="BN505" s="9"/>
      <c r="BO505" s="9"/>
      <c r="BP505" s="12"/>
      <c r="BQ505" s="12"/>
      <c r="BR505" s="12"/>
      <c r="BS505" s="12"/>
      <c r="BT505" s="12"/>
      <c r="BU505" s="12"/>
      <c r="BV505" s="12"/>
      <c r="BW505" s="12"/>
      <c r="BX505" s="12"/>
      <c r="BY505" s="9"/>
      <c r="BZ505" s="21"/>
      <c r="CA505" s="21"/>
      <c r="CB505" s="21"/>
      <c r="CC505" s="21"/>
      <c r="CD505" s="21"/>
      <c r="CE505" s="21"/>
      <c r="CF505" s="21"/>
      <c r="CG505" s="21"/>
      <c r="CH505" s="21"/>
      <c r="CI505" s="21"/>
      <c r="CJ505" s="21"/>
    </row>
    <row r="506" spans="1:88" ht="40.5" customHeight="1">
      <c r="A506" s="9">
        <f t="shared" si="10"/>
        <v>504</v>
      </c>
      <c r="B506" s="9" t="str">
        <f t="shared" si="11"/>
        <v xml:space="preserve">MA
</v>
      </c>
      <c r="C506" s="28" t="s">
        <v>1308</v>
      </c>
      <c r="D506" s="9" t="s">
        <v>1298</v>
      </c>
      <c r="E506" s="12">
        <v>0</v>
      </c>
      <c r="F506" s="12">
        <v>0</v>
      </c>
      <c r="G506" s="9" t="s">
        <v>89</v>
      </c>
      <c r="H506" s="9" t="s">
        <v>75</v>
      </c>
      <c r="I506" s="9" t="s">
        <v>1309</v>
      </c>
      <c r="J506" s="28" t="s">
        <v>1310</v>
      </c>
      <c r="K506" s="9" t="s">
        <v>79</v>
      </c>
      <c r="L506" s="12"/>
      <c r="M506" s="12"/>
      <c r="N506" s="13"/>
      <c r="O506" s="16" t="s">
        <v>78</v>
      </c>
      <c r="P506" s="23" t="s">
        <v>785</v>
      </c>
      <c r="Q506" s="15" t="s">
        <v>1301</v>
      </c>
      <c r="R506" s="14" t="s">
        <v>75</v>
      </c>
      <c r="S506" s="14" t="s">
        <v>75</v>
      </c>
      <c r="T506" s="16" t="s">
        <v>101</v>
      </c>
      <c r="U506" s="17" t="str">
        <f t="shared" si="2"/>
        <v xml:space="preserve">  شركة لمسات لتجارة الالمنيوم التركي /Lamasat Aluminum</v>
      </c>
      <c r="V506" s="13"/>
      <c r="W506" s="13"/>
      <c r="X506" s="13"/>
      <c r="Y506" s="13"/>
      <c r="Z506" s="13"/>
      <c r="AA506" s="13"/>
      <c r="AB506" s="18" t="str">
        <f t="shared" si="13"/>
        <v xml:space="preserve">  شركة لمسات لتجارة الالمنيوم التركي /Lamasat Aluminum</v>
      </c>
      <c r="AC506" s="18"/>
      <c r="AD506" s="18"/>
      <c r="AE506" s="18"/>
      <c r="AF506" s="18"/>
      <c r="AG506" s="18"/>
      <c r="AH506" s="13"/>
      <c r="AI506" s="18"/>
      <c r="AJ506" s="13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3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2"/>
      <c r="BK506" s="12"/>
      <c r="BL506" s="12"/>
      <c r="BM506" s="9"/>
      <c r="BN506" s="9"/>
      <c r="BO506" s="9"/>
      <c r="BP506" s="12"/>
      <c r="BQ506" s="12"/>
      <c r="BR506" s="12"/>
      <c r="BS506" s="12"/>
      <c r="BT506" s="12"/>
      <c r="BU506" s="12"/>
      <c r="BV506" s="12"/>
      <c r="BW506" s="12"/>
      <c r="BX506" s="12"/>
      <c r="BY506" s="9"/>
      <c r="BZ506" s="21"/>
      <c r="CA506" s="21"/>
      <c r="CB506" s="21"/>
      <c r="CC506" s="21"/>
      <c r="CD506" s="21"/>
      <c r="CE506" s="21"/>
      <c r="CF506" s="21"/>
      <c r="CG506" s="21"/>
      <c r="CH506" s="21"/>
      <c r="CI506" s="21"/>
      <c r="CJ506" s="21"/>
    </row>
    <row r="507" spans="1:88" ht="40.5" customHeight="1">
      <c r="A507" s="9">
        <f t="shared" si="10"/>
        <v>505</v>
      </c>
      <c r="B507" s="9" t="str">
        <f t="shared" si="11"/>
        <v xml:space="preserve">MA
</v>
      </c>
      <c r="C507" s="28" t="s">
        <v>1311</v>
      </c>
      <c r="D507" s="9" t="s">
        <v>1298</v>
      </c>
      <c r="E507" s="12">
        <v>0</v>
      </c>
      <c r="F507" s="12">
        <v>0</v>
      </c>
      <c r="G507" s="9" t="s">
        <v>89</v>
      </c>
      <c r="H507" s="9" t="s">
        <v>75</v>
      </c>
      <c r="I507" s="9" t="s">
        <v>1312</v>
      </c>
      <c r="J507" s="28" t="s">
        <v>1313</v>
      </c>
      <c r="K507" s="9" t="s">
        <v>79</v>
      </c>
      <c r="L507" s="12"/>
      <c r="M507" s="12"/>
      <c r="N507" s="13"/>
      <c r="O507" s="16" t="s">
        <v>78</v>
      </c>
      <c r="P507" s="23" t="s">
        <v>785</v>
      </c>
      <c r="Q507" s="15" t="s">
        <v>1301</v>
      </c>
      <c r="R507" s="14" t="s">
        <v>75</v>
      </c>
      <c r="S507" s="14" t="s">
        <v>75</v>
      </c>
      <c r="T507" s="16" t="s">
        <v>101</v>
      </c>
      <c r="U507" s="17" t="str">
        <f t="shared" si="2"/>
        <v xml:space="preserve"> شركة اللامي للالمنيوم</v>
      </c>
      <c r="V507" s="13"/>
      <c r="W507" s="13"/>
      <c r="X507" s="13"/>
      <c r="Y507" s="13"/>
      <c r="Z507" s="13"/>
      <c r="AA507" s="13"/>
      <c r="AB507" s="18" t="str">
        <f t="shared" si="13"/>
        <v xml:space="preserve"> شركة اللامي للالمنيوم</v>
      </c>
      <c r="AC507" s="18"/>
      <c r="AD507" s="18"/>
      <c r="AE507" s="18"/>
      <c r="AF507" s="18"/>
      <c r="AG507" s="18"/>
      <c r="AH507" s="13"/>
      <c r="AI507" s="18"/>
      <c r="AJ507" s="13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3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2"/>
      <c r="BK507" s="12"/>
      <c r="BL507" s="12"/>
      <c r="BM507" s="9"/>
      <c r="BN507" s="9"/>
      <c r="BO507" s="9"/>
      <c r="BP507" s="12"/>
      <c r="BQ507" s="12"/>
      <c r="BR507" s="12"/>
      <c r="BS507" s="12"/>
      <c r="BT507" s="12"/>
      <c r="BU507" s="12"/>
      <c r="BV507" s="12"/>
      <c r="BW507" s="12"/>
      <c r="BX507" s="12"/>
      <c r="BY507" s="9"/>
      <c r="BZ507" s="21"/>
      <c r="CA507" s="21"/>
      <c r="CB507" s="21"/>
      <c r="CC507" s="21"/>
      <c r="CD507" s="21"/>
      <c r="CE507" s="21"/>
      <c r="CF507" s="21"/>
      <c r="CG507" s="21"/>
      <c r="CH507" s="21"/>
      <c r="CI507" s="21"/>
      <c r="CJ507" s="21"/>
    </row>
    <row r="508" spans="1:88" ht="40.5" customHeight="1">
      <c r="A508" s="9">
        <f t="shared" si="10"/>
        <v>506</v>
      </c>
      <c r="B508" s="9" t="str">
        <f t="shared" si="11"/>
        <v xml:space="preserve">MA
</v>
      </c>
      <c r="C508" s="28" t="s">
        <v>1314</v>
      </c>
      <c r="D508" s="9" t="s">
        <v>1298</v>
      </c>
      <c r="E508" s="12">
        <v>0</v>
      </c>
      <c r="F508" s="12">
        <v>0</v>
      </c>
      <c r="G508" s="9" t="s">
        <v>89</v>
      </c>
      <c r="H508" s="9" t="s">
        <v>75</v>
      </c>
      <c r="I508" s="9" t="s">
        <v>1315</v>
      </c>
      <c r="J508" s="28" t="s">
        <v>1316</v>
      </c>
      <c r="K508" s="9" t="s">
        <v>79</v>
      </c>
      <c r="L508" s="12"/>
      <c r="M508" s="12"/>
      <c r="N508" s="13"/>
      <c r="O508" s="16" t="s">
        <v>78</v>
      </c>
      <c r="P508" s="23" t="s">
        <v>785</v>
      </c>
      <c r="Q508" s="15" t="s">
        <v>1301</v>
      </c>
      <c r="R508" s="14" t="s">
        <v>75</v>
      </c>
      <c r="S508" s="14" t="s">
        <v>75</v>
      </c>
      <c r="T508" s="16" t="s">
        <v>101</v>
      </c>
      <c r="U508" s="17" t="str">
        <f t="shared" si="2"/>
        <v>  البصمة لتجارة الألمنيوم</v>
      </c>
      <c r="V508" s="13"/>
      <c r="W508" s="13"/>
      <c r="X508" s="13"/>
      <c r="Y508" s="13"/>
      <c r="Z508" s="13"/>
      <c r="AA508" s="13"/>
      <c r="AB508" s="18" t="str">
        <f t="shared" si="13"/>
        <v>  البصمة لتجارة الألمنيوم</v>
      </c>
      <c r="AC508" s="18"/>
      <c r="AD508" s="18"/>
      <c r="AE508" s="18"/>
      <c r="AF508" s="18"/>
      <c r="AG508" s="18"/>
      <c r="AH508" s="13"/>
      <c r="AI508" s="18"/>
      <c r="AJ508" s="13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3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2"/>
      <c r="BK508" s="12"/>
      <c r="BL508" s="12"/>
      <c r="BM508" s="9"/>
      <c r="BN508" s="9"/>
      <c r="BO508" s="9"/>
      <c r="BP508" s="12"/>
      <c r="BQ508" s="12"/>
      <c r="BR508" s="12"/>
      <c r="BS508" s="12"/>
      <c r="BT508" s="12"/>
      <c r="BU508" s="12"/>
      <c r="BV508" s="12"/>
      <c r="BW508" s="12"/>
      <c r="BX508" s="12"/>
      <c r="BY508" s="9"/>
      <c r="BZ508" s="21"/>
      <c r="CA508" s="21"/>
      <c r="CB508" s="21"/>
      <c r="CC508" s="21"/>
      <c r="CD508" s="21"/>
      <c r="CE508" s="21"/>
      <c r="CF508" s="21"/>
      <c r="CG508" s="21"/>
      <c r="CH508" s="21"/>
      <c r="CI508" s="21"/>
      <c r="CJ508" s="21"/>
    </row>
    <row r="509" spans="1:88" ht="40.5" customHeight="1">
      <c r="A509" s="9">
        <f t="shared" si="10"/>
        <v>507</v>
      </c>
      <c r="B509" s="9" t="str">
        <f t="shared" si="11"/>
        <v xml:space="preserve">MA
</v>
      </c>
      <c r="C509" s="28" t="s">
        <v>1317</v>
      </c>
      <c r="D509" s="9" t="s">
        <v>1298</v>
      </c>
      <c r="E509" s="12">
        <v>0</v>
      </c>
      <c r="F509" s="12">
        <v>0</v>
      </c>
      <c r="G509" s="9" t="s">
        <v>89</v>
      </c>
      <c r="H509" s="9" t="s">
        <v>79</v>
      </c>
      <c r="I509" s="10" t="s">
        <v>1318</v>
      </c>
      <c r="J509" s="28" t="s">
        <v>1319</v>
      </c>
      <c r="K509" s="9" t="s">
        <v>1320</v>
      </c>
      <c r="L509" s="12"/>
      <c r="M509" s="12"/>
      <c r="N509" s="13"/>
      <c r="O509" s="16" t="s">
        <v>78</v>
      </c>
      <c r="P509" s="23" t="s">
        <v>785</v>
      </c>
      <c r="Q509" s="15" t="s">
        <v>1301</v>
      </c>
      <c r="R509" s="14" t="s">
        <v>75</v>
      </c>
      <c r="S509" s="14" t="s">
        <v>75</v>
      </c>
      <c r="T509" s="16" t="s">
        <v>101</v>
      </c>
      <c r="U509" s="17"/>
      <c r="V509" s="13"/>
      <c r="W509" s="13"/>
      <c r="X509" s="13"/>
      <c r="Y509" s="13"/>
      <c r="Z509" s="13"/>
      <c r="AA509" s="13"/>
      <c r="AB509" s="18" t="str">
        <f t="shared" si="13"/>
        <v>معمل التقوى للألمنيوم و pvc</v>
      </c>
      <c r="AC509" s="18"/>
      <c r="AD509" s="18"/>
      <c r="AE509" s="18"/>
      <c r="AF509" s="18"/>
      <c r="AG509" s="18"/>
      <c r="AH509" s="13"/>
      <c r="AI509" s="18"/>
      <c r="AJ509" s="13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3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2"/>
      <c r="BK509" s="12"/>
      <c r="BL509" s="12"/>
      <c r="BM509" s="9"/>
      <c r="BN509" s="9"/>
      <c r="BO509" s="9"/>
      <c r="BP509" s="12"/>
      <c r="BQ509" s="12"/>
      <c r="BR509" s="12"/>
      <c r="BS509" s="12"/>
      <c r="BT509" s="12"/>
      <c r="BU509" s="12"/>
      <c r="BV509" s="12"/>
      <c r="BW509" s="12"/>
      <c r="BX509" s="12"/>
      <c r="BY509" s="9"/>
      <c r="BZ509" s="21"/>
      <c r="CA509" s="21"/>
      <c r="CB509" s="21"/>
      <c r="CC509" s="21"/>
      <c r="CD509" s="21"/>
      <c r="CE509" s="21"/>
      <c r="CF509" s="21"/>
      <c r="CG509" s="21"/>
      <c r="CH509" s="21"/>
      <c r="CI509" s="21"/>
      <c r="CJ509" s="21"/>
    </row>
    <row r="510" spans="1:88" ht="40.5" customHeight="1">
      <c r="A510" s="9">
        <f t="shared" si="10"/>
        <v>508</v>
      </c>
      <c r="B510" s="9" t="str">
        <f t="shared" si="11"/>
        <v xml:space="preserve">MA
</v>
      </c>
      <c r="C510" s="28" t="s">
        <v>1321</v>
      </c>
      <c r="D510" s="9" t="s">
        <v>1298</v>
      </c>
      <c r="E510" s="12">
        <v>0</v>
      </c>
      <c r="F510" s="12">
        <v>0</v>
      </c>
      <c r="G510" s="9" t="s">
        <v>89</v>
      </c>
      <c r="H510" s="9" t="s">
        <v>75</v>
      </c>
      <c r="I510" s="10" t="s">
        <v>1322</v>
      </c>
      <c r="J510" s="28" t="s">
        <v>1323</v>
      </c>
      <c r="K510" s="9" t="s">
        <v>1320</v>
      </c>
      <c r="L510" s="12"/>
      <c r="M510" s="12"/>
      <c r="N510" s="13"/>
      <c r="O510" s="16" t="s">
        <v>78</v>
      </c>
      <c r="P510" s="23" t="s">
        <v>785</v>
      </c>
      <c r="Q510" s="15" t="s">
        <v>1301</v>
      </c>
      <c r="R510" s="14" t="s">
        <v>75</v>
      </c>
      <c r="S510" s="14" t="s">
        <v>75</v>
      </c>
      <c r="T510" s="16" t="s">
        <v>101</v>
      </c>
      <c r="U510" s="17"/>
      <c r="V510" s="13"/>
      <c r="W510" s="13"/>
      <c r="X510" s="13"/>
      <c r="Y510" s="13"/>
      <c r="Z510" s="13"/>
      <c r="AA510" s="13"/>
      <c r="AB510" s="18" t="str">
        <f t="shared" si="13"/>
        <v xml:space="preserve"> الدلة للالمنيوم</v>
      </c>
      <c r="AC510" s="18"/>
      <c r="AD510" s="18"/>
      <c r="AE510" s="18"/>
      <c r="AF510" s="18"/>
      <c r="AG510" s="18"/>
      <c r="AH510" s="13"/>
      <c r="AI510" s="18"/>
      <c r="AJ510" s="13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3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2"/>
      <c r="BK510" s="12"/>
      <c r="BL510" s="12"/>
      <c r="BM510" s="9"/>
      <c r="BN510" s="9"/>
      <c r="BO510" s="9"/>
      <c r="BP510" s="12"/>
      <c r="BQ510" s="12"/>
      <c r="BR510" s="12"/>
      <c r="BS510" s="12"/>
      <c r="BT510" s="12"/>
      <c r="BU510" s="12"/>
      <c r="BV510" s="12"/>
      <c r="BW510" s="12"/>
      <c r="BX510" s="12"/>
      <c r="BY510" s="9"/>
      <c r="BZ510" s="21"/>
      <c r="CA510" s="21"/>
      <c r="CB510" s="21"/>
      <c r="CC510" s="21"/>
      <c r="CD510" s="21"/>
      <c r="CE510" s="21"/>
      <c r="CF510" s="21"/>
      <c r="CG510" s="21"/>
      <c r="CH510" s="21"/>
      <c r="CI510" s="21"/>
      <c r="CJ510" s="21"/>
    </row>
    <row r="511" spans="1:88" ht="40.5" customHeight="1">
      <c r="A511" s="9">
        <f t="shared" si="10"/>
        <v>509</v>
      </c>
      <c r="B511" s="9" t="str">
        <f t="shared" si="11"/>
        <v xml:space="preserve">MA
</v>
      </c>
      <c r="C511" s="28" t="s">
        <v>1324</v>
      </c>
      <c r="D511" s="9" t="s">
        <v>1298</v>
      </c>
      <c r="E511" s="12">
        <v>0</v>
      </c>
      <c r="F511" s="12">
        <v>0</v>
      </c>
      <c r="G511" s="9" t="s">
        <v>89</v>
      </c>
      <c r="H511" s="9" t="s">
        <v>75</v>
      </c>
      <c r="I511" s="9" t="s">
        <v>1325</v>
      </c>
      <c r="J511" s="28" t="s">
        <v>1326</v>
      </c>
      <c r="K511" s="9" t="s">
        <v>79</v>
      </c>
      <c r="L511" s="12"/>
      <c r="M511" s="12"/>
      <c r="N511" s="13"/>
      <c r="O511" s="16" t="s">
        <v>78</v>
      </c>
      <c r="P511" s="23" t="s">
        <v>785</v>
      </c>
      <c r="Q511" s="15" t="s">
        <v>1301</v>
      </c>
      <c r="R511" s="14" t="s">
        <v>75</v>
      </c>
      <c r="S511" s="14" t="s">
        <v>75</v>
      </c>
      <c r="T511" s="16" t="s">
        <v>101</v>
      </c>
      <c r="U511" s="17"/>
      <c r="V511" s="13"/>
      <c r="W511" s="13"/>
      <c r="X511" s="13"/>
      <c r="Y511" s="13"/>
      <c r="Z511" s="13"/>
      <c r="AA511" s="13"/>
      <c r="AB511" s="18" t="str">
        <f t="shared" si="13"/>
        <v xml:space="preserve">  معمل زانا للالمنيوم</v>
      </c>
      <c r="AC511" s="18"/>
      <c r="AD511" s="18"/>
      <c r="AE511" s="18"/>
      <c r="AF511" s="18"/>
      <c r="AG511" s="18"/>
      <c r="AH511" s="13"/>
      <c r="AI511" s="18"/>
      <c r="AJ511" s="13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3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2"/>
      <c r="BK511" s="12"/>
      <c r="BL511" s="12"/>
      <c r="BM511" s="9"/>
      <c r="BN511" s="9"/>
      <c r="BO511" s="9"/>
      <c r="BP511" s="12"/>
      <c r="BQ511" s="12"/>
      <c r="BR511" s="12"/>
      <c r="BS511" s="12"/>
      <c r="BT511" s="12"/>
      <c r="BU511" s="12"/>
      <c r="BV511" s="12"/>
      <c r="BW511" s="12"/>
      <c r="BX511" s="12"/>
      <c r="BY511" s="9"/>
      <c r="BZ511" s="21"/>
      <c r="CA511" s="21"/>
      <c r="CB511" s="21"/>
      <c r="CC511" s="21"/>
      <c r="CD511" s="21"/>
      <c r="CE511" s="21"/>
      <c r="CF511" s="21"/>
      <c r="CG511" s="21"/>
      <c r="CH511" s="21"/>
      <c r="CI511" s="21"/>
      <c r="CJ511" s="21"/>
    </row>
    <row r="512" spans="1:88" ht="40.5" customHeight="1">
      <c r="A512" s="9">
        <f t="shared" si="10"/>
        <v>510</v>
      </c>
      <c r="B512" s="9" t="str">
        <f t="shared" si="11"/>
        <v xml:space="preserve">MA
</v>
      </c>
      <c r="C512" s="9" t="s">
        <v>1327</v>
      </c>
      <c r="D512" s="9" t="s">
        <v>1298</v>
      </c>
      <c r="E512" s="12">
        <v>0</v>
      </c>
      <c r="F512" s="12">
        <v>0</v>
      </c>
      <c r="G512" s="9" t="s">
        <v>89</v>
      </c>
      <c r="H512" s="9" t="s">
        <v>75</v>
      </c>
      <c r="I512" s="10" t="s">
        <v>1328</v>
      </c>
      <c r="J512" s="9" t="s">
        <v>1329</v>
      </c>
      <c r="K512" s="9" t="s">
        <v>79</v>
      </c>
      <c r="L512" s="12"/>
      <c r="M512" s="12"/>
      <c r="N512" s="13"/>
      <c r="O512" s="16" t="s">
        <v>78</v>
      </c>
      <c r="P512" s="23" t="s">
        <v>785</v>
      </c>
      <c r="Q512" s="15" t="s">
        <v>1301</v>
      </c>
      <c r="R512" s="14" t="s">
        <v>75</v>
      </c>
      <c r="S512" s="14" t="s">
        <v>75</v>
      </c>
      <c r="T512" s="16" t="s">
        <v>101</v>
      </c>
      <c r="U512" s="17"/>
      <c r="V512" s="13"/>
      <c r="W512" s="13"/>
      <c r="X512" s="13"/>
      <c r="Y512" s="13"/>
      <c r="Z512" s="13"/>
      <c r="AA512" s="13"/>
      <c r="AB512" s="18" t="str">
        <f t="shared" si="13"/>
        <v>Dr Karam</v>
      </c>
      <c r="AC512" s="18"/>
      <c r="AD512" s="18"/>
      <c r="AE512" s="18"/>
      <c r="AF512" s="18"/>
      <c r="AG512" s="18"/>
      <c r="AH512" s="13"/>
      <c r="AI512" s="18"/>
      <c r="AJ512" s="13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3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2"/>
      <c r="BK512" s="12"/>
      <c r="BL512" s="12"/>
      <c r="BM512" s="9"/>
      <c r="BN512" s="9"/>
      <c r="BO512" s="9"/>
      <c r="BP512" s="12"/>
      <c r="BQ512" s="12"/>
      <c r="BR512" s="12"/>
      <c r="BS512" s="12"/>
      <c r="BT512" s="12"/>
      <c r="BU512" s="12"/>
      <c r="BV512" s="12"/>
      <c r="BW512" s="12"/>
      <c r="BX512" s="12"/>
      <c r="BY512" s="9"/>
      <c r="BZ512" s="21"/>
      <c r="CA512" s="21"/>
      <c r="CB512" s="21"/>
      <c r="CC512" s="21"/>
      <c r="CD512" s="21"/>
      <c r="CE512" s="21"/>
      <c r="CF512" s="21"/>
      <c r="CG512" s="21"/>
      <c r="CH512" s="21"/>
      <c r="CI512" s="21"/>
      <c r="CJ512" s="21"/>
    </row>
    <row r="513" spans="1:88" ht="40.5" customHeight="1">
      <c r="A513" s="9">
        <f t="shared" si="10"/>
        <v>511</v>
      </c>
      <c r="B513" s="9" t="str">
        <f t="shared" si="11"/>
        <v xml:space="preserve">MA
</v>
      </c>
      <c r="C513" s="28" t="s">
        <v>1330</v>
      </c>
      <c r="D513" s="9" t="s">
        <v>1298</v>
      </c>
      <c r="E513" s="12">
        <v>0</v>
      </c>
      <c r="F513" s="12">
        <v>0</v>
      </c>
      <c r="G513" s="9" t="s">
        <v>89</v>
      </c>
      <c r="H513" s="9" t="s">
        <v>75</v>
      </c>
      <c r="I513" s="9" t="s">
        <v>1331</v>
      </c>
      <c r="J513" s="28" t="s">
        <v>1332</v>
      </c>
      <c r="K513" s="9" t="s">
        <v>79</v>
      </c>
      <c r="L513" s="12"/>
      <c r="M513" s="12"/>
      <c r="N513" s="13"/>
      <c r="O513" s="16" t="s">
        <v>78</v>
      </c>
      <c r="P513" s="23" t="s">
        <v>785</v>
      </c>
      <c r="Q513" s="15" t="s">
        <v>1301</v>
      </c>
      <c r="R513" s="14" t="s">
        <v>75</v>
      </c>
      <c r="S513" s="14" t="s">
        <v>75</v>
      </c>
      <c r="T513" s="16" t="s">
        <v>101</v>
      </c>
      <c r="U513" s="17"/>
      <c r="V513" s="13"/>
      <c r="W513" s="13"/>
      <c r="X513" s="13"/>
      <c r="Y513" s="13"/>
      <c r="Z513" s="13"/>
      <c r="AA513" s="13"/>
      <c r="AB513" s="18" t="str">
        <f t="shared" si="13"/>
        <v>معمل  تقي للالمنيوم والمطابخ</v>
      </c>
      <c r="AC513" s="18"/>
      <c r="AD513" s="18"/>
      <c r="AE513" s="18"/>
      <c r="AF513" s="18"/>
      <c r="AG513" s="18"/>
      <c r="AH513" s="13"/>
      <c r="AI513" s="18"/>
      <c r="AJ513" s="13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3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2"/>
      <c r="BK513" s="12"/>
      <c r="BL513" s="12"/>
      <c r="BM513" s="9"/>
      <c r="BN513" s="9"/>
      <c r="BO513" s="9"/>
      <c r="BP513" s="12"/>
      <c r="BQ513" s="12"/>
      <c r="BR513" s="12"/>
      <c r="BS513" s="12"/>
      <c r="BT513" s="12"/>
      <c r="BU513" s="12"/>
      <c r="BV513" s="12"/>
      <c r="BW513" s="12"/>
      <c r="BX513" s="12"/>
      <c r="BY513" s="9"/>
      <c r="BZ513" s="21"/>
      <c r="CA513" s="21"/>
      <c r="CB513" s="21"/>
      <c r="CC513" s="21"/>
      <c r="CD513" s="21"/>
      <c r="CE513" s="21"/>
      <c r="CF513" s="21"/>
      <c r="CG513" s="21"/>
      <c r="CH513" s="21"/>
      <c r="CI513" s="21"/>
      <c r="CJ513" s="21"/>
    </row>
    <row r="514" spans="1:88" ht="40.5" customHeight="1">
      <c r="A514" s="9">
        <f t="shared" si="10"/>
        <v>512</v>
      </c>
      <c r="B514" s="9" t="str">
        <f t="shared" si="11"/>
        <v xml:space="preserve">MA
</v>
      </c>
      <c r="C514" s="9" t="s">
        <v>1333</v>
      </c>
      <c r="D514" s="9" t="s">
        <v>1298</v>
      </c>
      <c r="E514" s="12">
        <v>0</v>
      </c>
      <c r="F514" s="12">
        <v>0</v>
      </c>
      <c r="G514" s="9" t="s">
        <v>89</v>
      </c>
      <c r="H514" s="9" t="s">
        <v>75</v>
      </c>
      <c r="I514" s="10" t="s">
        <v>1334</v>
      </c>
      <c r="J514" s="28" t="s">
        <v>1335</v>
      </c>
      <c r="K514" s="9" t="s">
        <v>79</v>
      </c>
      <c r="L514" s="12"/>
      <c r="M514" s="12"/>
      <c r="N514" s="13"/>
      <c r="O514" s="16" t="s">
        <v>78</v>
      </c>
      <c r="P514" s="23" t="s">
        <v>785</v>
      </c>
      <c r="Q514" s="15" t="s">
        <v>1301</v>
      </c>
      <c r="R514" s="14" t="s">
        <v>75</v>
      </c>
      <c r="S514" s="14" t="s">
        <v>75</v>
      </c>
      <c r="T514" s="16" t="s">
        <v>101</v>
      </c>
      <c r="U514" s="17"/>
      <c r="V514" s="13"/>
      <c r="W514" s="13"/>
      <c r="X514" s="13"/>
      <c r="Y514" s="13"/>
      <c r="Z514" s="13"/>
      <c r="AA514" s="13"/>
      <c r="AB514" s="18" t="str">
        <f t="shared" si="13"/>
        <v xml:space="preserve">Al-Tasahul Aluminum Workshop </v>
      </c>
      <c r="AC514" s="18"/>
      <c r="AD514" s="18"/>
      <c r="AE514" s="18"/>
      <c r="AF514" s="18"/>
      <c r="AG514" s="18"/>
      <c r="AH514" s="13"/>
      <c r="AI514" s="18"/>
      <c r="AJ514" s="13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3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2"/>
      <c r="BK514" s="12"/>
      <c r="BL514" s="12"/>
      <c r="BM514" s="9"/>
      <c r="BN514" s="9"/>
      <c r="BO514" s="9"/>
      <c r="BP514" s="12"/>
      <c r="BQ514" s="12"/>
      <c r="BR514" s="12"/>
      <c r="BS514" s="12"/>
      <c r="BT514" s="12"/>
      <c r="BU514" s="12"/>
      <c r="BV514" s="12"/>
      <c r="BW514" s="12"/>
      <c r="BX514" s="12"/>
      <c r="BY514" s="9"/>
      <c r="BZ514" s="21"/>
      <c r="CA514" s="21"/>
      <c r="CB514" s="21"/>
      <c r="CC514" s="21"/>
      <c r="CD514" s="21"/>
      <c r="CE514" s="21"/>
      <c r="CF514" s="21"/>
      <c r="CG514" s="21"/>
      <c r="CH514" s="21"/>
      <c r="CI514" s="21"/>
      <c r="CJ514" s="21"/>
    </row>
    <row r="515" spans="1:88" ht="40.5" customHeight="1">
      <c r="A515" s="9">
        <f t="shared" si="10"/>
        <v>513</v>
      </c>
      <c r="B515" s="9" t="str">
        <f t="shared" si="11"/>
        <v xml:space="preserve">MA
</v>
      </c>
      <c r="C515" s="28" t="s">
        <v>1336</v>
      </c>
      <c r="D515" s="9" t="s">
        <v>1298</v>
      </c>
      <c r="E515" s="12">
        <v>0</v>
      </c>
      <c r="F515" s="12">
        <v>0</v>
      </c>
      <c r="G515" s="9" t="s">
        <v>89</v>
      </c>
      <c r="H515" s="9" t="s">
        <v>75</v>
      </c>
      <c r="I515" s="9" t="s">
        <v>1337</v>
      </c>
      <c r="J515" s="28" t="s">
        <v>1323</v>
      </c>
      <c r="K515" s="9" t="s">
        <v>79</v>
      </c>
      <c r="L515" s="12"/>
      <c r="M515" s="12"/>
      <c r="N515" s="13"/>
      <c r="O515" s="16" t="s">
        <v>78</v>
      </c>
      <c r="P515" s="23" t="s">
        <v>785</v>
      </c>
      <c r="Q515" s="15" t="s">
        <v>1301</v>
      </c>
      <c r="R515" s="14" t="s">
        <v>75</v>
      </c>
      <c r="S515" s="14" t="s">
        <v>75</v>
      </c>
      <c r="T515" s="16" t="s">
        <v>101</v>
      </c>
      <c r="U515" s="17"/>
      <c r="V515" s="13"/>
      <c r="W515" s="13"/>
      <c r="X515" s="13"/>
      <c r="Y515" s="13"/>
      <c r="Z515" s="13"/>
      <c r="AA515" s="13"/>
      <c r="AB515" s="18" t="str">
        <f t="shared" si="13"/>
        <v xml:space="preserve">  الولاية للألمنيوم</v>
      </c>
      <c r="AC515" s="18"/>
      <c r="AD515" s="18"/>
      <c r="AE515" s="18"/>
      <c r="AF515" s="18"/>
      <c r="AG515" s="18"/>
      <c r="AH515" s="13"/>
      <c r="AI515" s="18"/>
      <c r="AJ515" s="13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3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2"/>
      <c r="BK515" s="12"/>
      <c r="BL515" s="12"/>
      <c r="BM515" s="9"/>
      <c r="BN515" s="9"/>
      <c r="BO515" s="9"/>
      <c r="BP515" s="12"/>
      <c r="BQ515" s="12"/>
      <c r="BR515" s="12"/>
      <c r="BS515" s="12"/>
      <c r="BT515" s="12"/>
      <c r="BU515" s="12"/>
      <c r="BV515" s="12"/>
      <c r="BW515" s="12"/>
      <c r="BX515" s="12"/>
      <c r="BY515" s="9"/>
      <c r="BZ515" s="21"/>
      <c r="CA515" s="21"/>
      <c r="CB515" s="21"/>
      <c r="CC515" s="21"/>
      <c r="CD515" s="21"/>
      <c r="CE515" s="21"/>
      <c r="CF515" s="21"/>
      <c r="CG515" s="21"/>
      <c r="CH515" s="21"/>
      <c r="CI515" s="21"/>
      <c r="CJ515" s="21"/>
    </row>
    <row r="516" spans="1:88" ht="40.5" customHeight="1">
      <c r="A516" s="9">
        <f t="shared" si="10"/>
        <v>514</v>
      </c>
      <c r="B516" s="9" t="str">
        <f t="shared" si="11"/>
        <v xml:space="preserve">MA
</v>
      </c>
      <c r="C516" s="28" t="s">
        <v>1338</v>
      </c>
      <c r="D516" s="9" t="s">
        <v>1298</v>
      </c>
      <c r="E516" s="12">
        <v>0</v>
      </c>
      <c r="F516" s="12">
        <v>0</v>
      </c>
      <c r="G516" s="9" t="s">
        <v>89</v>
      </c>
      <c r="H516" s="9" t="s">
        <v>75</v>
      </c>
      <c r="I516" s="10" t="s">
        <v>1339</v>
      </c>
      <c r="J516" s="28" t="s">
        <v>1340</v>
      </c>
      <c r="K516" s="9" t="s">
        <v>79</v>
      </c>
      <c r="L516" s="12"/>
      <c r="M516" s="12"/>
      <c r="N516" s="13"/>
      <c r="O516" s="16" t="s">
        <v>78</v>
      </c>
      <c r="P516" s="23" t="s">
        <v>785</v>
      </c>
      <c r="Q516" s="15" t="s">
        <v>1301</v>
      </c>
      <c r="R516" s="14" t="s">
        <v>75</v>
      </c>
      <c r="S516" s="14" t="s">
        <v>75</v>
      </c>
      <c r="T516" s="16" t="s">
        <v>101</v>
      </c>
      <c r="U516" s="17"/>
      <c r="V516" s="13"/>
      <c r="W516" s="13"/>
      <c r="X516" s="13"/>
      <c r="Y516" s="13"/>
      <c r="Z516" s="13"/>
      <c r="AA516" s="13"/>
      <c r="AB516" s="18" t="str">
        <f t="shared" si="13"/>
        <v>ناجي للألمنيوم</v>
      </c>
      <c r="AC516" s="18"/>
      <c r="AD516" s="18"/>
      <c r="AE516" s="18"/>
      <c r="AF516" s="18"/>
      <c r="AG516" s="18"/>
      <c r="AH516" s="13"/>
      <c r="AI516" s="18"/>
      <c r="AJ516" s="13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3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2"/>
      <c r="BK516" s="12"/>
      <c r="BL516" s="12"/>
      <c r="BM516" s="9"/>
      <c r="BN516" s="9"/>
      <c r="BO516" s="9"/>
      <c r="BP516" s="12"/>
      <c r="BQ516" s="12"/>
      <c r="BR516" s="12"/>
      <c r="BS516" s="12"/>
      <c r="BT516" s="12"/>
      <c r="BU516" s="12"/>
      <c r="BV516" s="12"/>
      <c r="BW516" s="12"/>
      <c r="BX516" s="12"/>
      <c r="BY516" s="9"/>
      <c r="BZ516" s="21"/>
      <c r="CA516" s="21"/>
      <c r="CB516" s="21"/>
      <c r="CC516" s="21"/>
      <c r="CD516" s="21"/>
      <c r="CE516" s="21"/>
      <c r="CF516" s="21"/>
      <c r="CG516" s="21"/>
      <c r="CH516" s="21"/>
      <c r="CI516" s="21"/>
      <c r="CJ516" s="21"/>
    </row>
    <row r="517" spans="1:88" ht="40.5" customHeight="1">
      <c r="A517" s="9">
        <f t="shared" si="10"/>
        <v>515</v>
      </c>
      <c r="B517" s="9" t="str">
        <f t="shared" si="11"/>
        <v xml:space="preserve">MA
</v>
      </c>
      <c r="C517" s="28" t="s">
        <v>1341</v>
      </c>
      <c r="D517" s="9" t="s">
        <v>1298</v>
      </c>
      <c r="E517" s="12">
        <v>0</v>
      </c>
      <c r="F517" s="12">
        <v>0</v>
      </c>
      <c r="G517" s="9" t="s">
        <v>89</v>
      </c>
      <c r="H517" s="9" t="s">
        <v>75</v>
      </c>
      <c r="I517" s="9" t="s">
        <v>1342</v>
      </c>
      <c r="J517" s="28" t="s">
        <v>1323</v>
      </c>
      <c r="K517" s="9" t="s">
        <v>79</v>
      </c>
      <c r="L517" s="12"/>
      <c r="M517" s="12"/>
      <c r="N517" s="13"/>
      <c r="O517" s="16" t="s">
        <v>78</v>
      </c>
      <c r="P517" s="23" t="s">
        <v>785</v>
      </c>
      <c r="Q517" s="15" t="s">
        <v>1301</v>
      </c>
      <c r="R517" s="14" t="s">
        <v>75</v>
      </c>
      <c r="S517" s="14" t="s">
        <v>75</v>
      </c>
      <c r="T517" s="16" t="s">
        <v>101</v>
      </c>
      <c r="U517" s="17"/>
      <c r="V517" s="13"/>
      <c r="W517" s="13"/>
      <c r="X517" s="13"/>
      <c r="Y517" s="13"/>
      <c r="Z517" s="13"/>
      <c r="AA517" s="13"/>
      <c r="AB517" s="18" t="str">
        <f t="shared" si="13"/>
        <v xml:space="preserve"> سجاد  العراق للمحجرات</v>
      </c>
      <c r="AC517" s="18"/>
      <c r="AD517" s="18"/>
      <c r="AE517" s="18"/>
      <c r="AF517" s="18"/>
      <c r="AG517" s="18"/>
      <c r="AH517" s="13"/>
      <c r="AI517" s="18"/>
      <c r="AJ517" s="13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3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2"/>
      <c r="BK517" s="12"/>
      <c r="BL517" s="12"/>
      <c r="BM517" s="9"/>
      <c r="BN517" s="9"/>
      <c r="BO517" s="9"/>
      <c r="BP517" s="12"/>
      <c r="BQ517" s="12"/>
      <c r="BR517" s="12"/>
      <c r="BS517" s="12"/>
      <c r="BT517" s="12"/>
      <c r="BU517" s="12"/>
      <c r="BV517" s="12"/>
      <c r="BW517" s="12"/>
      <c r="BX517" s="12"/>
      <c r="BY517" s="9"/>
      <c r="BZ517" s="21"/>
      <c r="CA517" s="21"/>
      <c r="CB517" s="21"/>
      <c r="CC517" s="21"/>
      <c r="CD517" s="21"/>
      <c r="CE517" s="21"/>
      <c r="CF517" s="21"/>
      <c r="CG517" s="21"/>
      <c r="CH517" s="21"/>
      <c r="CI517" s="21"/>
      <c r="CJ517" s="21"/>
    </row>
    <row r="518" spans="1:88" ht="40.5" customHeight="1">
      <c r="A518" s="9">
        <f t="shared" si="10"/>
        <v>516</v>
      </c>
      <c r="B518" s="9" t="str">
        <f t="shared" si="11"/>
        <v xml:space="preserve">MA
</v>
      </c>
      <c r="C518" s="28" t="s">
        <v>1343</v>
      </c>
      <c r="D518" s="9" t="s">
        <v>1298</v>
      </c>
      <c r="E518" s="12">
        <v>0</v>
      </c>
      <c r="F518" s="12">
        <v>0</v>
      </c>
      <c r="G518" s="9" t="s">
        <v>89</v>
      </c>
      <c r="H518" s="9" t="s">
        <v>75</v>
      </c>
      <c r="I518" s="9" t="s">
        <v>1344</v>
      </c>
      <c r="J518" s="28" t="s">
        <v>1345</v>
      </c>
      <c r="K518" s="9" t="s">
        <v>79</v>
      </c>
      <c r="L518" s="12"/>
      <c r="M518" s="12"/>
      <c r="N518" s="13"/>
      <c r="O518" s="16" t="s">
        <v>78</v>
      </c>
      <c r="P518" s="23" t="s">
        <v>785</v>
      </c>
      <c r="Q518" s="15" t="s">
        <v>1301</v>
      </c>
      <c r="R518" s="14" t="s">
        <v>75</v>
      </c>
      <c r="S518" s="14" t="s">
        <v>75</v>
      </c>
      <c r="T518" s="16" t="s">
        <v>101</v>
      </c>
      <c r="U518" s="17"/>
      <c r="V518" s="13"/>
      <c r="W518" s="13"/>
      <c r="X518" s="13"/>
      <c r="Y518" s="13"/>
      <c r="Z518" s="13"/>
      <c r="AA518" s="13"/>
      <c r="AB518" s="18" t="str">
        <f t="shared" si="13"/>
        <v xml:space="preserve"> الريام لمحجرات الالمنيوم</v>
      </c>
      <c r="AC518" s="18"/>
      <c r="AD518" s="18"/>
      <c r="AE518" s="18"/>
      <c r="AF518" s="18"/>
      <c r="AG518" s="18"/>
      <c r="AH518" s="13"/>
      <c r="AI518" s="18"/>
      <c r="AJ518" s="13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3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2"/>
      <c r="BK518" s="12"/>
      <c r="BL518" s="12"/>
      <c r="BM518" s="9"/>
      <c r="BN518" s="9"/>
      <c r="BO518" s="9"/>
      <c r="BP518" s="12"/>
      <c r="BQ518" s="12"/>
      <c r="BR518" s="12"/>
      <c r="BS518" s="12"/>
      <c r="BT518" s="12"/>
      <c r="BU518" s="12"/>
      <c r="BV518" s="12"/>
      <c r="BW518" s="12"/>
      <c r="BX518" s="12"/>
      <c r="BY518" s="9"/>
      <c r="BZ518" s="21"/>
      <c r="CA518" s="21"/>
      <c r="CB518" s="21"/>
      <c r="CC518" s="21"/>
      <c r="CD518" s="21"/>
      <c r="CE518" s="21"/>
      <c r="CF518" s="21"/>
      <c r="CG518" s="21"/>
      <c r="CH518" s="21"/>
      <c r="CI518" s="21"/>
      <c r="CJ518" s="21"/>
    </row>
    <row r="519" spans="1:88" ht="40.5" customHeight="1">
      <c r="A519" s="9">
        <f t="shared" si="10"/>
        <v>517</v>
      </c>
      <c r="B519" s="9" t="str">
        <f t="shared" si="11"/>
        <v xml:space="preserve">MA
</v>
      </c>
      <c r="C519" s="28" t="s">
        <v>1346</v>
      </c>
      <c r="D519" s="9" t="s">
        <v>1298</v>
      </c>
      <c r="E519" s="12">
        <v>0</v>
      </c>
      <c r="F519" s="12">
        <v>0</v>
      </c>
      <c r="G519" s="9" t="s">
        <v>89</v>
      </c>
      <c r="H519" s="9" t="s">
        <v>75</v>
      </c>
      <c r="I519" s="9" t="s">
        <v>1347</v>
      </c>
      <c r="J519" s="28" t="s">
        <v>1348</v>
      </c>
      <c r="K519" s="9" t="s">
        <v>79</v>
      </c>
      <c r="L519" s="12"/>
      <c r="M519" s="12"/>
      <c r="N519" s="13"/>
      <c r="O519" s="16" t="s">
        <v>78</v>
      </c>
      <c r="P519" s="23" t="s">
        <v>785</v>
      </c>
      <c r="Q519" s="15" t="s">
        <v>1301</v>
      </c>
      <c r="R519" s="14" t="s">
        <v>75</v>
      </c>
      <c r="S519" s="14" t="s">
        <v>75</v>
      </c>
      <c r="T519" s="16" t="s">
        <v>101</v>
      </c>
      <c r="U519" s="17"/>
      <c r="V519" s="13"/>
      <c r="W519" s="13"/>
      <c r="X519" s="13"/>
      <c r="Y519" s="13"/>
      <c r="Z519" s="13"/>
      <c r="AA519" s="13"/>
      <c r="AB519" s="18" t="str">
        <f t="shared" si="13"/>
        <v>مصنع آرت غلاس للأعمال المعدنية السعودية</v>
      </c>
      <c r="AC519" s="18"/>
      <c r="AD519" s="18"/>
      <c r="AE519" s="18"/>
      <c r="AF519" s="18"/>
      <c r="AG519" s="18"/>
      <c r="AH519" s="13"/>
      <c r="AI519" s="18"/>
      <c r="AJ519" s="13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3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2"/>
      <c r="BK519" s="12"/>
      <c r="BL519" s="12"/>
      <c r="BM519" s="9"/>
      <c r="BN519" s="9"/>
      <c r="BO519" s="9"/>
      <c r="BP519" s="12"/>
      <c r="BQ519" s="12"/>
      <c r="BR519" s="12"/>
      <c r="BS519" s="12"/>
      <c r="BT519" s="12"/>
      <c r="BU519" s="12"/>
      <c r="BV519" s="12"/>
      <c r="BW519" s="12"/>
      <c r="BX519" s="12"/>
      <c r="BY519" s="9"/>
      <c r="BZ519" s="21"/>
      <c r="CA519" s="21"/>
      <c r="CB519" s="21"/>
      <c r="CC519" s="21"/>
      <c r="CD519" s="21"/>
      <c r="CE519" s="21"/>
      <c r="CF519" s="21"/>
      <c r="CG519" s="21"/>
      <c r="CH519" s="21"/>
      <c r="CI519" s="21"/>
      <c r="CJ519" s="21"/>
    </row>
    <row r="520" spans="1:88" ht="40.5" customHeight="1">
      <c r="A520" s="9">
        <f t="shared" si="10"/>
        <v>518</v>
      </c>
      <c r="B520" s="9" t="str">
        <f t="shared" si="11"/>
        <v xml:space="preserve">MA
</v>
      </c>
      <c r="C520" s="28" t="s">
        <v>1349</v>
      </c>
      <c r="D520" s="9" t="s">
        <v>1298</v>
      </c>
      <c r="E520" s="12">
        <v>0</v>
      </c>
      <c r="F520" s="12">
        <v>0</v>
      </c>
      <c r="G520" s="9" t="s">
        <v>89</v>
      </c>
      <c r="H520" s="9" t="s">
        <v>75</v>
      </c>
      <c r="I520" s="9" t="s">
        <v>1350</v>
      </c>
      <c r="J520" s="9" t="s">
        <v>75</v>
      </c>
      <c r="K520" s="9" t="s">
        <v>79</v>
      </c>
      <c r="L520" s="12"/>
      <c r="M520" s="12"/>
      <c r="N520" s="13"/>
      <c r="O520" s="16" t="s">
        <v>78</v>
      </c>
      <c r="P520" s="23" t="s">
        <v>785</v>
      </c>
      <c r="Q520" s="15" t="s">
        <v>1301</v>
      </c>
      <c r="R520" s="14" t="s">
        <v>75</v>
      </c>
      <c r="S520" s="14" t="s">
        <v>75</v>
      </c>
      <c r="T520" s="16" t="s">
        <v>101</v>
      </c>
      <c r="U520" s="17"/>
      <c r="V520" s="13"/>
      <c r="W520" s="13"/>
      <c r="X520" s="13"/>
      <c r="Y520" s="13"/>
      <c r="Z520" s="13"/>
      <c r="AA520" s="13"/>
      <c r="AB520" s="18" t="str">
        <f t="shared" si="13"/>
        <v xml:space="preserve"> ابراهيم للواجهات والسيراميك</v>
      </c>
      <c r="AC520" s="18"/>
      <c r="AD520" s="18"/>
      <c r="AE520" s="18"/>
      <c r="AF520" s="18"/>
      <c r="AG520" s="18"/>
      <c r="AH520" s="13"/>
      <c r="AI520" s="18"/>
      <c r="AJ520" s="13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3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2"/>
      <c r="BK520" s="12"/>
      <c r="BL520" s="12"/>
      <c r="BM520" s="9"/>
      <c r="BN520" s="9"/>
      <c r="BO520" s="9"/>
      <c r="BP520" s="12"/>
      <c r="BQ520" s="12"/>
      <c r="BR520" s="12"/>
      <c r="BS520" s="12"/>
      <c r="BT520" s="12"/>
      <c r="BU520" s="12"/>
      <c r="BV520" s="12"/>
      <c r="BW520" s="12"/>
      <c r="BX520" s="12"/>
      <c r="BY520" s="9"/>
      <c r="BZ520" s="21"/>
      <c r="CA520" s="21"/>
      <c r="CB520" s="21"/>
      <c r="CC520" s="21"/>
      <c r="CD520" s="21"/>
      <c r="CE520" s="21"/>
      <c r="CF520" s="21"/>
      <c r="CG520" s="21"/>
      <c r="CH520" s="21"/>
      <c r="CI520" s="21"/>
      <c r="CJ520" s="21"/>
    </row>
    <row r="521" spans="1:88" ht="40.5" customHeight="1">
      <c r="A521" s="9">
        <f t="shared" si="10"/>
        <v>519</v>
      </c>
      <c r="B521" s="9" t="str">
        <f t="shared" si="11"/>
        <v xml:space="preserve">MA
</v>
      </c>
      <c r="C521" s="28" t="s">
        <v>1351</v>
      </c>
      <c r="D521" s="9" t="s">
        <v>1298</v>
      </c>
      <c r="E521" s="12">
        <v>0</v>
      </c>
      <c r="F521" s="12">
        <v>0</v>
      </c>
      <c r="G521" s="9" t="s">
        <v>89</v>
      </c>
      <c r="H521" s="9" t="s">
        <v>75</v>
      </c>
      <c r="I521" s="10" t="s">
        <v>1352</v>
      </c>
      <c r="J521" s="28" t="s">
        <v>1353</v>
      </c>
      <c r="K521" s="9" t="s">
        <v>79</v>
      </c>
      <c r="L521" s="12"/>
      <c r="M521" s="12"/>
      <c r="N521" s="13"/>
      <c r="O521" s="16" t="s">
        <v>78</v>
      </c>
      <c r="P521" s="23" t="s">
        <v>785</v>
      </c>
      <c r="Q521" s="15" t="s">
        <v>1301</v>
      </c>
      <c r="R521" s="14" t="s">
        <v>75</v>
      </c>
      <c r="S521" s="14" t="s">
        <v>75</v>
      </c>
      <c r="T521" s="16" t="s">
        <v>101</v>
      </c>
      <c r="U521" s="17"/>
      <c r="V521" s="13"/>
      <c r="W521" s="13"/>
      <c r="X521" s="13"/>
      <c r="Y521" s="13"/>
      <c r="Z521" s="13"/>
      <c r="AA521" s="13"/>
      <c r="AB521" s="18" t="str">
        <f t="shared" si="13"/>
        <v xml:space="preserve"> مكتب النهج الهندسي للأستشارات الهندسية والتصاميم</v>
      </c>
      <c r="AC521" s="18"/>
      <c r="AD521" s="18"/>
      <c r="AE521" s="18"/>
      <c r="AF521" s="18"/>
      <c r="AG521" s="18"/>
      <c r="AH521" s="13"/>
      <c r="AI521" s="18"/>
      <c r="AJ521" s="13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3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2"/>
      <c r="BK521" s="12"/>
      <c r="BL521" s="12"/>
      <c r="BM521" s="9"/>
      <c r="BN521" s="9"/>
      <c r="BO521" s="9"/>
      <c r="BP521" s="12"/>
      <c r="BQ521" s="12"/>
      <c r="BR521" s="12"/>
      <c r="BS521" s="12"/>
      <c r="BT521" s="12"/>
      <c r="BU521" s="12"/>
      <c r="BV521" s="12"/>
      <c r="BW521" s="12"/>
      <c r="BX521" s="12"/>
      <c r="BY521" s="9"/>
      <c r="BZ521" s="21"/>
      <c r="CA521" s="21"/>
      <c r="CB521" s="21"/>
      <c r="CC521" s="21"/>
      <c r="CD521" s="21"/>
      <c r="CE521" s="21"/>
      <c r="CF521" s="21"/>
      <c r="CG521" s="21"/>
      <c r="CH521" s="21"/>
      <c r="CI521" s="21"/>
      <c r="CJ521" s="21"/>
    </row>
    <row r="522" spans="1:88" ht="40.5" customHeight="1">
      <c r="A522" s="9">
        <f t="shared" si="10"/>
        <v>520</v>
      </c>
      <c r="B522" s="9" t="str">
        <f t="shared" si="11"/>
        <v xml:space="preserve">MA
</v>
      </c>
      <c r="C522" s="28" t="s">
        <v>1354</v>
      </c>
      <c r="D522" s="9" t="s">
        <v>1298</v>
      </c>
      <c r="E522" s="12">
        <v>0</v>
      </c>
      <c r="F522" s="12">
        <v>0</v>
      </c>
      <c r="G522" s="9" t="s">
        <v>89</v>
      </c>
      <c r="H522" s="9" t="s">
        <v>75</v>
      </c>
      <c r="I522" s="9" t="s">
        <v>1355</v>
      </c>
      <c r="J522" s="28" t="s">
        <v>1323</v>
      </c>
      <c r="K522" s="9" t="s">
        <v>79</v>
      </c>
      <c r="L522" s="12"/>
      <c r="M522" s="12"/>
      <c r="N522" s="13"/>
      <c r="O522" s="16" t="s">
        <v>78</v>
      </c>
      <c r="P522" s="23" t="s">
        <v>785</v>
      </c>
      <c r="Q522" s="15" t="s">
        <v>1301</v>
      </c>
      <c r="R522" s="14" t="s">
        <v>75</v>
      </c>
      <c r="S522" s="14" t="s">
        <v>75</v>
      </c>
      <c r="T522" s="16" t="s">
        <v>101</v>
      </c>
      <c r="U522" s="17"/>
      <c r="V522" s="13"/>
      <c r="W522" s="13"/>
      <c r="X522" s="13"/>
      <c r="Y522" s="13"/>
      <c r="Z522" s="13"/>
      <c r="AA522" s="13"/>
      <c r="AB522" s="18" t="str">
        <f t="shared" si="13"/>
        <v xml:space="preserve">  معمل الاساتذة</v>
      </c>
      <c r="AC522" s="18"/>
      <c r="AD522" s="18"/>
      <c r="AE522" s="18"/>
      <c r="AF522" s="18"/>
      <c r="AG522" s="18"/>
      <c r="AH522" s="13"/>
      <c r="AI522" s="18"/>
      <c r="AJ522" s="13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3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2"/>
      <c r="BK522" s="12"/>
      <c r="BL522" s="12"/>
      <c r="BM522" s="9"/>
      <c r="BN522" s="9"/>
      <c r="BO522" s="9"/>
      <c r="BP522" s="12"/>
      <c r="BQ522" s="12"/>
      <c r="BR522" s="12"/>
      <c r="BS522" s="12"/>
      <c r="BT522" s="12"/>
      <c r="BU522" s="12"/>
      <c r="BV522" s="12"/>
      <c r="BW522" s="12"/>
      <c r="BX522" s="12"/>
      <c r="BY522" s="9"/>
      <c r="BZ522" s="21"/>
      <c r="CA522" s="21"/>
      <c r="CB522" s="21"/>
      <c r="CC522" s="21"/>
      <c r="CD522" s="21"/>
      <c r="CE522" s="21"/>
      <c r="CF522" s="21"/>
      <c r="CG522" s="21"/>
      <c r="CH522" s="21"/>
      <c r="CI522" s="21"/>
      <c r="CJ522" s="21"/>
    </row>
    <row r="523" spans="1:88" ht="40.5" customHeight="1">
      <c r="A523" s="9">
        <f t="shared" si="10"/>
        <v>521</v>
      </c>
      <c r="B523" s="9" t="str">
        <f t="shared" si="11"/>
        <v xml:space="preserve">MA
</v>
      </c>
      <c r="C523" s="28" t="s">
        <v>1356</v>
      </c>
      <c r="D523" s="9" t="s">
        <v>1298</v>
      </c>
      <c r="E523" s="12">
        <v>0</v>
      </c>
      <c r="F523" s="12">
        <v>0</v>
      </c>
      <c r="G523" s="9" t="s">
        <v>89</v>
      </c>
      <c r="H523" s="9" t="s">
        <v>75</v>
      </c>
      <c r="I523" s="9" t="s">
        <v>1357</v>
      </c>
      <c r="J523" s="28" t="s">
        <v>1358</v>
      </c>
      <c r="K523" s="9" t="s">
        <v>79</v>
      </c>
      <c r="L523" s="12"/>
      <c r="M523" s="12"/>
      <c r="N523" s="13"/>
      <c r="O523" s="16" t="s">
        <v>78</v>
      </c>
      <c r="P523" s="23" t="s">
        <v>785</v>
      </c>
      <c r="Q523" s="15" t="s">
        <v>1301</v>
      </c>
      <c r="R523" s="14" t="s">
        <v>75</v>
      </c>
      <c r="S523" s="14" t="s">
        <v>75</v>
      </c>
      <c r="T523" s="16" t="s">
        <v>101</v>
      </c>
      <c r="U523" s="17"/>
      <c r="V523" s="13"/>
      <c r="W523" s="13"/>
      <c r="X523" s="13"/>
      <c r="Y523" s="13"/>
      <c r="Z523" s="13"/>
      <c r="AA523" s="13"/>
      <c r="AB523" s="18" t="str">
        <f t="shared" si="13"/>
        <v>صبا الرافدين للمقاولات العامة</v>
      </c>
      <c r="AC523" s="18"/>
      <c r="AD523" s="18"/>
      <c r="AE523" s="18"/>
      <c r="AF523" s="18"/>
      <c r="AG523" s="18"/>
      <c r="AH523" s="13"/>
      <c r="AI523" s="18"/>
      <c r="AJ523" s="13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3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2"/>
      <c r="BK523" s="12"/>
      <c r="BL523" s="12"/>
      <c r="BM523" s="9"/>
      <c r="BN523" s="9"/>
      <c r="BO523" s="9"/>
      <c r="BP523" s="12"/>
      <c r="BQ523" s="12"/>
      <c r="BR523" s="12"/>
      <c r="BS523" s="12"/>
      <c r="BT523" s="12"/>
      <c r="BU523" s="12"/>
      <c r="BV523" s="12"/>
      <c r="BW523" s="12"/>
      <c r="BX523" s="12"/>
      <c r="BY523" s="9"/>
      <c r="BZ523" s="21"/>
      <c r="CA523" s="21"/>
      <c r="CB523" s="21"/>
      <c r="CC523" s="21"/>
      <c r="CD523" s="21"/>
      <c r="CE523" s="21"/>
      <c r="CF523" s="21"/>
      <c r="CG523" s="21"/>
      <c r="CH523" s="21"/>
      <c r="CI523" s="21"/>
      <c r="CJ523" s="21"/>
    </row>
    <row r="524" spans="1:88" ht="40.5" customHeight="1">
      <c r="A524" s="9">
        <f t="shared" si="10"/>
        <v>522</v>
      </c>
      <c r="B524" s="9" t="str">
        <f t="shared" si="11"/>
        <v xml:space="preserve">MA
</v>
      </c>
      <c r="C524" s="28" t="s">
        <v>1359</v>
      </c>
      <c r="D524" s="9" t="s">
        <v>1298</v>
      </c>
      <c r="E524" s="12">
        <v>0</v>
      </c>
      <c r="F524" s="12">
        <v>0</v>
      </c>
      <c r="G524" s="9" t="s">
        <v>89</v>
      </c>
      <c r="H524" s="9" t="s">
        <v>75</v>
      </c>
      <c r="I524" s="9" t="s">
        <v>1360</v>
      </c>
      <c r="J524" s="28" t="s">
        <v>1361</v>
      </c>
      <c r="K524" s="9" t="s">
        <v>79</v>
      </c>
      <c r="L524" s="12"/>
      <c r="M524" s="12"/>
      <c r="N524" s="13"/>
      <c r="O524" s="16" t="s">
        <v>78</v>
      </c>
      <c r="P524" s="23" t="s">
        <v>785</v>
      </c>
      <c r="Q524" s="15" t="s">
        <v>1301</v>
      </c>
      <c r="R524" s="14" t="s">
        <v>75</v>
      </c>
      <c r="S524" s="14" t="s">
        <v>75</v>
      </c>
      <c r="T524" s="16" t="s">
        <v>101</v>
      </c>
      <c r="U524" s="17"/>
      <c r="V524" s="13"/>
      <c r="W524" s="13"/>
      <c r="X524" s="13"/>
      <c r="Y524" s="13"/>
      <c r="Z524" s="13"/>
      <c r="AA524" s="13"/>
      <c r="AB524" s="18" t="str">
        <f t="shared" si="13"/>
        <v xml:space="preserve">  انظمة واجهات</v>
      </c>
      <c r="AC524" s="18"/>
      <c r="AD524" s="18"/>
      <c r="AE524" s="18"/>
      <c r="AF524" s="18"/>
      <c r="AG524" s="18"/>
      <c r="AH524" s="13"/>
      <c r="AI524" s="18"/>
      <c r="AJ524" s="13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3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2"/>
      <c r="BK524" s="12"/>
      <c r="BL524" s="12"/>
      <c r="BM524" s="9"/>
      <c r="BN524" s="9"/>
      <c r="BO524" s="9"/>
      <c r="BP524" s="12"/>
      <c r="BQ524" s="12"/>
      <c r="BR524" s="12"/>
      <c r="BS524" s="12"/>
      <c r="BT524" s="12"/>
      <c r="BU524" s="12"/>
      <c r="BV524" s="12"/>
      <c r="BW524" s="12"/>
      <c r="BX524" s="12"/>
      <c r="BY524" s="9"/>
      <c r="BZ524" s="21"/>
      <c r="CA524" s="21"/>
      <c r="CB524" s="21"/>
      <c r="CC524" s="21"/>
      <c r="CD524" s="21"/>
      <c r="CE524" s="21"/>
      <c r="CF524" s="21"/>
      <c r="CG524" s="21"/>
      <c r="CH524" s="21"/>
      <c r="CI524" s="21"/>
      <c r="CJ524" s="21"/>
    </row>
    <row r="525" spans="1:88" ht="40.5" customHeight="1">
      <c r="A525" s="9">
        <f t="shared" si="10"/>
        <v>523</v>
      </c>
      <c r="B525" s="9" t="str">
        <f t="shared" si="11"/>
        <v xml:space="preserve">MA
</v>
      </c>
      <c r="C525" s="9" t="s">
        <v>1362</v>
      </c>
      <c r="D525" s="9" t="s">
        <v>1363</v>
      </c>
      <c r="E525" s="12">
        <v>0</v>
      </c>
      <c r="F525" s="12">
        <v>0</v>
      </c>
      <c r="G525" s="9" t="s">
        <v>89</v>
      </c>
      <c r="H525" s="9" t="s">
        <v>75</v>
      </c>
      <c r="I525" s="9" t="s">
        <v>1364</v>
      </c>
      <c r="J525" s="28" t="s">
        <v>1365</v>
      </c>
      <c r="K525" s="9" t="s">
        <v>79</v>
      </c>
      <c r="L525" s="12"/>
      <c r="M525" s="12"/>
      <c r="N525" s="13"/>
      <c r="O525" s="16" t="s">
        <v>78</v>
      </c>
      <c r="P525" s="23" t="s">
        <v>785</v>
      </c>
      <c r="Q525" s="15" t="s">
        <v>1301</v>
      </c>
      <c r="R525" s="14" t="s">
        <v>75</v>
      </c>
      <c r="S525" s="14" t="s">
        <v>75</v>
      </c>
      <c r="T525" s="16" t="s">
        <v>101</v>
      </c>
      <c r="U525" s="17"/>
      <c r="V525" s="13"/>
      <c r="W525" s="13"/>
      <c r="X525" s="13"/>
      <c r="Y525" s="13"/>
      <c r="Z525" s="13"/>
      <c r="AA525" s="13"/>
      <c r="AB525" s="18" t="str">
        <f t="shared" si="13"/>
        <v xml:space="preserve"> Sarl Cynabet   جزائر</v>
      </c>
      <c r="AC525" s="18"/>
      <c r="AD525" s="18"/>
      <c r="AE525" s="18"/>
      <c r="AF525" s="18"/>
      <c r="AG525" s="18"/>
      <c r="AH525" s="13"/>
      <c r="AI525" s="18"/>
      <c r="AJ525" s="13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3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2"/>
      <c r="BK525" s="12"/>
      <c r="BL525" s="12"/>
      <c r="BM525" s="9"/>
      <c r="BN525" s="9"/>
      <c r="BO525" s="9"/>
      <c r="BP525" s="12"/>
      <c r="BQ525" s="12"/>
      <c r="BR525" s="12"/>
      <c r="BS525" s="12"/>
      <c r="BT525" s="12"/>
      <c r="BU525" s="12"/>
      <c r="BV525" s="12"/>
      <c r="BW525" s="12"/>
      <c r="BX525" s="12"/>
      <c r="BY525" s="9"/>
      <c r="BZ525" s="21"/>
      <c r="CA525" s="21"/>
      <c r="CB525" s="21"/>
      <c r="CC525" s="21"/>
      <c r="CD525" s="21"/>
      <c r="CE525" s="21"/>
      <c r="CF525" s="21"/>
      <c r="CG525" s="21"/>
      <c r="CH525" s="21"/>
      <c r="CI525" s="21"/>
      <c r="CJ525" s="21"/>
    </row>
    <row r="526" spans="1:88" ht="40.5" customHeight="1">
      <c r="A526" s="9">
        <f t="shared" si="10"/>
        <v>524</v>
      </c>
      <c r="B526" s="9" t="str">
        <f t="shared" si="11"/>
        <v xml:space="preserve">MA
</v>
      </c>
      <c r="C526" s="9" t="s">
        <v>1366</v>
      </c>
      <c r="D526" s="9" t="s">
        <v>1363</v>
      </c>
      <c r="E526" s="12">
        <v>0</v>
      </c>
      <c r="F526" s="12">
        <v>0</v>
      </c>
      <c r="G526" s="12" t="b">
        <v>0</v>
      </c>
      <c r="H526" s="9" t="s">
        <v>75</v>
      </c>
      <c r="I526" s="9" t="s">
        <v>1367</v>
      </c>
      <c r="J526" s="28" t="s">
        <v>1368</v>
      </c>
      <c r="K526" s="9" t="s">
        <v>79</v>
      </c>
      <c r="L526" s="12"/>
      <c r="M526" s="12"/>
      <c r="N526" s="13"/>
      <c r="O526" s="16" t="s">
        <v>78</v>
      </c>
      <c r="P526" s="23" t="s">
        <v>785</v>
      </c>
      <c r="Q526" s="15" t="s">
        <v>1301</v>
      </c>
      <c r="R526" s="14" t="s">
        <v>75</v>
      </c>
      <c r="S526" s="14" t="s">
        <v>75</v>
      </c>
      <c r="T526" s="16" t="s">
        <v>101</v>
      </c>
      <c r="U526" s="17"/>
      <c r="V526" s="13"/>
      <c r="W526" s="13"/>
      <c r="X526" s="13"/>
      <c r="Y526" s="13"/>
      <c r="Z526" s="13"/>
      <c r="AA526" s="13"/>
      <c r="AB526" s="18" t="str">
        <f t="shared" si="13"/>
        <v xml:space="preserve"> DECO NOOR ALUجمال الدين جزائر</v>
      </c>
      <c r="AC526" s="18"/>
      <c r="AD526" s="18"/>
      <c r="AE526" s="18"/>
      <c r="AF526" s="18"/>
      <c r="AG526" s="18"/>
      <c r="AH526" s="13"/>
      <c r="AI526" s="18"/>
      <c r="AJ526" s="13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3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2"/>
      <c r="BK526" s="12"/>
      <c r="BL526" s="12"/>
      <c r="BM526" s="9"/>
      <c r="BN526" s="9"/>
      <c r="BO526" s="9"/>
      <c r="BP526" s="12"/>
      <c r="BQ526" s="12"/>
      <c r="BR526" s="12"/>
      <c r="BS526" s="12"/>
      <c r="BT526" s="12"/>
      <c r="BU526" s="12"/>
      <c r="BV526" s="12"/>
      <c r="BW526" s="12"/>
      <c r="BX526" s="12"/>
      <c r="BY526" s="9"/>
      <c r="BZ526" s="21"/>
      <c r="CA526" s="21"/>
      <c r="CB526" s="21"/>
      <c r="CC526" s="21"/>
      <c r="CD526" s="21"/>
      <c r="CE526" s="21"/>
      <c r="CF526" s="21"/>
      <c r="CG526" s="21"/>
      <c r="CH526" s="21"/>
      <c r="CI526" s="21"/>
      <c r="CJ526" s="21"/>
    </row>
    <row r="527" spans="1:88" ht="40.5" customHeight="1">
      <c r="A527" s="9">
        <f t="shared" si="10"/>
        <v>525</v>
      </c>
      <c r="B527" s="9" t="str">
        <f t="shared" si="11"/>
        <v xml:space="preserve">MA
</v>
      </c>
      <c r="C527" s="9" t="s">
        <v>1369</v>
      </c>
      <c r="D527" s="9" t="s">
        <v>1363</v>
      </c>
      <c r="E527" s="12">
        <v>0</v>
      </c>
      <c r="F527" s="12">
        <v>0</v>
      </c>
      <c r="G527" s="12" t="b">
        <v>0</v>
      </c>
      <c r="H527" s="9" t="s">
        <v>75</v>
      </c>
      <c r="I527" s="9" t="s">
        <v>1370</v>
      </c>
      <c r="J527" s="28" t="s">
        <v>1332</v>
      </c>
      <c r="K527" s="9" t="s">
        <v>79</v>
      </c>
      <c r="L527" s="12"/>
      <c r="M527" s="12"/>
      <c r="N527" s="13"/>
      <c r="O527" s="16" t="s">
        <v>78</v>
      </c>
      <c r="P527" s="23" t="s">
        <v>785</v>
      </c>
      <c r="Q527" s="15" t="s">
        <v>1301</v>
      </c>
      <c r="R527" s="14" t="s">
        <v>75</v>
      </c>
      <c r="S527" s="14" t="s">
        <v>75</v>
      </c>
      <c r="T527" s="16" t="s">
        <v>101</v>
      </c>
      <c r="U527" s="17"/>
      <c r="V527" s="13"/>
      <c r="W527" s="13"/>
      <c r="X527" s="13"/>
      <c r="Y527" s="13"/>
      <c r="Z527" s="13"/>
      <c r="AA527" s="13"/>
      <c r="AB527" s="18" t="str">
        <f t="shared" si="13"/>
        <v xml:space="preserve"> HML aluminium et PVCمحمد جزائر</v>
      </c>
      <c r="AC527" s="18"/>
      <c r="AD527" s="18"/>
      <c r="AE527" s="18"/>
      <c r="AF527" s="18"/>
      <c r="AG527" s="18"/>
      <c r="AH527" s="13"/>
      <c r="AI527" s="18"/>
      <c r="AJ527" s="13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3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2"/>
      <c r="BK527" s="12"/>
      <c r="BL527" s="12"/>
      <c r="BM527" s="9"/>
      <c r="BN527" s="9"/>
      <c r="BO527" s="9"/>
      <c r="BP527" s="12"/>
      <c r="BQ527" s="12"/>
      <c r="BR527" s="12"/>
      <c r="BS527" s="12"/>
      <c r="BT527" s="12"/>
      <c r="BU527" s="12"/>
      <c r="BV527" s="12"/>
      <c r="BW527" s="12"/>
      <c r="BX527" s="12"/>
      <c r="BY527" s="9"/>
      <c r="BZ527" s="21"/>
      <c r="CA527" s="21"/>
      <c r="CB527" s="21"/>
      <c r="CC527" s="21"/>
      <c r="CD527" s="21"/>
      <c r="CE527" s="21"/>
      <c r="CF527" s="21"/>
      <c r="CG527" s="21"/>
      <c r="CH527" s="21"/>
      <c r="CI527" s="21"/>
      <c r="CJ527" s="21"/>
    </row>
    <row r="528" spans="1:88" ht="40.5" customHeight="1">
      <c r="A528" s="9">
        <f t="shared" si="10"/>
        <v>526</v>
      </c>
      <c r="B528" s="9" t="str">
        <f t="shared" si="11"/>
        <v xml:space="preserve">MA
</v>
      </c>
      <c r="C528" s="28" t="s">
        <v>1371</v>
      </c>
      <c r="D528" s="9" t="s">
        <v>1363</v>
      </c>
      <c r="E528" s="12">
        <v>0</v>
      </c>
      <c r="F528" s="12">
        <v>0</v>
      </c>
      <c r="G528" s="12" t="b">
        <v>0</v>
      </c>
      <c r="H528" s="9" t="s">
        <v>75</v>
      </c>
      <c r="I528" s="9" t="s">
        <v>1372</v>
      </c>
      <c r="J528" s="28" t="s">
        <v>1332</v>
      </c>
      <c r="K528" s="9" t="s">
        <v>79</v>
      </c>
      <c r="L528" s="12"/>
      <c r="M528" s="12"/>
      <c r="N528" s="13"/>
      <c r="O528" s="16" t="s">
        <v>78</v>
      </c>
      <c r="P528" s="23" t="s">
        <v>785</v>
      </c>
      <c r="Q528" s="15" t="s">
        <v>1301</v>
      </c>
      <c r="R528" s="14" t="s">
        <v>75</v>
      </c>
      <c r="S528" s="14" t="s">
        <v>75</v>
      </c>
      <c r="T528" s="16" t="s">
        <v>101</v>
      </c>
      <c r="U528" s="17"/>
      <c r="V528" s="13"/>
      <c r="W528" s="13"/>
      <c r="X528" s="13"/>
      <c r="Y528" s="13"/>
      <c r="Z528" s="13"/>
      <c r="AA528" s="13"/>
      <c r="AB528" s="18" t="str">
        <f t="shared" si="13"/>
        <v xml:space="preserve">  دارك  منطقة9 المنيوم الجزائر</v>
      </c>
      <c r="AC528" s="18"/>
      <c r="AD528" s="18"/>
      <c r="AE528" s="18"/>
      <c r="AF528" s="18"/>
      <c r="AG528" s="18"/>
      <c r="AH528" s="13"/>
      <c r="AI528" s="18"/>
      <c r="AJ528" s="13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3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2"/>
      <c r="BK528" s="12"/>
      <c r="BL528" s="12"/>
      <c r="BM528" s="9"/>
      <c r="BN528" s="9"/>
      <c r="BO528" s="9"/>
      <c r="BP528" s="12"/>
      <c r="BQ528" s="12"/>
      <c r="BR528" s="12"/>
      <c r="BS528" s="12"/>
      <c r="BT528" s="12"/>
      <c r="BU528" s="12"/>
      <c r="BV528" s="12"/>
      <c r="BW528" s="12"/>
      <c r="BX528" s="12"/>
      <c r="BY528" s="9"/>
      <c r="BZ528" s="21"/>
      <c r="CA528" s="21"/>
      <c r="CB528" s="21"/>
      <c r="CC528" s="21"/>
      <c r="CD528" s="21"/>
      <c r="CE528" s="21"/>
      <c r="CF528" s="21"/>
      <c r="CG528" s="21"/>
      <c r="CH528" s="21"/>
      <c r="CI528" s="21"/>
      <c r="CJ528" s="21"/>
    </row>
    <row r="529" spans="1:88" ht="40.5" customHeight="1">
      <c r="A529" s="9">
        <f t="shared" si="10"/>
        <v>527</v>
      </c>
      <c r="B529" s="9" t="str">
        <f t="shared" si="11"/>
        <v xml:space="preserve">MA
</v>
      </c>
      <c r="C529" s="9" t="s">
        <v>1373</v>
      </c>
      <c r="D529" s="9" t="s">
        <v>1363</v>
      </c>
      <c r="E529" s="12">
        <v>0</v>
      </c>
      <c r="F529" s="12">
        <v>0</v>
      </c>
      <c r="G529" s="12" t="b">
        <v>0</v>
      </c>
      <c r="H529" s="9" t="s">
        <v>75</v>
      </c>
      <c r="I529" s="9" t="s">
        <v>1374</v>
      </c>
      <c r="J529" s="28" t="s">
        <v>1375</v>
      </c>
      <c r="K529" s="9" t="s">
        <v>79</v>
      </c>
      <c r="L529" s="12"/>
      <c r="M529" s="12"/>
      <c r="N529" s="13"/>
      <c r="O529" s="16" t="s">
        <v>78</v>
      </c>
      <c r="P529" s="23" t="s">
        <v>785</v>
      </c>
      <c r="Q529" s="15" t="s">
        <v>1301</v>
      </c>
      <c r="R529" s="14" t="s">
        <v>75</v>
      </c>
      <c r="S529" s="14" t="s">
        <v>75</v>
      </c>
      <c r="T529" s="16" t="s">
        <v>101</v>
      </c>
      <c r="U529" s="17"/>
      <c r="V529" s="13"/>
      <c r="W529" s="13"/>
      <c r="X529" s="13"/>
      <c r="Y529" s="13"/>
      <c r="Z529" s="13"/>
      <c r="AA529" s="13"/>
      <c r="AB529" s="18" t="str">
        <f t="shared" si="13"/>
        <v xml:space="preserve"> Cristal Aluminium  جزائر</v>
      </c>
      <c r="AC529" s="18"/>
      <c r="AD529" s="18"/>
      <c r="AE529" s="18"/>
      <c r="AF529" s="18"/>
      <c r="AG529" s="18"/>
      <c r="AH529" s="13"/>
      <c r="AI529" s="18"/>
      <c r="AJ529" s="13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3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2"/>
      <c r="BK529" s="12"/>
      <c r="BL529" s="12"/>
      <c r="BM529" s="9"/>
      <c r="BN529" s="9"/>
      <c r="BO529" s="9"/>
      <c r="BP529" s="12"/>
      <c r="BQ529" s="12"/>
      <c r="BR529" s="12"/>
      <c r="BS529" s="12"/>
      <c r="BT529" s="12"/>
      <c r="BU529" s="12"/>
      <c r="BV529" s="12"/>
      <c r="BW529" s="12"/>
      <c r="BX529" s="12"/>
      <c r="BY529" s="9"/>
      <c r="BZ529" s="21"/>
      <c r="CA529" s="21"/>
      <c r="CB529" s="21"/>
      <c r="CC529" s="21"/>
      <c r="CD529" s="21"/>
      <c r="CE529" s="21"/>
      <c r="CF529" s="21"/>
      <c r="CG529" s="21"/>
      <c r="CH529" s="21"/>
      <c r="CI529" s="21"/>
      <c r="CJ529" s="21"/>
    </row>
    <row r="530" spans="1:88" ht="40.5" customHeight="1">
      <c r="A530" s="9">
        <f t="shared" si="10"/>
        <v>528</v>
      </c>
      <c r="B530" s="9" t="str">
        <f t="shared" si="11"/>
        <v xml:space="preserve">MA
</v>
      </c>
      <c r="C530" s="9" t="s">
        <v>1376</v>
      </c>
      <c r="D530" s="9" t="s">
        <v>1363</v>
      </c>
      <c r="E530" s="12">
        <v>0</v>
      </c>
      <c r="F530" s="12">
        <v>0</v>
      </c>
      <c r="G530" s="12" t="b">
        <v>0</v>
      </c>
      <c r="H530" s="9" t="s">
        <v>75</v>
      </c>
      <c r="I530" s="9" t="s">
        <v>1377</v>
      </c>
      <c r="J530" s="9" t="s">
        <v>75</v>
      </c>
      <c r="K530" s="9" t="s">
        <v>79</v>
      </c>
      <c r="L530" s="12"/>
      <c r="M530" s="12"/>
      <c r="N530" s="13"/>
      <c r="O530" s="16" t="s">
        <v>78</v>
      </c>
      <c r="P530" s="23" t="s">
        <v>785</v>
      </c>
      <c r="Q530" s="15" t="s">
        <v>1301</v>
      </c>
      <c r="R530" s="14" t="s">
        <v>75</v>
      </c>
      <c r="S530" s="14" t="s">
        <v>75</v>
      </c>
      <c r="T530" s="16" t="s">
        <v>101</v>
      </c>
      <c r="U530" s="17"/>
      <c r="V530" s="13"/>
      <c r="W530" s="13"/>
      <c r="X530" s="13"/>
      <c r="Y530" s="13"/>
      <c r="Z530" s="13"/>
      <c r="AA530" s="13"/>
      <c r="AB530" s="18" t="str">
        <f t="shared" si="13"/>
        <v xml:space="preserve"> Sarl Khiar Aluminium جزائر</v>
      </c>
      <c r="AC530" s="18"/>
      <c r="AD530" s="18"/>
      <c r="AE530" s="18"/>
      <c r="AF530" s="18"/>
      <c r="AG530" s="18"/>
      <c r="AH530" s="13"/>
      <c r="AI530" s="18"/>
      <c r="AJ530" s="13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3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2"/>
      <c r="BK530" s="12"/>
      <c r="BL530" s="12"/>
      <c r="BM530" s="9"/>
      <c r="BN530" s="9"/>
      <c r="BO530" s="9"/>
      <c r="BP530" s="12"/>
      <c r="BQ530" s="12"/>
      <c r="BR530" s="12"/>
      <c r="BS530" s="12"/>
      <c r="BT530" s="12"/>
      <c r="BU530" s="12"/>
      <c r="BV530" s="12"/>
      <c r="BW530" s="12"/>
      <c r="BX530" s="12"/>
      <c r="BY530" s="9"/>
      <c r="BZ530" s="21"/>
      <c r="CA530" s="21"/>
      <c r="CB530" s="21"/>
      <c r="CC530" s="21"/>
      <c r="CD530" s="21"/>
      <c r="CE530" s="21"/>
      <c r="CF530" s="21"/>
      <c r="CG530" s="21"/>
      <c r="CH530" s="21"/>
      <c r="CI530" s="21"/>
      <c r="CJ530" s="21"/>
    </row>
    <row r="531" spans="1:88" ht="40.5" customHeight="1">
      <c r="A531" s="9">
        <f t="shared" si="10"/>
        <v>529</v>
      </c>
      <c r="B531" s="9" t="str">
        <f t="shared" si="11"/>
        <v xml:space="preserve">MA
</v>
      </c>
      <c r="C531" s="9" t="s">
        <v>1378</v>
      </c>
      <c r="D531" s="9" t="s">
        <v>1298</v>
      </c>
      <c r="E531" s="12">
        <v>0</v>
      </c>
      <c r="F531" s="12">
        <v>0</v>
      </c>
      <c r="G531" s="12" t="b">
        <v>0</v>
      </c>
      <c r="H531" s="9" t="s">
        <v>75</v>
      </c>
      <c r="I531" s="9" t="s">
        <v>1379</v>
      </c>
      <c r="J531" s="28" t="s">
        <v>1380</v>
      </c>
      <c r="K531" s="9" t="s">
        <v>79</v>
      </c>
      <c r="L531" s="12"/>
      <c r="M531" s="12"/>
      <c r="N531" s="13"/>
      <c r="O531" s="16" t="s">
        <v>78</v>
      </c>
      <c r="P531" s="23" t="s">
        <v>785</v>
      </c>
      <c r="Q531" s="15" t="s">
        <v>1301</v>
      </c>
      <c r="R531" s="14" t="s">
        <v>75</v>
      </c>
      <c r="S531" s="14" t="s">
        <v>75</v>
      </c>
      <c r="T531" s="16" t="s">
        <v>101</v>
      </c>
      <c r="U531" s="17"/>
      <c r="V531" s="13"/>
      <c r="W531" s="13"/>
      <c r="X531" s="13"/>
      <c r="Y531" s="13"/>
      <c r="Z531" s="13"/>
      <c r="AA531" s="13"/>
      <c r="AB531" s="18" t="str">
        <f t="shared" si="13"/>
        <v xml:space="preserve">Skill Town Company </v>
      </c>
      <c r="AC531" s="18"/>
      <c r="AD531" s="18"/>
      <c r="AE531" s="18"/>
      <c r="AF531" s="18"/>
      <c r="AG531" s="18"/>
      <c r="AH531" s="13"/>
      <c r="AI531" s="18"/>
      <c r="AJ531" s="13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3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2"/>
      <c r="BK531" s="12"/>
      <c r="BL531" s="12"/>
      <c r="BM531" s="9"/>
      <c r="BN531" s="9"/>
      <c r="BO531" s="9"/>
      <c r="BP531" s="12"/>
      <c r="BQ531" s="12"/>
      <c r="BR531" s="12"/>
      <c r="BS531" s="12"/>
      <c r="BT531" s="12"/>
      <c r="BU531" s="12"/>
      <c r="BV531" s="12"/>
      <c r="BW531" s="12"/>
      <c r="BX531" s="12"/>
      <c r="BY531" s="9"/>
      <c r="BZ531" s="21"/>
      <c r="CA531" s="21"/>
      <c r="CB531" s="21"/>
      <c r="CC531" s="21"/>
      <c r="CD531" s="21"/>
      <c r="CE531" s="21"/>
      <c r="CF531" s="21"/>
      <c r="CG531" s="21"/>
      <c r="CH531" s="21"/>
      <c r="CI531" s="21"/>
      <c r="CJ531" s="21"/>
    </row>
    <row r="532" spans="1:88" ht="40.5" customHeight="1">
      <c r="A532" s="9">
        <f t="shared" si="10"/>
        <v>530</v>
      </c>
      <c r="B532" s="9" t="str">
        <f t="shared" si="11"/>
        <v xml:space="preserve">MA
</v>
      </c>
      <c r="C532" s="28" t="s">
        <v>1381</v>
      </c>
      <c r="D532" s="9" t="s">
        <v>1298</v>
      </c>
      <c r="E532" s="12">
        <v>0</v>
      </c>
      <c r="F532" s="12">
        <v>0</v>
      </c>
      <c r="G532" s="12" t="b">
        <v>0</v>
      </c>
      <c r="H532" s="9" t="s">
        <v>75</v>
      </c>
      <c r="I532" s="9" t="s">
        <v>1382</v>
      </c>
      <c r="J532" s="28" t="s">
        <v>1383</v>
      </c>
      <c r="K532" s="9" t="s">
        <v>79</v>
      </c>
      <c r="L532" s="12"/>
      <c r="M532" s="12"/>
      <c r="N532" s="13"/>
      <c r="O532" s="16" t="s">
        <v>78</v>
      </c>
      <c r="P532" s="23" t="s">
        <v>785</v>
      </c>
      <c r="Q532" s="15" t="s">
        <v>1301</v>
      </c>
      <c r="R532" s="14" t="s">
        <v>75</v>
      </c>
      <c r="S532" s="14" t="s">
        <v>75</v>
      </c>
      <c r="T532" s="16" t="s">
        <v>101</v>
      </c>
      <c r="U532" s="17"/>
      <c r="V532" s="13"/>
      <c r="W532" s="13"/>
      <c r="X532" s="13"/>
      <c r="Y532" s="13"/>
      <c r="Z532" s="13"/>
      <c r="AA532" s="13"/>
      <c r="AB532" s="18" t="str">
        <f t="shared" si="13"/>
        <v>كيربي العراق للمباني الحديدية - Kirby Steel Iraq</v>
      </c>
      <c r="AC532" s="18"/>
      <c r="AD532" s="18"/>
      <c r="AE532" s="18"/>
      <c r="AF532" s="18"/>
      <c r="AG532" s="18"/>
      <c r="AH532" s="13"/>
      <c r="AI532" s="18"/>
      <c r="AJ532" s="13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3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2"/>
      <c r="BK532" s="12"/>
      <c r="BL532" s="12"/>
      <c r="BM532" s="9"/>
      <c r="BN532" s="9"/>
      <c r="BO532" s="9"/>
      <c r="BP532" s="12"/>
      <c r="BQ532" s="12"/>
      <c r="BR532" s="12"/>
      <c r="BS532" s="12"/>
      <c r="BT532" s="12"/>
      <c r="BU532" s="12"/>
      <c r="BV532" s="12"/>
      <c r="BW532" s="12"/>
      <c r="BX532" s="12"/>
      <c r="BY532" s="9"/>
      <c r="BZ532" s="21"/>
      <c r="CA532" s="21"/>
      <c r="CB532" s="21"/>
      <c r="CC532" s="21"/>
      <c r="CD532" s="21"/>
      <c r="CE532" s="21"/>
      <c r="CF532" s="21"/>
      <c r="CG532" s="21"/>
      <c r="CH532" s="21"/>
      <c r="CI532" s="21"/>
      <c r="CJ532" s="21"/>
    </row>
    <row r="533" spans="1:88" ht="40.5" customHeight="1">
      <c r="A533" s="9">
        <f t="shared" si="10"/>
        <v>531</v>
      </c>
      <c r="B533" s="9" t="str">
        <f t="shared" si="11"/>
        <v xml:space="preserve">MA
</v>
      </c>
      <c r="C533" s="28" t="s">
        <v>1384</v>
      </c>
      <c r="D533" s="9" t="s">
        <v>1298</v>
      </c>
      <c r="E533" s="12">
        <v>0</v>
      </c>
      <c r="F533" s="12">
        <v>0</v>
      </c>
      <c r="G533" s="12" t="b">
        <v>0</v>
      </c>
      <c r="H533" s="9" t="s">
        <v>75</v>
      </c>
      <c r="I533" s="9" t="s">
        <v>1385</v>
      </c>
      <c r="J533" s="9" t="s">
        <v>75</v>
      </c>
      <c r="K533" s="9" t="s">
        <v>79</v>
      </c>
      <c r="L533" s="12"/>
      <c r="M533" s="12"/>
      <c r="N533" s="13"/>
      <c r="O533" s="16" t="s">
        <v>78</v>
      </c>
      <c r="P533" s="23" t="s">
        <v>785</v>
      </c>
      <c r="Q533" s="15" t="s">
        <v>1301</v>
      </c>
      <c r="R533" s="14" t="s">
        <v>75</v>
      </c>
      <c r="S533" s="14" t="s">
        <v>75</v>
      </c>
      <c r="T533" s="16" t="s">
        <v>101</v>
      </c>
      <c r="U533" s="17"/>
      <c r="V533" s="13"/>
      <c r="W533" s="13"/>
      <c r="X533" s="13"/>
      <c r="Y533" s="13"/>
      <c r="Z533" s="13"/>
      <c r="AA533" s="13"/>
      <c r="AB533" s="18" t="str">
        <f t="shared" si="13"/>
        <v xml:space="preserve"> الصرح المعماري للبناء و التصاميم الهندسية العراق</v>
      </c>
      <c r="AC533" s="18"/>
      <c r="AD533" s="18"/>
      <c r="AE533" s="18"/>
      <c r="AF533" s="18"/>
      <c r="AG533" s="18"/>
      <c r="AH533" s="13"/>
      <c r="AI533" s="18"/>
      <c r="AJ533" s="13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3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2"/>
      <c r="BK533" s="12"/>
      <c r="BL533" s="12"/>
      <c r="BM533" s="9"/>
      <c r="BN533" s="9"/>
      <c r="BO533" s="9"/>
      <c r="BP533" s="12"/>
      <c r="BQ533" s="12"/>
      <c r="BR533" s="12"/>
      <c r="BS533" s="12"/>
      <c r="BT533" s="12"/>
      <c r="BU533" s="12"/>
      <c r="BV533" s="12"/>
      <c r="BW533" s="12"/>
      <c r="BX533" s="12"/>
      <c r="BY533" s="9"/>
      <c r="BZ533" s="21"/>
      <c r="CA533" s="21"/>
      <c r="CB533" s="21"/>
      <c r="CC533" s="21"/>
      <c r="CD533" s="21"/>
      <c r="CE533" s="21"/>
      <c r="CF533" s="21"/>
      <c r="CG533" s="21"/>
      <c r="CH533" s="21"/>
      <c r="CI533" s="21"/>
      <c r="CJ533" s="21"/>
    </row>
    <row r="534" spans="1:88" ht="40.5" customHeight="1">
      <c r="A534" s="9">
        <f t="shared" si="10"/>
        <v>532</v>
      </c>
      <c r="B534" s="9" t="str">
        <f t="shared" si="11"/>
        <v xml:space="preserve">MA
</v>
      </c>
      <c r="C534" s="28" t="s">
        <v>1386</v>
      </c>
      <c r="D534" s="9" t="s">
        <v>1298</v>
      </c>
      <c r="E534" s="12">
        <v>0</v>
      </c>
      <c r="F534" s="12">
        <v>0</v>
      </c>
      <c r="G534" s="12" t="b">
        <v>0</v>
      </c>
      <c r="H534" s="9" t="s">
        <v>75</v>
      </c>
      <c r="I534" s="9" t="s">
        <v>1387</v>
      </c>
      <c r="J534" s="9" t="s">
        <v>75</v>
      </c>
      <c r="K534" s="9" t="s">
        <v>79</v>
      </c>
      <c r="L534" s="12"/>
      <c r="M534" s="12"/>
      <c r="N534" s="13"/>
      <c r="O534" s="16" t="s">
        <v>78</v>
      </c>
      <c r="P534" s="23" t="s">
        <v>785</v>
      </c>
      <c r="Q534" s="15" t="s">
        <v>1301</v>
      </c>
      <c r="R534" s="14" t="s">
        <v>75</v>
      </c>
      <c r="S534" s="14" t="s">
        <v>75</v>
      </c>
      <c r="T534" s="16" t="s">
        <v>101</v>
      </c>
      <c r="U534" s="17"/>
      <c r="V534" s="13"/>
      <c r="W534" s="13"/>
      <c r="X534" s="13"/>
      <c r="Y534" s="13"/>
      <c r="Z534" s="13"/>
      <c r="AA534" s="13"/>
      <c r="AB534" s="18" t="str">
        <f t="shared" si="13"/>
        <v xml:space="preserve"> شركة افنيو العقارية العراق</v>
      </c>
      <c r="AC534" s="18"/>
      <c r="AD534" s="18"/>
      <c r="AE534" s="18"/>
      <c r="AF534" s="18"/>
      <c r="AG534" s="18"/>
      <c r="AH534" s="13"/>
      <c r="AI534" s="18"/>
      <c r="AJ534" s="13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3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2"/>
      <c r="BK534" s="12"/>
      <c r="BL534" s="12"/>
      <c r="BM534" s="9"/>
      <c r="BN534" s="9"/>
      <c r="BO534" s="9"/>
      <c r="BP534" s="12"/>
      <c r="BQ534" s="12"/>
      <c r="BR534" s="12"/>
      <c r="BS534" s="12"/>
      <c r="BT534" s="12"/>
      <c r="BU534" s="12"/>
      <c r="BV534" s="12"/>
      <c r="BW534" s="12"/>
      <c r="BX534" s="12"/>
      <c r="BY534" s="9"/>
      <c r="BZ534" s="21"/>
      <c r="CA534" s="21"/>
      <c r="CB534" s="21"/>
      <c r="CC534" s="21"/>
      <c r="CD534" s="21"/>
      <c r="CE534" s="21"/>
      <c r="CF534" s="21"/>
      <c r="CG534" s="21"/>
      <c r="CH534" s="21"/>
      <c r="CI534" s="21"/>
      <c r="CJ534" s="21"/>
    </row>
    <row r="535" spans="1:88" ht="40.5" customHeight="1">
      <c r="A535" s="9">
        <f t="shared" si="10"/>
        <v>533</v>
      </c>
      <c r="B535" s="9" t="str">
        <f t="shared" si="11"/>
        <v xml:space="preserve">MA
</v>
      </c>
      <c r="C535" s="28" t="s">
        <v>1388</v>
      </c>
      <c r="D535" s="9" t="s">
        <v>1298</v>
      </c>
      <c r="E535" s="12">
        <v>0</v>
      </c>
      <c r="F535" s="12">
        <v>0</v>
      </c>
      <c r="G535" s="12" t="b">
        <v>0</v>
      </c>
      <c r="H535" s="9" t="s">
        <v>75</v>
      </c>
      <c r="I535" s="9" t="s">
        <v>1389</v>
      </c>
      <c r="J535" s="9" t="s">
        <v>75</v>
      </c>
      <c r="K535" s="9" t="s">
        <v>79</v>
      </c>
      <c r="L535" s="12"/>
      <c r="M535" s="12"/>
      <c r="N535" s="13"/>
      <c r="O535" s="16" t="s">
        <v>78</v>
      </c>
      <c r="P535" s="23" t="s">
        <v>785</v>
      </c>
      <c r="Q535" s="15" t="s">
        <v>1301</v>
      </c>
      <c r="R535" s="14" t="s">
        <v>75</v>
      </c>
      <c r="S535" s="23" t="s">
        <v>1390</v>
      </c>
      <c r="T535" s="16" t="s">
        <v>86</v>
      </c>
      <c r="U535" s="17"/>
      <c r="V535" s="13"/>
      <c r="W535" s="13"/>
      <c r="X535" s="13"/>
      <c r="Y535" s="13"/>
      <c r="Z535" s="13"/>
      <c r="AA535" s="13"/>
      <c r="AB535" s="18" t="str">
        <f t="shared" si="13"/>
        <v xml:space="preserve"> شركة السفير للاستثمارات العقارية</v>
      </c>
      <c r="AC535" s="18"/>
      <c r="AD535" s="18"/>
      <c r="AE535" s="18"/>
      <c r="AF535" s="18"/>
      <c r="AG535" s="18"/>
      <c r="AH535" s="13"/>
      <c r="AI535" s="18"/>
      <c r="AJ535" s="13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3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2"/>
      <c r="BK535" s="12"/>
      <c r="BL535" s="12"/>
      <c r="BM535" s="9"/>
      <c r="BN535" s="9"/>
      <c r="BO535" s="9"/>
      <c r="BP535" s="12"/>
      <c r="BQ535" s="12"/>
      <c r="BR535" s="12"/>
      <c r="BS535" s="12"/>
      <c r="BT535" s="12"/>
      <c r="BU535" s="12"/>
      <c r="BV535" s="12"/>
      <c r="BW535" s="12"/>
      <c r="BX535" s="12"/>
      <c r="BY535" s="9"/>
      <c r="BZ535" s="21"/>
      <c r="CA535" s="21"/>
      <c r="CB535" s="21"/>
      <c r="CC535" s="21"/>
      <c r="CD535" s="21"/>
      <c r="CE535" s="21"/>
      <c r="CF535" s="21"/>
      <c r="CG535" s="21"/>
      <c r="CH535" s="21"/>
      <c r="CI535" s="21"/>
      <c r="CJ535" s="21"/>
    </row>
    <row r="536" spans="1:88" ht="40.5" customHeight="1">
      <c r="A536" s="9">
        <f t="shared" si="10"/>
        <v>534</v>
      </c>
      <c r="B536" s="9" t="str">
        <f t="shared" si="11"/>
        <v xml:space="preserve">MA
</v>
      </c>
      <c r="C536" s="9" t="s">
        <v>1391</v>
      </c>
      <c r="D536" s="9" t="s">
        <v>1298</v>
      </c>
      <c r="E536" s="12">
        <v>0</v>
      </c>
      <c r="F536" s="12">
        <v>0</v>
      </c>
      <c r="G536" s="12" t="b">
        <v>0</v>
      </c>
      <c r="H536" s="9" t="s">
        <v>75</v>
      </c>
      <c r="I536" s="9" t="s">
        <v>1392</v>
      </c>
      <c r="J536" s="28" t="s">
        <v>1393</v>
      </c>
      <c r="K536" s="9" t="s">
        <v>79</v>
      </c>
      <c r="L536" s="12"/>
      <c r="M536" s="12"/>
      <c r="N536" s="13"/>
      <c r="O536" s="16" t="s">
        <v>78</v>
      </c>
      <c r="P536" s="23" t="s">
        <v>785</v>
      </c>
      <c r="Q536" s="15" t="s">
        <v>1301</v>
      </c>
      <c r="R536" s="14" t="s">
        <v>75</v>
      </c>
      <c r="S536" s="14" t="s">
        <v>75</v>
      </c>
      <c r="T536" s="16" t="s">
        <v>101</v>
      </c>
      <c r="U536" s="17"/>
      <c r="V536" s="13"/>
      <c r="W536" s="13"/>
      <c r="X536" s="13"/>
      <c r="Y536" s="13"/>
      <c r="Z536" s="13"/>
      <c r="AA536" s="13"/>
      <c r="AB536" s="18" t="str">
        <f t="shared" si="13"/>
        <v xml:space="preserve"> Al-Faraj Real Estate Investments </v>
      </c>
      <c r="AC536" s="18"/>
      <c r="AD536" s="18"/>
      <c r="AE536" s="18"/>
      <c r="AF536" s="18"/>
      <c r="AG536" s="18"/>
      <c r="AH536" s="13"/>
      <c r="AI536" s="18"/>
      <c r="AJ536" s="13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3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2"/>
      <c r="BK536" s="12"/>
      <c r="BL536" s="12"/>
      <c r="BM536" s="9"/>
      <c r="BN536" s="9"/>
      <c r="BO536" s="9"/>
      <c r="BP536" s="12"/>
      <c r="BQ536" s="12"/>
      <c r="BR536" s="12"/>
      <c r="BS536" s="12"/>
      <c r="BT536" s="12"/>
      <c r="BU536" s="12"/>
      <c r="BV536" s="12"/>
      <c r="BW536" s="12"/>
      <c r="BX536" s="12"/>
      <c r="BY536" s="9"/>
      <c r="BZ536" s="21"/>
      <c r="CA536" s="21"/>
      <c r="CB536" s="21"/>
      <c r="CC536" s="21"/>
      <c r="CD536" s="21"/>
      <c r="CE536" s="21"/>
      <c r="CF536" s="21"/>
      <c r="CG536" s="21"/>
      <c r="CH536" s="21"/>
      <c r="CI536" s="21"/>
      <c r="CJ536" s="21"/>
    </row>
    <row r="537" spans="1:88" ht="40.5" customHeight="1">
      <c r="A537" s="9">
        <f t="shared" si="10"/>
        <v>535</v>
      </c>
      <c r="B537" s="9" t="str">
        <f t="shared" si="11"/>
        <v xml:space="preserve">MA
</v>
      </c>
      <c r="C537" s="28" t="s">
        <v>1394</v>
      </c>
      <c r="D537" s="9" t="s">
        <v>1298</v>
      </c>
      <c r="E537" s="12">
        <v>0</v>
      </c>
      <c r="F537" s="12">
        <v>0</v>
      </c>
      <c r="G537" s="12" t="b">
        <v>0</v>
      </c>
      <c r="H537" s="9" t="s">
        <v>75</v>
      </c>
      <c r="I537" s="9" t="s">
        <v>1395</v>
      </c>
      <c r="J537" s="28" t="s">
        <v>1396</v>
      </c>
      <c r="K537" s="9" t="s">
        <v>79</v>
      </c>
      <c r="L537" s="12"/>
      <c r="M537" s="12"/>
      <c r="N537" s="13"/>
      <c r="O537" s="16" t="s">
        <v>78</v>
      </c>
      <c r="P537" s="23" t="s">
        <v>785</v>
      </c>
      <c r="Q537" s="15" t="s">
        <v>1301</v>
      </c>
      <c r="R537" s="14" t="s">
        <v>75</v>
      </c>
      <c r="S537" s="14" t="s">
        <v>75</v>
      </c>
      <c r="T537" s="16" t="s">
        <v>101</v>
      </c>
      <c r="U537" s="17"/>
      <c r="V537" s="13"/>
      <c r="W537" s="13"/>
      <c r="X537" s="13"/>
      <c r="Y537" s="13"/>
      <c r="Z537" s="13"/>
      <c r="AA537" s="13"/>
      <c r="AB537" s="18" t="str">
        <f t="shared" si="13"/>
        <v xml:space="preserve"> شركة صفا النهرين النموذجية</v>
      </c>
      <c r="AC537" s="18"/>
      <c r="AD537" s="18"/>
      <c r="AE537" s="18"/>
      <c r="AF537" s="18"/>
      <c r="AG537" s="18"/>
      <c r="AH537" s="13"/>
      <c r="AI537" s="18"/>
      <c r="AJ537" s="13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3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2"/>
      <c r="BK537" s="12"/>
      <c r="BL537" s="12"/>
      <c r="BM537" s="9"/>
      <c r="BN537" s="9"/>
      <c r="BO537" s="9"/>
      <c r="BP537" s="12"/>
      <c r="BQ537" s="12"/>
      <c r="BR537" s="12"/>
      <c r="BS537" s="12"/>
      <c r="BT537" s="12"/>
      <c r="BU537" s="12"/>
      <c r="BV537" s="12"/>
      <c r="BW537" s="12"/>
      <c r="BX537" s="12"/>
      <c r="BY537" s="9"/>
      <c r="BZ537" s="21"/>
      <c r="CA537" s="21"/>
      <c r="CB537" s="21"/>
      <c r="CC537" s="21"/>
      <c r="CD537" s="21"/>
      <c r="CE537" s="21"/>
      <c r="CF537" s="21"/>
      <c r="CG537" s="21"/>
      <c r="CH537" s="21"/>
      <c r="CI537" s="21"/>
      <c r="CJ537" s="21"/>
    </row>
    <row r="538" spans="1:88" ht="40.5" customHeight="1">
      <c r="A538" s="9">
        <f t="shared" si="10"/>
        <v>536</v>
      </c>
      <c r="B538" s="9" t="str">
        <f t="shared" si="11"/>
        <v xml:space="preserve">MA
</v>
      </c>
      <c r="C538" s="28" t="s">
        <v>1397</v>
      </c>
      <c r="D538" s="9" t="s">
        <v>1298</v>
      </c>
      <c r="E538" s="12">
        <v>0</v>
      </c>
      <c r="F538" s="12">
        <v>0</v>
      </c>
      <c r="G538" s="12" t="b">
        <v>0</v>
      </c>
      <c r="H538" s="9" t="s">
        <v>75</v>
      </c>
      <c r="I538" s="9" t="s">
        <v>1398</v>
      </c>
      <c r="J538" s="9" t="s">
        <v>75</v>
      </c>
      <c r="K538" s="9" t="s">
        <v>79</v>
      </c>
      <c r="L538" s="12"/>
      <c r="M538" s="12"/>
      <c r="N538" s="13"/>
      <c r="O538" s="16" t="s">
        <v>78</v>
      </c>
      <c r="P538" s="23" t="s">
        <v>785</v>
      </c>
      <c r="Q538" s="15" t="s">
        <v>1301</v>
      </c>
      <c r="R538" s="14" t="s">
        <v>75</v>
      </c>
      <c r="S538" s="14" t="s">
        <v>75</v>
      </c>
      <c r="T538" s="16" t="s">
        <v>101</v>
      </c>
      <c r="U538" s="17"/>
      <c r="V538" s="13"/>
      <c r="W538" s="13"/>
      <c r="X538" s="13"/>
      <c r="Y538" s="13"/>
      <c r="Z538" s="13"/>
      <c r="AA538" s="13"/>
      <c r="AB538" s="18" t="str">
        <f t="shared" si="13"/>
        <v xml:space="preserve"> IWAN الايوان استشاريون العراق</v>
      </c>
      <c r="AC538" s="18"/>
      <c r="AD538" s="18"/>
      <c r="AE538" s="18"/>
      <c r="AF538" s="18"/>
      <c r="AG538" s="18"/>
      <c r="AH538" s="13"/>
      <c r="AI538" s="18"/>
      <c r="AJ538" s="13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3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2"/>
      <c r="BK538" s="12"/>
      <c r="BL538" s="12"/>
      <c r="BM538" s="9"/>
      <c r="BN538" s="9"/>
      <c r="BO538" s="9"/>
      <c r="BP538" s="12"/>
      <c r="BQ538" s="12"/>
      <c r="BR538" s="12"/>
      <c r="BS538" s="12"/>
      <c r="BT538" s="12"/>
      <c r="BU538" s="12"/>
      <c r="BV538" s="12"/>
      <c r="BW538" s="12"/>
      <c r="BX538" s="12"/>
      <c r="BY538" s="9"/>
      <c r="BZ538" s="21"/>
      <c r="CA538" s="21"/>
      <c r="CB538" s="21"/>
      <c r="CC538" s="21"/>
      <c r="CD538" s="21"/>
      <c r="CE538" s="21"/>
      <c r="CF538" s="21"/>
      <c r="CG538" s="21"/>
      <c r="CH538" s="21"/>
      <c r="CI538" s="21"/>
      <c r="CJ538" s="21"/>
    </row>
    <row r="539" spans="1:88" ht="40.5" customHeight="1">
      <c r="A539" s="9">
        <f t="shared" si="10"/>
        <v>537</v>
      </c>
      <c r="B539" s="9" t="str">
        <f t="shared" si="11"/>
        <v xml:space="preserve">MA
</v>
      </c>
      <c r="C539" s="28" t="s">
        <v>1399</v>
      </c>
      <c r="D539" s="9" t="s">
        <v>1298</v>
      </c>
      <c r="E539" s="12">
        <v>0</v>
      </c>
      <c r="F539" s="12">
        <v>0</v>
      </c>
      <c r="G539" s="12" t="b">
        <v>0</v>
      </c>
      <c r="H539" s="9" t="s">
        <v>75</v>
      </c>
      <c r="I539" s="9" t="s">
        <v>1400</v>
      </c>
      <c r="J539" s="9" t="s">
        <v>75</v>
      </c>
      <c r="K539" s="9" t="s">
        <v>79</v>
      </c>
      <c r="L539" s="12"/>
      <c r="M539" s="12"/>
      <c r="N539" s="13"/>
      <c r="O539" s="16" t="s">
        <v>78</v>
      </c>
      <c r="P539" s="23" t="s">
        <v>785</v>
      </c>
      <c r="Q539" s="15" t="s">
        <v>1301</v>
      </c>
      <c r="R539" s="14" t="s">
        <v>75</v>
      </c>
      <c r="S539" s="14" t="s">
        <v>75</v>
      </c>
      <c r="T539" s="16" t="s">
        <v>101</v>
      </c>
      <c r="U539" s="17"/>
      <c r="V539" s="13"/>
      <c r="W539" s="13"/>
      <c r="X539" s="13"/>
      <c r="Y539" s="13"/>
      <c r="Z539" s="13"/>
      <c r="AA539" s="13"/>
      <c r="AB539" s="18" t="str">
        <f t="shared" si="13"/>
        <v xml:space="preserve"> شركه النون للاستثمارات العقاريه والتجاره العامة العراقية</v>
      </c>
      <c r="AC539" s="18"/>
      <c r="AD539" s="18"/>
      <c r="AE539" s="18"/>
      <c r="AF539" s="18"/>
      <c r="AG539" s="18"/>
      <c r="AH539" s="13"/>
      <c r="AI539" s="18"/>
      <c r="AJ539" s="13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3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2"/>
      <c r="BK539" s="12"/>
      <c r="BL539" s="12"/>
      <c r="BM539" s="9"/>
      <c r="BN539" s="9"/>
      <c r="BO539" s="9"/>
      <c r="BP539" s="12"/>
      <c r="BQ539" s="12"/>
      <c r="BR539" s="12"/>
      <c r="BS539" s="12"/>
      <c r="BT539" s="12"/>
      <c r="BU539" s="12"/>
      <c r="BV539" s="12"/>
      <c r="BW539" s="12"/>
      <c r="BX539" s="12"/>
      <c r="BY539" s="9"/>
      <c r="BZ539" s="21"/>
      <c r="CA539" s="21"/>
      <c r="CB539" s="21"/>
      <c r="CC539" s="21"/>
      <c r="CD539" s="21"/>
      <c r="CE539" s="21"/>
      <c r="CF539" s="21"/>
      <c r="CG539" s="21"/>
      <c r="CH539" s="21"/>
      <c r="CI539" s="21"/>
      <c r="CJ539" s="21"/>
    </row>
    <row r="540" spans="1:88" ht="40.5" customHeight="1">
      <c r="A540" s="9">
        <f t="shared" si="10"/>
        <v>538</v>
      </c>
      <c r="B540" s="9" t="str">
        <f t="shared" si="11"/>
        <v xml:space="preserve">MA
</v>
      </c>
      <c r="C540" s="28" t="s">
        <v>1401</v>
      </c>
      <c r="D540" s="9" t="s">
        <v>1298</v>
      </c>
      <c r="E540" s="12">
        <v>0</v>
      </c>
      <c r="F540" s="12">
        <v>0</v>
      </c>
      <c r="G540" s="12" t="b">
        <v>0</v>
      </c>
      <c r="H540" s="9" t="s">
        <v>75</v>
      </c>
      <c r="I540" s="9" t="s">
        <v>1402</v>
      </c>
      <c r="J540" s="28" t="s">
        <v>1403</v>
      </c>
      <c r="K540" s="9" t="s">
        <v>79</v>
      </c>
      <c r="L540" s="12"/>
      <c r="M540" s="12"/>
      <c r="N540" s="13"/>
      <c r="O540" s="16" t="s">
        <v>78</v>
      </c>
      <c r="P540" s="23" t="s">
        <v>785</v>
      </c>
      <c r="Q540" s="15" t="s">
        <v>1301</v>
      </c>
      <c r="R540" s="14" t="s">
        <v>75</v>
      </c>
      <c r="S540" s="14" t="s">
        <v>75</v>
      </c>
      <c r="T540" s="16" t="s">
        <v>101</v>
      </c>
      <c r="U540" s="17"/>
      <c r="V540" s="13"/>
      <c r="W540" s="13"/>
      <c r="X540" s="13"/>
      <c r="Y540" s="13"/>
      <c r="Z540" s="13"/>
      <c r="AA540" s="13"/>
      <c r="AB540" s="18" t="str">
        <f t="shared" si="13"/>
        <v xml:space="preserve">  السلطاني شركى برج دبي للاستثمارات والتسويق العقاري</v>
      </c>
      <c r="AC540" s="18"/>
      <c r="AD540" s="18"/>
      <c r="AE540" s="18"/>
      <c r="AF540" s="18"/>
      <c r="AG540" s="18"/>
      <c r="AH540" s="13"/>
      <c r="AI540" s="18"/>
      <c r="AJ540" s="13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3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2"/>
      <c r="BK540" s="12"/>
      <c r="BL540" s="12"/>
      <c r="BM540" s="9"/>
      <c r="BN540" s="9"/>
      <c r="BO540" s="9"/>
      <c r="BP540" s="12"/>
      <c r="BQ540" s="12"/>
      <c r="BR540" s="12"/>
      <c r="BS540" s="12"/>
      <c r="BT540" s="12"/>
      <c r="BU540" s="12"/>
      <c r="BV540" s="12"/>
      <c r="BW540" s="12"/>
      <c r="BX540" s="12"/>
      <c r="BY540" s="9"/>
      <c r="BZ540" s="21"/>
      <c r="CA540" s="21"/>
      <c r="CB540" s="21"/>
      <c r="CC540" s="21"/>
      <c r="CD540" s="21"/>
      <c r="CE540" s="21"/>
      <c r="CF540" s="21"/>
      <c r="CG540" s="21"/>
      <c r="CH540" s="21"/>
      <c r="CI540" s="21"/>
      <c r="CJ540" s="21"/>
    </row>
    <row r="541" spans="1:88" ht="40.5" customHeight="1">
      <c r="A541" s="9">
        <f t="shared" si="10"/>
        <v>539</v>
      </c>
      <c r="B541" s="9" t="str">
        <f t="shared" si="11"/>
        <v xml:space="preserve">MA
</v>
      </c>
      <c r="C541" s="28" t="s">
        <v>1404</v>
      </c>
      <c r="D541" s="9" t="s">
        <v>1298</v>
      </c>
      <c r="E541" s="12">
        <v>0</v>
      </c>
      <c r="F541" s="12">
        <v>0</v>
      </c>
      <c r="G541" s="12" t="b">
        <v>0</v>
      </c>
      <c r="H541" s="9" t="s">
        <v>75</v>
      </c>
      <c r="I541" s="9" t="s">
        <v>1405</v>
      </c>
      <c r="J541" s="28" t="s">
        <v>1406</v>
      </c>
      <c r="K541" s="9" t="s">
        <v>79</v>
      </c>
      <c r="L541" s="12"/>
      <c r="M541" s="12"/>
      <c r="N541" s="13"/>
      <c r="O541" s="16" t="s">
        <v>78</v>
      </c>
      <c r="P541" s="23" t="s">
        <v>785</v>
      </c>
      <c r="Q541" s="15" t="s">
        <v>1301</v>
      </c>
      <c r="R541" s="14" t="s">
        <v>75</v>
      </c>
      <c r="S541" s="14" t="s">
        <v>75</v>
      </c>
      <c r="T541" s="16" t="s">
        <v>101</v>
      </c>
      <c r="U541" s="17"/>
      <c r="V541" s="13"/>
      <c r="W541" s="13"/>
      <c r="X541" s="13"/>
      <c r="Y541" s="13"/>
      <c r="Z541" s="13"/>
      <c r="AA541" s="13"/>
      <c r="AB541" s="18" t="str">
        <f t="shared" si="13"/>
        <v xml:space="preserve"> احمد مكتب الفرج للاستثمارات العقارية العراق</v>
      </c>
      <c r="AC541" s="18"/>
      <c r="AD541" s="18"/>
      <c r="AE541" s="18"/>
      <c r="AF541" s="18"/>
      <c r="AG541" s="18"/>
      <c r="AH541" s="13"/>
      <c r="AI541" s="18"/>
      <c r="AJ541" s="13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3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2"/>
      <c r="BK541" s="12"/>
      <c r="BL541" s="12"/>
      <c r="BM541" s="9"/>
      <c r="BN541" s="9"/>
      <c r="BO541" s="9"/>
      <c r="BP541" s="12"/>
      <c r="BQ541" s="12"/>
      <c r="BR541" s="12"/>
      <c r="BS541" s="12"/>
      <c r="BT541" s="12"/>
      <c r="BU541" s="12"/>
      <c r="BV541" s="12"/>
      <c r="BW541" s="12"/>
      <c r="BX541" s="12"/>
      <c r="BY541" s="9"/>
      <c r="BZ541" s="21"/>
      <c r="CA541" s="21"/>
      <c r="CB541" s="21"/>
      <c r="CC541" s="21"/>
      <c r="CD541" s="21"/>
      <c r="CE541" s="21"/>
      <c r="CF541" s="21"/>
      <c r="CG541" s="21"/>
      <c r="CH541" s="21"/>
      <c r="CI541" s="21"/>
      <c r="CJ541" s="21"/>
    </row>
    <row r="542" spans="1:88" ht="40.5" customHeight="1">
      <c r="A542" s="9">
        <f t="shared" si="10"/>
        <v>540</v>
      </c>
      <c r="B542" s="9" t="str">
        <f t="shared" si="11"/>
        <v xml:space="preserve">MA
</v>
      </c>
      <c r="C542" s="28" t="s">
        <v>1407</v>
      </c>
      <c r="D542" s="9" t="s">
        <v>1298</v>
      </c>
      <c r="E542" s="12">
        <v>0</v>
      </c>
      <c r="F542" s="12">
        <v>0</v>
      </c>
      <c r="G542" s="12" t="b">
        <v>0</v>
      </c>
      <c r="H542" s="9" t="s">
        <v>75</v>
      </c>
      <c r="I542" s="10" t="s">
        <v>1408</v>
      </c>
      <c r="J542" s="9" t="s">
        <v>75</v>
      </c>
      <c r="K542" s="9" t="s">
        <v>1320</v>
      </c>
      <c r="L542" s="12"/>
      <c r="M542" s="12"/>
      <c r="N542" s="13"/>
      <c r="O542" s="16" t="s">
        <v>78</v>
      </c>
      <c r="P542" s="23" t="s">
        <v>785</v>
      </c>
      <c r="Q542" s="15" t="s">
        <v>1301</v>
      </c>
      <c r="R542" s="14" t="s">
        <v>75</v>
      </c>
      <c r="S542" s="14" t="s">
        <v>75</v>
      </c>
      <c r="T542" s="16" t="s">
        <v>101</v>
      </c>
      <c r="U542" s="17"/>
      <c r="V542" s="13"/>
      <c r="W542" s="13"/>
      <c r="X542" s="13"/>
      <c r="Y542" s="13"/>
      <c r="Z542" s="13"/>
      <c r="AA542" s="13"/>
      <c r="AB542" s="18" t="str">
        <f t="shared" si="13"/>
        <v>شركة جنة العراق للاستثمارات العقارية العراق</v>
      </c>
      <c r="AC542" s="18"/>
      <c r="AD542" s="18"/>
      <c r="AE542" s="18"/>
      <c r="AF542" s="18"/>
      <c r="AG542" s="18"/>
      <c r="AH542" s="13"/>
      <c r="AI542" s="18"/>
      <c r="AJ542" s="13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3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2"/>
      <c r="BK542" s="12"/>
      <c r="BL542" s="12"/>
      <c r="BM542" s="9"/>
      <c r="BN542" s="9"/>
      <c r="BO542" s="9"/>
      <c r="BP542" s="12"/>
      <c r="BQ542" s="12"/>
      <c r="BR542" s="12"/>
      <c r="BS542" s="12"/>
      <c r="BT542" s="12"/>
      <c r="BU542" s="12"/>
      <c r="BV542" s="12"/>
      <c r="BW542" s="12"/>
      <c r="BX542" s="12"/>
      <c r="BY542" s="9"/>
      <c r="BZ542" s="21"/>
      <c r="CA542" s="21"/>
      <c r="CB542" s="21"/>
      <c r="CC542" s="21"/>
      <c r="CD542" s="21"/>
      <c r="CE542" s="21"/>
      <c r="CF542" s="21"/>
      <c r="CG542" s="21"/>
      <c r="CH542" s="21"/>
      <c r="CI542" s="21"/>
      <c r="CJ542" s="21"/>
    </row>
    <row r="543" spans="1:88" ht="40.5" customHeight="1">
      <c r="A543" s="9">
        <f t="shared" si="10"/>
        <v>541</v>
      </c>
      <c r="B543" s="9" t="str">
        <f t="shared" si="11"/>
        <v xml:space="preserve">MA
</v>
      </c>
      <c r="C543" s="28" t="s">
        <v>1409</v>
      </c>
      <c r="D543" s="9" t="s">
        <v>1298</v>
      </c>
      <c r="E543" s="12">
        <v>0</v>
      </c>
      <c r="F543" s="12">
        <v>0</v>
      </c>
      <c r="G543" s="12" t="b">
        <v>0</v>
      </c>
      <c r="H543" s="9" t="s">
        <v>75</v>
      </c>
      <c r="I543" s="9" t="s">
        <v>1410</v>
      </c>
      <c r="J543" s="9" t="s">
        <v>75</v>
      </c>
      <c r="K543" s="9" t="s">
        <v>79</v>
      </c>
      <c r="L543" s="12"/>
      <c r="M543" s="12"/>
      <c r="N543" s="13"/>
      <c r="O543" s="16" t="s">
        <v>78</v>
      </c>
      <c r="P543" s="23" t="s">
        <v>785</v>
      </c>
      <c r="Q543" s="15" t="s">
        <v>1301</v>
      </c>
      <c r="R543" s="14" t="s">
        <v>75</v>
      </c>
      <c r="S543" s="23" t="s">
        <v>1411</v>
      </c>
      <c r="T543" s="16" t="s">
        <v>101</v>
      </c>
      <c r="U543" s="17"/>
      <c r="V543" s="13"/>
      <c r="W543" s="13"/>
      <c r="X543" s="13"/>
      <c r="Y543" s="13"/>
      <c r="Z543" s="13"/>
      <c r="AA543" s="13"/>
      <c r="AB543" s="18" t="str">
        <f t="shared" si="13"/>
        <v xml:space="preserve"> شركة القلعة البيضاء للاستثمار والتطوير العقاري</v>
      </c>
      <c r="AC543" s="18"/>
      <c r="AD543" s="18"/>
      <c r="AE543" s="18"/>
      <c r="AF543" s="18"/>
      <c r="AG543" s="18"/>
      <c r="AH543" s="13"/>
      <c r="AI543" s="18"/>
      <c r="AJ543" s="13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3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2"/>
      <c r="BK543" s="12"/>
      <c r="BL543" s="12"/>
      <c r="BM543" s="9"/>
      <c r="BN543" s="9"/>
      <c r="BO543" s="9"/>
      <c r="BP543" s="12"/>
      <c r="BQ543" s="12"/>
      <c r="BR543" s="12"/>
      <c r="BS543" s="12"/>
      <c r="BT543" s="12"/>
      <c r="BU543" s="12"/>
      <c r="BV543" s="12"/>
      <c r="BW543" s="12"/>
      <c r="BX543" s="12"/>
      <c r="BY543" s="9"/>
      <c r="BZ543" s="21"/>
      <c r="CA543" s="21"/>
      <c r="CB543" s="21"/>
      <c r="CC543" s="21"/>
      <c r="CD543" s="21"/>
      <c r="CE543" s="21"/>
      <c r="CF543" s="21"/>
      <c r="CG543" s="21"/>
      <c r="CH543" s="21"/>
      <c r="CI543" s="21"/>
      <c r="CJ543" s="21"/>
    </row>
    <row r="544" spans="1:88" ht="40.5" customHeight="1">
      <c r="A544" s="9">
        <f t="shared" si="10"/>
        <v>542</v>
      </c>
      <c r="B544" s="9" t="str">
        <f t="shared" si="11"/>
        <v xml:space="preserve">MA
</v>
      </c>
      <c r="C544" s="28" t="s">
        <v>1412</v>
      </c>
      <c r="D544" s="9" t="s">
        <v>1298</v>
      </c>
      <c r="E544" s="12">
        <v>0</v>
      </c>
      <c r="F544" s="12">
        <v>0</v>
      </c>
      <c r="G544" s="12" t="b">
        <v>0</v>
      </c>
      <c r="H544" s="9" t="s">
        <v>75</v>
      </c>
      <c r="I544" s="10" t="s">
        <v>1413</v>
      </c>
      <c r="J544" s="9" t="s">
        <v>75</v>
      </c>
      <c r="K544" s="9" t="s">
        <v>79</v>
      </c>
      <c r="L544" s="12"/>
      <c r="M544" s="12"/>
      <c r="N544" s="13"/>
      <c r="O544" s="16" t="s">
        <v>78</v>
      </c>
      <c r="P544" s="23" t="s">
        <v>785</v>
      </c>
      <c r="Q544" s="15" t="s">
        <v>1301</v>
      </c>
      <c r="R544" s="14" t="s">
        <v>75</v>
      </c>
      <c r="S544" s="14" t="s">
        <v>75</v>
      </c>
      <c r="T544" s="16" t="s">
        <v>101</v>
      </c>
      <c r="U544" s="17"/>
      <c r="V544" s="13"/>
      <c r="W544" s="13"/>
      <c r="X544" s="13"/>
      <c r="Y544" s="13"/>
      <c r="Z544" s="13"/>
      <c r="AA544" s="13"/>
      <c r="AB544" s="18" t="str">
        <f t="shared" si="13"/>
        <v>مكتب الأبنية الحديثة العراق</v>
      </c>
      <c r="AC544" s="18"/>
      <c r="AD544" s="18"/>
      <c r="AE544" s="18"/>
      <c r="AF544" s="18"/>
      <c r="AG544" s="18"/>
      <c r="AH544" s="13"/>
      <c r="AI544" s="18"/>
      <c r="AJ544" s="13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3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2"/>
      <c r="BK544" s="12"/>
      <c r="BL544" s="12"/>
      <c r="BM544" s="9"/>
      <c r="BN544" s="9"/>
      <c r="BO544" s="9"/>
      <c r="BP544" s="12"/>
      <c r="BQ544" s="12"/>
      <c r="BR544" s="12"/>
      <c r="BS544" s="12"/>
      <c r="BT544" s="12"/>
      <c r="BU544" s="12"/>
      <c r="BV544" s="12"/>
      <c r="BW544" s="12"/>
      <c r="BX544" s="12"/>
      <c r="BY544" s="9"/>
      <c r="BZ544" s="21"/>
      <c r="CA544" s="21"/>
      <c r="CB544" s="21"/>
      <c r="CC544" s="21"/>
      <c r="CD544" s="21"/>
      <c r="CE544" s="21"/>
      <c r="CF544" s="21"/>
      <c r="CG544" s="21"/>
      <c r="CH544" s="21"/>
      <c r="CI544" s="21"/>
      <c r="CJ544" s="21"/>
    </row>
    <row r="545" spans="1:88" ht="40.5" customHeight="1">
      <c r="A545" s="9">
        <f t="shared" si="10"/>
        <v>543</v>
      </c>
      <c r="B545" s="9" t="str">
        <f t="shared" si="11"/>
        <v xml:space="preserve">MA
</v>
      </c>
      <c r="C545" s="9" t="s">
        <v>1414</v>
      </c>
      <c r="D545" s="9" t="s">
        <v>1298</v>
      </c>
      <c r="E545" s="12">
        <v>0</v>
      </c>
      <c r="F545" s="12">
        <v>0</v>
      </c>
      <c r="G545" s="12" t="b">
        <v>0</v>
      </c>
      <c r="H545" s="9" t="s">
        <v>75</v>
      </c>
      <c r="I545" s="9" t="s">
        <v>1415</v>
      </c>
      <c r="J545" s="9" t="s">
        <v>75</v>
      </c>
      <c r="K545" s="9" t="s">
        <v>79</v>
      </c>
      <c r="L545" s="12"/>
      <c r="M545" s="12"/>
      <c r="N545" s="13"/>
      <c r="O545" s="16" t="s">
        <v>78</v>
      </c>
      <c r="P545" s="23" t="s">
        <v>785</v>
      </c>
      <c r="Q545" s="15" t="s">
        <v>1301</v>
      </c>
      <c r="R545" s="14" t="s">
        <v>75</v>
      </c>
      <c r="S545" s="14" t="s">
        <v>75</v>
      </c>
      <c r="T545" s="16" t="s">
        <v>101</v>
      </c>
      <c r="U545" s="17"/>
      <c r="V545" s="13"/>
      <c r="W545" s="13"/>
      <c r="X545" s="13"/>
      <c r="Y545" s="13"/>
      <c r="Z545" s="13"/>
      <c r="AA545" s="13"/>
      <c r="AB545" s="18" t="str">
        <f t="shared" si="13"/>
        <v xml:space="preserve"> Arches Eng Co</v>
      </c>
      <c r="AC545" s="18"/>
      <c r="AD545" s="18"/>
      <c r="AE545" s="18"/>
      <c r="AF545" s="18"/>
      <c r="AG545" s="18"/>
      <c r="AH545" s="13"/>
      <c r="AI545" s="18"/>
      <c r="AJ545" s="13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3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2"/>
      <c r="BK545" s="12"/>
      <c r="BL545" s="12"/>
      <c r="BM545" s="9"/>
      <c r="BN545" s="9"/>
      <c r="BO545" s="9"/>
      <c r="BP545" s="12"/>
      <c r="BQ545" s="12"/>
      <c r="BR545" s="12"/>
      <c r="BS545" s="12"/>
      <c r="BT545" s="12"/>
      <c r="BU545" s="12"/>
      <c r="BV545" s="12"/>
      <c r="BW545" s="12"/>
      <c r="BX545" s="12"/>
      <c r="BY545" s="9"/>
      <c r="BZ545" s="21"/>
      <c r="CA545" s="21"/>
      <c r="CB545" s="21"/>
      <c r="CC545" s="21"/>
      <c r="CD545" s="21"/>
      <c r="CE545" s="21"/>
      <c r="CF545" s="21"/>
      <c r="CG545" s="21"/>
      <c r="CH545" s="21"/>
      <c r="CI545" s="21"/>
      <c r="CJ545" s="21"/>
    </row>
    <row r="546" spans="1:88" ht="40.5" customHeight="1">
      <c r="A546" s="9">
        <f t="shared" si="10"/>
        <v>544</v>
      </c>
      <c r="B546" s="9" t="str">
        <f t="shared" si="11"/>
        <v xml:space="preserve">MA
</v>
      </c>
      <c r="C546" s="28" t="s">
        <v>1416</v>
      </c>
      <c r="D546" s="9" t="s">
        <v>1298</v>
      </c>
      <c r="E546" s="12">
        <v>0</v>
      </c>
      <c r="F546" s="12">
        <v>0</v>
      </c>
      <c r="G546" s="12" t="b">
        <v>0</v>
      </c>
      <c r="H546" s="9" t="s">
        <v>75</v>
      </c>
      <c r="I546" s="9" t="s">
        <v>1417</v>
      </c>
      <c r="J546" s="9" t="s">
        <v>75</v>
      </c>
      <c r="K546" s="9" t="s">
        <v>79</v>
      </c>
      <c r="L546" s="12"/>
      <c r="M546" s="12"/>
      <c r="N546" s="13"/>
      <c r="O546" s="16" t="s">
        <v>78</v>
      </c>
      <c r="P546" s="23" t="s">
        <v>785</v>
      </c>
      <c r="Q546" s="15" t="s">
        <v>1301</v>
      </c>
      <c r="R546" s="14" t="s">
        <v>75</v>
      </c>
      <c r="S546" s="14" t="s">
        <v>75</v>
      </c>
      <c r="T546" s="16" t="s">
        <v>101</v>
      </c>
      <c r="U546" s="17"/>
      <c r="V546" s="13"/>
      <c r="W546" s="13"/>
      <c r="X546" s="13"/>
      <c r="Y546" s="13"/>
      <c r="Z546" s="13"/>
      <c r="AA546" s="13"/>
      <c r="AB546" s="18" t="str">
        <f t="shared" si="13"/>
        <v xml:space="preserve"> مكتب فكرة الهندسي</v>
      </c>
      <c r="AC546" s="18"/>
      <c r="AD546" s="18"/>
      <c r="AE546" s="18"/>
      <c r="AF546" s="18"/>
      <c r="AG546" s="18"/>
      <c r="AH546" s="13"/>
      <c r="AI546" s="18"/>
      <c r="AJ546" s="13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3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2"/>
      <c r="BK546" s="12"/>
      <c r="BL546" s="12"/>
      <c r="BM546" s="9"/>
      <c r="BN546" s="9"/>
      <c r="BO546" s="9"/>
      <c r="BP546" s="12"/>
      <c r="BQ546" s="12"/>
      <c r="BR546" s="12"/>
      <c r="BS546" s="12"/>
      <c r="BT546" s="12"/>
      <c r="BU546" s="12"/>
      <c r="BV546" s="12"/>
      <c r="BW546" s="12"/>
      <c r="BX546" s="12"/>
      <c r="BY546" s="9"/>
      <c r="BZ546" s="21"/>
      <c r="CA546" s="21"/>
      <c r="CB546" s="21"/>
      <c r="CC546" s="21"/>
      <c r="CD546" s="21"/>
      <c r="CE546" s="21"/>
      <c r="CF546" s="21"/>
      <c r="CG546" s="21"/>
      <c r="CH546" s="21"/>
      <c r="CI546" s="21"/>
      <c r="CJ546" s="21"/>
    </row>
    <row r="547" spans="1:88" ht="40.5" customHeight="1">
      <c r="A547" s="9">
        <f t="shared" si="10"/>
        <v>545</v>
      </c>
      <c r="B547" s="9" t="str">
        <f t="shared" si="11"/>
        <v xml:space="preserve">MA
</v>
      </c>
      <c r="C547" s="28" t="s">
        <v>1418</v>
      </c>
      <c r="D547" s="9" t="s">
        <v>1298</v>
      </c>
      <c r="E547" s="12">
        <v>0</v>
      </c>
      <c r="F547" s="12">
        <v>0</v>
      </c>
      <c r="G547" s="12" t="b">
        <v>0</v>
      </c>
      <c r="H547" s="9" t="s">
        <v>75</v>
      </c>
      <c r="I547" s="10" t="s">
        <v>1419</v>
      </c>
      <c r="J547" s="9" t="s">
        <v>75</v>
      </c>
      <c r="K547" s="9" t="s">
        <v>79</v>
      </c>
      <c r="L547" s="12"/>
      <c r="M547" s="12"/>
      <c r="N547" s="13"/>
      <c r="O547" s="16" t="s">
        <v>78</v>
      </c>
      <c r="P547" s="23" t="s">
        <v>785</v>
      </c>
      <c r="Q547" s="15" t="s">
        <v>1301</v>
      </c>
      <c r="R547" s="14" t="s">
        <v>75</v>
      </c>
      <c r="S547" s="14" t="s">
        <v>75</v>
      </c>
      <c r="T547" s="16" t="s">
        <v>101</v>
      </c>
      <c r="U547" s="17"/>
      <c r="V547" s="13"/>
      <c r="W547" s="13"/>
      <c r="X547" s="13"/>
      <c r="Y547" s="13"/>
      <c r="Z547" s="13"/>
      <c r="AA547" s="13"/>
      <c r="AB547" s="18" t="str">
        <f t="shared" si="13"/>
        <v>معمل البيت الحديث العراق</v>
      </c>
      <c r="AC547" s="18"/>
      <c r="AD547" s="18"/>
      <c r="AE547" s="18"/>
      <c r="AF547" s="18"/>
      <c r="AG547" s="18"/>
      <c r="AH547" s="13"/>
      <c r="AI547" s="18"/>
      <c r="AJ547" s="13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3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2"/>
      <c r="BK547" s="12"/>
      <c r="BL547" s="12"/>
      <c r="BM547" s="9"/>
      <c r="BN547" s="9"/>
      <c r="BO547" s="9"/>
      <c r="BP547" s="12"/>
      <c r="BQ547" s="12"/>
      <c r="BR547" s="12"/>
      <c r="BS547" s="12"/>
      <c r="BT547" s="12"/>
      <c r="BU547" s="12"/>
      <c r="BV547" s="12"/>
      <c r="BW547" s="12"/>
      <c r="BX547" s="12"/>
      <c r="BY547" s="9"/>
      <c r="BZ547" s="21"/>
      <c r="CA547" s="21"/>
      <c r="CB547" s="21"/>
      <c r="CC547" s="21"/>
      <c r="CD547" s="21"/>
      <c r="CE547" s="21"/>
      <c r="CF547" s="21"/>
      <c r="CG547" s="21"/>
      <c r="CH547" s="21"/>
      <c r="CI547" s="21"/>
      <c r="CJ547" s="21"/>
    </row>
    <row r="548" spans="1:88" ht="40.5" customHeight="1">
      <c r="A548" s="9">
        <f t="shared" si="10"/>
        <v>546</v>
      </c>
      <c r="B548" s="9" t="str">
        <f t="shared" si="11"/>
        <v xml:space="preserve">MA
</v>
      </c>
      <c r="C548" s="28" t="s">
        <v>1420</v>
      </c>
      <c r="D548" s="9" t="s">
        <v>397</v>
      </c>
      <c r="E548" s="12">
        <v>0</v>
      </c>
      <c r="F548" s="12">
        <v>0</v>
      </c>
      <c r="G548" s="12" t="b">
        <v>0</v>
      </c>
      <c r="H548" s="9" t="s">
        <v>75</v>
      </c>
      <c r="I548" s="9" t="s">
        <v>1421</v>
      </c>
      <c r="J548" s="28" t="s">
        <v>1422</v>
      </c>
      <c r="K548" s="9" t="s">
        <v>79</v>
      </c>
      <c r="L548" s="12"/>
      <c r="M548" s="12"/>
      <c r="N548" s="13"/>
      <c r="O548" s="16" t="s">
        <v>78</v>
      </c>
      <c r="P548" s="23" t="s">
        <v>242</v>
      </c>
      <c r="Q548" s="15" t="s">
        <v>1301</v>
      </c>
      <c r="R548" s="14" t="s">
        <v>75</v>
      </c>
      <c r="S548" s="14" t="s">
        <v>75</v>
      </c>
      <c r="T548" s="16" t="s">
        <v>101</v>
      </c>
      <c r="U548" s="17"/>
      <c r="V548" s="13"/>
      <c r="W548" s="13"/>
      <c r="X548" s="13"/>
      <c r="Y548" s="13"/>
      <c r="Z548" s="13"/>
      <c r="AA548" s="13"/>
      <c r="AB548" s="18" t="str">
        <f t="shared" si="13"/>
        <v>عبد الله الشويكي المنيوم الاردن</v>
      </c>
      <c r="AC548" s="18"/>
      <c r="AD548" s="18"/>
      <c r="AE548" s="18"/>
      <c r="AF548" s="18"/>
      <c r="AG548" s="18"/>
      <c r="AH548" s="13"/>
      <c r="AI548" s="18"/>
      <c r="AJ548" s="13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3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2"/>
      <c r="BK548" s="12"/>
      <c r="BL548" s="12"/>
      <c r="BM548" s="9"/>
      <c r="BN548" s="9"/>
      <c r="BO548" s="9"/>
      <c r="BP548" s="12"/>
      <c r="BQ548" s="12"/>
      <c r="BR548" s="12"/>
      <c r="BS548" s="12"/>
      <c r="BT548" s="12"/>
      <c r="BU548" s="12"/>
      <c r="BV548" s="12"/>
      <c r="BW548" s="12"/>
      <c r="BX548" s="12"/>
      <c r="BY548" s="9"/>
      <c r="BZ548" s="21"/>
      <c r="CA548" s="21"/>
      <c r="CB548" s="21"/>
      <c r="CC548" s="21"/>
      <c r="CD548" s="21"/>
      <c r="CE548" s="21"/>
      <c r="CF548" s="21"/>
      <c r="CG548" s="21"/>
      <c r="CH548" s="21"/>
      <c r="CI548" s="21"/>
      <c r="CJ548" s="21"/>
    </row>
    <row r="549" spans="1:88" ht="40.5" customHeight="1">
      <c r="A549" s="9">
        <f t="shared" si="10"/>
        <v>547</v>
      </c>
      <c r="B549" s="9" t="str">
        <f t="shared" si="11"/>
        <v xml:space="preserve">MA
</v>
      </c>
      <c r="C549" s="28" t="s">
        <v>1423</v>
      </c>
      <c r="D549" s="9" t="s">
        <v>397</v>
      </c>
      <c r="E549" s="12">
        <v>0</v>
      </c>
      <c r="F549" s="12">
        <v>0</v>
      </c>
      <c r="G549" s="12" t="b">
        <v>0</v>
      </c>
      <c r="H549" s="9" t="s">
        <v>75</v>
      </c>
      <c r="I549" s="10" t="s">
        <v>1424</v>
      </c>
      <c r="J549" s="9" t="s">
        <v>75</v>
      </c>
      <c r="K549" s="9" t="s">
        <v>79</v>
      </c>
      <c r="L549" s="12"/>
      <c r="M549" s="12"/>
      <c r="N549" s="13"/>
      <c r="O549" s="16" t="s">
        <v>78</v>
      </c>
      <c r="P549" s="23" t="s">
        <v>785</v>
      </c>
      <c r="Q549" s="15" t="s">
        <v>1301</v>
      </c>
      <c r="R549" s="14" t="s">
        <v>75</v>
      </c>
      <c r="S549" s="14" t="s">
        <v>75</v>
      </c>
      <c r="T549" s="16" t="s">
        <v>101</v>
      </c>
      <c r="U549" s="17"/>
      <c r="V549" s="13"/>
      <c r="W549" s="13"/>
      <c r="X549" s="13"/>
      <c r="Y549" s="13"/>
      <c r="Z549" s="13"/>
      <c r="AA549" s="13"/>
      <c r="AB549" s="18" t="str">
        <f t="shared" si="13"/>
        <v>المميز للألمنيوم الاردن</v>
      </c>
      <c r="AC549" s="18"/>
      <c r="AD549" s="18"/>
      <c r="AE549" s="18"/>
      <c r="AF549" s="18"/>
      <c r="AG549" s="18"/>
      <c r="AH549" s="13"/>
      <c r="AI549" s="18"/>
      <c r="AJ549" s="13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3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2"/>
      <c r="BK549" s="12"/>
      <c r="BL549" s="12"/>
      <c r="BM549" s="9"/>
      <c r="BN549" s="9"/>
      <c r="BO549" s="9"/>
      <c r="BP549" s="12"/>
      <c r="BQ549" s="12"/>
      <c r="BR549" s="12"/>
      <c r="BS549" s="12"/>
      <c r="BT549" s="12"/>
      <c r="BU549" s="12"/>
      <c r="BV549" s="12"/>
      <c r="BW549" s="12"/>
      <c r="BX549" s="12"/>
      <c r="BY549" s="9"/>
      <c r="BZ549" s="21"/>
      <c r="CA549" s="21"/>
      <c r="CB549" s="21"/>
      <c r="CC549" s="21"/>
      <c r="CD549" s="21"/>
      <c r="CE549" s="21"/>
      <c r="CF549" s="21"/>
      <c r="CG549" s="21"/>
      <c r="CH549" s="21"/>
      <c r="CI549" s="21"/>
      <c r="CJ549" s="21"/>
    </row>
    <row r="550" spans="1:88" ht="40.5" customHeight="1">
      <c r="A550" s="9">
        <f t="shared" si="10"/>
        <v>548</v>
      </c>
      <c r="B550" s="9" t="str">
        <f t="shared" si="11"/>
        <v xml:space="preserve">MA
</v>
      </c>
      <c r="C550" s="28" t="s">
        <v>1425</v>
      </c>
      <c r="D550" s="9" t="s">
        <v>397</v>
      </c>
      <c r="E550" s="12">
        <v>0</v>
      </c>
      <c r="F550" s="12">
        <v>0</v>
      </c>
      <c r="G550" s="12" t="b">
        <v>0</v>
      </c>
      <c r="H550" s="9" t="s">
        <v>75</v>
      </c>
      <c r="I550" s="9" t="s">
        <v>1426</v>
      </c>
      <c r="J550" s="9" t="s">
        <v>75</v>
      </c>
      <c r="K550" s="9" t="s">
        <v>79</v>
      </c>
      <c r="L550" s="12"/>
      <c r="M550" s="12"/>
      <c r="N550" s="13"/>
      <c r="O550" s="16" t="s">
        <v>78</v>
      </c>
      <c r="P550" s="23" t="s">
        <v>785</v>
      </c>
      <c r="Q550" s="15" t="s">
        <v>1301</v>
      </c>
      <c r="R550" s="14" t="s">
        <v>75</v>
      </c>
      <c r="S550" s="14" t="s">
        <v>75</v>
      </c>
      <c r="T550" s="16" t="s">
        <v>101</v>
      </c>
      <c r="U550" s="17"/>
      <c r="V550" s="13"/>
      <c r="W550" s="13"/>
      <c r="X550" s="13"/>
      <c r="Y550" s="13"/>
      <c r="Z550" s="13"/>
      <c r="AA550" s="13"/>
      <c r="AB550" s="18" t="str">
        <f t="shared" si="13"/>
        <v xml:space="preserve"> شركة العمالقة للألمنيوم والزجاج 102 الاردن</v>
      </c>
      <c r="AC550" s="18"/>
      <c r="AD550" s="18"/>
      <c r="AE550" s="18"/>
      <c r="AF550" s="18"/>
      <c r="AG550" s="18"/>
      <c r="AH550" s="13"/>
      <c r="AI550" s="18"/>
      <c r="AJ550" s="13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3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2"/>
      <c r="BK550" s="12"/>
      <c r="BL550" s="12"/>
      <c r="BM550" s="9"/>
      <c r="BN550" s="9"/>
      <c r="BO550" s="9"/>
      <c r="BP550" s="12"/>
      <c r="BQ550" s="12"/>
      <c r="BR550" s="12"/>
      <c r="BS550" s="12"/>
      <c r="BT550" s="12"/>
      <c r="BU550" s="12"/>
      <c r="BV550" s="12"/>
      <c r="BW550" s="12"/>
      <c r="BX550" s="12"/>
      <c r="BY550" s="9"/>
      <c r="BZ550" s="21"/>
      <c r="CA550" s="21"/>
      <c r="CB550" s="21"/>
      <c r="CC550" s="21"/>
      <c r="CD550" s="21"/>
      <c r="CE550" s="21"/>
      <c r="CF550" s="21"/>
      <c r="CG550" s="21"/>
      <c r="CH550" s="21"/>
      <c r="CI550" s="21"/>
      <c r="CJ550" s="21"/>
    </row>
    <row r="551" spans="1:88" ht="40.5" customHeight="1">
      <c r="A551" s="9">
        <f t="shared" si="10"/>
        <v>549</v>
      </c>
      <c r="B551" s="9" t="str">
        <f t="shared" si="11"/>
        <v xml:space="preserve">MA
</v>
      </c>
      <c r="C551" s="9" t="s">
        <v>1427</v>
      </c>
      <c r="D551" s="9" t="s">
        <v>1428</v>
      </c>
      <c r="E551" s="12">
        <v>0</v>
      </c>
      <c r="F551" s="12">
        <v>0</v>
      </c>
      <c r="G551" s="12" t="b">
        <v>0</v>
      </c>
      <c r="H551" s="9" t="s">
        <v>75</v>
      </c>
      <c r="I551" s="9" t="s">
        <v>1429</v>
      </c>
      <c r="J551" s="9" t="s">
        <v>1430</v>
      </c>
      <c r="K551" s="9" t="s">
        <v>79</v>
      </c>
      <c r="L551" s="12"/>
      <c r="M551" s="12"/>
      <c r="N551" s="13"/>
      <c r="O551" s="16" t="s">
        <v>78</v>
      </c>
      <c r="P551" s="23" t="s">
        <v>785</v>
      </c>
      <c r="Q551" s="15" t="s">
        <v>1301</v>
      </c>
      <c r="R551" s="14" t="s">
        <v>75</v>
      </c>
      <c r="S551" s="14" t="s">
        <v>75</v>
      </c>
      <c r="T551" s="16" t="s">
        <v>101</v>
      </c>
      <c r="U551" s="17"/>
      <c r="V551" s="13"/>
      <c r="W551" s="13"/>
      <c r="X551" s="13"/>
      <c r="Y551" s="13"/>
      <c r="Z551" s="13"/>
      <c r="AA551" s="13"/>
      <c r="AB551" s="18" t="str">
        <f t="shared" si="13"/>
        <v xml:space="preserve"> Lamsa</v>
      </c>
      <c r="AC551" s="18"/>
      <c r="AD551" s="18"/>
      <c r="AE551" s="18"/>
      <c r="AF551" s="18"/>
      <c r="AG551" s="18"/>
      <c r="AH551" s="13"/>
      <c r="AI551" s="18"/>
      <c r="AJ551" s="13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3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2"/>
      <c r="BK551" s="12"/>
      <c r="BL551" s="12"/>
      <c r="BM551" s="9"/>
      <c r="BN551" s="9"/>
      <c r="BO551" s="9"/>
      <c r="BP551" s="12"/>
      <c r="BQ551" s="12"/>
      <c r="BR551" s="12"/>
      <c r="BS551" s="12"/>
      <c r="BT551" s="12"/>
      <c r="BU551" s="12"/>
      <c r="BV551" s="12"/>
      <c r="BW551" s="12"/>
      <c r="BX551" s="12"/>
      <c r="BY551" s="9"/>
      <c r="BZ551" s="21"/>
      <c r="CA551" s="21"/>
      <c r="CB551" s="21"/>
      <c r="CC551" s="21"/>
      <c r="CD551" s="21"/>
      <c r="CE551" s="21"/>
      <c r="CF551" s="21"/>
      <c r="CG551" s="21"/>
      <c r="CH551" s="21"/>
      <c r="CI551" s="21"/>
      <c r="CJ551" s="21"/>
    </row>
    <row r="552" spans="1:88" ht="40.5" customHeight="1">
      <c r="A552" s="9">
        <f t="shared" si="10"/>
        <v>550</v>
      </c>
      <c r="B552" s="9" t="str">
        <f t="shared" si="11"/>
        <v xml:space="preserve">MA
</v>
      </c>
      <c r="C552" s="28" t="s">
        <v>1431</v>
      </c>
      <c r="D552" s="9" t="s">
        <v>1428</v>
      </c>
      <c r="E552" s="12">
        <v>0</v>
      </c>
      <c r="F552" s="12">
        <v>0</v>
      </c>
      <c r="G552" s="12" t="b">
        <v>0</v>
      </c>
      <c r="H552" s="9" t="s">
        <v>75</v>
      </c>
      <c r="I552" s="9" t="s">
        <v>1432</v>
      </c>
      <c r="J552" s="28" t="s">
        <v>1433</v>
      </c>
      <c r="K552" s="9" t="s">
        <v>79</v>
      </c>
      <c r="L552" s="12"/>
      <c r="M552" s="12"/>
      <c r="N552" s="13"/>
      <c r="O552" s="16" t="s">
        <v>78</v>
      </c>
      <c r="P552" s="23" t="s">
        <v>785</v>
      </c>
      <c r="Q552" s="15" t="s">
        <v>1301</v>
      </c>
      <c r="R552" s="14" t="s">
        <v>75</v>
      </c>
      <c r="S552" s="14" t="s">
        <v>75</v>
      </c>
      <c r="T552" s="16" t="s">
        <v>101</v>
      </c>
      <c r="U552" s="17"/>
      <c r="V552" s="13"/>
      <c r="W552" s="13"/>
      <c r="X552" s="13"/>
      <c r="Y552" s="13"/>
      <c r="Z552" s="13"/>
      <c r="AA552" s="13"/>
      <c r="AB552" s="18" t="str">
        <f t="shared" si="13"/>
        <v xml:space="preserve"> سيد ايوب</v>
      </c>
      <c r="AC552" s="18"/>
      <c r="AD552" s="18"/>
      <c r="AE552" s="18"/>
      <c r="AF552" s="18"/>
      <c r="AG552" s="18"/>
      <c r="AH552" s="13"/>
      <c r="AI552" s="18"/>
      <c r="AJ552" s="13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3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2"/>
      <c r="BK552" s="12"/>
      <c r="BL552" s="12"/>
      <c r="BM552" s="9"/>
      <c r="BN552" s="9"/>
      <c r="BO552" s="9"/>
      <c r="BP552" s="12"/>
      <c r="BQ552" s="12"/>
      <c r="BR552" s="12"/>
      <c r="BS552" s="12"/>
      <c r="BT552" s="12"/>
      <c r="BU552" s="12"/>
      <c r="BV552" s="12"/>
      <c r="BW552" s="12"/>
      <c r="BX552" s="12"/>
      <c r="BY552" s="9"/>
      <c r="BZ552" s="21"/>
      <c r="CA552" s="21"/>
      <c r="CB552" s="21"/>
      <c r="CC552" s="21"/>
      <c r="CD552" s="21"/>
      <c r="CE552" s="21"/>
      <c r="CF552" s="21"/>
      <c r="CG552" s="21"/>
      <c r="CH552" s="21"/>
      <c r="CI552" s="21"/>
      <c r="CJ552" s="21"/>
    </row>
    <row r="553" spans="1:88" ht="40.5" customHeight="1">
      <c r="A553" s="9">
        <f t="shared" si="10"/>
        <v>551</v>
      </c>
      <c r="B553" s="9" t="str">
        <f t="shared" si="11"/>
        <v xml:space="preserve">MA
</v>
      </c>
      <c r="C553" s="28" t="s">
        <v>1434</v>
      </c>
      <c r="D553" s="9" t="s">
        <v>1298</v>
      </c>
      <c r="E553" s="12">
        <v>0</v>
      </c>
      <c r="F553" s="12">
        <v>0</v>
      </c>
      <c r="G553" s="12" t="b">
        <v>0</v>
      </c>
      <c r="H553" s="9" t="s">
        <v>75</v>
      </c>
      <c r="I553" s="9" t="s">
        <v>1435</v>
      </c>
      <c r="J553" s="28" t="s">
        <v>1436</v>
      </c>
      <c r="K553" s="9" t="s">
        <v>79</v>
      </c>
      <c r="L553" s="12"/>
      <c r="M553" s="12"/>
      <c r="N553" s="13"/>
      <c r="O553" s="16" t="s">
        <v>78</v>
      </c>
      <c r="P553" s="23" t="s">
        <v>785</v>
      </c>
      <c r="Q553" s="15" t="s">
        <v>1301</v>
      </c>
      <c r="R553" s="14" t="s">
        <v>75</v>
      </c>
      <c r="S553" s="14" t="s">
        <v>75</v>
      </c>
      <c r="T553" s="16" t="s">
        <v>101</v>
      </c>
      <c r="U553" s="17"/>
      <c r="V553" s="13"/>
      <c r="W553" s="13"/>
      <c r="X553" s="13"/>
      <c r="Y553" s="13"/>
      <c r="Z553" s="13"/>
      <c r="AA553" s="13"/>
      <c r="AB553" s="18" t="str">
        <f t="shared" si="13"/>
        <v>شركة المحور للألمنيوم</v>
      </c>
      <c r="AC553" s="18"/>
      <c r="AD553" s="18"/>
      <c r="AE553" s="18"/>
      <c r="AF553" s="18"/>
      <c r="AG553" s="18"/>
      <c r="AH553" s="13"/>
      <c r="AI553" s="18"/>
      <c r="AJ553" s="13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3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2"/>
      <c r="BK553" s="12"/>
      <c r="BL553" s="12"/>
      <c r="BM553" s="9"/>
      <c r="BN553" s="9"/>
      <c r="BO553" s="9"/>
      <c r="BP553" s="12"/>
      <c r="BQ553" s="12"/>
      <c r="BR553" s="12"/>
      <c r="BS553" s="12"/>
      <c r="BT553" s="12"/>
      <c r="BU553" s="12"/>
      <c r="BV553" s="12"/>
      <c r="BW553" s="12"/>
      <c r="BX553" s="12"/>
      <c r="BY553" s="9"/>
      <c r="BZ553" s="21"/>
      <c r="CA553" s="21"/>
      <c r="CB553" s="21"/>
      <c r="CC553" s="21"/>
      <c r="CD553" s="21"/>
      <c r="CE553" s="21"/>
      <c r="CF553" s="21"/>
      <c r="CG553" s="21"/>
      <c r="CH553" s="21"/>
      <c r="CI553" s="21"/>
      <c r="CJ553" s="21"/>
    </row>
    <row r="554" spans="1:88" ht="40.5" customHeight="1">
      <c r="A554" s="9">
        <f t="shared" si="10"/>
        <v>552</v>
      </c>
      <c r="B554" s="9" t="str">
        <f t="shared" si="11"/>
        <v xml:space="preserve">MA
</v>
      </c>
      <c r="C554" s="28" t="s">
        <v>1437</v>
      </c>
      <c r="D554" s="9" t="s">
        <v>1298</v>
      </c>
      <c r="E554" s="12">
        <v>0</v>
      </c>
      <c r="F554" s="12">
        <v>0</v>
      </c>
      <c r="G554" s="12" t="b">
        <v>0</v>
      </c>
      <c r="H554" s="9" t="s">
        <v>75</v>
      </c>
      <c r="I554" s="10" t="s">
        <v>1438</v>
      </c>
      <c r="J554" s="28" t="s">
        <v>1439</v>
      </c>
      <c r="K554" s="9" t="s">
        <v>1320</v>
      </c>
      <c r="L554" s="12"/>
      <c r="M554" s="12"/>
      <c r="N554" s="13"/>
      <c r="O554" s="13"/>
      <c r="P554" s="17"/>
      <c r="Q554" s="13"/>
      <c r="R554" s="17"/>
      <c r="S554" s="17"/>
      <c r="T554" s="13"/>
      <c r="U554" s="17"/>
      <c r="V554" s="13"/>
      <c r="W554" s="13"/>
      <c r="X554" s="13"/>
      <c r="Y554" s="13"/>
      <c r="Z554" s="13"/>
      <c r="AA554" s="13"/>
      <c r="AB554" s="18" t="str">
        <f t="shared" si="13"/>
        <v>شركة نبأ السلام للأستثمارات العقاريه والمقاولات العامه العراق</v>
      </c>
      <c r="AC554" s="18"/>
      <c r="AD554" s="18"/>
      <c r="AE554" s="18"/>
      <c r="AF554" s="18"/>
      <c r="AG554" s="18"/>
      <c r="AH554" s="13"/>
      <c r="AI554" s="18"/>
      <c r="AJ554" s="13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3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2"/>
      <c r="BK554" s="12"/>
      <c r="BL554" s="12"/>
      <c r="BM554" s="9"/>
      <c r="BN554" s="9"/>
      <c r="BO554" s="9"/>
      <c r="BP554" s="12"/>
      <c r="BQ554" s="12"/>
      <c r="BR554" s="12"/>
      <c r="BS554" s="12"/>
      <c r="BT554" s="12"/>
      <c r="BU554" s="12"/>
      <c r="BV554" s="12"/>
      <c r="BW554" s="12"/>
      <c r="BX554" s="12"/>
      <c r="BY554" s="9"/>
      <c r="BZ554" s="21"/>
      <c r="CA554" s="21"/>
      <c r="CB554" s="21"/>
      <c r="CC554" s="21"/>
      <c r="CD554" s="21"/>
      <c r="CE554" s="21"/>
      <c r="CF554" s="21"/>
      <c r="CG554" s="21"/>
      <c r="CH554" s="21"/>
      <c r="CI554" s="21"/>
      <c r="CJ554" s="21"/>
    </row>
    <row r="555" spans="1:88" ht="40.5" customHeight="1">
      <c r="A555" s="9">
        <f t="shared" si="10"/>
        <v>553</v>
      </c>
      <c r="B555" s="9" t="str">
        <f t="shared" si="11"/>
        <v xml:space="preserve">MA
</v>
      </c>
      <c r="C555" s="28" t="s">
        <v>1440</v>
      </c>
      <c r="D555" s="9" t="s">
        <v>397</v>
      </c>
      <c r="E555" s="12">
        <v>0</v>
      </c>
      <c r="F555" s="12">
        <v>0</v>
      </c>
      <c r="G555" s="12" t="b">
        <v>0</v>
      </c>
      <c r="H555" s="9" t="s">
        <v>75</v>
      </c>
      <c r="I555" s="9" t="s">
        <v>1441</v>
      </c>
      <c r="J555" s="9" t="s">
        <v>75</v>
      </c>
      <c r="K555" s="9" t="s">
        <v>79</v>
      </c>
      <c r="L555" s="12"/>
      <c r="M555" s="12"/>
      <c r="N555" s="13"/>
      <c r="O555" s="13"/>
      <c r="P555" s="17"/>
      <c r="Q555" s="13"/>
      <c r="R555" s="17"/>
      <c r="S555" s="17"/>
      <c r="T555" s="13"/>
      <c r="U555" s="17"/>
      <c r="V555" s="13"/>
      <c r="W555" s="13"/>
      <c r="X555" s="13"/>
      <c r="Y555" s="13"/>
      <c r="Z555" s="13"/>
      <c r="AA555" s="13"/>
      <c r="AB555" s="18" t="str">
        <f t="shared" si="13"/>
        <v xml:space="preserve"> الشروق الدولية لتجارة الالمنيوم والاكسسوارات الاردن</v>
      </c>
      <c r="AC555" s="18"/>
      <c r="AD555" s="18"/>
      <c r="AE555" s="18"/>
      <c r="AF555" s="18"/>
      <c r="AG555" s="18"/>
      <c r="AH555" s="13"/>
      <c r="AI555" s="18"/>
      <c r="AJ555" s="13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3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2"/>
      <c r="BK555" s="12"/>
      <c r="BL555" s="12"/>
      <c r="BM555" s="9"/>
      <c r="BN555" s="9"/>
      <c r="BO555" s="9"/>
      <c r="BP555" s="12"/>
      <c r="BQ555" s="12"/>
      <c r="BR555" s="12"/>
      <c r="BS555" s="12"/>
      <c r="BT555" s="12"/>
      <c r="BU555" s="12"/>
      <c r="BV555" s="12"/>
      <c r="BW555" s="12"/>
      <c r="BX555" s="12"/>
      <c r="BY555" s="9"/>
      <c r="BZ555" s="21"/>
      <c r="CA555" s="21"/>
      <c r="CB555" s="21"/>
      <c r="CC555" s="21"/>
      <c r="CD555" s="21"/>
      <c r="CE555" s="21"/>
      <c r="CF555" s="21"/>
      <c r="CG555" s="21"/>
      <c r="CH555" s="21"/>
      <c r="CI555" s="21"/>
      <c r="CJ555" s="21"/>
    </row>
    <row r="556" spans="1:88" ht="40.5" customHeight="1">
      <c r="A556" s="9">
        <f t="shared" si="10"/>
        <v>554</v>
      </c>
      <c r="B556" s="9" t="str">
        <f t="shared" si="11"/>
        <v xml:space="preserve">MA
</v>
      </c>
      <c r="C556" s="28" t="s">
        <v>1442</v>
      </c>
      <c r="D556" s="9" t="s">
        <v>397</v>
      </c>
      <c r="E556" s="12">
        <v>0</v>
      </c>
      <c r="F556" s="12">
        <v>0</v>
      </c>
      <c r="G556" s="12" t="b">
        <v>0</v>
      </c>
      <c r="H556" s="9" t="s">
        <v>75</v>
      </c>
      <c r="I556" s="10" t="s">
        <v>1443</v>
      </c>
      <c r="J556" s="9" t="s">
        <v>75</v>
      </c>
      <c r="K556" s="9" t="s">
        <v>79</v>
      </c>
      <c r="L556" s="12"/>
      <c r="M556" s="12"/>
      <c r="N556" s="13"/>
      <c r="O556" s="13"/>
      <c r="P556" s="17"/>
      <c r="Q556" s="13"/>
      <c r="R556" s="17"/>
      <c r="S556" s="17"/>
      <c r="T556" s="13"/>
      <c r="U556" s="17"/>
      <c r="V556" s="13"/>
      <c r="W556" s="13"/>
      <c r="X556" s="13"/>
      <c r="Y556" s="13"/>
      <c r="Z556" s="13"/>
      <c r="AA556" s="13"/>
      <c r="AB556" s="18" t="str">
        <f t="shared" si="13"/>
        <v>الناطور للالمنيوم والاباجورات</v>
      </c>
      <c r="AC556" s="18"/>
      <c r="AD556" s="18"/>
      <c r="AE556" s="18"/>
      <c r="AF556" s="18"/>
      <c r="AG556" s="18"/>
      <c r="AH556" s="13"/>
      <c r="AI556" s="18"/>
      <c r="AJ556" s="13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3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2"/>
      <c r="BK556" s="12"/>
      <c r="BL556" s="12"/>
      <c r="BM556" s="9"/>
      <c r="BN556" s="9"/>
      <c r="BO556" s="9"/>
      <c r="BP556" s="12"/>
      <c r="BQ556" s="12"/>
      <c r="BR556" s="12"/>
      <c r="BS556" s="12"/>
      <c r="BT556" s="12"/>
      <c r="BU556" s="12"/>
      <c r="BV556" s="12"/>
      <c r="BW556" s="12"/>
      <c r="BX556" s="12"/>
      <c r="BY556" s="9"/>
      <c r="BZ556" s="21"/>
      <c r="CA556" s="21"/>
      <c r="CB556" s="21"/>
      <c r="CC556" s="21"/>
      <c r="CD556" s="21"/>
      <c r="CE556" s="21"/>
      <c r="CF556" s="21"/>
      <c r="CG556" s="21"/>
      <c r="CH556" s="21"/>
      <c r="CI556" s="21"/>
      <c r="CJ556" s="21"/>
    </row>
    <row r="557" spans="1:88" ht="40.5" customHeight="1">
      <c r="A557" s="9">
        <f t="shared" si="10"/>
        <v>555</v>
      </c>
      <c r="B557" s="9" t="str">
        <f t="shared" si="11"/>
        <v xml:space="preserve">MA
</v>
      </c>
      <c r="C557" s="28" t="s">
        <v>1444</v>
      </c>
      <c r="D557" s="9" t="s">
        <v>397</v>
      </c>
      <c r="E557" s="12">
        <v>0</v>
      </c>
      <c r="F557" s="12">
        <v>0</v>
      </c>
      <c r="G557" s="12" t="b">
        <v>0</v>
      </c>
      <c r="H557" s="9" t="s">
        <v>75</v>
      </c>
      <c r="I557" s="10" t="s">
        <v>1445</v>
      </c>
      <c r="J557" s="9" t="s">
        <v>75</v>
      </c>
      <c r="K557" s="9" t="s">
        <v>79</v>
      </c>
      <c r="L557" s="12"/>
      <c r="M557" s="12"/>
      <c r="N557" s="13"/>
      <c r="O557" s="13"/>
      <c r="P557" s="17"/>
      <c r="Q557" s="13"/>
      <c r="R557" s="17"/>
      <c r="S557" s="17"/>
      <c r="T557" s="13"/>
      <c r="U557" s="17"/>
      <c r="V557" s="13"/>
      <c r="W557" s="13"/>
      <c r="X557" s="13"/>
      <c r="Y557" s="13"/>
      <c r="Z557" s="13"/>
      <c r="AA557" s="13"/>
      <c r="AB557" s="18" t="str">
        <f t="shared" si="13"/>
        <v>المنيوم السلام الاردن</v>
      </c>
      <c r="AC557" s="18"/>
      <c r="AD557" s="18"/>
      <c r="AE557" s="18"/>
      <c r="AF557" s="18"/>
      <c r="AG557" s="18"/>
      <c r="AH557" s="13"/>
      <c r="AI557" s="18"/>
      <c r="AJ557" s="13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3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2"/>
      <c r="BK557" s="12"/>
      <c r="BL557" s="12"/>
      <c r="BM557" s="9"/>
      <c r="BN557" s="9"/>
      <c r="BO557" s="9"/>
      <c r="BP557" s="12"/>
      <c r="BQ557" s="12"/>
      <c r="BR557" s="12"/>
      <c r="BS557" s="12"/>
      <c r="BT557" s="12"/>
      <c r="BU557" s="12"/>
      <c r="BV557" s="12"/>
      <c r="BW557" s="12"/>
      <c r="BX557" s="12"/>
      <c r="BY557" s="9"/>
      <c r="BZ557" s="21"/>
      <c r="CA557" s="21"/>
      <c r="CB557" s="21"/>
      <c r="CC557" s="21"/>
      <c r="CD557" s="21"/>
      <c r="CE557" s="21"/>
      <c r="CF557" s="21"/>
      <c r="CG557" s="21"/>
      <c r="CH557" s="21"/>
      <c r="CI557" s="21"/>
      <c r="CJ557" s="21"/>
    </row>
    <row r="558" spans="1:88" ht="40.5" customHeight="1">
      <c r="A558" s="9">
        <f t="shared" si="10"/>
        <v>556</v>
      </c>
      <c r="B558" s="9" t="str">
        <f t="shared" si="11"/>
        <v xml:space="preserve">MA
</v>
      </c>
      <c r="C558" s="28" t="s">
        <v>1446</v>
      </c>
      <c r="D558" s="9" t="s">
        <v>397</v>
      </c>
      <c r="E558" s="12">
        <v>0</v>
      </c>
      <c r="F558" s="12">
        <v>0</v>
      </c>
      <c r="G558" s="12" t="b">
        <v>0</v>
      </c>
      <c r="H558" s="9" t="s">
        <v>75</v>
      </c>
      <c r="I558" s="9" t="s">
        <v>1447</v>
      </c>
      <c r="J558" s="9" t="s">
        <v>75</v>
      </c>
      <c r="K558" s="9" t="s">
        <v>79</v>
      </c>
      <c r="L558" s="12"/>
      <c r="M558" s="12"/>
      <c r="N558" s="13"/>
      <c r="O558" s="13"/>
      <c r="P558" s="17"/>
      <c r="Q558" s="13"/>
      <c r="R558" s="17"/>
      <c r="S558" s="17"/>
      <c r="T558" s="13"/>
      <c r="U558" s="17"/>
      <c r="V558" s="13"/>
      <c r="W558" s="13"/>
      <c r="X558" s="13"/>
      <c r="Y558" s="13"/>
      <c r="Z558" s="13"/>
      <c r="AA558" s="13"/>
      <c r="AB558" s="18" t="str">
        <f t="shared" si="13"/>
        <v xml:space="preserve"> الميراث للالمنيوم الاردن</v>
      </c>
      <c r="AC558" s="18"/>
      <c r="AD558" s="18"/>
      <c r="AE558" s="18"/>
      <c r="AF558" s="18"/>
      <c r="AG558" s="18"/>
      <c r="AH558" s="13"/>
      <c r="AI558" s="18"/>
      <c r="AJ558" s="13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3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2"/>
      <c r="BK558" s="12"/>
      <c r="BL558" s="12"/>
      <c r="BM558" s="9"/>
      <c r="BN558" s="9"/>
      <c r="BO558" s="9"/>
      <c r="BP558" s="12"/>
      <c r="BQ558" s="12"/>
      <c r="BR558" s="12"/>
      <c r="BS558" s="12"/>
      <c r="BT558" s="12"/>
      <c r="BU558" s="12"/>
      <c r="BV558" s="12"/>
      <c r="BW558" s="12"/>
      <c r="BX558" s="12"/>
      <c r="BY558" s="9"/>
      <c r="BZ558" s="21"/>
      <c r="CA558" s="21"/>
      <c r="CB558" s="21"/>
      <c r="CC558" s="21"/>
      <c r="CD558" s="21"/>
      <c r="CE558" s="21"/>
      <c r="CF558" s="21"/>
      <c r="CG558" s="21"/>
      <c r="CH558" s="21"/>
      <c r="CI558" s="21"/>
      <c r="CJ558" s="21"/>
    </row>
    <row r="559" spans="1:88" ht="40.5" customHeight="1">
      <c r="A559" s="9">
        <f t="shared" si="10"/>
        <v>557</v>
      </c>
      <c r="B559" s="9" t="str">
        <f t="shared" si="11"/>
        <v xml:space="preserve">MA
</v>
      </c>
      <c r="C559" s="28" t="s">
        <v>1448</v>
      </c>
      <c r="D559" s="9" t="s">
        <v>397</v>
      </c>
      <c r="E559" s="12">
        <v>0</v>
      </c>
      <c r="F559" s="12">
        <v>0</v>
      </c>
      <c r="G559" s="12" t="b">
        <v>0</v>
      </c>
      <c r="H559" s="9" t="s">
        <v>75</v>
      </c>
      <c r="I559" s="9" t="s">
        <v>1449</v>
      </c>
      <c r="J559" s="9" t="s">
        <v>75</v>
      </c>
      <c r="K559" s="9" t="s">
        <v>79</v>
      </c>
      <c r="L559" s="12"/>
      <c r="M559" s="12"/>
      <c r="N559" s="13"/>
      <c r="O559" s="13"/>
      <c r="P559" s="17"/>
      <c r="Q559" s="13"/>
      <c r="R559" s="17"/>
      <c r="S559" s="17"/>
      <c r="T559" s="13"/>
      <c r="U559" s="17"/>
      <c r="V559" s="13"/>
      <c r="W559" s="13"/>
      <c r="X559" s="13"/>
      <c r="Y559" s="13"/>
      <c r="Z559" s="13"/>
      <c r="AA559" s="13"/>
      <c r="AB559" s="18" t="str">
        <f t="shared" si="13"/>
        <v xml:space="preserve"> معمل افاق للألمنيوم</v>
      </c>
      <c r="AC559" s="18"/>
      <c r="AD559" s="18"/>
      <c r="AE559" s="18"/>
      <c r="AF559" s="18"/>
      <c r="AG559" s="18"/>
      <c r="AH559" s="13"/>
      <c r="AI559" s="18"/>
      <c r="AJ559" s="13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3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2"/>
      <c r="BK559" s="12"/>
      <c r="BL559" s="12"/>
      <c r="BM559" s="9"/>
      <c r="BN559" s="9"/>
      <c r="BO559" s="9"/>
      <c r="BP559" s="12"/>
      <c r="BQ559" s="12"/>
      <c r="BR559" s="12"/>
      <c r="BS559" s="12"/>
      <c r="BT559" s="12"/>
      <c r="BU559" s="12"/>
      <c r="BV559" s="12"/>
      <c r="BW559" s="12"/>
      <c r="BX559" s="12"/>
      <c r="BY559" s="9"/>
      <c r="BZ559" s="21"/>
      <c r="CA559" s="21"/>
      <c r="CB559" s="21"/>
      <c r="CC559" s="21"/>
      <c r="CD559" s="21"/>
      <c r="CE559" s="21"/>
      <c r="CF559" s="21"/>
      <c r="CG559" s="21"/>
      <c r="CH559" s="21"/>
      <c r="CI559" s="21"/>
      <c r="CJ559" s="21"/>
    </row>
    <row r="560" spans="1:88" ht="40.5" customHeight="1">
      <c r="A560" s="9">
        <f t="shared" si="10"/>
        <v>558</v>
      </c>
      <c r="B560" s="9" t="str">
        <f t="shared" si="11"/>
        <v xml:space="preserve">MA
</v>
      </c>
      <c r="C560" s="28" t="s">
        <v>1450</v>
      </c>
      <c r="D560" s="9" t="s">
        <v>397</v>
      </c>
      <c r="E560" s="12">
        <v>0</v>
      </c>
      <c r="F560" s="12">
        <v>0</v>
      </c>
      <c r="G560" s="12" t="b">
        <v>0</v>
      </c>
      <c r="H560" s="9" t="s">
        <v>75</v>
      </c>
      <c r="I560" s="9" t="s">
        <v>1451</v>
      </c>
      <c r="J560" s="9" t="s">
        <v>75</v>
      </c>
      <c r="K560" s="9" t="s">
        <v>79</v>
      </c>
      <c r="L560" s="12"/>
      <c r="M560" s="12"/>
      <c r="N560" s="13"/>
      <c r="O560" s="13"/>
      <c r="P560" s="17"/>
      <c r="Q560" s="13"/>
      <c r="R560" s="17"/>
      <c r="S560" s="17"/>
      <c r="T560" s="13"/>
      <c r="U560" s="17"/>
      <c r="V560" s="13"/>
      <c r="W560" s="13"/>
      <c r="X560" s="13"/>
      <c r="Y560" s="13"/>
      <c r="Z560" s="13"/>
      <c r="AA560" s="13"/>
      <c r="AB560" s="18" t="str">
        <f t="shared" si="13"/>
        <v xml:space="preserve"> القطاعات للألمنيوم الاردن</v>
      </c>
      <c r="AC560" s="18"/>
      <c r="AD560" s="18"/>
      <c r="AE560" s="18"/>
      <c r="AF560" s="18"/>
      <c r="AG560" s="18"/>
      <c r="AH560" s="13"/>
      <c r="AI560" s="18"/>
      <c r="AJ560" s="13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3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2"/>
      <c r="BK560" s="12"/>
      <c r="BL560" s="12"/>
      <c r="BM560" s="9"/>
      <c r="BN560" s="9"/>
      <c r="BO560" s="9"/>
      <c r="BP560" s="12"/>
      <c r="BQ560" s="12"/>
      <c r="BR560" s="12"/>
      <c r="BS560" s="12"/>
      <c r="BT560" s="12"/>
      <c r="BU560" s="12"/>
      <c r="BV560" s="12"/>
      <c r="BW560" s="12"/>
      <c r="BX560" s="12"/>
      <c r="BY560" s="9"/>
      <c r="BZ560" s="21"/>
      <c r="CA560" s="21"/>
      <c r="CB560" s="21"/>
      <c r="CC560" s="21"/>
      <c r="CD560" s="21"/>
      <c r="CE560" s="21"/>
      <c r="CF560" s="21"/>
      <c r="CG560" s="21"/>
      <c r="CH560" s="21"/>
      <c r="CI560" s="21"/>
      <c r="CJ560" s="21"/>
    </row>
    <row r="561" spans="1:88" ht="40.5" customHeight="1">
      <c r="A561" s="9">
        <f t="shared" si="10"/>
        <v>559</v>
      </c>
      <c r="B561" s="9" t="str">
        <f t="shared" si="11"/>
        <v xml:space="preserve">MA
</v>
      </c>
      <c r="C561" s="28" t="s">
        <v>1452</v>
      </c>
      <c r="D561" s="9" t="s">
        <v>397</v>
      </c>
      <c r="E561" s="12">
        <v>0</v>
      </c>
      <c r="F561" s="12">
        <v>0</v>
      </c>
      <c r="G561" s="12" t="b">
        <v>0</v>
      </c>
      <c r="H561" s="9" t="s">
        <v>75</v>
      </c>
      <c r="I561" s="9" t="s">
        <v>1453</v>
      </c>
      <c r="J561" s="9" t="s">
        <v>75</v>
      </c>
      <c r="K561" s="9" t="s">
        <v>79</v>
      </c>
      <c r="L561" s="12"/>
      <c r="M561" s="12"/>
      <c r="N561" s="13"/>
      <c r="O561" s="13"/>
      <c r="P561" s="17"/>
      <c r="Q561" s="13"/>
      <c r="R561" s="17"/>
      <c r="S561" s="17"/>
      <c r="T561" s="13"/>
      <c r="U561" s="17"/>
      <c r="V561" s="13"/>
      <c r="W561" s="13"/>
      <c r="X561" s="13"/>
      <c r="Y561" s="13"/>
      <c r="Z561" s="13"/>
      <c r="AA561" s="13"/>
      <c r="AB561" s="18" t="str">
        <f t="shared" si="13"/>
        <v xml:space="preserve"> مؤسسة حسين جبر للالمنيوم الاردن</v>
      </c>
      <c r="AC561" s="18"/>
      <c r="AD561" s="18"/>
      <c r="AE561" s="18"/>
      <c r="AF561" s="18"/>
      <c r="AG561" s="18"/>
      <c r="AH561" s="13"/>
      <c r="AI561" s="18"/>
      <c r="AJ561" s="13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3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2"/>
      <c r="BK561" s="12"/>
      <c r="BL561" s="12"/>
      <c r="BM561" s="9"/>
      <c r="BN561" s="9"/>
      <c r="BO561" s="9"/>
      <c r="BP561" s="12"/>
      <c r="BQ561" s="12"/>
      <c r="BR561" s="12"/>
      <c r="BS561" s="12"/>
      <c r="BT561" s="12"/>
      <c r="BU561" s="12"/>
      <c r="BV561" s="12"/>
      <c r="BW561" s="12"/>
      <c r="BX561" s="12"/>
      <c r="BY561" s="9"/>
      <c r="BZ561" s="21"/>
      <c r="CA561" s="21"/>
      <c r="CB561" s="21"/>
      <c r="CC561" s="21"/>
      <c r="CD561" s="21"/>
      <c r="CE561" s="21"/>
      <c r="CF561" s="21"/>
      <c r="CG561" s="21"/>
      <c r="CH561" s="21"/>
      <c r="CI561" s="21"/>
      <c r="CJ561" s="21"/>
    </row>
    <row r="562" spans="1:88" ht="40.5" customHeight="1">
      <c r="A562" s="9">
        <f t="shared" si="10"/>
        <v>560</v>
      </c>
      <c r="B562" s="9" t="str">
        <f t="shared" si="11"/>
        <v xml:space="preserve">MA
</v>
      </c>
      <c r="C562" s="28" t="s">
        <v>1454</v>
      </c>
      <c r="D562" s="9" t="s">
        <v>397</v>
      </c>
      <c r="E562" s="12">
        <v>0</v>
      </c>
      <c r="F562" s="12">
        <v>0</v>
      </c>
      <c r="G562" s="12" t="b">
        <v>0</v>
      </c>
      <c r="H562" s="9" t="s">
        <v>75</v>
      </c>
      <c r="I562" s="9" t="s">
        <v>1455</v>
      </c>
      <c r="J562" s="9" t="s">
        <v>75</v>
      </c>
      <c r="K562" s="9" t="s">
        <v>79</v>
      </c>
      <c r="L562" s="12"/>
      <c r="M562" s="12"/>
      <c r="N562" s="13"/>
      <c r="O562" s="13"/>
      <c r="P562" s="17"/>
      <c r="Q562" s="13"/>
      <c r="R562" s="17"/>
      <c r="S562" s="17"/>
      <c r="T562" s="13"/>
      <c r="U562" s="17"/>
      <c r="V562" s="13"/>
      <c r="W562" s="13"/>
      <c r="X562" s="13"/>
      <c r="Y562" s="13"/>
      <c r="Z562" s="13"/>
      <c r="AA562" s="13"/>
      <c r="AB562" s="18" t="str">
        <f t="shared" si="13"/>
        <v xml:space="preserve"> مؤسسة حسام حجازي لتجارة لوازم الالمنيوم الاردن</v>
      </c>
      <c r="AC562" s="18"/>
      <c r="AD562" s="18"/>
      <c r="AE562" s="18"/>
      <c r="AF562" s="18"/>
      <c r="AG562" s="18"/>
      <c r="AH562" s="13"/>
      <c r="AI562" s="18"/>
      <c r="AJ562" s="13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3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2"/>
      <c r="BK562" s="12"/>
      <c r="BL562" s="12"/>
      <c r="BM562" s="9"/>
      <c r="BN562" s="9"/>
      <c r="BO562" s="9"/>
      <c r="BP562" s="12"/>
      <c r="BQ562" s="12"/>
      <c r="BR562" s="12"/>
      <c r="BS562" s="12"/>
      <c r="BT562" s="12"/>
      <c r="BU562" s="12"/>
      <c r="BV562" s="12"/>
      <c r="BW562" s="12"/>
      <c r="BX562" s="12"/>
      <c r="BY562" s="9"/>
      <c r="BZ562" s="21"/>
      <c r="CA562" s="21"/>
      <c r="CB562" s="21"/>
      <c r="CC562" s="21"/>
      <c r="CD562" s="21"/>
      <c r="CE562" s="21"/>
      <c r="CF562" s="21"/>
      <c r="CG562" s="21"/>
      <c r="CH562" s="21"/>
      <c r="CI562" s="21"/>
      <c r="CJ562" s="21"/>
    </row>
    <row r="563" spans="1:88" ht="40.5" customHeight="1">
      <c r="A563" s="9">
        <f t="shared" si="10"/>
        <v>561</v>
      </c>
      <c r="B563" s="9" t="str">
        <f t="shared" si="11"/>
        <v xml:space="preserve">MA
</v>
      </c>
      <c r="C563" s="28" t="s">
        <v>1456</v>
      </c>
      <c r="D563" s="9" t="s">
        <v>1298</v>
      </c>
      <c r="E563" s="12">
        <v>0</v>
      </c>
      <c r="F563" s="12">
        <v>0</v>
      </c>
      <c r="G563" s="12" t="b">
        <v>0</v>
      </c>
      <c r="H563" s="9" t="s">
        <v>75</v>
      </c>
      <c r="I563" s="9" t="s">
        <v>1457</v>
      </c>
      <c r="J563" s="9" t="s">
        <v>75</v>
      </c>
      <c r="K563" s="9" t="s">
        <v>79</v>
      </c>
      <c r="L563" s="12"/>
      <c r="M563" s="12"/>
      <c r="N563" s="13"/>
      <c r="O563" s="13"/>
      <c r="P563" s="17"/>
      <c r="Q563" s="13"/>
      <c r="R563" s="17"/>
      <c r="S563" s="17"/>
      <c r="T563" s="13"/>
      <c r="U563" s="17"/>
      <c r="V563" s="13"/>
      <c r="W563" s="13"/>
      <c r="X563" s="13"/>
      <c r="Y563" s="13"/>
      <c r="Z563" s="13"/>
      <c r="AA563" s="13"/>
      <c r="AB563" s="18" t="str">
        <f t="shared" si="13"/>
        <v xml:space="preserve"> البراق للالمنيوم</v>
      </c>
      <c r="AC563" s="18"/>
      <c r="AD563" s="18"/>
      <c r="AE563" s="18"/>
      <c r="AF563" s="18"/>
      <c r="AG563" s="18"/>
      <c r="AH563" s="13"/>
      <c r="AI563" s="18"/>
      <c r="AJ563" s="13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3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2"/>
      <c r="BK563" s="12"/>
      <c r="BL563" s="12"/>
      <c r="BM563" s="9"/>
      <c r="BN563" s="9"/>
      <c r="BO563" s="9"/>
      <c r="BP563" s="12"/>
      <c r="BQ563" s="12"/>
      <c r="BR563" s="12"/>
      <c r="BS563" s="12"/>
      <c r="BT563" s="12"/>
      <c r="BU563" s="12"/>
      <c r="BV563" s="12"/>
      <c r="BW563" s="12"/>
      <c r="BX563" s="12"/>
      <c r="BY563" s="9"/>
      <c r="BZ563" s="21"/>
      <c r="CA563" s="21"/>
      <c r="CB563" s="21"/>
      <c r="CC563" s="21"/>
      <c r="CD563" s="21"/>
      <c r="CE563" s="21"/>
      <c r="CF563" s="21"/>
      <c r="CG563" s="21"/>
      <c r="CH563" s="21"/>
      <c r="CI563" s="21"/>
      <c r="CJ563" s="21"/>
    </row>
    <row r="564" spans="1:88" ht="40.5" customHeight="1">
      <c r="A564" s="9">
        <f t="shared" si="10"/>
        <v>562</v>
      </c>
      <c r="B564" s="9" t="str">
        <f t="shared" si="11"/>
        <v xml:space="preserve">MA
</v>
      </c>
      <c r="C564" s="28" t="s">
        <v>1458</v>
      </c>
      <c r="D564" s="9" t="s">
        <v>1298</v>
      </c>
      <c r="E564" s="12">
        <v>0</v>
      </c>
      <c r="F564" s="12">
        <v>0</v>
      </c>
      <c r="G564" s="12" t="b">
        <v>0</v>
      </c>
      <c r="H564" s="9" t="s">
        <v>75</v>
      </c>
      <c r="I564" s="10" t="s">
        <v>1459</v>
      </c>
      <c r="J564" s="28" t="s">
        <v>1310</v>
      </c>
      <c r="K564" s="9" t="s">
        <v>79</v>
      </c>
      <c r="L564" s="12"/>
      <c r="M564" s="12"/>
      <c r="N564" s="13"/>
      <c r="O564" s="13"/>
      <c r="P564" s="17"/>
      <c r="Q564" s="13"/>
      <c r="R564" s="17"/>
      <c r="S564" s="17"/>
      <c r="T564" s="13"/>
      <c r="U564" s="17"/>
      <c r="V564" s="13"/>
      <c r="W564" s="13"/>
      <c r="X564" s="13"/>
      <c r="Y564" s="13"/>
      <c r="Z564" s="13"/>
      <c r="AA564" s="13"/>
      <c r="AB564" s="18" t="str">
        <f t="shared" si="13"/>
        <v>  سايت للالمنيوم</v>
      </c>
      <c r="AC564" s="18"/>
      <c r="AD564" s="18"/>
      <c r="AE564" s="18"/>
      <c r="AF564" s="18"/>
      <c r="AG564" s="18"/>
      <c r="AH564" s="13"/>
      <c r="AI564" s="18"/>
      <c r="AJ564" s="13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3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2"/>
      <c r="BK564" s="12"/>
      <c r="BL564" s="12"/>
      <c r="BM564" s="9"/>
      <c r="BN564" s="9"/>
      <c r="BO564" s="9"/>
      <c r="BP564" s="12"/>
      <c r="BQ564" s="12"/>
      <c r="BR564" s="12"/>
      <c r="BS564" s="12"/>
      <c r="BT564" s="12"/>
      <c r="BU564" s="12"/>
      <c r="BV564" s="12"/>
      <c r="BW564" s="12"/>
      <c r="BX564" s="12"/>
      <c r="BY564" s="9"/>
      <c r="BZ564" s="21"/>
      <c r="CA564" s="21"/>
      <c r="CB564" s="21"/>
      <c r="CC564" s="21"/>
      <c r="CD564" s="21"/>
      <c r="CE564" s="21"/>
      <c r="CF564" s="21"/>
      <c r="CG564" s="21"/>
      <c r="CH564" s="21"/>
      <c r="CI564" s="21"/>
      <c r="CJ564" s="21"/>
    </row>
    <row r="565" spans="1:88" ht="40.5" customHeight="1">
      <c r="A565" s="9">
        <f t="shared" si="10"/>
        <v>563</v>
      </c>
      <c r="B565" s="9" t="str">
        <f t="shared" si="11"/>
        <v xml:space="preserve">MA
</v>
      </c>
      <c r="C565" s="28" t="s">
        <v>1460</v>
      </c>
      <c r="D565" s="9" t="s">
        <v>397</v>
      </c>
      <c r="E565" s="12">
        <v>0</v>
      </c>
      <c r="F565" s="12">
        <v>0</v>
      </c>
      <c r="G565" s="12" t="b">
        <v>0</v>
      </c>
      <c r="H565" s="9" t="s">
        <v>75</v>
      </c>
      <c r="I565" s="10" t="s">
        <v>1461</v>
      </c>
      <c r="J565" s="9" t="s">
        <v>75</v>
      </c>
      <c r="K565" s="9" t="s">
        <v>79</v>
      </c>
      <c r="L565" s="12"/>
      <c r="M565" s="12"/>
      <c r="N565" s="13"/>
      <c r="O565" s="13"/>
      <c r="P565" s="17"/>
      <c r="Q565" s="13"/>
      <c r="R565" s="17"/>
      <c r="S565" s="17"/>
      <c r="T565" s="13"/>
      <c r="U565" s="17"/>
      <c r="V565" s="13"/>
      <c r="W565" s="13"/>
      <c r="X565" s="13"/>
      <c r="Y565" s="13"/>
      <c r="Z565" s="13"/>
      <c r="AA565" s="13"/>
      <c r="AB565" s="18" t="str">
        <f t="shared" si="13"/>
        <v xml:space="preserve"> خالد ميلاد للالمنيوم الاردن</v>
      </c>
      <c r="AC565" s="18"/>
      <c r="AD565" s="18"/>
      <c r="AE565" s="18"/>
      <c r="AF565" s="18"/>
      <c r="AG565" s="18"/>
      <c r="AH565" s="13"/>
      <c r="AI565" s="18"/>
      <c r="AJ565" s="13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3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2"/>
      <c r="BK565" s="12"/>
      <c r="BL565" s="12"/>
      <c r="BM565" s="9"/>
      <c r="BN565" s="9"/>
      <c r="BO565" s="9"/>
      <c r="BP565" s="12"/>
      <c r="BQ565" s="12"/>
      <c r="BR565" s="12"/>
      <c r="BS565" s="12"/>
      <c r="BT565" s="12"/>
      <c r="BU565" s="12"/>
      <c r="BV565" s="12"/>
      <c r="BW565" s="12"/>
      <c r="BX565" s="12"/>
      <c r="BY565" s="9"/>
      <c r="BZ565" s="21"/>
      <c r="CA565" s="21"/>
      <c r="CB565" s="21"/>
      <c r="CC565" s="21"/>
      <c r="CD565" s="21"/>
      <c r="CE565" s="21"/>
      <c r="CF565" s="21"/>
      <c r="CG565" s="21"/>
      <c r="CH565" s="21"/>
      <c r="CI565" s="21"/>
      <c r="CJ565" s="21"/>
    </row>
    <row r="566" spans="1:88" ht="40.5" customHeight="1">
      <c r="A566" s="9">
        <f t="shared" si="10"/>
        <v>564</v>
      </c>
      <c r="B566" s="9" t="str">
        <f t="shared" si="11"/>
        <v xml:space="preserve">MA
</v>
      </c>
      <c r="C566" s="28" t="s">
        <v>1462</v>
      </c>
      <c r="D566" s="9" t="s">
        <v>397</v>
      </c>
      <c r="E566" s="12">
        <v>0</v>
      </c>
      <c r="F566" s="12">
        <v>0</v>
      </c>
      <c r="G566" s="12" t="b">
        <v>0</v>
      </c>
      <c r="H566" s="9" t="s">
        <v>75</v>
      </c>
      <c r="I566" s="9" t="s">
        <v>1463</v>
      </c>
      <c r="J566" s="9" t="s">
        <v>75</v>
      </c>
      <c r="K566" s="9" t="s">
        <v>79</v>
      </c>
      <c r="L566" s="12"/>
      <c r="M566" s="12"/>
      <c r="N566" s="13"/>
      <c r="O566" s="13"/>
      <c r="P566" s="17"/>
      <c r="Q566" s="13"/>
      <c r="R566" s="17"/>
      <c r="S566" s="17"/>
      <c r="T566" s="13"/>
      <c r="U566" s="17"/>
      <c r="V566" s="13"/>
      <c r="W566" s="13"/>
      <c r="X566" s="13"/>
      <c r="Y566" s="13"/>
      <c r="Z566" s="13"/>
      <c r="AA566" s="13"/>
      <c r="AB566" s="18" t="str">
        <f t="shared" si="13"/>
        <v xml:space="preserve"> مؤسسة احمد الجرمي للالمنيوم الاردن</v>
      </c>
      <c r="AC566" s="18"/>
      <c r="AD566" s="18"/>
      <c r="AE566" s="18"/>
      <c r="AF566" s="18"/>
      <c r="AG566" s="18"/>
      <c r="AH566" s="13"/>
      <c r="AI566" s="18"/>
      <c r="AJ566" s="13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3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2"/>
      <c r="BK566" s="12"/>
      <c r="BL566" s="12"/>
      <c r="BM566" s="9"/>
      <c r="BN566" s="9"/>
      <c r="BO566" s="9"/>
      <c r="BP566" s="12"/>
      <c r="BQ566" s="12"/>
      <c r="BR566" s="12"/>
      <c r="BS566" s="12"/>
      <c r="BT566" s="12"/>
      <c r="BU566" s="12"/>
      <c r="BV566" s="12"/>
      <c r="BW566" s="12"/>
      <c r="BX566" s="12"/>
      <c r="BY566" s="9"/>
      <c r="BZ566" s="21"/>
      <c r="CA566" s="21"/>
      <c r="CB566" s="21"/>
      <c r="CC566" s="21"/>
      <c r="CD566" s="21"/>
      <c r="CE566" s="21"/>
      <c r="CF566" s="21"/>
      <c r="CG566" s="21"/>
      <c r="CH566" s="21"/>
      <c r="CI566" s="21"/>
      <c r="CJ566" s="21"/>
    </row>
    <row r="567" spans="1:88" ht="40.5" customHeight="1">
      <c r="A567" s="9">
        <f t="shared" si="10"/>
        <v>565</v>
      </c>
      <c r="B567" s="9" t="str">
        <f t="shared" si="11"/>
        <v xml:space="preserve">MA
</v>
      </c>
      <c r="C567" s="28" t="s">
        <v>1464</v>
      </c>
      <c r="D567" s="9" t="s">
        <v>397</v>
      </c>
      <c r="E567" s="12">
        <v>0</v>
      </c>
      <c r="F567" s="12">
        <v>0</v>
      </c>
      <c r="G567" s="12" t="b">
        <v>0</v>
      </c>
      <c r="H567" s="9" t="s">
        <v>75</v>
      </c>
      <c r="I567" s="9" t="s">
        <v>1465</v>
      </c>
      <c r="J567" s="9" t="s">
        <v>75</v>
      </c>
      <c r="K567" s="9" t="s">
        <v>79</v>
      </c>
      <c r="L567" s="12"/>
      <c r="M567" s="12"/>
      <c r="N567" s="13"/>
      <c r="O567" s="13"/>
      <c r="P567" s="17"/>
      <c r="Q567" s="13"/>
      <c r="R567" s="17"/>
      <c r="S567" s="17"/>
      <c r="T567" s="13"/>
      <c r="U567" s="17"/>
      <c r="V567" s="13"/>
      <c r="W567" s="13"/>
      <c r="X567" s="13"/>
      <c r="Y567" s="13"/>
      <c r="Z567" s="13"/>
      <c r="AA567" s="13"/>
      <c r="AB567" s="18" t="str">
        <f t="shared" si="13"/>
        <v xml:space="preserve"> خالد صلاح ألمنيوم الاردن</v>
      </c>
      <c r="AC567" s="18"/>
      <c r="AD567" s="18"/>
      <c r="AE567" s="18"/>
      <c r="AF567" s="18"/>
      <c r="AG567" s="18"/>
      <c r="AH567" s="13"/>
      <c r="AI567" s="18"/>
      <c r="AJ567" s="13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3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2"/>
      <c r="BK567" s="12"/>
      <c r="BL567" s="12"/>
      <c r="BM567" s="9"/>
      <c r="BN567" s="9"/>
      <c r="BO567" s="9"/>
      <c r="BP567" s="12"/>
      <c r="BQ567" s="12"/>
      <c r="BR567" s="12"/>
      <c r="BS567" s="12"/>
      <c r="BT567" s="12"/>
      <c r="BU567" s="12"/>
      <c r="BV567" s="12"/>
      <c r="BW567" s="12"/>
      <c r="BX567" s="12"/>
      <c r="BY567" s="9"/>
      <c r="BZ567" s="21"/>
      <c r="CA567" s="21"/>
      <c r="CB567" s="21"/>
      <c r="CC567" s="21"/>
      <c r="CD567" s="21"/>
      <c r="CE567" s="21"/>
      <c r="CF567" s="21"/>
      <c r="CG567" s="21"/>
      <c r="CH567" s="21"/>
      <c r="CI567" s="21"/>
      <c r="CJ567" s="21"/>
    </row>
    <row r="568" spans="1:88" ht="40.5" customHeight="1">
      <c r="A568" s="9">
        <f t="shared" si="10"/>
        <v>566</v>
      </c>
      <c r="B568" s="9" t="str">
        <f t="shared" si="11"/>
        <v xml:space="preserve">MA
</v>
      </c>
      <c r="C568" s="9" t="s">
        <v>1466</v>
      </c>
      <c r="D568" s="9" t="s">
        <v>397</v>
      </c>
      <c r="E568" s="12">
        <v>0</v>
      </c>
      <c r="F568" s="12">
        <v>0</v>
      </c>
      <c r="G568" s="12" t="b">
        <v>0</v>
      </c>
      <c r="H568" s="9" t="s">
        <v>75</v>
      </c>
      <c r="I568" s="9" t="s">
        <v>1467</v>
      </c>
      <c r="J568" s="9" t="s">
        <v>75</v>
      </c>
      <c r="K568" s="9" t="s">
        <v>79</v>
      </c>
      <c r="L568" s="12"/>
      <c r="M568" s="12"/>
      <c r="N568" s="13"/>
      <c r="O568" s="13"/>
      <c r="P568" s="17"/>
      <c r="Q568" s="13"/>
      <c r="R568" s="17"/>
      <c r="S568" s="17"/>
      <c r="T568" s="13"/>
      <c r="U568" s="17"/>
      <c r="V568" s="13"/>
      <c r="W568" s="13"/>
      <c r="X568" s="13"/>
      <c r="Y568" s="13"/>
      <c r="Z568" s="13"/>
      <c r="AA568" s="13"/>
      <c r="AB568" s="18" t="str">
        <f t="shared" si="13"/>
        <v xml:space="preserve"> alsaray Aluminum&amp; STEEL STRUCTURE</v>
      </c>
      <c r="AC568" s="18"/>
      <c r="AD568" s="18"/>
      <c r="AE568" s="18"/>
      <c r="AF568" s="18"/>
      <c r="AG568" s="18"/>
      <c r="AH568" s="13"/>
      <c r="AI568" s="18"/>
      <c r="AJ568" s="13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3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2"/>
      <c r="BK568" s="12"/>
      <c r="BL568" s="12"/>
      <c r="BM568" s="9"/>
      <c r="BN568" s="9"/>
      <c r="BO568" s="9"/>
      <c r="BP568" s="12"/>
      <c r="BQ568" s="12"/>
      <c r="BR568" s="12"/>
      <c r="BS568" s="12"/>
      <c r="BT568" s="12"/>
      <c r="BU568" s="12"/>
      <c r="BV568" s="12"/>
      <c r="BW568" s="12"/>
      <c r="BX568" s="12"/>
      <c r="BY568" s="9"/>
      <c r="BZ568" s="21"/>
      <c r="CA568" s="21"/>
      <c r="CB568" s="21"/>
      <c r="CC568" s="21"/>
      <c r="CD568" s="21"/>
      <c r="CE568" s="21"/>
      <c r="CF568" s="21"/>
      <c r="CG568" s="21"/>
      <c r="CH568" s="21"/>
      <c r="CI568" s="21"/>
      <c r="CJ568" s="21"/>
    </row>
    <row r="569" spans="1:88" ht="40.5" customHeight="1">
      <c r="A569" s="9">
        <f t="shared" si="10"/>
        <v>567</v>
      </c>
      <c r="B569" s="9" t="str">
        <f t="shared" si="11"/>
        <v xml:space="preserve">MA
</v>
      </c>
      <c r="C569" s="28" t="s">
        <v>1468</v>
      </c>
      <c r="D569" s="9" t="s">
        <v>1298</v>
      </c>
      <c r="E569" s="12">
        <v>0</v>
      </c>
      <c r="F569" s="12">
        <v>0</v>
      </c>
      <c r="G569" s="12" t="b">
        <v>0</v>
      </c>
      <c r="H569" s="9" t="s">
        <v>75</v>
      </c>
      <c r="I569" s="9" t="s">
        <v>1469</v>
      </c>
      <c r="J569" s="9" t="s">
        <v>75</v>
      </c>
      <c r="K569" s="9" t="s">
        <v>79</v>
      </c>
      <c r="L569" s="12"/>
      <c r="M569" s="12"/>
      <c r="N569" s="13"/>
      <c r="O569" s="13"/>
      <c r="P569" s="17"/>
      <c r="Q569" s="13"/>
      <c r="R569" s="17"/>
      <c r="S569" s="17"/>
      <c r="T569" s="13"/>
      <c r="U569" s="17"/>
      <c r="V569" s="13"/>
      <c r="W569" s="13"/>
      <c r="X569" s="13"/>
      <c r="Y569" s="13"/>
      <c r="Z569" s="13"/>
      <c r="AA569" s="13"/>
      <c r="AB569" s="18" t="str">
        <f t="shared" si="13"/>
        <v xml:space="preserve"> مكتب ذنون لتجارة الالمنيوم والPVC</v>
      </c>
      <c r="AC569" s="18"/>
      <c r="AD569" s="18"/>
      <c r="AE569" s="18"/>
      <c r="AF569" s="18"/>
      <c r="AG569" s="18"/>
      <c r="AH569" s="13"/>
      <c r="AI569" s="18"/>
      <c r="AJ569" s="13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3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2"/>
      <c r="BK569" s="12"/>
      <c r="BL569" s="12"/>
      <c r="BM569" s="9"/>
      <c r="BN569" s="9"/>
      <c r="BO569" s="9"/>
      <c r="BP569" s="12"/>
      <c r="BQ569" s="12"/>
      <c r="BR569" s="12"/>
      <c r="BS569" s="12"/>
      <c r="BT569" s="12"/>
      <c r="BU569" s="12"/>
      <c r="BV569" s="12"/>
      <c r="BW569" s="12"/>
      <c r="BX569" s="12"/>
      <c r="BY569" s="9"/>
      <c r="BZ569" s="21"/>
      <c r="CA569" s="21"/>
      <c r="CB569" s="21"/>
      <c r="CC569" s="21"/>
      <c r="CD569" s="21"/>
      <c r="CE569" s="21"/>
      <c r="CF569" s="21"/>
      <c r="CG569" s="21"/>
      <c r="CH569" s="21"/>
      <c r="CI569" s="21"/>
      <c r="CJ569" s="21"/>
    </row>
    <row r="570" spans="1:88" ht="40.5" customHeight="1">
      <c r="A570" s="9">
        <f t="shared" si="10"/>
        <v>568</v>
      </c>
      <c r="B570" s="9" t="str">
        <f t="shared" si="11"/>
        <v xml:space="preserve">MA
</v>
      </c>
      <c r="C570" s="28" t="s">
        <v>1470</v>
      </c>
      <c r="D570" s="9" t="s">
        <v>397</v>
      </c>
      <c r="E570" s="12">
        <v>0</v>
      </c>
      <c r="F570" s="12">
        <v>0</v>
      </c>
      <c r="G570" s="12" t="b">
        <v>0</v>
      </c>
      <c r="H570" s="9" t="s">
        <v>75</v>
      </c>
      <c r="I570" s="9" t="s">
        <v>1471</v>
      </c>
      <c r="J570" s="9" t="s">
        <v>75</v>
      </c>
      <c r="K570" s="9" t="s">
        <v>79</v>
      </c>
      <c r="L570" s="12"/>
      <c r="M570" s="12"/>
      <c r="N570" s="13"/>
      <c r="O570" s="13"/>
      <c r="P570" s="17"/>
      <c r="Q570" s="13"/>
      <c r="R570" s="17"/>
      <c r="S570" s="17"/>
      <c r="T570" s="13"/>
      <c r="U570" s="17"/>
      <c r="V570" s="13"/>
      <c r="W570" s="13"/>
      <c r="X570" s="13"/>
      <c r="Y570" s="13"/>
      <c r="Z570" s="13"/>
      <c r="AA570" s="13"/>
      <c r="AB570" s="18" t="str">
        <f t="shared" si="13"/>
        <v xml:space="preserve"> ليوان لتجارة الألمنيوم ومواد البناء الاردن</v>
      </c>
      <c r="AC570" s="18"/>
      <c r="AD570" s="18"/>
      <c r="AE570" s="18"/>
      <c r="AF570" s="18"/>
      <c r="AG570" s="18"/>
      <c r="AH570" s="13"/>
      <c r="AI570" s="18"/>
      <c r="AJ570" s="13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3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2"/>
      <c r="BK570" s="12"/>
      <c r="BL570" s="12"/>
      <c r="BM570" s="9"/>
      <c r="BN570" s="9"/>
      <c r="BO570" s="9"/>
      <c r="BP570" s="12"/>
      <c r="BQ570" s="12"/>
      <c r="BR570" s="12"/>
      <c r="BS570" s="12"/>
      <c r="BT570" s="12"/>
      <c r="BU570" s="12"/>
      <c r="BV570" s="12"/>
      <c r="BW570" s="12"/>
      <c r="BX570" s="12"/>
      <c r="BY570" s="9"/>
      <c r="BZ570" s="21"/>
      <c r="CA570" s="21"/>
      <c r="CB570" s="21"/>
      <c r="CC570" s="21"/>
      <c r="CD570" s="21"/>
      <c r="CE570" s="21"/>
      <c r="CF570" s="21"/>
      <c r="CG570" s="21"/>
      <c r="CH570" s="21"/>
      <c r="CI570" s="21"/>
      <c r="CJ570" s="21"/>
    </row>
    <row r="571" spans="1:88" ht="40.5" customHeight="1">
      <c r="A571" s="9">
        <f t="shared" si="10"/>
        <v>569</v>
      </c>
      <c r="B571" s="9" t="str">
        <f t="shared" si="11"/>
        <v xml:space="preserve">MA
</v>
      </c>
      <c r="C571" s="28" t="s">
        <v>1472</v>
      </c>
      <c r="D571" s="9" t="s">
        <v>397</v>
      </c>
      <c r="E571" s="12">
        <v>0</v>
      </c>
      <c r="F571" s="12">
        <v>0</v>
      </c>
      <c r="G571" s="12" t="b">
        <v>0</v>
      </c>
      <c r="H571" s="9" t="s">
        <v>75</v>
      </c>
      <c r="I571" s="9" t="s">
        <v>1473</v>
      </c>
      <c r="J571" s="9" t="s">
        <v>75</v>
      </c>
      <c r="K571" s="9" t="s">
        <v>79</v>
      </c>
      <c r="L571" s="12"/>
      <c r="M571" s="12"/>
      <c r="N571" s="13"/>
      <c r="O571" s="13"/>
      <c r="P571" s="17"/>
      <c r="Q571" s="13"/>
      <c r="R571" s="17"/>
      <c r="S571" s="17"/>
      <c r="T571" s="13"/>
      <c r="U571" s="17"/>
      <c r="V571" s="13"/>
      <c r="W571" s="13"/>
      <c r="X571" s="13"/>
      <c r="Y571" s="13"/>
      <c r="Z571" s="13"/>
      <c r="AA571" s="13"/>
      <c r="AB571" s="18" t="str">
        <f t="shared" si="13"/>
        <v xml:space="preserve"> مؤسسة أبو النيل التجارية الاردن</v>
      </c>
      <c r="AC571" s="18"/>
      <c r="AD571" s="18"/>
      <c r="AE571" s="18"/>
      <c r="AF571" s="18"/>
      <c r="AG571" s="18"/>
      <c r="AH571" s="13"/>
      <c r="AI571" s="18"/>
      <c r="AJ571" s="13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3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2"/>
      <c r="BK571" s="12"/>
      <c r="BL571" s="12"/>
      <c r="BM571" s="9"/>
      <c r="BN571" s="9"/>
      <c r="BO571" s="9"/>
      <c r="BP571" s="12"/>
      <c r="BQ571" s="12"/>
      <c r="BR571" s="12"/>
      <c r="BS571" s="12"/>
      <c r="BT571" s="12"/>
      <c r="BU571" s="12"/>
      <c r="BV571" s="12"/>
      <c r="BW571" s="12"/>
      <c r="BX571" s="12"/>
      <c r="BY571" s="9"/>
      <c r="BZ571" s="21"/>
      <c r="CA571" s="21"/>
      <c r="CB571" s="21"/>
      <c r="CC571" s="21"/>
      <c r="CD571" s="21"/>
      <c r="CE571" s="21"/>
      <c r="CF571" s="21"/>
      <c r="CG571" s="21"/>
      <c r="CH571" s="21"/>
      <c r="CI571" s="21"/>
      <c r="CJ571" s="21"/>
    </row>
    <row r="572" spans="1:88" ht="40.5" customHeight="1">
      <c r="A572" s="9">
        <f t="shared" si="10"/>
        <v>570</v>
      </c>
      <c r="B572" s="9" t="str">
        <f t="shared" si="11"/>
        <v xml:space="preserve">MA
</v>
      </c>
      <c r="C572" s="28" t="s">
        <v>1474</v>
      </c>
      <c r="D572" s="9" t="s">
        <v>397</v>
      </c>
      <c r="E572" s="12">
        <v>0</v>
      </c>
      <c r="F572" s="12">
        <v>0</v>
      </c>
      <c r="G572" s="12" t="b">
        <v>0</v>
      </c>
      <c r="H572" s="9" t="s">
        <v>75</v>
      </c>
      <c r="I572" s="9" t="s">
        <v>1475</v>
      </c>
      <c r="J572" s="9" t="s">
        <v>75</v>
      </c>
      <c r="K572" s="9" t="s">
        <v>79</v>
      </c>
      <c r="L572" s="12"/>
      <c r="M572" s="12"/>
      <c r="N572" s="13"/>
      <c r="O572" s="13"/>
      <c r="P572" s="17"/>
      <c r="Q572" s="13"/>
      <c r="R572" s="17"/>
      <c r="S572" s="17"/>
      <c r="T572" s="13"/>
      <c r="U572" s="17"/>
      <c r="V572" s="13"/>
      <c r="W572" s="13"/>
      <c r="X572" s="13"/>
      <c r="Y572" s="13"/>
      <c r="Z572" s="13"/>
      <c r="AA572" s="13"/>
      <c r="AB572" s="18" t="str">
        <f t="shared" si="13"/>
        <v xml:space="preserve"> شركة نور الدين السيوري وشريكه تجارةوصناعة ألمنيوم الاردن</v>
      </c>
      <c r="AC572" s="18"/>
      <c r="AD572" s="18"/>
      <c r="AE572" s="18"/>
      <c r="AF572" s="18"/>
      <c r="AG572" s="18"/>
      <c r="AH572" s="13"/>
      <c r="AI572" s="18"/>
      <c r="AJ572" s="13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3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2"/>
      <c r="BK572" s="12"/>
      <c r="BL572" s="12"/>
      <c r="BM572" s="9"/>
      <c r="BN572" s="9"/>
      <c r="BO572" s="9"/>
      <c r="BP572" s="12"/>
      <c r="BQ572" s="12"/>
      <c r="BR572" s="12"/>
      <c r="BS572" s="12"/>
      <c r="BT572" s="12"/>
      <c r="BU572" s="12"/>
      <c r="BV572" s="12"/>
      <c r="BW572" s="12"/>
      <c r="BX572" s="12"/>
      <c r="BY572" s="9"/>
      <c r="BZ572" s="21"/>
      <c r="CA572" s="21"/>
      <c r="CB572" s="21"/>
      <c r="CC572" s="21"/>
      <c r="CD572" s="21"/>
      <c r="CE572" s="21"/>
      <c r="CF572" s="21"/>
      <c r="CG572" s="21"/>
      <c r="CH572" s="21"/>
      <c r="CI572" s="21"/>
      <c r="CJ572" s="21"/>
    </row>
    <row r="573" spans="1:88" ht="40.5" customHeight="1">
      <c r="A573" s="9">
        <f t="shared" si="10"/>
        <v>571</v>
      </c>
      <c r="B573" s="9" t="str">
        <f t="shared" si="11"/>
        <v xml:space="preserve">MA
</v>
      </c>
      <c r="C573" s="28" t="s">
        <v>1476</v>
      </c>
      <c r="D573" s="9" t="s">
        <v>397</v>
      </c>
      <c r="E573" s="12">
        <v>0</v>
      </c>
      <c r="F573" s="12">
        <v>0</v>
      </c>
      <c r="G573" s="12" t="b">
        <v>0</v>
      </c>
      <c r="H573" s="9" t="s">
        <v>75</v>
      </c>
      <c r="I573" s="9" t="s">
        <v>1477</v>
      </c>
      <c r="J573" s="9" t="s">
        <v>75</v>
      </c>
      <c r="K573" s="9" t="s">
        <v>79</v>
      </c>
      <c r="L573" s="12"/>
      <c r="M573" s="12"/>
      <c r="N573" s="13"/>
      <c r="O573" s="13"/>
      <c r="P573" s="17"/>
      <c r="Q573" s="13"/>
      <c r="R573" s="17"/>
      <c r="S573" s="17"/>
      <c r="T573" s="13"/>
      <c r="U573" s="17"/>
      <c r="V573" s="13"/>
      <c r="W573" s="13"/>
      <c r="X573" s="13"/>
      <c r="Y573" s="13"/>
      <c r="Z573" s="13"/>
      <c r="AA573" s="13"/>
      <c r="AB573" s="18" t="str">
        <f t="shared" si="13"/>
        <v xml:space="preserve"> شركة المرادف التجارية لتجارة الالمنيوم و اكسسواراتها الاردن</v>
      </c>
      <c r="AC573" s="18"/>
      <c r="AD573" s="18"/>
      <c r="AE573" s="18"/>
      <c r="AF573" s="18"/>
      <c r="AG573" s="18"/>
      <c r="AH573" s="13"/>
      <c r="AI573" s="18"/>
      <c r="AJ573" s="13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3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2"/>
      <c r="BK573" s="12"/>
      <c r="BL573" s="12"/>
      <c r="BM573" s="9"/>
      <c r="BN573" s="9"/>
      <c r="BO573" s="9"/>
      <c r="BP573" s="12"/>
      <c r="BQ573" s="12"/>
      <c r="BR573" s="12"/>
      <c r="BS573" s="12"/>
      <c r="BT573" s="12"/>
      <c r="BU573" s="12"/>
      <c r="BV573" s="12"/>
      <c r="BW573" s="12"/>
      <c r="BX573" s="12"/>
      <c r="BY573" s="9"/>
      <c r="BZ573" s="21"/>
      <c r="CA573" s="21"/>
      <c r="CB573" s="21"/>
      <c r="CC573" s="21"/>
      <c r="CD573" s="21"/>
      <c r="CE573" s="21"/>
      <c r="CF573" s="21"/>
      <c r="CG573" s="21"/>
      <c r="CH573" s="21"/>
      <c r="CI573" s="21"/>
      <c r="CJ573" s="21"/>
    </row>
    <row r="574" spans="1:88" ht="40.5" customHeight="1">
      <c r="A574" s="9">
        <f t="shared" si="10"/>
        <v>572</v>
      </c>
      <c r="B574" s="9" t="str">
        <f t="shared" si="11"/>
        <v xml:space="preserve">MA
</v>
      </c>
      <c r="C574" s="28" t="s">
        <v>1478</v>
      </c>
      <c r="D574" s="9" t="s">
        <v>397</v>
      </c>
      <c r="E574" s="12">
        <v>0</v>
      </c>
      <c r="F574" s="12">
        <v>0</v>
      </c>
      <c r="G574" s="12" t="b">
        <v>0</v>
      </c>
      <c r="H574" s="9" t="s">
        <v>75</v>
      </c>
      <c r="I574" s="10" t="s">
        <v>1479</v>
      </c>
      <c r="J574" s="9" t="s">
        <v>75</v>
      </c>
      <c r="K574" s="9" t="s">
        <v>79</v>
      </c>
      <c r="L574" s="12"/>
      <c r="M574" s="12"/>
      <c r="N574" s="13"/>
      <c r="O574" s="13"/>
      <c r="P574" s="17"/>
      <c r="Q574" s="13"/>
      <c r="R574" s="17"/>
      <c r="S574" s="17"/>
      <c r="T574" s="13"/>
      <c r="U574" s="17"/>
      <c r="V574" s="13"/>
      <c r="W574" s="13"/>
      <c r="X574" s="13"/>
      <c r="Y574" s="13"/>
      <c r="Z574" s="13"/>
      <c r="AA574" s="13"/>
      <c r="AB574" s="18" t="str">
        <f t="shared" si="13"/>
        <v>Al-Eman For Aluminum Trading/مؤسسة الايمان لتجارة الالمنيوم الاردن</v>
      </c>
      <c r="AC574" s="18"/>
      <c r="AD574" s="18"/>
      <c r="AE574" s="18"/>
      <c r="AF574" s="18"/>
      <c r="AG574" s="18"/>
      <c r="AH574" s="13"/>
      <c r="AI574" s="18"/>
      <c r="AJ574" s="13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3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2"/>
      <c r="BK574" s="12"/>
      <c r="BL574" s="12"/>
      <c r="BM574" s="9"/>
      <c r="BN574" s="9"/>
      <c r="BO574" s="9"/>
      <c r="BP574" s="12"/>
      <c r="BQ574" s="12"/>
      <c r="BR574" s="12"/>
      <c r="BS574" s="12"/>
      <c r="BT574" s="12"/>
      <c r="BU574" s="12"/>
      <c r="BV574" s="12"/>
      <c r="BW574" s="12"/>
      <c r="BX574" s="12"/>
      <c r="BY574" s="9"/>
      <c r="BZ574" s="21"/>
      <c r="CA574" s="21"/>
      <c r="CB574" s="21"/>
      <c r="CC574" s="21"/>
      <c r="CD574" s="21"/>
      <c r="CE574" s="21"/>
      <c r="CF574" s="21"/>
      <c r="CG574" s="21"/>
      <c r="CH574" s="21"/>
      <c r="CI574" s="21"/>
      <c r="CJ574" s="21"/>
    </row>
    <row r="575" spans="1:88" ht="40.5" customHeight="1">
      <c r="A575" s="9">
        <f t="shared" si="10"/>
        <v>573</v>
      </c>
      <c r="B575" s="9" t="str">
        <f t="shared" si="11"/>
        <v xml:space="preserve">MA
</v>
      </c>
      <c r="C575" s="28" t="s">
        <v>1480</v>
      </c>
      <c r="D575" s="9" t="s">
        <v>1298</v>
      </c>
      <c r="E575" s="12">
        <v>0</v>
      </c>
      <c r="F575" s="12">
        <v>0</v>
      </c>
      <c r="G575" s="12" t="b">
        <v>0</v>
      </c>
      <c r="H575" s="9" t="s">
        <v>75</v>
      </c>
      <c r="I575" s="9" t="s">
        <v>1481</v>
      </c>
      <c r="J575" s="9" t="s">
        <v>75</v>
      </c>
      <c r="K575" s="9" t="s">
        <v>79</v>
      </c>
      <c r="L575" s="12"/>
      <c r="M575" s="12"/>
      <c r="N575" s="13"/>
      <c r="O575" s="13"/>
      <c r="P575" s="17"/>
      <c r="Q575" s="13"/>
      <c r="R575" s="17"/>
      <c r="S575" s="17"/>
      <c r="T575" s="13"/>
      <c r="U575" s="17"/>
      <c r="V575" s="13"/>
      <c r="W575" s="13"/>
      <c r="X575" s="13"/>
      <c r="Y575" s="13"/>
      <c r="Z575" s="13"/>
      <c r="AA575" s="13"/>
      <c r="AB575" s="18" t="str">
        <f t="shared" si="13"/>
        <v xml:space="preserve"> محلات المختار لتجارة الألمنيوم والبلاستك</v>
      </c>
      <c r="AC575" s="18"/>
      <c r="AD575" s="18"/>
      <c r="AE575" s="18"/>
      <c r="AF575" s="18"/>
      <c r="AG575" s="18"/>
      <c r="AH575" s="13"/>
      <c r="AI575" s="18"/>
      <c r="AJ575" s="13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3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2"/>
      <c r="BK575" s="12"/>
      <c r="BL575" s="12"/>
      <c r="BM575" s="9"/>
      <c r="BN575" s="9"/>
      <c r="BO575" s="9"/>
      <c r="BP575" s="12"/>
      <c r="BQ575" s="12"/>
      <c r="BR575" s="12"/>
      <c r="BS575" s="12"/>
      <c r="BT575" s="12"/>
      <c r="BU575" s="12"/>
      <c r="BV575" s="12"/>
      <c r="BW575" s="12"/>
      <c r="BX575" s="12"/>
      <c r="BY575" s="9"/>
      <c r="BZ575" s="21"/>
      <c r="CA575" s="21"/>
      <c r="CB575" s="21"/>
      <c r="CC575" s="21"/>
      <c r="CD575" s="21"/>
      <c r="CE575" s="21"/>
      <c r="CF575" s="21"/>
      <c r="CG575" s="21"/>
      <c r="CH575" s="21"/>
      <c r="CI575" s="21"/>
      <c r="CJ575" s="21"/>
    </row>
    <row r="576" spans="1:88" ht="40.5" customHeight="1">
      <c r="A576" s="9">
        <f t="shared" si="10"/>
        <v>574</v>
      </c>
      <c r="B576" s="9" t="str">
        <f t="shared" si="11"/>
        <v xml:space="preserve">MA
</v>
      </c>
      <c r="C576" s="9" t="s">
        <v>1482</v>
      </c>
      <c r="D576" s="9" t="s">
        <v>1298</v>
      </c>
      <c r="E576" s="12">
        <v>0</v>
      </c>
      <c r="F576" s="12">
        <v>0</v>
      </c>
      <c r="G576" s="12" t="b">
        <v>0</v>
      </c>
      <c r="H576" s="9" t="s">
        <v>75</v>
      </c>
      <c r="I576" s="9" t="s">
        <v>1483</v>
      </c>
      <c r="J576" s="9" t="s">
        <v>75</v>
      </c>
      <c r="K576" s="9" t="s">
        <v>79</v>
      </c>
      <c r="L576" s="12"/>
      <c r="M576" s="12"/>
      <c r="N576" s="13"/>
      <c r="O576" s="13"/>
      <c r="P576" s="17"/>
      <c r="Q576" s="13"/>
      <c r="R576" s="17"/>
      <c r="S576" s="17"/>
      <c r="T576" s="13"/>
      <c r="U576" s="17"/>
      <c r="V576" s="13"/>
      <c r="W576" s="13"/>
      <c r="X576" s="13"/>
      <c r="Y576" s="13"/>
      <c r="Z576" s="13"/>
      <c r="AA576" s="13"/>
      <c r="AB576" s="18" t="str">
        <f t="shared" si="13"/>
        <v xml:space="preserve"> Al-Baghdadi Company</v>
      </c>
      <c r="AC576" s="18"/>
      <c r="AD576" s="18"/>
      <c r="AE576" s="18"/>
      <c r="AF576" s="18"/>
      <c r="AG576" s="18"/>
      <c r="AH576" s="13"/>
      <c r="AI576" s="18"/>
      <c r="AJ576" s="13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3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2"/>
      <c r="BK576" s="12"/>
      <c r="BL576" s="12"/>
      <c r="BM576" s="9"/>
      <c r="BN576" s="9"/>
      <c r="BO576" s="9"/>
      <c r="BP576" s="12"/>
      <c r="BQ576" s="12"/>
      <c r="BR576" s="12"/>
      <c r="BS576" s="12"/>
      <c r="BT576" s="12"/>
      <c r="BU576" s="12"/>
      <c r="BV576" s="12"/>
      <c r="BW576" s="12"/>
      <c r="BX576" s="12"/>
      <c r="BY576" s="9"/>
      <c r="BZ576" s="21"/>
      <c r="CA576" s="21"/>
      <c r="CB576" s="21"/>
      <c r="CC576" s="21"/>
      <c r="CD576" s="21"/>
      <c r="CE576" s="21"/>
      <c r="CF576" s="21"/>
      <c r="CG576" s="21"/>
      <c r="CH576" s="21"/>
      <c r="CI576" s="21"/>
      <c r="CJ576" s="21"/>
    </row>
    <row r="577" spans="1:88" ht="40.5" customHeight="1">
      <c r="A577" s="9">
        <f t="shared" si="10"/>
        <v>575</v>
      </c>
      <c r="B577" s="9" t="str">
        <f t="shared" si="11"/>
        <v xml:space="preserve">MA
</v>
      </c>
      <c r="C577" s="28" t="s">
        <v>1484</v>
      </c>
      <c r="D577" s="9" t="s">
        <v>1428</v>
      </c>
      <c r="E577" s="12">
        <v>0</v>
      </c>
      <c r="F577" s="12">
        <v>0</v>
      </c>
      <c r="G577" s="12" t="b">
        <v>0</v>
      </c>
      <c r="H577" s="9" t="s">
        <v>75</v>
      </c>
      <c r="I577" s="9" t="s">
        <v>1485</v>
      </c>
      <c r="J577" s="9" t="s">
        <v>75</v>
      </c>
      <c r="K577" s="9" t="s">
        <v>79</v>
      </c>
      <c r="L577" s="12"/>
      <c r="M577" s="12"/>
      <c r="N577" s="13"/>
      <c r="O577" s="13"/>
      <c r="P577" s="17"/>
      <c r="Q577" s="13"/>
      <c r="R577" s="17"/>
      <c r="S577" s="17"/>
      <c r="T577" s="13"/>
      <c r="U577" s="17"/>
      <c r="V577" s="13"/>
      <c r="W577" s="13"/>
      <c r="X577" s="13"/>
      <c r="Y577" s="13"/>
      <c r="Z577" s="13"/>
      <c r="AA577" s="13"/>
      <c r="AB577" s="18" t="str">
        <f t="shared" si="13"/>
        <v xml:space="preserve"> نجارة ألألمنيوم محمد المغرب</v>
      </c>
      <c r="AC577" s="18"/>
      <c r="AD577" s="18"/>
      <c r="AE577" s="18"/>
      <c r="AF577" s="18"/>
      <c r="AG577" s="18"/>
      <c r="AH577" s="13"/>
      <c r="AI577" s="18"/>
      <c r="AJ577" s="13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3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2"/>
      <c r="BK577" s="12"/>
      <c r="BL577" s="12"/>
      <c r="BM577" s="9"/>
      <c r="BN577" s="9"/>
      <c r="BO577" s="9"/>
      <c r="BP577" s="12"/>
      <c r="BQ577" s="12"/>
      <c r="BR577" s="12"/>
      <c r="BS577" s="12"/>
      <c r="BT577" s="12"/>
      <c r="BU577" s="12"/>
      <c r="BV577" s="12"/>
      <c r="BW577" s="12"/>
      <c r="BX577" s="12"/>
      <c r="BY577" s="9"/>
      <c r="BZ577" s="21"/>
      <c r="CA577" s="21"/>
      <c r="CB577" s="21"/>
      <c r="CC577" s="21"/>
      <c r="CD577" s="21"/>
      <c r="CE577" s="21"/>
      <c r="CF577" s="21"/>
      <c r="CG577" s="21"/>
      <c r="CH577" s="21"/>
      <c r="CI577" s="21"/>
      <c r="CJ577" s="21"/>
    </row>
    <row r="578" spans="1:88" ht="40.5" customHeight="1">
      <c r="A578" s="9">
        <f t="shared" si="10"/>
        <v>576</v>
      </c>
      <c r="B578" s="9" t="str">
        <f t="shared" si="11"/>
        <v xml:space="preserve">MA
</v>
      </c>
      <c r="C578" s="28" t="s">
        <v>1486</v>
      </c>
      <c r="D578" s="9" t="s">
        <v>1298</v>
      </c>
      <c r="E578" s="12">
        <v>0</v>
      </c>
      <c r="F578" s="12">
        <v>0</v>
      </c>
      <c r="G578" s="12" t="b">
        <v>0</v>
      </c>
      <c r="H578" s="9" t="s">
        <v>75</v>
      </c>
      <c r="I578" s="9" t="s">
        <v>1487</v>
      </c>
      <c r="J578" s="9" t="s">
        <v>75</v>
      </c>
      <c r="K578" s="9" t="s">
        <v>79</v>
      </c>
      <c r="L578" s="12"/>
      <c r="M578" s="12"/>
      <c r="N578" s="13"/>
      <c r="O578" s="13"/>
      <c r="P578" s="17"/>
      <c r="Q578" s="13"/>
      <c r="R578" s="17"/>
      <c r="S578" s="17"/>
      <c r="T578" s="13"/>
      <c r="U578" s="17"/>
      <c r="V578" s="13"/>
      <c r="W578" s="13"/>
      <c r="X578" s="13"/>
      <c r="Y578" s="13"/>
      <c r="Z578" s="13"/>
      <c r="AA578" s="13"/>
      <c r="AB578" s="18" t="str">
        <f t="shared" si="13"/>
        <v xml:space="preserve"> عماد من طرف نهاد رقم تركي</v>
      </c>
      <c r="AC578" s="18"/>
      <c r="AD578" s="18"/>
      <c r="AE578" s="18"/>
      <c r="AF578" s="18"/>
      <c r="AG578" s="18"/>
      <c r="AH578" s="13"/>
      <c r="AI578" s="18"/>
      <c r="AJ578" s="13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3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2"/>
      <c r="BK578" s="12"/>
      <c r="BL578" s="12"/>
      <c r="BM578" s="9"/>
      <c r="BN578" s="9"/>
      <c r="BO578" s="9"/>
      <c r="BP578" s="12"/>
      <c r="BQ578" s="12"/>
      <c r="BR578" s="12"/>
      <c r="BS578" s="12"/>
      <c r="BT578" s="12"/>
      <c r="BU578" s="12"/>
      <c r="BV578" s="12"/>
      <c r="BW578" s="12"/>
      <c r="BX578" s="12"/>
      <c r="BY578" s="9"/>
      <c r="BZ578" s="21"/>
      <c r="CA578" s="21"/>
      <c r="CB578" s="21"/>
      <c r="CC578" s="21"/>
      <c r="CD578" s="21"/>
      <c r="CE578" s="21"/>
      <c r="CF578" s="21"/>
      <c r="CG578" s="21"/>
      <c r="CH578" s="21"/>
      <c r="CI578" s="21"/>
      <c r="CJ578" s="21"/>
    </row>
    <row r="579" spans="1:88" ht="40.5" customHeight="1">
      <c r="A579" s="9">
        <f t="shared" si="10"/>
        <v>577</v>
      </c>
      <c r="B579" s="9" t="str">
        <f t="shared" si="11"/>
        <v xml:space="preserve">MA
</v>
      </c>
      <c r="C579" s="28" t="s">
        <v>1488</v>
      </c>
      <c r="D579" s="9" t="s">
        <v>1298</v>
      </c>
      <c r="E579" s="12">
        <v>0</v>
      </c>
      <c r="F579" s="12">
        <v>0</v>
      </c>
      <c r="G579" s="12" t="b">
        <v>0</v>
      </c>
      <c r="H579" s="9" t="s">
        <v>75</v>
      </c>
      <c r="I579" s="9" t="s">
        <v>1489</v>
      </c>
      <c r="J579" s="9" t="s">
        <v>75</v>
      </c>
      <c r="K579" s="9" t="s">
        <v>79</v>
      </c>
      <c r="L579" s="12"/>
      <c r="M579" s="12"/>
      <c r="N579" s="13"/>
      <c r="O579" s="13"/>
      <c r="P579" s="17"/>
      <c r="Q579" s="13"/>
      <c r="R579" s="17"/>
      <c r="S579" s="17"/>
      <c r="T579" s="13"/>
      <c r="U579" s="17"/>
      <c r="V579" s="13"/>
      <c r="W579" s="13"/>
      <c r="X579" s="13"/>
      <c r="Y579" s="13"/>
      <c r="Z579" s="13"/>
      <c r="AA579" s="13"/>
      <c r="AB579" s="18"/>
      <c r="AC579" s="18"/>
      <c r="AD579" s="18"/>
      <c r="AE579" s="18"/>
      <c r="AF579" s="18"/>
      <c r="AG579" s="18"/>
      <c r="AH579" s="13"/>
      <c r="AI579" s="18"/>
      <c r="AJ579" s="13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3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2"/>
      <c r="BK579" s="12"/>
      <c r="BL579" s="12"/>
      <c r="BM579" s="9"/>
      <c r="BN579" s="9"/>
      <c r="BO579" s="9"/>
      <c r="BP579" s="12"/>
      <c r="BQ579" s="12"/>
      <c r="BR579" s="12"/>
      <c r="BS579" s="12"/>
      <c r="BT579" s="12"/>
      <c r="BU579" s="12"/>
      <c r="BV579" s="12"/>
      <c r="BW579" s="12"/>
      <c r="BX579" s="12"/>
      <c r="BY579" s="9"/>
      <c r="BZ579" s="21"/>
      <c r="CA579" s="21"/>
      <c r="CB579" s="21"/>
      <c r="CC579" s="21"/>
      <c r="CD579" s="21"/>
      <c r="CE579" s="21"/>
      <c r="CF579" s="21"/>
      <c r="CG579" s="21"/>
      <c r="CH579" s="21"/>
      <c r="CI579" s="21"/>
      <c r="CJ579" s="21"/>
    </row>
    <row r="580" spans="1:88" ht="40.5" customHeight="1">
      <c r="A580" s="9">
        <f t="shared" si="10"/>
        <v>578</v>
      </c>
      <c r="B580" s="9" t="str">
        <f t="shared" si="11"/>
        <v xml:space="preserve">MA
</v>
      </c>
      <c r="C580" s="28" t="s">
        <v>1490</v>
      </c>
      <c r="D580" s="9" t="s">
        <v>1298</v>
      </c>
      <c r="E580" s="12">
        <v>0</v>
      </c>
      <c r="F580" s="12">
        <v>0</v>
      </c>
      <c r="G580" s="12" t="b">
        <v>0</v>
      </c>
      <c r="H580" s="9" t="s">
        <v>75</v>
      </c>
      <c r="I580" s="9" t="s">
        <v>1491</v>
      </c>
      <c r="J580" s="9" t="s">
        <v>75</v>
      </c>
      <c r="K580" s="9" t="s">
        <v>79</v>
      </c>
      <c r="L580" s="12"/>
      <c r="M580" s="12"/>
      <c r="N580" s="13"/>
      <c r="O580" s="13"/>
      <c r="P580" s="17"/>
      <c r="Q580" s="13"/>
      <c r="R580" s="17"/>
      <c r="S580" s="17"/>
      <c r="T580" s="13"/>
      <c r="U580" s="17"/>
      <c r="V580" s="13"/>
      <c r="W580" s="13"/>
      <c r="X580" s="13"/>
      <c r="Y580" s="13"/>
      <c r="Z580" s="13"/>
      <c r="AA580" s="13"/>
      <c r="AB580" s="18"/>
      <c r="AC580" s="18"/>
      <c r="AD580" s="18"/>
      <c r="AE580" s="18"/>
      <c r="AF580" s="18"/>
      <c r="AG580" s="18"/>
      <c r="AH580" s="13"/>
      <c r="AI580" s="18"/>
      <c r="AJ580" s="13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3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2"/>
      <c r="BK580" s="12"/>
      <c r="BL580" s="12"/>
      <c r="BM580" s="9"/>
      <c r="BN580" s="9"/>
      <c r="BO580" s="9"/>
      <c r="BP580" s="12"/>
      <c r="BQ580" s="12"/>
      <c r="BR580" s="12"/>
      <c r="BS580" s="12"/>
      <c r="BT580" s="12"/>
      <c r="BU580" s="12"/>
      <c r="BV580" s="12"/>
      <c r="BW580" s="12"/>
      <c r="BX580" s="12"/>
      <c r="BY580" s="9"/>
      <c r="BZ580" s="21"/>
      <c r="CA580" s="21"/>
      <c r="CB580" s="21"/>
      <c r="CC580" s="21"/>
      <c r="CD580" s="21"/>
      <c r="CE580" s="21"/>
      <c r="CF580" s="21"/>
      <c r="CG580" s="21"/>
      <c r="CH580" s="21"/>
      <c r="CI580" s="21"/>
      <c r="CJ580" s="21"/>
    </row>
    <row r="581" spans="1:88" ht="40.5" customHeight="1">
      <c r="A581" s="9">
        <f t="shared" si="10"/>
        <v>579</v>
      </c>
      <c r="B581" s="9" t="str">
        <f t="shared" si="11"/>
        <v xml:space="preserve">MA
</v>
      </c>
      <c r="C581" s="9" t="s">
        <v>1492</v>
      </c>
      <c r="D581" s="9" t="s">
        <v>1298</v>
      </c>
      <c r="E581" s="12">
        <v>0</v>
      </c>
      <c r="F581" s="12">
        <v>0</v>
      </c>
      <c r="G581" s="12" t="b">
        <v>0</v>
      </c>
      <c r="H581" s="9" t="s">
        <v>75</v>
      </c>
      <c r="I581" s="9" t="s">
        <v>1493</v>
      </c>
      <c r="J581" s="9" t="s">
        <v>75</v>
      </c>
      <c r="K581" s="9" t="s">
        <v>79</v>
      </c>
      <c r="L581" s="12"/>
      <c r="M581" s="12"/>
      <c r="N581" s="13"/>
      <c r="O581" s="13"/>
      <c r="P581" s="17"/>
      <c r="Q581" s="13"/>
      <c r="R581" s="17"/>
      <c r="S581" s="17"/>
      <c r="T581" s="13"/>
      <c r="U581" s="17"/>
      <c r="V581" s="13"/>
      <c r="W581" s="13"/>
      <c r="X581" s="13"/>
      <c r="Y581" s="13"/>
      <c r="Z581" s="13"/>
      <c r="AA581" s="13"/>
      <c r="AB581" s="18"/>
      <c r="AC581" s="18"/>
      <c r="AD581" s="18"/>
      <c r="AE581" s="18"/>
      <c r="AF581" s="18"/>
      <c r="AG581" s="18"/>
      <c r="AH581" s="13"/>
      <c r="AI581" s="18"/>
      <c r="AJ581" s="13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3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2"/>
      <c r="BK581" s="12"/>
      <c r="BL581" s="12"/>
      <c r="BM581" s="9"/>
      <c r="BN581" s="9"/>
      <c r="BO581" s="9"/>
      <c r="BP581" s="12"/>
      <c r="BQ581" s="12"/>
      <c r="BR581" s="12"/>
      <c r="BS581" s="12"/>
      <c r="BT581" s="12"/>
      <c r="BU581" s="12"/>
      <c r="BV581" s="12"/>
      <c r="BW581" s="12"/>
      <c r="BX581" s="12"/>
      <c r="BY581" s="9"/>
      <c r="BZ581" s="21"/>
      <c r="CA581" s="21"/>
      <c r="CB581" s="21"/>
      <c r="CC581" s="21"/>
      <c r="CD581" s="21"/>
      <c r="CE581" s="21"/>
      <c r="CF581" s="21"/>
      <c r="CG581" s="21"/>
      <c r="CH581" s="21"/>
      <c r="CI581" s="21"/>
      <c r="CJ581" s="21"/>
    </row>
    <row r="582" spans="1:88" ht="40.5" customHeight="1">
      <c r="A582" s="9">
        <f t="shared" si="10"/>
        <v>580</v>
      </c>
      <c r="B582" s="9" t="str">
        <f t="shared" si="11"/>
        <v xml:space="preserve">MA
</v>
      </c>
      <c r="C582" s="28" t="s">
        <v>1494</v>
      </c>
      <c r="D582" s="9" t="s">
        <v>1298</v>
      </c>
      <c r="E582" s="12">
        <v>0</v>
      </c>
      <c r="F582" s="12">
        <v>0</v>
      </c>
      <c r="G582" s="12" t="b">
        <v>0</v>
      </c>
      <c r="H582" s="9" t="s">
        <v>75</v>
      </c>
      <c r="I582" s="9" t="s">
        <v>1495</v>
      </c>
      <c r="J582" s="9" t="s">
        <v>75</v>
      </c>
      <c r="K582" s="9" t="s">
        <v>79</v>
      </c>
      <c r="L582" s="12"/>
      <c r="M582" s="12"/>
      <c r="N582" s="13"/>
      <c r="O582" s="13"/>
      <c r="P582" s="17"/>
      <c r="Q582" s="13"/>
      <c r="R582" s="17"/>
      <c r="S582" s="17"/>
      <c r="T582" s="13"/>
      <c r="U582" s="17"/>
      <c r="V582" s="13"/>
      <c r="W582" s="13"/>
      <c r="X582" s="13"/>
      <c r="Y582" s="13"/>
      <c r="Z582" s="13"/>
      <c r="AA582" s="13"/>
      <c r="AB582" s="18"/>
      <c r="AC582" s="18"/>
      <c r="AD582" s="18"/>
      <c r="AE582" s="18"/>
      <c r="AF582" s="18"/>
      <c r="AG582" s="18"/>
      <c r="AH582" s="13"/>
      <c r="AI582" s="18"/>
      <c r="AJ582" s="13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3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2"/>
      <c r="BK582" s="12"/>
      <c r="BL582" s="12"/>
      <c r="BM582" s="9"/>
      <c r="BN582" s="9"/>
      <c r="BO582" s="9"/>
      <c r="BP582" s="12"/>
      <c r="BQ582" s="12"/>
      <c r="BR582" s="12"/>
      <c r="BS582" s="12"/>
      <c r="BT582" s="12"/>
      <c r="BU582" s="12"/>
      <c r="BV582" s="12"/>
      <c r="BW582" s="12"/>
      <c r="BX582" s="12"/>
      <c r="BY582" s="9"/>
      <c r="BZ582" s="21"/>
      <c r="CA582" s="21"/>
      <c r="CB582" s="21"/>
      <c r="CC582" s="21"/>
      <c r="CD582" s="21"/>
      <c r="CE582" s="21"/>
      <c r="CF582" s="21"/>
      <c r="CG582" s="21"/>
      <c r="CH582" s="21"/>
      <c r="CI582" s="21"/>
      <c r="CJ582" s="21"/>
    </row>
    <row r="583" spans="1:88" ht="40.5" customHeight="1">
      <c r="A583" s="9">
        <f t="shared" si="10"/>
        <v>581</v>
      </c>
      <c r="B583" s="9" t="str">
        <f t="shared" si="11"/>
        <v xml:space="preserve">MA
</v>
      </c>
      <c r="C583" s="9" t="s">
        <v>1496</v>
      </c>
      <c r="D583" s="9" t="s">
        <v>1428</v>
      </c>
      <c r="E583" s="12">
        <v>0</v>
      </c>
      <c r="F583" s="12">
        <v>0</v>
      </c>
      <c r="G583" s="12" t="b">
        <v>0</v>
      </c>
      <c r="H583" s="9" t="s">
        <v>75</v>
      </c>
      <c r="I583" s="9" t="s">
        <v>1497</v>
      </c>
      <c r="J583" s="9" t="s">
        <v>75</v>
      </c>
      <c r="K583" s="9" t="s">
        <v>79</v>
      </c>
      <c r="L583" s="12"/>
      <c r="M583" s="12"/>
      <c r="N583" s="13"/>
      <c r="O583" s="13"/>
      <c r="P583" s="17"/>
      <c r="Q583" s="13"/>
      <c r="R583" s="17"/>
      <c r="S583" s="17"/>
      <c r="T583" s="13"/>
      <c r="U583" s="17"/>
      <c r="V583" s="13"/>
      <c r="W583" s="13"/>
      <c r="X583" s="13"/>
      <c r="Y583" s="13"/>
      <c r="Z583" s="13"/>
      <c r="AA583" s="13"/>
      <c r="AB583" s="18"/>
      <c r="AC583" s="18"/>
      <c r="AD583" s="18"/>
      <c r="AE583" s="18"/>
      <c r="AF583" s="18"/>
      <c r="AG583" s="18"/>
      <c r="AH583" s="13"/>
      <c r="AI583" s="18"/>
      <c r="AJ583" s="13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3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2"/>
      <c r="BK583" s="12"/>
      <c r="BL583" s="12"/>
      <c r="BM583" s="9"/>
      <c r="BN583" s="9"/>
      <c r="BO583" s="9"/>
      <c r="BP583" s="12"/>
      <c r="BQ583" s="12"/>
      <c r="BR583" s="12"/>
      <c r="BS583" s="12"/>
      <c r="BT583" s="12"/>
      <c r="BU583" s="12"/>
      <c r="BV583" s="12"/>
      <c r="BW583" s="12"/>
      <c r="BX583" s="12"/>
      <c r="BY583" s="9"/>
      <c r="BZ583" s="21"/>
      <c r="CA583" s="21"/>
      <c r="CB583" s="21"/>
      <c r="CC583" s="21"/>
      <c r="CD583" s="21"/>
      <c r="CE583" s="21"/>
      <c r="CF583" s="21"/>
      <c r="CG583" s="21"/>
      <c r="CH583" s="21"/>
      <c r="CI583" s="21"/>
      <c r="CJ583" s="21"/>
    </row>
    <row r="584" spans="1:88" ht="40.5" customHeight="1">
      <c r="A584" s="9">
        <f t="shared" si="10"/>
        <v>582</v>
      </c>
      <c r="B584" s="9" t="str">
        <f t="shared" si="11"/>
        <v xml:space="preserve">MA
</v>
      </c>
      <c r="C584" s="28" t="s">
        <v>1498</v>
      </c>
      <c r="D584" s="9" t="s">
        <v>1298</v>
      </c>
      <c r="E584" s="12">
        <v>0</v>
      </c>
      <c r="F584" s="12">
        <v>0</v>
      </c>
      <c r="G584" s="12" t="b">
        <v>0</v>
      </c>
      <c r="H584" s="9" t="s">
        <v>75</v>
      </c>
      <c r="I584" s="9" t="s">
        <v>1499</v>
      </c>
      <c r="J584" s="9" t="s">
        <v>75</v>
      </c>
      <c r="K584" s="9" t="s">
        <v>79</v>
      </c>
      <c r="L584" s="12"/>
      <c r="M584" s="12"/>
      <c r="N584" s="13"/>
      <c r="O584" s="13"/>
      <c r="P584" s="17"/>
      <c r="Q584" s="13"/>
      <c r="R584" s="17"/>
      <c r="S584" s="17"/>
      <c r="T584" s="13"/>
      <c r="U584" s="17"/>
      <c r="V584" s="13"/>
      <c r="W584" s="13"/>
      <c r="X584" s="13"/>
      <c r="Y584" s="13"/>
      <c r="Z584" s="13"/>
      <c r="AA584" s="13"/>
      <c r="AB584" s="18"/>
      <c r="AC584" s="18"/>
      <c r="AD584" s="18"/>
      <c r="AE584" s="18"/>
      <c r="AF584" s="18"/>
      <c r="AG584" s="18"/>
      <c r="AH584" s="13"/>
      <c r="AI584" s="18"/>
      <c r="AJ584" s="13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3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2"/>
      <c r="BK584" s="12"/>
      <c r="BL584" s="12"/>
      <c r="BM584" s="9"/>
      <c r="BN584" s="9"/>
      <c r="BO584" s="9"/>
      <c r="BP584" s="12"/>
      <c r="BQ584" s="12"/>
      <c r="BR584" s="12"/>
      <c r="BS584" s="12"/>
      <c r="BT584" s="12"/>
      <c r="BU584" s="12"/>
      <c r="BV584" s="12"/>
      <c r="BW584" s="12"/>
      <c r="BX584" s="12"/>
      <c r="BY584" s="9"/>
      <c r="BZ584" s="21"/>
      <c r="CA584" s="21"/>
      <c r="CB584" s="21"/>
      <c r="CC584" s="21"/>
      <c r="CD584" s="21"/>
      <c r="CE584" s="21"/>
      <c r="CF584" s="21"/>
      <c r="CG584" s="21"/>
      <c r="CH584" s="21"/>
      <c r="CI584" s="21"/>
      <c r="CJ584" s="21"/>
    </row>
    <row r="585" spans="1:88" ht="40.5" customHeight="1">
      <c r="A585" s="9">
        <f t="shared" si="10"/>
        <v>583</v>
      </c>
      <c r="B585" s="9" t="str">
        <f t="shared" si="11"/>
        <v xml:space="preserve">MA
</v>
      </c>
      <c r="C585" s="28" t="s">
        <v>1500</v>
      </c>
      <c r="D585" s="9" t="s">
        <v>1298</v>
      </c>
      <c r="E585" s="12">
        <v>0</v>
      </c>
      <c r="F585" s="12">
        <v>0</v>
      </c>
      <c r="G585" s="12" t="b">
        <v>0</v>
      </c>
      <c r="H585" s="9" t="s">
        <v>75</v>
      </c>
      <c r="I585" s="9" t="s">
        <v>1501</v>
      </c>
      <c r="J585" s="9" t="s">
        <v>75</v>
      </c>
      <c r="K585" s="9" t="s">
        <v>79</v>
      </c>
      <c r="L585" s="12"/>
      <c r="M585" s="12"/>
      <c r="N585" s="13"/>
      <c r="O585" s="13"/>
      <c r="P585" s="17"/>
      <c r="Q585" s="13"/>
      <c r="R585" s="17"/>
      <c r="S585" s="17"/>
      <c r="T585" s="13"/>
      <c r="U585" s="17"/>
      <c r="V585" s="13"/>
      <c r="W585" s="13"/>
      <c r="X585" s="13"/>
      <c r="Y585" s="13"/>
      <c r="Z585" s="13"/>
      <c r="AA585" s="13"/>
      <c r="AB585" s="18"/>
      <c r="AC585" s="18"/>
      <c r="AD585" s="18"/>
      <c r="AE585" s="18"/>
      <c r="AF585" s="18"/>
      <c r="AG585" s="18"/>
      <c r="AH585" s="13"/>
      <c r="AI585" s="18"/>
      <c r="AJ585" s="13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3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2"/>
      <c r="BK585" s="12"/>
      <c r="BL585" s="12"/>
      <c r="BM585" s="9"/>
      <c r="BN585" s="9"/>
      <c r="BO585" s="9"/>
      <c r="BP585" s="12"/>
      <c r="BQ585" s="12"/>
      <c r="BR585" s="12"/>
      <c r="BS585" s="12"/>
      <c r="BT585" s="12"/>
      <c r="BU585" s="12"/>
      <c r="BV585" s="12"/>
      <c r="BW585" s="12"/>
      <c r="BX585" s="12"/>
      <c r="BY585" s="9"/>
      <c r="BZ585" s="21"/>
      <c r="CA585" s="21"/>
      <c r="CB585" s="21"/>
      <c r="CC585" s="21"/>
      <c r="CD585" s="21"/>
      <c r="CE585" s="21"/>
      <c r="CF585" s="21"/>
      <c r="CG585" s="21"/>
      <c r="CH585" s="21"/>
      <c r="CI585" s="21"/>
      <c r="CJ585" s="21"/>
    </row>
    <row r="586" spans="1:88" ht="40.5" customHeight="1">
      <c r="A586" s="9">
        <f t="shared" si="10"/>
        <v>584</v>
      </c>
      <c r="B586" s="9" t="str">
        <f t="shared" si="11"/>
        <v xml:space="preserve">MA
</v>
      </c>
      <c r="C586" s="28" t="s">
        <v>1502</v>
      </c>
      <c r="D586" s="9" t="s">
        <v>1298</v>
      </c>
      <c r="E586" s="12">
        <v>0</v>
      </c>
      <c r="F586" s="12">
        <v>0</v>
      </c>
      <c r="G586" s="12" t="b">
        <v>0</v>
      </c>
      <c r="H586" s="9" t="s">
        <v>75</v>
      </c>
      <c r="I586" s="9" t="s">
        <v>1503</v>
      </c>
      <c r="J586" s="9" t="s">
        <v>75</v>
      </c>
      <c r="K586" s="9" t="s">
        <v>79</v>
      </c>
      <c r="L586" s="12"/>
      <c r="M586" s="12"/>
      <c r="N586" s="13"/>
      <c r="O586" s="13"/>
      <c r="P586" s="17"/>
      <c r="Q586" s="13"/>
      <c r="R586" s="17"/>
      <c r="S586" s="17"/>
      <c r="T586" s="13"/>
      <c r="U586" s="17"/>
      <c r="V586" s="13"/>
      <c r="W586" s="13"/>
      <c r="X586" s="13"/>
      <c r="Y586" s="13"/>
      <c r="Z586" s="13"/>
      <c r="AA586" s="13"/>
      <c r="AB586" s="18"/>
      <c r="AC586" s="18"/>
      <c r="AD586" s="18"/>
      <c r="AE586" s="18"/>
      <c r="AF586" s="18"/>
      <c r="AG586" s="18"/>
      <c r="AH586" s="13"/>
      <c r="AI586" s="18"/>
      <c r="AJ586" s="13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3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2"/>
      <c r="BK586" s="12"/>
      <c r="BL586" s="12"/>
      <c r="BM586" s="9"/>
      <c r="BN586" s="9"/>
      <c r="BO586" s="9"/>
      <c r="BP586" s="12"/>
      <c r="BQ586" s="12"/>
      <c r="BR586" s="12"/>
      <c r="BS586" s="12"/>
      <c r="BT586" s="12"/>
      <c r="BU586" s="12"/>
      <c r="BV586" s="12"/>
      <c r="BW586" s="12"/>
      <c r="BX586" s="12"/>
      <c r="BY586" s="9"/>
      <c r="BZ586" s="21"/>
      <c r="CA586" s="21"/>
      <c r="CB586" s="21"/>
      <c r="CC586" s="21"/>
      <c r="CD586" s="21"/>
      <c r="CE586" s="21"/>
      <c r="CF586" s="21"/>
      <c r="CG586" s="21"/>
      <c r="CH586" s="21"/>
      <c r="CI586" s="21"/>
      <c r="CJ586" s="21"/>
    </row>
    <row r="587" spans="1:88" ht="40.5" customHeight="1">
      <c r="A587" s="9">
        <f t="shared" si="10"/>
        <v>585</v>
      </c>
      <c r="B587" s="9" t="str">
        <f t="shared" si="11"/>
        <v xml:space="preserve">MA
</v>
      </c>
      <c r="C587" s="28" t="s">
        <v>1504</v>
      </c>
      <c r="D587" s="9" t="s">
        <v>1298</v>
      </c>
      <c r="E587" s="12">
        <v>0</v>
      </c>
      <c r="F587" s="12">
        <v>0</v>
      </c>
      <c r="G587" s="12" t="b">
        <v>0</v>
      </c>
      <c r="H587" s="9" t="s">
        <v>75</v>
      </c>
      <c r="I587" s="9" t="s">
        <v>1505</v>
      </c>
      <c r="J587" s="9" t="s">
        <v>75</v>
      </c>
      <c r="K587" s="9" t="s">
        <v>79</v>
      </c>
      <c r="L587" s="12"/>
      <c r="M587" s="12"/>
      <c r="N587" s="13"/>
      <c r="O587" s="13"/>
      <c r="P587" s="17"/>
      <c r="Q587" s="13"/>
      <c r="R587" s="17"/>
      <c r="S587" s="17"/>
      <c r="T587" s="13"/>
      <c r="U587" s="17"/>
      <c r="V587" s="13"/>
      <c r="W587" s="13"/>
      <c r="X587" s="13"/>
      <c r="Y587" s="13"/>
      <c r="Z587" s="13"/>
      <c r="AA587" s="13"/>
      <c r="AB587" s="18"/>
      <c r="AC587" s="18"/>
      <c r="AD587" s="18"/>
      <c r="AE587" s="18"/>
      <c r="AF587" s="18"/>
      <c r="AG587" s="18"/>
      <c r="AH587" s="13"/>
      <c r="AI587" s="18"/>
      <c r="AJ587" s="13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3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2"/>
      <c r="BK587" s="12"/>
      <c r="BL587" s="12"/>
      <c r="BM587" s="9"/>
      <c r="BN587" s="9"/>
      <c r="BO587" s="9"/>
      <c r="BP587" s="12"/>
      <c r="BQ587" s="12"/>
      <c r="BR587" s="12"/>
      <c r="BS587" s="12"/>
      <c r="BT587" s="12"/>
      <c r="BU587" s="12"/>
      <c r="BV587" s="12"/>
      <c r="BW587" s="12"/>
      <c r="BX587" s="12"/>
      <c r="BY587" s="9"/>
      <c r="BZ587" s="21"/>
      <c r="CA587" s="21"/>
      <c r="CB587" s="21"/>
      <c r="CC587" s="21"/>
      <c r="CD587" s="21"/>
      <c r="CE587" s="21"/>
      <c r="CF587" s="21"/>
      <c r="CG587" s="21"/>
      <c r="CH587" s="21"/>
      <c r="CI587" s="21"/>
      <c r="CJ587" s="21"/>
    </row>
    <row r="588" spans="1:88" ht="40.5" customHeight="1">
      <c r="A588" s="9">
        <f t="shared" si="10"/>
        <v>586</v>
      </c>
      <c r="B588" s="9" t="str">
        <f t="shared" si="11"/>
        <v xml:space="preserve">MA
</v>
      </c>
      <c r="C588" s="28" t="s">
        <v>1506</v>
      </c>
      <c r="D588" s="9" t="s">
        <v>1298</v>
      </c>
      <c r="E588" s="12">
        <v>0</v>
      </c>
      <c r="F588" s="12">
        <v>0</v>
      </c>
      <c r="G588" s="12" t="b">
        <v>0</v>
      </c>
      <c r="H588" s="9" t="s">
        <v>75</v>
      </c>
      <c r="I588" s="9" t="s">
        <v>1507</v>
      </c>
      <c r="J588" s="9" t="s">
        <v>75</v>
      </c>
      <c r="K588" s="9" t="s">
        <v>79</v>
      </c>
      <c r="L588" s="12"/>
      <c r="M588" s="12"/>
      <c r="N588" s="13"/>
      <c r="O588" s="13"/>
      <c r="P588" s="17"/>
      <c r="Q588" s="13"/>
      <c r="R588" s="17"/>
      <c r="S588" s="17"/>
      <c r="T588" s="13"/>
      <c r="U588" s="17"/>
      <c r="V588" s="13"/>
      <c r="W588" s="13"/>
      <c r="X588" s="13"/>
      <c r="Y588" s="13"/>
      <c r="Z588" s="13"/>
      <c r="AA588" s="13"/>
      <c r="AB588" s="18"/>
      <c r="AC588" s="18"/>
      <c r="AD588" s="18"/>
      <c r="AE588" s="18"/>
      <c r="AF588" s="18"/>
      <c r="AG588" s="18"/>
      <c r="AH588" s="13"/>
      <c r="AI588" s="18"/>
      <c r="AJ588" s="13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3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2"/>
      <c r="BK588" s="12"/>
      <c r="BL588" s="12"/>
      <c r="BM588" s="9"/>
      <c r="BN588" s="9"/>
      <c r="BO588" s="9"/>
      <c r="BP588" s="12"/>
      <c r="BQ588" s="12"/>
      <c r="BR588" s="12"/>
      <c r="BS588" s="12"/>
      <c r="BT588" s="12"/>
      <c r="BU588" s="12"/>
      <c r="BV588" s="12"/>
      <c r="BW588" s="12"/>
      <c r="BX588" s="12"/>
      <c r="BY588" s="9"/>
      <c r="BZ588" s="21"/>
      <c r="CA588" s="21"/>
      <c r="CB588" s="21"/>
      <c r="CC588" s="21"/>
      <c r="CD588" s="21"/>
      <c r="CE588" s="21"/>
      <c r="CF588" s="21"/>
      <c r="CG588" s="21"/>
      <c r="CH588" s="21"/>
      <c r="CI588" s="21"/>
      <c r="CJ588" s="21"/>
    </row>
    <row r="589" spans="1:88" ht="40.5" customHeight="1">
      <c r="A589" s="9">
        <f t="shared" si="10"/>
        <v>587</v>
      </c>
      <c r="B589" s="9" t="str">
        <f t="shared" si="11"/>
        <v xml:space="preserve">MA
</v>
      </c>
      <c r="C589" s="28" t="s">
        <v>1508</v>
      </c>
      <c r="D589" s="9" t="s">
        <v>1298</v>
      </c>
      <c r="E589" s="12">
        <v>0</v>
      </c>
      <c r="F589" s="12">
        <v>0</v>
      </c>
      <c r="G589" s="12" t="b">
        <v>0</v>
      </c>
      <c r="H589" s="9" t="s">
        <v>75</v>
      </c>
      <c r="I589" s="9" t="s">
        <v>1509</v>
      </c>
      <c r="J589" s="9" t="s">
        <v>75</v>
      </c>
      <c r="K589" s="9" t="s">
        <v>79</v>
      </c>
      <c r="L589" s="12"/>
      <c r="M589" s="12"/>
      <c r="N589" s="13"/>
      <c r="O589" s="13"/>
      <c r="P589" s="17"/>
      <c r="Q589" s="13"/>
      <c r="R589" s="17"/>
      <c r="S589" s="17"/>
      <c r="T589" s="13"/>
      <c r="U589" s="17"/>
      <c r="V589" s="13"/>
      <c r="W589" s="13"/>
      <c r="X589" s="13"/>
      <c r="Y589" s="13"/>
      <c r="Z589" s="13"/>
      <c r="AA589" s="13"/>
      <c r="AB589" s="18"/>
      <c r="AC589" s="18"/>
      <c r="AD589" s="18"/>
      <c r="AE589" s="18"/>
      <c r="AF589" s="18"/>
      <c r="AG589" s="18"/>
      <c r="AH589" s="13"/>
      <c r="AI589" s="18"/>
      <c r="AJ589" s="13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3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2"/>
      <c r="BK589" s="12"/>
      <c r="BL589" s="12"/>
      <c r="BM589" s="9"/>
      <c r="BN589" s="9"/>
      <c r="BO589" s="9"/>
      <c r="BP589" s="12"/>
      <c r="BQ589" s="12"/>
      <c r="BR589" s="12"/>
      <c r="BS589" s="12"/>
      <c r="BT589" s="12"/>
      <c r="BU589" s="12"/>
      <c r="BV589" s="12"/>
      <c r="BW589" s="12"/>
      <c r="BX589" s="12"/>
      <c r="BY589" s="9"/>
      <c r="BZ589" s="21"/>
      <c r="CA589" s="21"/>
      <c r="CB589" s="21"/>
      <c r="CC589" s="21"/>
      <c r="CD589" s="21"/>
      <c r="CE589" s="21"/>
      <c r="CF589" s="21"/>
      <c r="CG589" s="21"/>
      <c r="CH589" s="21"/>
      <c r="CI589" s="21"/>
      <c r="CJ589" s="21"/>
    </row>
    <row r="590" spans="1:88" ht="40.5" customHeight="1">
      <c r="A590" s="9">
        <f t="shared" si="10"/>
        <v>588</v>
      </c>
      <c r="B590" s="9" t="str">
        <f t="shared" si="11"/>
        <v xml:space="preserve">MA
</v>
      </c>
      <c r="C590" s="28" t="s">
        <v>1510</v>
      </c>
      <c r="D590" s="9" t="s">
        <v>1298</v>
      </c>
      <c r="E590" s="12">
        <v>0</v>
      </c>
      <c r="F590" s="12">
        <v>0</v>
      </c>
      <c r="G590" s="12" t="b">
        <v>0</v>
      </c>
      <c r="H590" s="9" t="s">
        <v>75</v>
      </c>
      <c r="I590" s="10" t="s">
        <v>1511</v>
      </c>
      <c r="J590" s="9" t="s">
        <v>75</v>
      </c>
      <c r="K590" s="9" t="s">
        <v>79</v>
      </c>
      <c r="L590" s="12"/>
      <c r="M590" s="12"/>
      <c r="N590" s="13"/>
      <c r="O590" s="13"/>
      <c r="P590" s="17"/>
      <c r="Q590" s="13"/>
      <c r="R590" s="17"/>
      <c r="S590" s="17"/>
      <c r="T590" s="13"/>
      <c r="U590" s="17"/>
      <c r="V590" s="13"/>
      <c r="W590" s="13"/>
      <c r="X590" s="13"/>
      <c r="Y590" s="13"/>
      <c r="Z590" s="13"/>
      <c r="AA590" s="13"/>
      <c r="AB590" s="18"/>
      <c r="AC590" s="18"/>
      <c r="AD590" s="18"/>
      <c r="AE590" s="18"/>
      <c r="AF590" s="18"/>
      <c r="AG590" s="18"/>
      <c r="AH590" s="13"/>
      <c r="AI590" s="18"/>
      <c r="AJ590" s="13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3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2"/>
      <c r="BK590" s="12"/>
      <c r="BL590" s="12"/>
      <c r="BM590" s="9"/>
      <c r="BN590" s="9"/>
      <c r="BO590" s="9"/>
      <c r="BP590" s="12"/>
      <c r="BQ590" s="12"/>
      <c r="BR590" s="12"/>
      <c r="BS590" s="12"/>
      <c r="BT590" s="12"/>
      <c r="BU590" s="12"/>
      <c r="BV590" s="12"/>
      <c r="BW590" s="12"/>
      <c r="BX590" s="12"/>
      <c r="BY590" s="9"/>
      <c r="BZ590" s="21"/>
      <c r="CA590" s="21"/>
      <c r="CB590" s="21"/>
      <c r="CC590" s="21"/>
      <c r="CD590" s="21"/>
      <c r="CE590" s="21"/>
      <c r="CF590" s="21"/>
      <c r="CG590" s="21"/>
      <c r="CH590" s="21"/>
      <c r="CI590" s="21"/>
      <c r="CJ590" s="21"/>
    </row>
    <row r="591" spans="1:88" ht="40.5" customHeight="1">
      <c r="A591" s="9">
        <f t="shared" si="10"/>
        <v>589</v>
      </c>
      <c r="B591" s="9" t="str">
        <f t="shared" si="11"/>
        <v xml:space="preserve">MA
</v>
      </c>
      <c r="C591" s="28" t="s">
        <v>1512</v>
      </c>
      <c r="D591" s="9" t="s">
        <v>1298</v>
      </c>
      <c r="E591" s="12">
        <v>0</v>
      </c>
      <c r="F591" s="12">
        <v>0</v>
      </c>
      <c r="G591" s="12" t="b">
        <v>0</v>
      </c>
      <c r="H591" s="9" t="s">
        <v>75</v>
      </c>
      <c r="I591" s="10" t="s">
        <v>1513</v>
      </c>
      <c r="J591" s="9" t="s">
        <v>75</v>
      </c>
      <c r="K591" s="9" t="s">
        <v>79</v>
      </c>
      <c r="L591" s="12"/>
      <c r="M591" s="12"/>
      <c r="N591" s="13"/>
      <c r="O591" s="13"/>
      <c r="P591" s="17"/>
      <c r="Q591" s="13"/>
      <c r="R591" s="17"/>
      <c r="S591" s="17"/>
      <c r="T591" s="13"/>
      <c r="U591" s="17"/>
      <c r="V591" s="13"/>
      <c r="W591" s="13"/>
      <c r="X591" s="13"/>
      <c r="Y591" s="13"/>
      <c r="Z591" s="13"/>
      <c r="AA591" s="13"/>
      <c r="AB591" s="18"/>
      <c r="AC591" s="18"/>
      <c r="AD591" s="18"/>
      <c r="AE591" s="18"/>
      <c r="AF591" s="18"/>
      <c r="AG591" s="18"/>
      <c r="AH591" s="13"/>
      <c r="AI591" s="18"/>
      <c r="AJ591" s="13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3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2"/>
      <c r="BK591" s="12"/>
      <c r="BL591" s="12"/>
      <c r="BM591" s="9"/>
      <c r="BN591" s="9"/>
      <c r="BO591" s="9"/>
      <c r="BP591" s="12"/>
      <c r="BQ591" s="12"/>
      <c r="BR591" s="12"/>
      <c r="BS591" s="12"/>
      <c r="BT591" s="12"/>
      <c r="BU591" s="12"/>
      <c r="BV591" s="12"/>
      <c r="BW591" s="12"/>
      <c r="BX591" s="12"/>
      <c r="BY591" s="9"/>
      <c r="BZ591" s="21"/>
      <c r="CA591" s="21"/>
      <c r="CB591" s="21"/>
      <c r="CC591" s="21"/>
      <c r="CD591" s="21"/>
      <c r="CE591" s="21"/>
      <c r="CF591" s="21"/>
      <c r="CG591" s="21"/>
      <c r="CH591" s="21"/>
      <c r="CI591" s="21"/>
      <c r="CJ591" s="21"/>
    </row>
    <row r="592" spans="1:88" ht="40.5" customHeight="1">
      <c r="A592" s="9">
        <f t="shared" si="10"/>
        <v>590</v>
      </c>
      <c r="B592" s="9" t="str">
        <f t="shared" si="11"/>
        <v xml:space="preserve">MA
</v>
      </c>
      <c r="C592" s="28" t="s">
        <v>1514</v>
      </c>
      <c r="D592" s="9" t="s">
        <v>1298</v>
      </c>
      <c r="E592" s="12">
        <v>0</v>
      </c>
      <c r="F592" s="12">
        <v>0</v>
      </c>
      <c r="G592" s="12" t="b">
        <v>0</v>
      </c>
      <c r="H592" s="9" t="s">
        <v>79</v>
      </c>
      <c r="I592" s="10" t="s">
        <v>1515</v>
      </c>
      <c r="J592" s="9" t="s">
        <v>79</v>
      </c>
      <c r="K592" s="9" t="s">
        <v>75</v>
      </c>
      <c r="L592" s="12"/>
      <c r="M592" s="12"/>
      <c r="N592" s="13"/>
      <c r="O592" s="13"/>
      <c r="P592" s="17"/>
      <c r="Q592" s="13"/>
      <c r="R592" s="17"/>
      <c r="S592" s="17"/>
      <c r="T592" s="13"/>
      <c r="U592" s="17"/>
      <c r="V592" s="13"/>
      <c r="W592" s="13"/>
      <c r="X592" s="13"/>
      <c r="Y592" s="13"/>
      <c r="Z592" s="13"/>
      <c r="AA592" s="13"/>
      <c r="AB592" s="18"/>
      <c r="AC592" s="18"/>
      <c r="AD592" s="18"/>
      <c r="AE592" s="18"/>
      <c r="AF592" s="18"/>
      <c r="AG592" s="18"/>
      <c r="AH592" s="13"/>
      <c r="AI592" s="18"/>
      <c r="AJ592" s="13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3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2"/>
      <c r="BK592" s="12"/>
      <c r="BL592" s="12"/>
      <c r="BM592" s="9"/>
      <c r="BN592" s="9"/>
      <c r="BO592" s="9"/>
      <c r="BP592" s="12"/>
      <c r="BQ592" s="12"/>
      <c r="BR592" s="12"/>
      <c r="BS592" s="12"/>
      <c r="BT592" s="12"/>
      <c r="BU592" s="12"/>
      <c r="BV592" s="12"/>
      <c r="BW592" s="12"/>
      <c r="BX592" s="12"/>
      <c r="BY592" s="9"/>
      <c r="BZ592" s="21"/>
      <c r="CA592" s="21"/>
      <c r="CB592" s="21"/>
      <c r="CC592" s="21"/>
      <c r="CD592" s="21"/>
      <c r="CE592" s="21"/>
      <c r="CF592" s="21"/>
      <c r="CG592" s="21"/>
      <c r="CH592" s="21"/>
      <c r="CI592" s="21"/>
      <c r="CJ592" s="21"/>
    </row>
    <row r="593" spans="1:88" ht="40.5" customHeight="1">
      <c r="A593" s="9">
        <f t="shared" si="10"/>
        <v>591</v>
      </c>
      <c r="B593" s="9" t="str">
        <f t="shared" si="11"/>
        <v xml:space="preserve">MA
</v>
      </c>
      <c r="C593" s="28" t="s">
        <v>1516</v>
      </c>
      <c r="D593" s="9" t="s">
        <v>1298</v>
      </c>
      <c r="E593" s="12">
        <v>0</v>
      </c>
      <c r="F593" s="12">
        <v>0</v>
      </c>
      <c r="G593" s="12" t="b">
        <v>0</v>
      </c>
      <c r="H593" s="9" t="s">
        <v>75</v>
      </c>
      <c r="I593" s="10" t="s">
        <v>1517</v>
      </c>
      <c r="J593" s="9" t="s">
        <v>75</v>
      </c>
      <c r="K593" s="9" t="s">
        <v>1320</v>
      </c>
      <c r="L593" s="12"/>
      <c r="M593" s="12"/>
      <c r="N593" s="13"/>
      <c r="O593" s="13"/>
      <c r="P593" s="17"/>
      <c r="Q593" s="13"/>
      <c r="R593" s="17"/>
      <c r="S593" s="17"/>
      <c r="T593" s="13"/>
      <c r="U593" s="17"/>
      <c r="V593" s="13"/>
      <c r="W593" s="13"/>
      <c r="X593" s="13"/>
      <c r="Y593" s="13"/>
      <c r="Z593" s="13"/>
      <c r="AA593" s="13"/>
      <c r="AB593" s="18"/>
      <c r="AC593" s="18"/>
      <c r="AD593" s="18"/>
      <c r="AE593" s="18"/>
      <c r="AF593" s="18"/>
      <c r="AG593" s="18"/>
      <c r="AH593" s="13"/>
      <c r="AI593" s="18"/>
      <c r="AJ593" s="13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3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2"/>
      <c r="BK593" s="12"/>
      <c r="BL593" s="12"/>
      <c r="BM593" s="9"/>
      <c r="BN593" s="9"/>
      <c r="BO593" s="9"/>
      <c r="BP593" s="12"/>
      <c r="BQ593" s="12"/>
      <c r="BR593" s="12"/>
      <c r="BS593" s="12"/>
      <c r="BT593" s="12"/>
      <c r="BU593" s="12"/>
      <c r="BV593" s="12"/>
      <c r="BW593" s="12"/>
      <c r="BX593" s="12"/>
      <c r="BY593" s="9"/>
      <c r="BZ593" s="21"/>
      <c r="CA593" s="21"/>
      <c r="CB593" s="21"/>
      <c r="CC593" s="21"/>
      <c r="CD593" s="21"/>
      <c r="CE593" s="21"/>
      <c r="CF593" s="21"/>
      <c r="CG593" s="21"/>
      <c r="CH593" s="21"/>
      <c r="CI593" s="21"/>
      <c r="CJ593" s="21"/>
    </row>
    <row r="594" spans="1:88" ht="40.5" customHeight="1">
      <c r="A594" s="9">
        <f t="shared" si="10"/>
        <v>592</v>
      </c>
      <c r="B594" s="9" t="str">
        <f t="shared" si="11"/>
        <v xml:space="preserve">MA
</v>
      </c>
      <c r="C594" s="28" t="s">
        <v>1518</v>
      </c>
      <c r="D594" s="9" t="s">
        <v>1298</v>
      </c>
      <c r="E594" s="12">
        <v>0</v>
      </c>
      <c r="F594" s="12">
        <v>0</v>
      </c>
      <c r="G594" s="12" t="b">
        <v>0</v>
      </c>
      <c r="H594" s="9" t="s">
        <v>75</v>
      </c>
      <c r="I594" s="10" t="s">
        <v>1519</v>
      </c>
      <c r="J594" s="9" t="s">
        <v>75</v>
      </c>
      <c r="K594" s="9" t="s">
        <v>1320</v>
      </c>
      <c r="L594" s="12"/>
      <c r="M594" s="12"/>
      <c r="N594" s="13"/>
      <c r="O594" s="16" t="s">
        <v>78</v>
      </c>
      <c r="P594" s="23" t="s">
        <v>785</v>
      </c>
      <c r="Q594" s="15" t="s">
        <v>1520</v>
      </c>
      <c r="R594" s="23" t="s">
        <v>82</v>
      </c>
      <c r="S594" s="23" t="s">
        <v>1521</v>
      </c>
      <c r="T594" s="16" t="s">
        <v>86</v>
      </c>
      <c r="U594" s="17"/>
      <c r="V594" s="13"/>
      <c r="W594" s="13"/>
      <c r="X594" s="13"/>
      <c r="Y594" s="13"/>
      <c r="Z594" s="13"/>
      <c r="AA594" s="13"/>
      <c r="AB594" s="18"/>
      <c r="AC594" s="18"/>
      <c r="AD594" s="18"/>
      <c r="AE594" s="18"/>
      <c r="AF594" s="18"/>
      <c r="AG594" s="18"/>
      <c r="AH594" s="13"/>
      <c r="AI594" s="18"/>
      <c r="AJ594" s="13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3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2"/>
      <c r="BK594" s="12"/>
      <c r="BL594" s="12"/>
      <c r="BM594" s="9"/>
      <c r="BN594" s="9"/>
      <c r="BO594" s="9"/>
      <c r="BP594" s="12"/>
      <c r="BQ594" s="12"/>
      <c r="BR594" s="12"/>
      <c r="BS594" s="12"/>
      <c r="BT594" s="12"/>
      <c r="BU594" s="12"/>
      <c r="BV594" s="12"/>
      <c r="BW594" s="12"/>
      <c r="BX594" s="12"/>
      <c r="BY594" s="9"/>
      <c r="BZ594" s="21"/>
      <c r="CA594" s="21"/>
      <c r="CB594" s="21"/>
      <c r="CC594" s="21"/>
      <c r="CD594" s="21"/>
      <c r="CE594" s="21"/>
      <c r="CF594" s="21"/>
      <c r="CG594" s="21"/>
      <c r="CH594" s="21"/>
      <c r="CI594" s="21"/>
      <c r="CJ594" s="21"/>
    </row>
    <row r="595" spans="1:88" ht="40.5" customHeight="1">
      <c r="A595" s="9">
        <f t="shared" si="10"/>
        <v>593</v>
      </c>
      <c r="B595" s="9" t="str">
        <f t="shared" si="11"/>
        <v xml:space="preserve">MA
</v>
      </c>
      <c r="C595" s="28" t="s">
        <v>1522</v>
      </c>
      <c r="D595" s="9" t="s">
        <v>1298</v>
      </c>
      <c r="E595" s="12">
        <v>0</v>
      </c>
      <c r="F595" s="12">
        <v>0</v>
      </c>
      <c r="G595" s="12" t="b">
        <v>0</v>
      </c>
      <c r="H595" s="9" t="s">
        <v>75</v>
      </c>
      <c r="I595" s="10" t="s">
        <v>1523</v>
      </c>
      <c r="J595" s="9" t="s">
        <v>75</v>
      </c>
      <c r="K595" s="9" t="s">
        <v>1320</v>
      </c>
      <c r="L595" s="12"/>
      <c r="M595" s="12"/>
      <c r="N595" s="13"/>
      <c r="O595" s="13"/>
      <c r="P595" s="17"/>
      <c r="Q595" s="13"/>
      <c r="R595" s="17"/>
      <c r="S595" s="17"/>
      <c r="T595" s="13"/>
      <c r="U595" s="17"/>
      <c r="V595" s="13"/>
      <c r="W595" s="13"/>
      <c r="X595" s="13"/>
      <c r="Y595" s="13"/>
      <c r="Z595" s="13"/>
      <c r="AA595" s="13"/>
      <c r="AB595" s="18"/>
      <c r="AC595" s="18"/>
      <c r="AD595" s="18"/>
      <c r="AE595" s="18"/>
      <c r="AF595" s="18"/>
      <c r="AG595" s="18"/>
      <c r="AH595" s="13"/>
      <c r="AI595" s="18"/>
      <c r="AJ595" s="13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3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2"/>
      <c r="BK595" s="12"/>
      <c r="BL595" s="12"/>
      <c r="BM595" s="9"/>
      <c r="BN595" s="9"/>
      <c r="BO595" s="9"/>
      <c r="BP595" s="12"/>
      <c r="BQ595" s="12"/>
      <c r="BR595" s="12"/>
      <c r="BS595" s="12"/>
      <c r="BT595" s="12"/>
      <c r="BU595" s="12"/>
      <c r="BV595" s="12"/>
      <c r="BW595" s="12"/>
      <c r="BX595" s="12"/>
      <c r="BY595" s="9"/>
      <c r="BZ595" s="21"/>
      <c r="CA595" s="21"/>
      <c r="CB595" s="21"/>
      <c r="CC595" s="21"/>
      <c r="CD595" s="21"/>
      <c r="CE595" s="21"/>
      <c r="CF595" s="21"/>
      <c r="CG595" s="21"/>
      <c r="CH595" s="21"/>
      <c r="CI595" s="21"/>
      <c r="CJ595" s="21"/>
    </row>
    <row r="596" spans="1:88" ht="40.5" customHeight="1">
      <c r="A596" s="9">
        <f t="shared" si="10"/>
        <v>594</v>
      </c>
      <c r="B596" s="9" t="str">
        <f t="shared" si="11"/>
        <v xml:space="preserve">MA
</v>
      </c>
      <c r="C596" s="9" t="s">
        <v>1524</v>
      </c>
      <c r="D596" s="9" t="s">
        <v>1198</v>
      </c>
      <c r="E596" s="12">
        <v>0</v>
      </c>
      <c r="F596" s="12">
        <v>0</v>
      </c>
      <c r="G596" s="12" t="b">
        <v>0</v>
      </c>
      <c r="H596" s="9" t="s">
        <v>75</v>
      </c>
      <c r="I596" s="10" t="s">
        <v>1525</v>
      </c>
      <c r="J596" s="9" t="s">
        <v>75</v>
      </c>
      <c r="K596" s="11" t="s">
        <v>1526</v>
      </c>
      <c r="L596" s="12"/>
      <c r="M596" s="12"/>
      <c r="N596" s="13"/>
      <c r="O596" s="16" t="s">
        <v>78</v>
      </c>
      <c r="P596" s="14" t="s">
        <v>79</v>
      </c>
      <c r="Q596" s="15" t="s">
        <v>140</v>
      </c>
      <c r="R596" s="14" t="s">
        <v>75</v>
      </c>
      <c r="S596" s="23" t="s">
        <v>1209</v>
      </c>
      <c r="T596" s="16" t="s">
        <v>153</v>
      </c>
      <c r="U596" s="17"/>
      <c r="V596" s="13"/>
      <c r="W596" s="13"/>
      <c r="X596" s="13"/>
      <c r="Y596" s="13"/>
      <c r="Z596" s="13"/>
      <c r="AA596" s="13"/>
      <c r="AB596" s="18"/>
      <c r="AC596" s="18"/>
      <c r="AD596" s="18"/>
      <c r="AE596" s="18"/>
      <c r="AF596" s="18"/>
      <c r="AG596" s="18"/>
      <c r="AH596" s="13"/>
      <c r="AI596" s="18"/>
      <c r="AJ596" s="13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3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2"/>
      <c r="BK596" s="12"/>
      <c r="BL596" s="12"/>
      <c r="BM596" s="9"/>
      <c r="BN596" s="9"/>
      <c r="BO596" s="9"/>
      <c r="BP596" s="12"/>
      <c r="BQ596" s="12"/>
      <c r="BR596" s="12"/>
      <c r="BS596" s="12"/>
      <c r="BT596" s="12"/>
      <c r="BU596" s="12"/>
      <c r="BV596" s="12"/>
      <c r="BW596" s="12"/>
      <c r="BX596" s="12"/>
      <c r="BY596" s="9"/>
      <c r="BZ596" s="21"/>
      <c r="CA596" s="21"/>
      <c r="CB596" s="21"/>
      <c r="CC596" s="21"/>
      <c r="CD596" s="21"/>
      <c r="CE596" s="21"/>
      <c r="CF596" s="21"/>
      <c r="CG596" s="21"/>
      <c r="CH596" s="21"/>
      <c r="CI596" s="21"/>
      <c r="CJ596" s="21"/>
    </row>
    <row r="597" spans="1:88" ht="40.5" customHeight="1">
      <c r="A597" s="9"/>
      <c r="B597" s="12"/>
      <c r="C597" s="9" t="s">
        <v>1527</v>
      </c>
      <c r="D597" s="9" t="s">
        <v>1198</v>
      </c>
      <c r="E597" s="12">
        <v>0</v>
      </c>
      <c r="F597" s="12">
        <v>0</v>
      </c>
      <c r="G597" s="12" t="b">
        <v>0</v>
      </c>
      <c r="H597" s="9" t="s">
        <v>75</v>
      </c>
      <c r="I597" s="10" t="s">
        <v>1528</v>
      </c>
      <c r="J597" s="9" t="s">
        <v>75</v>
      </c>
      <c r="K597" s="11" t="s">
        <v>1529</v>
      </c>
      <c r="L597" s="12"/>
      <c r="M597" s="12"/>
      <c r="N597" s="13"/>
      <c r="O597" s="16" t="s">
        <v>78</v>
      </c>
      <c r="P597" s="14" t="s">
        <v>79</v>
      </c>
      <c r="Q597" s="15" t="s">
        <v>140</v>
      </c>
      <c r="R597" s="14" t="s">
        <v>75</v>
      </c>
      <c r="S597" s="23" t="s">
        <v>181</v>
      </c>
      <c r="T597" s="16" t="s">
        <v>4</v>
      </c>
      <c r="U597" s="17"/>
      <c r="V597" s="13"/>
      <c r="W597" s="13"/>
      <c r="X597" s="13"/>
      <c r="Y597" s="13"/>
      <c r="Z597" s="13"/>
      <c r="AA597" s="13"/>
      <c r="AB597" s="18"/>
      <c r="AC597" s="18"/>
      <c r="AD597" s="18"/>
      <c r="AE597" s="18"/>
      <c r="AF597" s="18"/>
      <c r="AG597" s="18"/>
      <c r="AH597" s="13"/>
      <c r="AI597" s="18"/>
      <c r="AJ597" s="13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3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2"/>
      <c r="BK597" s="12"/>
      <c r="BL597" s="12"/>
      <c r="BM597" s="9"/>
      <c r="BN597" s="9"/>
      <c r="BO597" s="9"/>
      <c r="BP597" s="12"/>
      <c r="BQ597" s="12"/>
      <c r="BR597" s="12"/>
      <c r="BS597" s="12"/>
      <c r="BT597" s="12"/>
      <c r="BU597" s="12"/>
      <c r="BV597" s="12"/>
      <c r="BW597" s="12"/>
      <c r="BX597" s="12"/>
      <c r="BY597" s="9"/>
      <c r="BZ597" s="21"/>
      <c r="CA597" s="21"/>
      <c r="CB597" s="21"/>
      <c r="CC597" s="21"/>
      <c r="CD597" s="21"/>
      <c r="CE597" s="21"/>
      <c r="CF597" s="21"/>
      <c r="CG597" s="21"/>
      <c r="CH597" s="21"/>
      <c r="CI597" s="21"/>
      <c r="CJ597" s="21"/>
    </row>
    <row r="598" spans="1:88" ht="40.5" customHeight="1">
      <c r="A598" s="9"/>
      <c r="B598" s="12"/>
      <c r="C598" s="9" t="s">
        <v>1530</v>
      </c>
      <c r="D598" s="9" t="s">
        <v>1531</v>
      </c>
      <c r="E598" s="12">
        <v>0</v>
      </c>
      <c r="F598" s="12">
        <v>0</v>
      </c>
      <c r="G598" s="12" t="b">
        <v>0</v>
      </c>
      <c r="H598" s="9" t="s">
        <v>75</v>
      </c>
      <c r="I598" s="10" t="s">
        <v>1532</v>
      </c>
      <c r="J598" s="9" t="s">
        <v>75</v>
      </c>
      <c r="K598" s="11" t="s">
        <v>1533</v>
      </c>
      <c r="L598" s="12"/>
      <c r="M598" s="12"/>
      <c r="N598" s="13"/>
      <c r="O598" s="16" t="s">
        <v>78</v>
      </c>
      <c r="P598" s="14" t="s">
        <v>79</v>
      </c>
      <c r="Q598" s="15" t="s">
        <v>140</v>
      </c>
      <c r="R598" s="14" t="s">
        <v>75</v>
      </c>
      <c r="S598" s="14" t="s">
        <v>75</v>
      </c>
      <c r="T598" s="16" t="s">
        <v>126</v>
      </c>
      <c r="U598" s="17"/>
      <c r="V598" s="13"/>
      <c r="W598" s="13"/>
      <c r="X598" s="13"/>
      <c r="Y598" s="13"/>
      <c r="Z598" s="13"/>
      <c r="AA598" s="13"/>
      <c r="AB598" s="18"/>
      <c r="AC598" s="18"/>
      <c r="AD598" s="18"/>
      <c r="AE598" s="18"/>
      <c r="AF598" s="18"/>
      <c r="AG598" s="18"/>
      <c r="AH598" s="13"/>
      <c r="AI598" s="18"/>
      <c r="AJ598" s="13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3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2"/>
      <c r="BK598" s="12"/>
      <c r="BL598" s="12"/>
      <c r="BM598" s="9"/>
      <c r="BN598" s="9"/>
      <c r="BO598" s="9"/>
      <c r="BP598" s="12"/>
      <c r="BQ598" s="12"/>
      <c r="BR598" s="12"/>
      <c r="BS598" s="12"/>
      <c r="BT598" s="12"/>
      <c r="BU598" s="12"/>
      <c r="BV598" s="12"/>
      <c r="BW598" s="12"/>
      <c r="BX598" s="12"/>
      <c r="BY598" s="9"/>
      <c r="BZ598" s="21"/>
      <c r="CA598" s="21"/>
      <c r="CB598" s="21"/>
      <c r="CC598" s="21"/>
      <c r="CD598" s="21"/>
      <c r="CE598" s="21"/>
      <c r="CF598" s="21"/>
      <c r="CG598" s="21"/>
      <c r="CH598" s="21"/>
      <c r="CI598" s="21"/>
      <c r="CJ598" s="21"/>
    </row>
    <row r="599" spans="1:88" ht="40.5" customHeight="1">
      <c r="A599" s="9"/>
      <c r="B599" s="12"/>
      <c r="C599" s="9" t="s">
        <v>1534</v>
      </c>
      <c r="D599" s="9" t="s">
        <v>1531</v>
      </c>
      <c r="E599" s="12">
        <v>0</v>
      </c>
      <c r="F599" s="12">
        <v>0</v>
      </c>
      <c r="G599" s="12" t="b">
        <v>0</v>
      </c>
      <c r="H599" s="9" t="s">
        <v>75</v>
      </c>
      <c r="I599" s="9" t="s">
        <v>1535</v>
      </c>
      <c r="J599" s="9" t="s">
        <v>75</v>
      </c>
      <c r="K599" s="11" t="s">
        <v>1536</v>
      </c>
      <c r="L599" s="12"/>
      <c r="M599" s="12"/>
      <c r="N599" s="13"/>
      <c r="O599" s="16" t="s">
        <v>78</v>
      </c>
      <c r="P599" s="14" t="s">
        <v>79</v>
      </c>
      <c r="Q599" s="15" t="s">
        <v>140</v>
      </c>
      <c r="R599" s="14" t="s">
        <v>75</v>
      </c>
      <c r="S599" s="23" t="s">
        <v>154</v>
      </c>
      <c r="T599" s="16" t="s">
        <v>81</v>
      </c>
      <c r="U599" s="17"/>
      <c r="V599" s="13"/>
      <c r="W599" s="13"/>
      <c r="X599" s="13"/>
      <c r="Y599" s="13"/>
      <c r="Z599" s="13"/>
      <c r="AA599" s="13"/>
      <c r="AB599" s="18"/>
      <c r="AC599" s="18"/>
      <c r="AD599" s="18"/>
      <c r="AE599" s="18"/>
      <c r="AF599" s="18"/>
      <c r="AG599" s="18"/>
      <c r="AH599" s="13"/>
      <c r="AI599" s="18"/>
      <c r="AJ599" s="13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3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2"/>
      <c r="BK599" s="12"/>
      <c r="BL599" s="12"/>
      <c r="BM599" s="9"/>
      <c r="BN599" s="9"/>
      <c r="BO599" s="9"/>
      <c r="BP599" s="12"/>
      <c r="BQ599" s="12"/>
      <c r="BR599" s="12"/>
      <c r="BS599" s="12"/>
      <c r="BT599" s="12"/>
      <c r="BU599" s="12"/>
      <c r="BV599" s="12"/>
      <c r="BW599" s="12"/>
      <c r="BX599" s="12"/>
      <c r="BY599" s="9"/>
      <c r="BZ599" s="21"/>
      <c r="CA599" s="21"/>
      <c r="CB599" s="21"/>
      <c r="CC599" s="21"/>
      <c r="CD599" s="21"/>
      <c r="CE599" s="21"/>
      <c r="CF599" s="21"/>
      <c r="CG599" s="21"/>
      <c r="CH599" s="21"/>
      <c r="CI599" s="21"/>
      <c r="CJ599" s="21"/>
    </row>
    <row r="600" spans="1:88" ht="40.5" customHeight="1">
      <c r="A600" s="9"/>
      <c r="B600" s="12"/>
      <c r="C600" s="9" t="s">
        <v>1537</v>
      </c>
      <c r="D600" s="9" t="s">
        <v>1531</v>
      </c>
      <c r="E600" s="12">
        <v>0</v>
      </c>
      <c r="F600" s="12">
        <v>0</v>
      </c>
      <c r="G600" s="12" t="b">
        <v>0</v>
      </c>
      <c r="H600" s="9" t="s">
        <v>75</v>
      </c>
      <c r="I600" s="9" t="s">
        <v>1538</v>
      </c>
      <c r="J600" s="9" t="s">
        <v>75</v>
      </c>
      <c r="K600" s="11" t="s">
        <v>1539</v>
      </c>
      <c r="L600" s="12"/>
      <c r="M600" s="12"/>
      <c r="N600" s="13"/>
      <c r="O600" s="16" t="s">
        <v>78</v>
      </c>
      <c r="P600" s="14" t="s">
        <v>79</v>
      </c>
      <c r="Q600" s="15" t="s">
        <v>140</v>
      </c>
      <c r="R600" s="14" t="s">
        <v>75</v>
      </c>
      <c r="S600" s="14" t="s">
        <v>75</v>
      </c>
      <c r="T600" s="16" t="s">
        <v>126</v>
      </c>
      <c r="U600" s="17"/>
      <c r="V600" s="13"/>
      <c r="W600" s="13"/>
      <c r="X600" s="13"/>
      <c r="Y600" s="13"/>
      <c r="Z600" s="13"/>
      <c r="AA600" s="13"/>
      <c r="AB600" s="18"/>
      <c r="AC600" s="18"/>
      <c r="AD600" s="18"/>
      <c r="AE600" s="18"/>
      <c r="AF600" s="18"/>
      <c r="AG600" s="18"/>
      <c r="AH600" s="13"/>
      <c r="AI600" s="18"/>
      <c r="AJ600" s="13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3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2"/>
      <c r="BK600" s="12"/>
      <c r="BL600" s="12"/>
      <c r="BM600" s="9"/>
      <c r="BN600" s="9"/>
      <c r="BO600" s="9"/>
      <c r="BP600" s="12"/>
      <c r="BQ600" s="12"/>
      <c r="BR600" s="12"/>
      <c r="BS600" s="12"/>
      <c r="BT600" s="12"/>
      <c r="BU600" s="12"/>
      <c r="BV600" s="12"/>
      <c r="BW600" s="12"/>
      <c r="BX600" s="12"/>
      <c r="BY600" s="9"/>
      <c r="BZ600" s="21"/>
      <c r="CA600" s="21"/>
      <c r="CB600" s="21"/>
      <c r="CC600" s="21"/>
      <c r="CD600" s="21"/>
      <c r="CE600" s="21"/>
      <c r="CF600" s="21"/>
      <c r="CG600" s="21"/>
      <c r="CH600" s="21"/>
      <c r="CI600" s="21"/>
      <c r="CJ600" s="21"/>
    </row>
    <row r="601" spans="1:88" ht="40.5" customHeight="1">
      <c r="A601" s="9"/>
      <c r="B601" s="12"/>
      <c r="C601" s="9" t="s">
        <v>1540</v>
      </c>
      <c r="D601" s="9" t="s">
        <v>1531</v>
      </c>
      <c r="E601" s="12">
        <v>0</v>
      </c>
      <c r="F601" s="12">
        <v>0</v>
      </c>
      <c r="G601" s="12" t="b">
        <v>0</v>
      </c>
      <c r="H601" s="9" t="s">
        <v>75</v>
      </c>
      <c r="I601" s="9" t="s">
        <v>1541</v>
      </c>
      <c r="J601" s="9" t="s">
        <v>75</v>
      </c>
      <c r="K601" s="9" t="s">
        <v>79</v>
      </c>
      <c r="L601" s="12"/>
      <c r="M601" s="12"/>
      <c r="N601" s="13"/>
      <c r="O601" s="16" t="s">
        <v>78</v>
      </c>
      <c r="P601" s="14" t="s">
        <v>79</v>
      </c>
      <c r="Q601" s="15" t="s">
        <v>140</v>
      </c>
      <c r="R601" s="14" t="s">
        <v>75</v>
      </c>
      <c r="S601" s="14" t="s">
        <v>75</v>
      </c>
      <c r="T601" s="16" t="s">
        <v>126</v>
      </c>
      <c r="U601" s="17"/>
      <c r="V601" s="13"/>
      <c r="W601" s="13"/>
      <c r="X601" s="13"/>
      <c r="Y601" s="13"/>
      <c r="Z601" s="13"/>
      <c r="AA601" s="13"/>
      <c r="AB601" s="18"/>
      <c r="AC601" s="18"/>
      <c r="AD601" s="18"/>
      <c r="AE601" s="18"/>
      <c r="AF601" s="18"/>
      <c r="AG601" s="18"/>
      <c r="AH601" s="13"/>
      <c r="AI601" s="18"/>
      <c r="AJ601" s="13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3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2"/>
      <c r="BK601" s="12"/>
      <c r="BL601" s="12"/>
      <c r="BM601" s="9"/>
      <c r="BN601" s="9"/>
      <c r="BO601" s="9"/>
      <c r="BP601" s="12"/>
      <c r="BQ601" s="12"/>
      <c r="BR601" s="12"/>
      <c r="BS601" s="12"/>
      <c r="BT601" s="12"/>
      <c r="BU601" s="12"/>
      <c r="BV601" s="12"/>
      <c r="BW601" s="12"/>
      <c r="BX601" s="12"/>
      <c r="BY601" s="9"/>
      <c r="BZ601" s="21"/>
      <c r="CA601" s="21"/>
      <c r="CB601" s="21"/>
      <c r="CC601" s="21"/>
      <c r="CD601" s="21"/>
      <c r="CE601" s="21"/>
      <c r="CF601" s="21"/>
      <c r="CG601" s="21"/>
      <c r="CH601" s="21"/>
      <c r="CI601" s="21"/>
      <c r="CJ601" s="21"/>
    </row>
    <row r="602" spans="1:88" ht="40.5" customHeight="1">
      <c r="A602" s="9"/>
      <c r="B602" s="12"/>
      <c r="C602" s="9" t="s">
        <v>1542</v>
      </c>
      <c r="D602" s="9" t="s">
        <v>1531</v>
      </c>
      <c r="E602" s="12">
        <v>0</v>
      </c>
      <c r="F602" s="12">
        <v>0</v>
      </c>
      <c r="G602" s="12" t="b">
        <v>0</v>
      </c>
      <c r="H602" s="9" t="s">
        <v>75</v>
      </c>
      <c r="I602" s="9" t="s">
        <v>1543</v>
      </c>
      <c r="J602" s="9" t="s">
        <v>75</v>
      </c>
      <c r="K602" s="11" t="s">
        <v>1544</v>
      </c>
      <c r="L602" s="12"/>
      <c r="M602" s="12"/>
      <c r="N602" s="13"/>
      <c r="O602" s="16" t="s">
        <v>78</v>
      </c>
      <c r="P602" s="14" t="s">
        <v>79</v>
      </c>
      <c r="Q602" s="15" t="s">
        <v>140</v>
      </c>
      <c r="R602" s="14" t="s">
        <v>75</v>
      </c>
      <c r="S602" s="14" t="s">
        <v>75</v>
      </c>
      <c r="T602" s="16" t="s">
        <v>126</v>
      </c>
      <c r="U602" s="17"/>
      <c r="V602" s="13"/>
      <c r="W602" s="13"/>
      <c r="X602" s="13"/>
      <c r="Y602" s="13"/>
      <c r="Z602" s="13"/>
      <c r="AA602" s="13"/>
      <c r="AB602" s="18"/>
      <c r="AC602" s="18"/>
      <c r="AD602" s="18"/>
      <c r="AE602" s="18"/>
      <c r="AF602" s="18"/>
      <c r="AG602" s="18"/>
      <c r="AH602" s="13"/>
      <c r="AI602" s="18"/>
      <c r="AJ602" s="13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3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2"/>
      <c r="BK602" s="12"/>
      <c r="BL602" s="12"/>
      <c r="BM602" s="9"/>
      <c r="BN602" s="9"/>
      <c r="BO602" s="9"/>
      <c r="BP602" s="12"/>
      <c r="BQ602" s="12"/>
      <c r="BR602" s="12"/>
      <c r="BS602" s="12"/>
      <c r="BT602" s="12"/>
      <c r="BU602" s="12"/>
      <c r="BV602" s="12"/>
      <c r="BW602" s="12"/>
      <c r="BX602" s="12"/>
      <c r="BY602" s="9"/>
      <c r="BZ602" s="21"/>
      <c r="CA602" s="21"/>
      <c r="CB602" s="21"/>
      <c r="CC602" s="21"/>
      <c r="CD602" s="21"/>
      <c r="CE602" s="21"/>
      <c r="CF602" s="21"/>
      <c r="CG602" s="21"/>
      <c r="CH602" s="21"/>
      <c r="CI602" s="21"/>
      <c r="CJ602" s="21"/>
    </row>
    <row r="603" spans="1:88" ht="40.5" customHeight="1">
      <c r="A603" s="9"/>
      <c r="B603" s="12"/>
      <c r="C603" s="9" t="s">
        <v>1545</v>
      </c>
      <c r="D603" s="9" t="s">
        <v>1531</v>
      </c>
      <c r="E603" s="12">
        <v>0</v>
      </c>
      <c r="F603" s="12">
        <v>0</v>
      </c>
      <c r="G603" s="12" t="b">
        <v>0</v>
      </c>
      <c r="H603" s="9" t="s">
        <v>75</v>
      </c>
      <c r="I603" s="9" t="s">
        <v>1546</v>
      </c>
      <c r="J603" s="9" t="s">
        <v>75</v>
      </c>
      <c r="K603" s="11" t="s">
        <v>1547</v>
      </c>
      <c r="L603" s="12"/>
      <c r="M603" s="12"/>
      <c r="N603" s="13"/>
      <c r="O603" s="16" t="s">
        <v>7</v>
      </c>
      <c r="P603" s="14" t="s">
        <v>79</v>
      </c>
      <c r="Q603" s="15" t="s">
        <v>140</v>
      </c>
      <c r="R603" s="14" t="s">
        <v>75</v>
      </c>
      <c r="S603" s="14" t="s">
        <v>75</v>
      </c>
      <c r="T603" s="16" t="s">
        <v>81</v>
      </c>
      <c r="U603" s="17"/>
      <c r="V603" s="13"/>
      <c r="W603" s="13"/>
      <c r="X603" s="13"/>
      <c r="Y603" s="13"/>
      <c r="Z603" s="13"/>
      <c r="AA603" s="13"/>
      <c r="AB603" s="18"/>
      <c r="AC603" s="18"/>
      <c r="AD603" s="18"/>
      <c r="AE603" s="18"/>
      <c r="AF603" s="18"/>
      <c r="AG603" s="18"/>
      <c r="AH603" s="13"/>
      <c r="AI603" s="18"/>
      <c r="AJ603" s="13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3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2"/>
      <c r="BK603" s="12"/>
      <c r="BL603" s="12"/>
      <c r="BM603" s="9"/>
      <c r="BN603" s="9"/>
      <c r="BO603" s="9"/>
      <c r="BP603" s="12"/>
      <c r="BQ603" s="12"/>
      <c r="BR603" s="12"/>
      <c r="BS603" s="12"/>
      <c r="BT603" s="12"/>
      <c r="BU603" s="12"/>
      <c r="BV603" s="12"/>
      <c r="BW603" s="12"/>
      <c r="BX603" s="12"/>
      <c r="BY603" s="9"/>
      <c r="BZ603" s="21"/>
      <c r="CA603" s="21"/>
      <c r="CB603" s="21"/>
      <c r="CC603" s="21"/>
      <c r="CD603" s="21"/>
      <c r="CE603" s="21"/>
      <c r="CF603" s="21"/>
      <c r="CG603" s="21"/>
      <c r="CH603" s="21"/>
      <c r="CI603" s="21"/>
      <c r="CJ603" s="21"/>
    </row>
    <row r="604" spans="1:88" ht="40.5" customHeight="1">
      <c r="A604" s="9"/>
      <c r="B604" s="12"/>
      <c r="C604" s="9" t="s">
        <v>1548</v>
      </c>
      <c r="D604" s="9" t="s">
        <v>1531</v>
      </c>
      <c r="E604" s="12">
        <v>0</v>
      </c>
      <c r="F604" s="12">
        <v>0</v>
      </c>
      <c r="G604" s="12" t="b">
        <v>0</v>
      </c>
      <c r="H604" s="9" t="s">
        <v>79</v>
      </c>
      <c r="I604" s="10" t="s">
        <v>1549</v>
      </c>
      <c r="J604" s="9" t="s">
        <v>79</v>
      </c>
      <c r="K604" s="11" t="s">
        <v>1550</v>
      </c>
      <c r="L604" s="12"/>
      <c r="M604" s="12"/>
      <c r="N604" s="13"/>
      <c r="O604" s="16" t="s">
        <v>7</v>
      </c>
      <c r="P604" s="14" t="s">
        <v>79</v>
      </c>
      <c r="Q604" s="15" t="s">
        <v>140</v>
      </c>
      <c r="R604" s="14" t="s">
        <v>75</v>
      </c>
      <c r="S604" s="14" t="s">
        <v>75</v>
      </c>
      <c r="T604" s="16" t="s">
        <v>81</v>
      </c>
      <c r="U604" s="17"/>
      <c r="V604" s="13"/>
      <c r="W604" s="13"/>
      <c r="X604" s="13"/>
      <c r="Y604" s="13"/>
      <c r="Z604" s="13"/>
      <c r="AA604" s="13"/>
      <c r="AB604" s="18"/>
      <c r="AC604" s="18"/>
      <c r="AD604" s="18"/>
      <c r="AE604" s="18"/>
      <c r="AF604" s="18"/>
      <c r="AG604" s="18"/>
      <c r="AH604" s="13"/>
      <c r="AI604" s="18"/>
      <c r="AJ604" s="13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3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2"/>
      <c r="BK604" s="12"/>
      <c r="BL604" s="12"/>
      <c r="BM604" s="9"/>
      <c r="BN604" s="9"/>
      <c r="BO604" s="9"/>
      <c r="BP604" s="12"/>
      <c r="BQ604" s="12"/>
      <c r="BR604" s="12"/>
      <c r="BS604" s="12"/>
      <c r="BT604" s="12"/>
      <c r="BU604" s="12"/>
      <c r="BV604" s="12"/>
      <c r="BW604" s="12"/>
      <c r="BX604" s="12"/>
      <c r="BY604" s="9"/>
      <c r="BZ604" s="21"/>
      <c r="CA604" s="21"/>
      <c r="CB604" s="21"/>
      <c r="CC604" s="21"/>
      <c r="CD604" s="21"/>
      <c r="CE604" s="21"/>
      <c r="CF604" s="21"/>
      <c r="CG604" s="21"/>
      <c r="CH604" s="21"/>
      <c r="CI604" s="21"/>
      <c r="CJ604" s="21"/>
    </row>
    <row r="605" spans="1:88" ht="40.5" customHeight="1">
      <c r="A605" s="9"/>
      <c r="B605" s="12"/>
      <c r="C605" s="9" t="s">
        <v>1551</v>
      </c>
      <c r="D605" s="9" t="s">
        <v>1531</v>
      </c>
      <c r="E605" s="12">
        <v>0</v>
      </c>
      <c r="F605" s="12">
        <v>0</v>
      </c>
      <c r="G605" s="12" t="b">
        <v>0</v>
      </c>
      <c r="H605" s="9" t="s">
        <v>75</v>
      </c>
      <c r="I605" s="9" t="s">
        <v>1552</v>
      </c>
      <c r="J605" s="9" t="s">
        <v>75</v>
      </c>
      <c r="K605" s="9" t="s">
        <v>79</v>
      </c>
      <c r="L605" s="12"/>
      <c r="M605" s="12"/>
      <c r="N605" s="13"/>
      <c r="O605" s="16" t="s">
        <v>98</v>
      </c>
      <c r="P605" s="14" t="s">
        <v>79</v>
      </c>
      <c r="Q605" s="15" t="s">
        <v>140</v>
      </c>
      <c r="R605" s="14" t="s">
        <v>75</v>
      </c>
      <c r="S605" s="14" t="s">
        <v>75</v>
      </c>
      <c r="T605" s="16" t="s">
        <v>166</v>
      </c>
      <c r="U605" s="17"/>
      <c r="V605" s="13"/>
      <c r="W605" s="13"/>
      <c r="X605" s="13"/>
      <c r="Y605" s="13"/>
      <c r="Z605" s="13"/>
      <c r="AA605" s="13"/>
      <c r="AB605" s="18"/>
      <c r="AC605" s="18"/>
      <c r="AD605" s="18"/>
      <c r="AE605" s="18"/>
      <c r="AF605" s="18"/>
      <c r="AG605" s="18"/>
      <c r="AH605" s="13"/>
      <c r="AI605" s="18"/>
      <c r="AJ605" s="13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3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2"/>
      <c r="BK605" s="12"/>
      <c r="BL605" s="12"/>
      <c r="BM605" s="9"/>
      <c r="BN605" s="9"/>
      <c r="BO605" s="9"/>
      <c r="BP605" s="12"/>
      <c r="BQ605" s="12"/>
      <c r="BR605" s="12"/>
      <c r="BS605" s="12"/>
      <c r="BT605" s="12"/>
      <c r="BU605" s="12"/>
      <c r="BV605" s="12"/>
      <c r="BW605" s="12"/>
      <c r="BX605" s="12"/>
      <c r="BY605" s="9"/>
      <c r="BZ605" s="21"/>
      <c r="CA605" s="21"/>
      <c r="CB605" s="21"/>
      <c r="CC605" s="21"/>
      <c r="CD605" s="21"/>
      <c r="CE605" s="21"/>
      <c r="CF605" s="21"/>
      <c r="CG605" s="21"/>
      <c r="CH605" s="21"/>
      <c r="CI605" s="21"/>
      <c r="CJ605" s="21"/>
    </row>
    <row r="606" spans="1:88" ht="40.5" customHeight="1">
      <c r="A606" s="9"/>
      <c r="B606" s="12"/>
      <c r="C606" s="9" t="s">
        <v>1553</v>
      </c>
      <c r="D606" s="9" t="s">
        <v>1531</v>
      </c>
      <c r="E606" s="12">
        <v>0</v>
      </c>
      <c r="F606" s="12">
        <v>0</v>
      </c>
      <c r="G606" s="12" t="b">
        <v>0</v>
      </c>
      <c r="H606" s="9" t="s">
        <v>75</v>
      </c>
      <c r="I606" s="9" t="s">
        <v>1554</v>
      </c>
      <c r="J606" s="9" t="s">
        <v>75</v>
      </c>
      <c r="K606" s="11" t="s">
        <v>1555</v>
      </c>
      <c r="L606" s="12"/>
      <c r="M606" s="12"/>
      <c r="N606" s="13"/>
      <c r="O606" s="16" t="s">
        <v>7</v>
      </c>
      <c r="P606" s="14" t="s">
        <v>79</v>
      </c>
      <c r="Q606" s="15" t="s">
        <v>140</v>
      </c>
      <c r="R606" s="14" t="s">
        <v>75</v>
      </c>
      <c r="S606" s="14" t="s">
        <v>75</v>
      </c>
      <c r="T606" s="16" t="s">
        <v>81</v>
      </c>
      <c r="U606" s="17"/>
      <c r="V606" s="13"/>
      <c r="W606" s="13"/>
      <c r="X606" s="13"/>
      <c r="Y606" s="13"/>
      <c r="Z606" s="13"/>
      <c r="AA606" s="13"/>
      <c r="AB606" s="18"/>
      <c r="AC606" s="18"/>
      <c r="AD606" s="18"/>
      <c r="AE606" s="18"/>
      <c r="AF606" s="18"/>
      <c r="AG606" s="18"/>
      <c r="AH606" s="13"/>
      <c r="AI606" s="18"/>
      <c r="AJ606" s="13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3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2"/>
      <c r="BK606" s="12"/>
      <c r="BL606" s="12"/>
      <c r="BM606" s="9"/>
      <c r="BN606" s="9"/>
      <c r="BO606" s="9"/>
      <c r="BP606" s="12"/>
      <c r="BQ606" s="12"/>
      <c r="BR606" s="12"/>
      <c r="BS606" s="12"/>
      <c r="BT606" s="12"/>
      <c r="BU606" s="12"/>
      <c r="BV606" s="12"/>
      <c r="BW606" s="12"/>
      <c r="BX606" s="12"/>
      <c r="BY606" s="9"/>
      <c r="BZ606" s="21"/>
      <c r="CA606" s="21"/>
      <c r="CB606" s="21"/>
      <c r="CC606" s="21"/>
      <c r="CD606" s="21"/>
      <c r="CE606" s="21"/>
      <c r="CF606" s="21"/>
      <c r="CG606" s="21"/>
      <c r="CH606" s="21"/>
      <c r="CI606" s="21"/>
      <c r="CJ606" s="21"/>
    </row>
    <row r="607" spans="1:88" ht="40.5" customHeight="1">
      <c r="A607" s="9"/>
      <c r="B607" s="12"/>
      <c r="C607" s="9" t="s">
        <v>1556</v>
      </c>
      <c r="D607" s="9" t="s">
        <v>1531</v>
      </c>
      <c r="E607" s="12">
        <v>0</v>
      </c>
      <c r="F607" s="12">
        <v>0</v>
      </c>
      <c r="G607" s="12" t="b">
        <v>0</v>
      </c>
      <c r="H607" s="9" t="s">
        <v>75</v>
      </c>
      <c r="I607" s="9" t="s">
        <v>1557</v>
      </c>
      <c r="J607" s="9" t="s">
        <v>75</v>
      </c>
      <c r="K607" s="11" t="s">
        <v>1558</v>
      </c>
      <c r="L607" s="12"/>
      <c r="M607" s="12"/>
      <c r="N607" s="13"/>
      <c r="O607" s="16" t="s">
        <v>7</v>
      </c>
      <c r="P607" s="14" t="s">
        <v>79</v>
      </c>
      <c r="Q607" s="15" t="s">
        <v>140</v>
      </c>
      <c r="R607" s="14" t="s">
        <v>75</v>
      </c>
      <c r="S607" s="14" t="s">
        <v>75</v>
      </c>
      <c r="T607" s="16" t="s">
        <v>81</v>
      </c>
      <c r="U607" s="17"/>
      <c r="V607" s="13"/>
      <c r="W607" s="13"/>
      <c r="X607" s="13"/>
      <c r="Y607" s="13"/>
      <c r="Z607" s="13"/>
      <c r="AA607" s="13"/>
      <c r="AB607" s="18"/>
      <c r="AC607" s="18"/>
      <c r="AD607" s="18"/>
      <c r="AE607" s="18"/>
      <c r="AF607" s="18"/>
      <c r="AG607" s="18"/>
      <c r="AH607" s="13"/>
      <c r="AI607" s="18"/>
      <c r="AJ607" s="13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3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2"/>
      <c r="BK607" s="12"/>
      <c r="BL607" s="12"/>
      <c r="BM607" s="9"/>
      <c r="BN607" s="9"/>
      <c r="BO607" s="9"/>
      <c r="BP607" s="12"/>
      <c r="BQ607" s="12"/>
      <c r="BR607" s="12"/>
      <c r="BS607" s="12"/>
      <c r="BT607" s="12"/>
      <c r="BU607" s="12"/>
      <c r="BV607" s="12"/>
      <c r="BW607" s="12"/>
      <c r="BX607" s="12"/>
      <c r="BY607" s="9"/>
      <c r="BZ607" s="21"/>
      <c r="CA607" s="21"/>
      <c r="CB607" s="21"/>
      <c r="CC607" s="21"/>
      <c r="CD607" s="21"/>
      <c r="CE607" s="21"/>
      <c r="CF607" s="21"/>
      <c r="CG607" s="21"/>
      <c r="CH607" s="21"/>
      <c r="CI607" s="21"/>
      <c r="CJ607" s="21"/>
    </row>
    <row r="608" spans="1:88" ht="40.5" customHeight="1">
      <c r="A608" s="9"/>
      <c r="B608" s="12"/>
      <c r="C608" s="9" t="s">
        <v>1559</v>
      </c>
      <c r="D608" s="9" t="s">
        <v>1531</v>
      </c>
      <c r="E608" s="12">
        <v>0</v>
      </c>
      <c r="F608" s="12">
        <v>0</v>
      </c>
      <c r="G608" s="12" t="b">
        <v>0</v>
      </c>
      <c r="H608" s="9" t="s">
        <v>75</v>
      </c>
      <c r="I608" s="9" t="s">
        <v>1560</v>
      </c>
      <c r="J608" s="9" t="s">
        <v>75</v>
      </c>
      <c r="K608" s="11" t="s">
        <v>1561</v>
      </c>
      <c r="L608" s="12"/>
      <c r="M608" s="12"/>
      <c r="N608" s="13"/>
      <c r="O608" s="16" t="s">
        <v>7</v>
      </c>
      <c r="P608" s="14" t="s">
        <v>79</v>
      </c>
      <c r="Q608" s="15" t="s">
        <v>140</v>
      </c>
      <c r="R608" s="14" t="s">
        <v>75</v>
      </c>
      <c r="S608" s="14" t="s">
        <v>75</v>
      </c>
      <c r="T608" s="16" t="s">
        <v>81</v>
      </c>
      <c r="U608" s="17"/>
      <c r="V608" s="13"/>
      <c r="W608" s="13"/>
      <c r="X608" s="13"/>
      <c r="Y608" s="13"/>
      <c r="Z608" s="13"/>
      <c r="AA608" s="13"/>
      <c r="AB608" s="18"/>
      <c r="AC608" s="18"/>
      <c r="AD608" s="18"/>
      <c r="AE608" s="18"/>
      <c r="AF608" s="18"/>
      <c r="AG608" s="18"/>
      <c r="AH608" s="13"/>
      <c r="AI608" s="18"/>
      <c r="AJ608" s="13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3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2"/>
      <c r="BK608" s="12"/>
      <c r="BL608" s="12"/>
      <c r="BM608" s="9"/>
      <c r="BN608" s="9"/>
      <c r="BO608" s="9"/>
      <c r="BP608" s="12"/>
      <c r="BQ608" s="12"/>
      <c r="BR608" s="12"/>
      <c r="BS608" s="12"/>
      <c r="BT608" s="12"/>
      <c r="BU608" s="12"/>
      <c r="BV608" s="12"/>
      <c r="BW608" s="12"/>
      <c r="BX608" s="12"/>
      <c r="BY608" s="9"/>
      <c r="BZ608" s="21"/>
      <c r="CA608" s="21"/>
      <c r="CB608" s="21"/>
      <c r="CC608" s="21"/>
      <c r="CD608" s="21"/>
      <c r="CE608" s="21"/>
      <c r="CF608" s="21"/>
      <c r="CG608" s="21"/>
      <c r="CH608" s="21"/>
      <c r="CI608" s="21"/>
      <c r="CJ608" s="21"/>
    </row>
    <row r="609" spans="1:88" ht="40.5" customHeight="1">
      <c r="A609" s="9"/>
      <c r="B609" s="12"/>
      <c r="C609" s="9" t="s">
        <v>1562</v>
      </c>
      <c r="D609" s="9" t="s">
        <v>1531</v>
      </c>
      <c r="E609" s="12">
        <v>0</v>
      </c>
      <c r="F609" s="12">
        <v>0</v>
      </c>
      <c r="G609" s="12" t="b">
        <v>0</v>
      </c>
      <c r="H609" s="9" t="s">
        <v>75</v>
      </c>
      <c r="I609" s="9" t="s">
        <v>1563</v>
      </c>
      <c r="J609" s="9" t="s">
        <v>75</v>
      </c>
      <c r="K609" s="11" t="s">
        <v>1564</v>
      </c>
      <c r="L609" s="12"/>
      <c r="M609" s="12"/>
      <c r="N609" s="13"/>
      <c r="O609" s="16" t="s">
        <v>7</v>
      </c>
      <c r="P609" s="14" t="s">
        <v>79</v>
      </c>
      <c r="Q609" s="15" t="s">
        <v>140</v>
      </c>
      <c r="R609" s="14" t="s">
        <v>75</v>
      </c>
      <c r="S609" s="14" t="s">
        <v>75</v>
      </c>
      <c r="T609" s="16" t="s">
        <v>81</v>
      </c>
      <c r="U609" s="17"/>
      <c r="V609" s="13"/>
      <c r="W609" s="13"/>
      <c r="X609" s="13"/>
      <c r="Y609" s="13"/>
      <c r="Z609" s="13"/>
      <c r="AA609" s="13"/>
      <c r="AB609" s="18"/>
      <c r="AC609" s="18"/>
      <c r="AD609" s="18"/>
      <c r="AE609" s="18"/>
      <c r="AF609" s="18"/>
      <c r="AG609" s="18"/>
      <c r="AH609" s="13"/>
      <c r="AI609" s="18"/>
      <c r="AJ609" s="13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3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2"/>
      <c r="BK609" s="12"/>
      <c r="BL609" s="12"/>
      <c r="BM609" s="9"/>
      <c r="BN609" s="9"/>
      <c r="BO609" s="9"/>
      <c r="BP609" s="12"/>
      <c r="BQ609" s="12"/>
      <c r="BR609" s="12"/>
      <c r="BS609" s="12"/>
      <c r="BT609" s="12"/>
      <c r="BU609" s="12"/>
      <c r="BV609" s="12"/>
      <c r="BW609" s="12"/>
      <c r="BX609" s="12"/>
      <c r="BY609" s="9"/>
      <c r="BZ609" s="21"/>
      <c r="CA609" s="21"/>
      <c r="CB609" s="21"/>
      <c r="CC609" s="21"/>
      <c r="CD609" s="21"/>
      <c r="CE609" s="21"/>
      <c r="CF609" s="21"/>
      <c r="CG609" s="21"/>
      <c r="CH609" s="21"/>
      <c r="CI609" s="21"/>
      <c r="CJ609" s="21"/>
    </row>
    <row r="610" spans="1:88" ht="40.5" customHeight="1">
      <c r="A610" s="9"/>
      <c r="B610" s="12"/>
      <c r="C610" s="9" t="s">
        <v>1565</v>
      </c>
      <c r="D610" s="9" t="s">
        <v>1531</v>
      </c>
      <c r="E610" s="12">
        <v>0</v>
      </c>
      <c r="F610" s="12">
        <v>0</v>
      </c>
      <c r="G610" s="12" t="b">
        <v>0</v>
      </c>
      <c r="H610" s="9" t="s">
        <v>75</v>
      </c>
      <c r="I610" s="9" t="s">
        <v>1566</v>
      </c>
      <c r="J610" s="9" t="s">
        <v>75</v>
      </c>
      <c r="K610" s="11" t="s">
        <v>1567</v>
      </c>
      <c r="L610" s="12"/>
      <c r="M610" s="12"/>
      <c r="N610" s="13"/>
      <c r="O610" s="16" t="s">
        <v>7</v>
      </c>
      <c r="P610" s="14" t="s">
        <v>79</v>
      </c>
      <c r="Q610" s="15" t="s">
        <v>140</v>
      </c>
      <c r="R610" s="14" t="s">
        <v>75</v>
      </c>
      <c r="S610" s="14" t="s">
        <v>75</v>
      </c>
      <c r="T610" s="16" t="s">
        <v>81</v>
      </c>
      <c r="U610" s="17"/>
      <c r="V610" s="13"/>
      <c r="W610" s="13"/>
      <c r="X610" s="13"/>
      <c r="Y610" s="13"/>
      <c r="Z610" s="13"/>
      <c r="AA610" s="13"/>
      <c r="AB610" s="18"/>
      <c r="AC610" s="18"/>
      <c r="AD610" s="18"/>
      <c r="AE610" s="18"/>
      <c r="AF610" s="18"/>
      <c r="AG610" s="18"/>
      <c r="AH610" s="13"/>
      <c r="AI610" s="18"/>
      <c r="AJ610" s="13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3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2"/>
      <c r="BK610" s="12"/>
      <c r="BL610" s="12"/>
      <c r="BM610" s="9"/>
      <c r="BN610" s="9"/>
      <c r="BO610" s="9"/>
      <c r="BP610" s="12"/>
      <c r="BQ610" s="12"/>
      <c r="BR610" s="12"/>
      <c r="BS610" s="12"/>
      <c r="BT610" s="12"/>
      <c r="BU610" s="12"/>
      <c r="BV610" s="12"/>
      <c r="BW610" s="12"/>
      <c r="BX610" s="12"/>
      <c r="BY610" s="9"/>
      <c r="BZ610" s="21"/>
      <c r="CA610" s="21"/>
      <c r="CB610" s="21"/>
      <c r="CC610" s="21"/>
      <c r="CD610" s="21"/>
      <c r="CE610" s="21"/>
      <c r="CF610" s="21"/>
      <c r="CG610" s="21"/>
      <c r="CH610" s="21"/>
      <c r="CI610" s="21"/>
      <c r="CJ610" s="21"/>
    </row>
    <row r="611" spans="1:88" ht="40.5" customHeight="1">
      <c r="A611" s="9"/>
      <c r="B611" s="12"/>
      <c r="C611" s="9" t="s">
        <v>1568</v>
      </c>
      <c r="D611" s="9" t="s">
        <v>1569</v>
      </c>
      <c r="E611" s="12">
        <v>0</v>
      </c>
      <c r="F611" s="12">
        <v>0</v>
      </c>
      <c r="G611" s="12" t="b">
        <v>0</v>
      </c>
      <c r="H611" s="9" t="s">
        <v>79</v>
      </c>
      <c r="I611" s="10" t="s">
        <v>1570</v>
      </c>
      <c r="J611" s="9" t="s">
        <v>79</v>
      </c>
      <c r="K611" s="11" t="s">
        <v>1571</v>
      </c>
      <c r="L611" s="12"/>
      <c r="M611" s="12"/>
      <c r="N611" s="13"/>
      <c r="O611" s="16" t="s">
        <v>78</v>
      </c>
      <c r="P611" s="14" t="s">
        <v>79</v>
      </c>
      <c r="Q611" s="15" t="s">
        <v>140</v>
      </c>
      <c r="R611" s="14" t="s">
        <v>75</v>
      </c>
      <c r="S611" s="14" t="s">
        <v>75</v>
      </c>
      <c r="T611" s="16" t="s">
        <v>145</v>
      </c>
      <c r="U611" s="17"/>
      <c r="V611" s="13"/>
      <c r="W611" s="13"/>
      <c r="X611" s="13"/>
      <c r="Y611" s="13"/>
      <c r="Z611" s="13"/>
      <c r="AA611" s="13"/>
      <c r="AB611" s="18"/>
      <c r="AC611" s="18"/>
      <c r="AD611" s="18"/>
      <c r="AE611" s="18"/>
      <c r="AF611" s="18"/>
      <c r="AG611" s="18"/>
      <c r="AH611" s="13"/>
      <c r="AI611" s="18"/>
      <c r="AJ611" s="13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3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2"/>
      <c r="BK611" s="12"/>
      <c r="BL611" s="12"/>
      <c r="BM611" s="9"/>
      <c r="BN611" s="9"/>
      <c r="BO611" s="9"/>
      <c r="BP611" s="12"/>
      <c r="BQ611" s="12"/>
      <c r="BR611" s="12"/>
      <c r="BS611" s="12"/>
      <c r="BT611" s="12"/>
      <c r="BU611" s="12"/>
      <c r="BV611" s="12"/>
      <c r="BW611" s="12"/>
      <c r="BX611" s="12"/>
      <c r="BY611" s="9"/>
      <c r="BZ611" s="21"/>
      <c r="CA611" s="21"/>
      <c r="CB611" s="21"/>
      <c r="CC611" s="21"/>
      <c r="CD611" s="21"/>
      <c r="CE611" s="21"/>
      <c r="CF611" s="21"/>
      <c r="CG611" s="21"/>
      <c r="CH611" s="21"/>
      <c r="CI611" s="21"/>
      <c r="CJ611" s="21"/>
    </row>
    <row r="612" spans="1:88" ht="40.5" customHeight="1">
      <c r="A612" s="9"/>
      <c r="B612" s="12"/>
      <c r="C612" s="9" t="s">
        <v>1572</v>
      </c>
      <c r="D612" s="9" t="s">
        <v>627</v>
      </c>
      <c r="E612" s="12">
        <v>0</v>
      </c>
      <c r="F612" s="12">
        <v>0</v>
      </c>
      <c r="G612" s="12" t="b">
        <v>0</v>
      </c>
      <c r="H612" s="9" t="s">
        <v>75</v>
      </c>
      <c r="I612" s="9" t="s">
        <v>1573</v>
      </c>
      <c r="J612" s="9" t="s">
        <v>75</v>
      </c>
      <c r="K612" s="9" t="s">
        <v>75</v>
      </c>
      <c r="L612" s="12"/>
      <c r="M612" s="12"/>
      <c r="N612" s="13"/>
      <c r="O612" s="16" t="s">
        <v>78</v>
      </c>
      <c r="P612" s="14" t="s">
        <v>79</v>
      </c>
      <c r="Q612" s="15" t="s">
        <v>155</v>
      </c>
      <c r="R612" s="14" t="s">
        <v>75</v>
      </c>
      <c r="S612" s="14" t="s">
        <v>75</v>
      </c>
      <c r="T612" s="16" t="s">
        <v>126</v>
      </c>
      <c r="U612" s="17"/>
      <c r="V612" s="13"/>
      <c r="W612" s="13"/>
      <c r="X612" s="13"/>
      <c r="Y612" s="13"/>
      <c r="Z612" s="13"/>
      <c r="AA612" s="13"/>
      <c r="AB612" s="18"/>
      <c r="AC612" s="18"/>
      <c r="AD612" s="18"/>
      <c r="AE612" s="18"/>
      <c r="AF612" s="18"/>
      <c r="AG612" s="18"/>
      <c r="AH612" s="13"/>
      <c r="AI612" s="18"/>
      <c r="AJ612" s="13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3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2"/>
      <c r="BK612" s="12"/>
      <c r="BL612" s="12"/>
      <c r="BM612" s="9"/>
      <c r="BN612" s="9"/>
      <c r="BO612" s="9"/>
      <c r="BP612" s="12"/>
      <c r="BQ612" s="12"/>
      <c r="BR612" s="12"/>
      <c r="BS612" s="12"/>
      <c r="BT612" s="12"/>
      <c r="BU612" s="12"/>
      <c r="BV612" s="12"/>
      <c r="BW612" s="12"/>
      <c r="BX612" s="12"/>
      <c r="BY612" s="9"/>
      <c r="BZ612" s="21"/>
      <c r="CA612" s="21"/>
      <c r="CB612" s="21"/>
      <c r="CC612" s="21"/>
      <c r="CD612" s="21"/>
      <c r="CE612" s="21"/>
      <c r="CF612" s="21"/>
      <c r="CG612" s="21"/>
      <c r="CH612" s="21"/>
      <c r="CI612" s="21"/>
      <c r="CJ612" s="21"/>
    </row>
    <row r="613" spans="1:88" ht="40.5" customHeight="1">
      <c r="A613" s="9"/>
      <c r="B613" s="12"/>
      <c r="C613" s="9" t="s">
        <v>1574</v>
      </c>
      <c r="D613" s="9" t="s">
        <v>627</v>
      </c>
      <c r="E613" s="12">
        <v>0</v>
      </c>
      <c r="F613" s="12">
        <v>0</v>
      </c>
      <c r="G613" s="12" t="b">
        <v>0</v>
      </c>
      <c r="H613" s="9" t="s">
        <v>75</v>
      </c>
      <c r="I613" s="9" t="s">
        <v>1575</v>
      </c>
      <c r="J613" s="9" t="s">
        <v>75</v>
      </c>
      <c r="K613" s="9" t="s">
        <v>79</v>
      </c>
      <c r="L613" s="12"/>
      <c r="M613" s="12"/>
      <c r="N613" s="13"/>
      <c r="O613" s="13"/>
      <c r="P613" s="17"/>
      <c r="Q613" s="13"/>
      <c r="R613" s="17"/>
      <c r="S613" s="17"/>
      <c r="T613" s="13"/>
      <c r="U613" s="17"/>
      <c r="V613" s="13"/>
      <c r="W613" s="13"/>
      <c r="X613" s="13"/>
      <c r="Y613" s="13"/>
      <c r="Z613" s="13"/>
      <c r="AA613" s="13"/>
      <c r="AB613" s="18"/>
      <c r="AC613" s="18"/>
      <c r="AD613" s="18"/>
      <c r="AE613" s="18"/>
      <c r="AF613" s="18"/>
      <c r="AG613" s="18"/>
      <c r="AH613" s="13"/>
      <c r="AI613" s="18"/>
      <c r="AJ613" s="13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3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2"/>
      <c r="BK613" s="12"/>
      <c r="BL613" s="12"/>
      <c r="BM613" s="9"/>
      <c r="BN613" s="9"/>
      <c r="BO613" s="9"/>
      <c r="BP613" s="12"/>
      <c r="BQ613" s="12"/>
      <c r="BR613" s="12"/>
      <c r="BS613" s="12"/>
      <c r="BT613" s="12"/>
      <c r="BU613" s="12"/>
      <c r="BV613" s="12"/>
      <c r="BW613" s="12"/>
      <c r="BX613" s="12"/>
      <c r="BY613" s="9"/>
      <c r="BZ613" s="21"/>
      <c r="CA613" s="21"/>
      <c r="CB613" s="21"/>
      <c r="CC613" s="21"/>
      <c r="CD613" s="21"/>
      <c r="CE613" s="21"/>
      <c r="CF613" s="21"/>
      <c r="CG613" s="21"/>
      <c r="CH613" s="21"/>
      <c r="CI613" s="21"/>
      <c r="CJ613" s="21"/>
    </row>
    <row r="614" spans="1:88" ht="40.5" customHeight="1">
      <c r="A614" s="9"/>
      <c r="B614" s="12"/>
      <c r="C614" s="9" t="s">
        <v>1576</v>
      </c>
      <c r="D614" s="9" t="s">
        <v>627</v>
      </c>
      <c r="E614" s="12">
        <v>0</v>
      </c>
      <c r="F614" s="12">
        <v>0</v>
      </c>
      <c r="G614" s="12" t="b">
        <v>0</v>
      </c>
      <c r="H614" s="9" t="s">
        <v>75</v>
      </c>
      <c r="I614" s="9" t="s">
        <v>1577</v>
      </c>
      <c r="J614" s="9" t="s">
        <v>75</v>
      </c>
      <c r="K614" s="9" t="s">
        <v>1320</v>
      </c>
      <c r="L614" s="12"/>
      <c r="M614" s="12"/>
      <c r="N614" s="13"/>
      <c r="O614" s="16" t="s">
        <v>78</v>
      </c>
      <c r="P614" s="14" t="s">
        <v>79</v>
      </c>
      <c r="Q614" s="15" t="s">
        <v>155</v>
      </c>
      <c r="R614" s="14" t="s">
        <v>75</v>
      </c>
      <c r="S614" s="23" t="s">
        <v>84</v>
      </c>
      <c r="T614" s="16" t="s">
        <v>166</v>
      </c>
      <c r="U614" s="17"/>
      <c r="V614" s="13"/>
      <c r="W614" s="13"/>
      <c r="X614" s="13"/>
      <c r="Y614" s="13"/>
      <c r="Z614" s="13"/>
      <c r="AA614" s="13"/>
      <c r="AB614" s="18"/>
      <c r="AC614" s="18"/>
      <c r="AD614" s="18"/>
      <c r="AE614" s="18"/>
      <c r="AF614" s="18"/>
      <c r="AG614" s="18"/>
      <c r="AH614" s="13"/>
      <c r="AI614" s="18"/>
      <c r="AJ614" s="13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3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2"/>
      <c r="BK614" s="12"/>
      <c r="BL614" s="12"/>
      <c r="BM614" s="9"/>
      <c r="BN614" s="9"/>
      <c r="BO614" s="9"/>
      <c r="BP614" s="12"/>
      <c r="BQ614" s="12"/>
      <c r="BR614" s="12"/>
      <c r="BS614" s="12"/>
      <c r="BT614" s="12"/>
      <c r="BU614" s="12"/>
      <c r="BV614" s="12"/>
      <c r="BW614" s="12"/>
      <c r="BX614" s="12"/>
      <c r="BY614" s="9"/>
      <c r="BZ614" s="21"/>
      <c r="CA614" s="21"/>
      <c r="CB614" s="21"/>
      <c r="CC614" s="21"/>
      <c r="CD614" s="21"/>
      <c r="CE614" s="21"/>
      <c r="CF614" s="21"/>
      <c r="CG614" s="21"/>
      <c r="CH614" s="21"/>
      <c r="CI614" s="21"/>
      <c r="CJ614" s="21"/>
    </row>
    <row r="615" spans="1:88" ht="40.5" customHeight="1">
      <c r="A615" s="9"/>
      <c r="B615" s="12"/>
      <c r="C615" s="9" t="s">
        <v>1578</v>
      </c>
      <c r="D615" s="9" t="s">
        <v>627</v>
      </c>
      <c r="E615" s="12">
        <v>0</v>
      </c>
      <c r="F615" s="12">
        <v>0</v>
      </c>
      <c r="G615" s="12" t="b">
        <v>0</v>
      </c>
      <c r="H615" s="9" t="s">
        <v>75</v>
      </c>
      <c r="I615" s="9" t="s">
        <v>1579</v>
      </c>
      <c r="J615" s="9" t="s">
        <v>75</v>
      </c>
      <c r="K615" s="9" t="s">
        <v>79</v>
      </c>
      <c r="L615" s="12"/>
      <c r="M615" s="12"/>
      <c r="N615" s="13"/>
      <c r="O615" s="16" t="s">
        <v>78</v>
      </c>
      <c r="P615" s="14" t="s">
        <v>79</v>
      </c>
      <c r="Q615" s="15" t="s">
        <v>155</v>
      </c>
      <c r="R615" s="14" t="s">
        <v>75</v>
      </c>
      <c r="S615" s="14" t="s">
        <v>75</v>
      </c>
      <c r="T615" s="16" t="s">
        <v>126</v>
      </c>
      <c r="U615" s="17"/>
      <c r="V615" s="13"/>
      <c r="W615" s="13"/>
      <c r="X615" s="13"/>
      <c r="Y615" s="13"/>
      <c r="Z615" s="13"/>
      <c r="AA615" s="13"/>
      <c r="AB615" s="18"/>
      <c r="AC615" s="18"/>
      <c r="AD615" s="18"/>
      <c r="AE615" s="18"/>
      <c r="AF615" s="18"/>
      <c r="AG615" s="18"/>
      <c r="AH615" s="13"/>
      <c r="AI615" s="18"/>
      <c r="AJ615" s="13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3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2"/>
      <c r="BK615" s="12"/>
      <c r="BL615" s="12"/>
      <c r="BM615" s="9"/>
      <c r="BN615" s="9"/>
      <c r="BO615" s="9"/>
      <c r="BP615" s="12"/>
      <c r="BQ615" s="12"/>
      <c r="BR615" s="12"/>
      <c r="BS615" s="12"/>
      <c r="BT615" s="12"/>
      <c r="BU615" s="12"/>
      <c r="BV615" s="12"/>
      <c r="BW615" s="12"/>
      <c r="BX615" s="12"/>
      <c r="BY615" s="9"/>
      <c r="BZ615" s="21"/>
      <c r="CA615" s="21"/>
      <c r="CB615" s="21"/>
      <c r="CC615" s="21"/>
      <c r="CD615" s="21"/>
      <c r="CE615" s="21"/>
      <c r="CF615" s="21"/>
      <c r="CG615" s="21"/>
      <c r="CH615" s="21"/>
      <c r="CI615" s="21"/>
      <c r="CJ615" s="21"/>
    </row>
    <row r="616" spans="1:88" ht="40.5" customHeight="1">
      <c r="A616" s="9"/>
      <c r="B616" s="12"/>
      <c r="C616" s="9" t="s">
        <v>1580</v>
      </c>
      <c r="D616" s="9" t="s">
        <v>627</v>
      </c>
      <c r="E616" s="12">
        <v>0</v>
      </c>
      <c r="F616" s="12">
        <v>0</v>
      </c>
      <c r="G616" s="12" t="b">
        <v>0</v>
      </c>
      <c r="H616" s="9" t="s">
        <v>75</v>
      </c>
      <c r="I616" s="9" t="s">
        <v>1581</v>
      </c>
      <c r="J616" s="9" t="s">
        <v>75</v>
      </c>
      <c r="K616" s="9" t="s">
        <v>79</v>
      </c>
      <c r="L616" s="12"/>
      <c r="M616" s="12"/>
      <c r="N616" s="13"/>
      <c r="O616" s="16" t="s">
        <v>78</v>
      </c>
      <c r="P616" s="14" t="s">
        <v>79</v>
      </c>
      <c r="Q616" s="15" t="s">
        <v>155</v>
      </c>
      <c r="R616" s="14" t="s">
        <v>75</v>
      </c>
      <c r="S616" s="14" t="s">
        <v>75</v>
      </c>
      <c r="T616" s="16" t="s">
        <v>126</v>
      </c>
      <c r="U616" s="17"/>
      <c r="V616" s="13"/>
      <c r="W616" s="13"/>
      <c r="X616" s="13"/>
      <c r="Y616" s="13"/>
      <c r="Z616" s="13"/>
      <c r="AA616" s="13"/>
      <c r="AB616" s="18"/>
      <c r="AC616" s="18"/>
      <c r="AD616" s="18"/>
      <c r="AE616" s="18"/>
      <c r="AF616" s="18"/>
      <c r="AG616" s="18"/>
      <c r="AH616" s="13"/>
      <c r="AI616" s="18"/>
      <c r="AJ616" s="13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3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2"/>
      <c r="BK616" s="12"/>
      <c r="BL616" s="12"/>
      <c r="BM616" s="9"/>
      <c r="BN616" s="9"/>
      <c r="BO616" s="9"/>
      <c r="BP616" s="12"/>
      <c r="BQ616" s="12"/>
      <c r="BR616" s="12"/>
      <c r="BS616" s="12"/>
      <c r="BT616" s="12"/>
      <c r="BU616" s="12"/>
      <c r="BV616" s="12"/>
      <c r="BW616" s="12"/>
      <c r="BX616" s="12"/>
      <c r="BY616" s="9"/>
      <c r="BZ616" s="21"/>
      <c r="CA616" s="21"/>
      <c r="CB616" s="21"/>
      <c r="CC616" s="21"/>
      <c r="CD616" s="21"/>
      <c r="CE616" s="21"/>
      <c r="CF616" s="21"/>
      <c r="CG616" s="21"/>
      <c r="CH616" s="21"/>
      <c r="CI616" s="21"/>
      <c r="CJ616" s="21"/>
    </row>
    <row r="617" spans="1:88" ht="40.5" customHeight="1">
      <c r="A617" s="9"/>
      <c r="B617" s="12"/>
      <c r="C617" s="9" t="s">
        <v>1582</v>
      </c>
      <c r="D617" s="9" t="s">
        <v>627</v>
      </c>
      <c r="E617" s="12">
        <v>0</v>
      </c>
      <c r="F617" s="12">
        <v>0</v>
      </c>
      <c r="G617" s="12" t="b">
        <v>0</v>
      </c>
      <c r="H617" s="9" t="s">
        <v>75</v>
      </c>
      <c r="I617" s="9" t="s">
        <v>1583</v>
      </c>
      <c r="J617" s="9" t="s">
        <v>75</v>
      </c>
      <c r="K617" s="9" t="s">
        <v>79</v>
      </c>
      <c r="L617" s="12"/>
      <c r="M617" s="12"/>
      <c r="N617" s="13"/>
      <c r="O617" s="16" t="s">
        <v>78</v>
      </c>
      <c r="P617" s="14" t="s">
        <v>79</v>
      </c>
      <c r="Q617" s="15" t="s">
        <v>155</v>
      </c>
      <c r="R617" s="14" t="s">
        <v>75</v>
      </c>
      <c r="S617" s="14" t="s">
        <v>75</v>
      </c>
      <c r="T617" s="16" t="s">
        <v>126</v>
      </c>
      <c r="U617" s="17"/>
      <c r="V617" s="13"/>
      <c r="W617" s="13"/>
      <c r="X617" s="13"/>
      <c r="Y617" s="13"/>
      <c r="Z617" s="13"/>
      <c r="AA617" s="13"/>
      <c r="AB617" s="18"/>
      <c r="AC617" s="18"/>
      <c r="AD617" s="18"/>
      <c r="AE617" s="18"/>
      <c r="AF617" s="18"/>
      <c r="AG617" s="18"/>
      <c r="AH617" s="13"/>
      <c r="AI617" s="18"/>
      <c r="AJ617" s="13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3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2"/>
      <c r="BK617" s="12"/>
      <c r="BL617" s="12"/>
      <c r="BM617" s="9"/>
      <c r="BN617" s="9"/>
      <c r="BO617" s="9"/>
      <c r="BP617" s="12"/>
      <c r="BQ617" s="12"/>
      <c r="BR617" s="12"/>
      <c r="BS617" s="12"/>
      <c r="BT617" s="12"/>
      <c r="BU617" s="12"/>
      <c r="BV617" s="12"/>
      <c r="BW617" s="12"/>
      <c r="BX617" s="12"/>
      <c r="BY617" s="9"/>
      <c r="BZ617" s="21"/>
      <c r="CA617" s="21"/>
      <c r="CB617" s="21"/>
      <c r="CC617" s="21"/>
      <c r="CD617" s="21"/>
      <c r="CE617" s="21"/>
      <c r="CF617" s="21"/>
      <c r="CG617" s="21"/>
      <c r="CH617" s="21"/>
      <c r="CI617" s="21"/>
      <c r="CJ617" s="21"/>
    </row>
    <row r="618" spans="1:88" ht="40.5" customHeight="1">
      <c r="A618" s="9"/>
      <c r="B618" s="12"/>
      <c r="C618" s="9" t="s">
        <v>1584</v>
      </c>
      <c r="D618" s="9" t="s">
        <v>627</v>
      </c>
      <c r="E618" s="12">
        <v>0</v>
      </c>
      <c r="F618" s="12">
        <v>0</v>
      </c>
      <c r="G618" s="12" t="b">
        <v>0</v>
      </c>
      <c r="H618" s="9" t="s">
        <v>75</v>
      </c>
      <c r="I618" s="9" t="s">
        <v>1585</v>
      </c>
      <c r="J618" s="9" t="s">
        <v>75</v>
      </c>
      <c r="K618" s="9" t="s">
        <v>79</v>
      </c>
      <c r="L618" s="12"/>
      <c r="M618" s="12"/>
      <c r="N618" s="13"/>
      <c r="O618" s="16" t="s">
        <v>78</v>
      </c>
      <c r="P618" s="14" t="s">
        <v>79</v>
      </c>
      <c r="Q618" s="15" t="s">
        <v>155</v>
      </c>
      <c r="R618" s="14" t="s">
        <v>75</v>
      </c>
      <c r="S618" s="14" t="s">
        <v>75</v>
      </c>
      <c r="T618" s="16" t="s">
        <v>126</v>
      </c>
      <c r="U618" s="17"/>
      <c r="V618" s="13"/>
      <c r="W618" s="13"/>
      <c r="X618" s="13"/>
      <c r="Y618" s="13"/>
      <c r="Z618" s="13"/>
      <c r="AA618" s="13"/>
      <c r="AB618" s="18"/>
      <c r="AC618" s="18"/>
      <c r="AD618" s="18"/>
      <c r="AE618" s="18"/>
      <c r="AF618" s="18"/>
      <c r="AG618" s="18"/>
      <c r="AH618" s="13"/>
      <c r="AI618" s="18"/>
      <c r="AJ618" s="13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3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2"/>
      <c r="BK618" s="12"/>
      <c r="BL618" s="12"/>
      <c r="BM618" s="9"/>
      <c r="BN618" s="9"/>
      <c r="BO618" s="9"/>
      <c r="BP618" s="12"/>
      <c r="BQ618" s="12"/>
      <c r="BR618" s="12"/>
      <c r="BS618" s="12"/>
      <c r="BT618" s="12"/>
      <c r="BU618" s="12"/>
      <c r="BV618" s="12"/>
      <c r="BW618" s="12"/>
      <c r="BX618" s="12"/>
      <c r="BY618" s="9"/>
      <c r="BZ618" s="21"/>
      <c r="CA618" s="21"/>
      <c r="CB618" s="21"/>
      <c r="CC618" s="21"/>
      <c r="CD618" s="21"/>
      <c r="CE618" s="21"/>
      <c r="CF618" s="21"/>
      <c r="CG618" s="21"/>
      <c r="CH618" s="21"/>
      <c r="CI618" s="21"/>
      <c r="CJ618" s="21"/>
    </row>
    <row r="619" spans="1:88" ht="40.5" customHeight="1">
      <c r="A619" s="9"/>
      <c r="B619" s="12"/>
      <c r="C619" s="9" t="s">
        <v>1586</v>
      </c>
      <c r="D619" s="9" t="s">
        <v>627</v>
      </c>
      <c r="E619" s="12">
        <v>0</v>
      </c>
      <c r="F619" s="12">
        <v>0</v>
      </c>
      <c r="G619" s="12" t="b">
        <v>0</v>
      </c>
      <c r="H619" s="9" t="s">
        <v>75</v>
      </c>
      <c r="I619" s="9" t="s">
        <v>1587</v>
      </c>
      <c r="J619" s="9" t="s">
        <v>75</v>
      </c>
      <c r="K619" s="9" t="s">
        <v>79</v>
      </c>
      <c r="L619" s="12"/>
      <c r="M619" s="12"/>
      <c r="N619" s="13"/>
      <c r="O619" s="16" t="s">
        <v>78</v>
      </c>
      <c r="P619" s="14" t="s">
        <v>79</v>
      </c>
      <c r="Q619" s="15" t="s">
        <v>155</v>
      </c>
      <c r="R619" s="14" t="s">
        <v>75</v>
      </c>
      <c r="S619" s="14" t="s">
        <v>75</v>
      </c>
      <c r="T619" s="16" t="s">
        <v>166</v>
      </c>
      <c r="U619" s="17"/>
      <c r="V619" s="13"/>
      <c r="W619" s="13"/>
      <c r="X619" s="13"/>
      <c r="Y619" s="13"/>
      <c r="Z619" s="13"/>
      <c r="AA619" s="13"/>
      <c r="AB619" s="18"/>
      <c r="AC619" s="18"/>
      <c r="AD619" s="18"/>
      <c r="AE619" s="18"/>
      <c r="AF619" s="18"/>
      <c r="AG619" s="18"/>
      <c r="AH619" s="13"/>
      <c r="AI619" s="18"/>
      <c r="AJ619" s="13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3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2"/>
      <c r="BK619" s="12"/>
      <c r="BL619" s="12"/>
      <c r="BM619" s="9"/>
      <c r="BN619" s="9"/>
      <c r="BO619" s="9"/>
      <c r="BP619" s="12"/>
      <c r="BQ619" s="12"/>
      <c r="BR619" s="12"/>
      <c r="BS619" s="12"/>
      <c r="BT619" s="12"/>
      <c r="BU619" s="12"/>
      <c r="BV619" s="12"/>
      <c r="BW619" s="12"/>
      <c r="BX619" s="12"/>
      <c r="BY619" s="9"/>
      <c r="BZ619" s="21"/>
      <c r="CA619" s="21"/>
      <c r="CB619" s="21"/>
      <c r="CC619" s="21"/>
      <c r="CD619" s="21"/>
      <c r="CE619" s="21"/>
      <c r="CF619" s="21"/>
      <c r="CG619" s="21"/>
      <c r="CH619" s="21"/>
      <c r="CI619" s="21"/>
      <c r="CJ619" s="21"/>
    </row>
    <row r="620" spans="1:88" ht="40.5" customHeight="1">
      <c r="A620" s="9"/>
      <c r="B620" s="12"/>
      <c r="C620" s="9" t="s">
        <v>1588</v>
      </c>
      <c r="D620" s="9" t="s">
        <v>627</v>
      </c>
      <c r="E620" s="12">
        <v>0</v>
      </c>
      <c r="F620" s="12">
        <v>0</v>
      </c>
      <c r="G620" s="12" t="b">
        <v>0</v>
      </c>
      <c r="H620" s="9" t="s">
        <v>79</v>
      </c>
      <c r="I620" s="9" t="s">
        <v>1589</v>
      </c>
      <c r="J620" s="9" t="s">
        <v>79</v>
      </c>
      <c r="K620" s="9" t="s">
        <v>75</v>
      </c>
      <c r="L620" s="12"/>
      <c r="M620" s="12"/>
      <c r="N620" s="13"/>
      <c r="O620" s="16" t="s">
        <v>78</v>
      </c>
      <c r="P620" s="14" t="s">
        <v>79</v>
      </c>
      <c r="Q620" s="15" t="s">
        <v>155</v>
      </c>
      <c r="R620" s="14" t="s">
        <v>75</v>
      </c>
      <c r="S620" s="14" t="s">
        <v>75</v>
      </c>
      <c r="T620" s="16" t="s">
        <v>166</v>
      </c>
      <c r="U620" s="17"/>
      <c r="V620" s="13"/>
      <c r="W620" s="13"/>
      <c r="X620" s="13"/>
      <c r="Y620" s="13"/>
      <c r="Z620" s="13"/>
      <c r="AA620" s="13"/>
      <c r="AB620" s="18"/>
      <c r="AC620" s="18"/>
      <c r="AD620" s="18"/>
      <c r="AE620" s="18"/>
      <c r="AF620" s="18"/>
      <c r="AG620" s="18"/>
      <c r="AH620" s="13"/>
      <c r="AI620" s="18"/>
      <c r="AJ620" s="13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3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2"/>
      <c r="BK620" s="12"/>
      <c r="BL620" s="12"/>
      <c r="BM620" s="9"/>
      <c r="BN620" s="9"/>
      <c r="BO620" s="9"/>
      <c r="BP620" s="12"/>
      <c r="BQ620" s="12"/>
      <c r="BR620" s="12"/>
      <c r="BS620" s="12"/>
      <c r="BT620" s="12"/>
      <c r="BU620" s="12"/>
      <c r="BV620" s="12"/>
      <c r="BW620" s="12"/>
      <c r="BX620" s="12"/>
      <c r="BY620" s="9"/>
      <c r="BZ620" s="21"/>
      <c r="CA620" s="21"/>
      <c r="CB620" s="21"/>
      <c r="CC620" s="21"/>
      <c r="CD620" s="21"/>
      <c r="CE620" s="21"/>
      <c r="CF620" s="21"/>
      <c r="CG620" s="21"/>
      <c r="CH620" s="21"/>
      <c r="CI620" s="21"/>
      <c r="CJ620" s="21"/>
    </row>
    <row r="621" spans="1:88" ht="40.5" customHeight="1">
      <c r="A621" s="9"/>
      <c r="B621" s="12"/>
      <c r="C621" s="9" t="s">
        <v>1590</v>
      </c>
      <c r="D621" s="9" t="s">
        <v>627</v>
      </c>
      <c r="E621" s="12">
        <v>0</v>
      </c>
      <c r="F621" s="12">
        <v>0</v>
      </c>
      <c r="G621" s="12" t="b">
        <v>0</v>
      </c>
      <c r="H621" s="9" t="s">
        <v>75</v>
      </c>
      <c r="I621" s="9" t="s">
        <v>1591</v>
      </c>
      <c r="J621" s="10" t="s">
        <v>84</v>
      </c>
      <c r="K621" s="9" t="s">
        <v>1320</v>
      </c>
      <c r="L621" s="12"/>
      <c r="M621" s="12"/>
      <c r="N621" s="13"/>
      <c r="O621" s="16" t="s">
        <v>78</v>
      </c>
      <c r="P621" s="14" t="s">
        <v>79</v>
      </c>
      <c r="Q621" s="15" t="s">
        <v>155</v>
      </c>
      <c r="R621" s="14" t="s">
        <v>75</v>
      </c>
      <c r="S621" s="14" t="s">
        <v>75</v>
      </c>
      <c r="T621" s="16" t="s">
        <v>126</v>
      </c>
      <c r="U621" s="17"/>
      <c r="V621" s="13"/>
      <c r="W621" s="13"/>
      <c r="X621" s="13"/>
      <c r="Y621" s="13"/>
      <c r="Z621" s="13"/>
      <c r="AA621" s="13"/>
      <c r="AB621" s="18"/>
      <c r="AC621" s="18"/>
      <c r="AD621" s="18"/>
      <c r="AE621" s="18"/>
      <c r="AF621" s="18"/>
      <c r="AG621" s="18"/>
      <c r="AH621" s="13"/>
      <c r="AI621" s="18"/>
      <c r="AJ621" s="13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3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2"/>
      <c r="BK621" s="12"/>
      <c r="BL621" s="12"/>
      <c r="BM621" s="9"/>
      <c r="BN621" s="9"/>
      <c r="BO621" s="9"/>
      <c r="BP621" s="12"/>
      <c r="BQ621" s="12"/>
      <c r="BR621" s="12"/>
      <c r="BS621" s="12"/>
      <c r="BT621" s="12"/>
      <c r="BU621" s="12"/>
      <c r="BV621" s="12"/>
      <c r="BW621" s="12"/>
      <c r="BX621" s="12"/>
      <c r="BY621" s="9"/>
      <c r="BZ621" s="21"/>
      <c r="CA621" s="21"/>
      <c r="CB621" s="21"/>
      <c r="CC621" s="21"/>
      <c r="CD621" s="21"/>
      <c r="CE621" s="21"/>
      <c r="CF621" s="21"/>
      <c r="CG621" s="21"/>
      <c r="CH621" s="21"/>
      <c r="CI621" s="21"/>
      <c r="CJ621" s="21"/>
    </row>
    <row r="622" spans="1:88" ht="40.5" customHeight="1">
      <c r="A622" s="9"/>
      <c r="B622" s="12"/>
      <c r="C622" s="9" t="s">
        <v>1592</v>
      </c>
      <c r="D622" s="9" t="s">
        <v>627</v>
      </c>
      <c r="E622" s="12">
        <v>0</v>
      </c>
      <c r="F622" s="12">
        <v>0</v>
      </c>
      <c r="G622" s="12" t="b">
        <v>0</v>
      </c>
      <c r="H622" s="9" t="s">
        <v>75</v>
      </c>
      <c r="I622" s="9" t="s">
        <v>1593</v>
      </c>
      <c r="J622" s="9" t="s">
        <v>75</v>
      </c>
      <c r="K622" s="9" t="s">
        <v>79</v>
      </c>
      <c r="L622" s="12"/>
      <c r="M622" s="12"/>
      <c r="N622" s="13"/>
      <c r="O622" s="13"/>
      <c r="P622" s="17"/>
      <c r="Q622" s="13"/>
      <c r="R622" s="17"/>
      <c r="S622" s="17"/>
      <c r="T622" s="13"/>
      <c r="U622" s="17"/>
      <c r="V622" s="13"/>
      <c r="W622" s="13"/>
      <c r="X622" s="13"/>
      <c r="Y622" s="13"/>
      <c r="Z622" s="13"/>
      <c r="AA622" s="13"/>
      <c r="AB622" s="18"/>
      <c r="AC622" s="18"/>
      <c r="AD622" s="18"/>
      <c r="AE622" s="18"/>
      <c r="AF622" s="18"/>
      <c r="AG622" s="18"/>
      <c r="AH622" s="13"/>
      <c r="AI622" s="18"/>
      <c r="AJ622" s="13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3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2"/>
      <c r="BK622" s="12"/>
      <c r="BL622" s="12"/>
      <c r="BM622" s="9"/>
      <c r="BN622" s="9"/>
      <c r="BO622" s="9"/>
      <c r="BP622" s="12"/>
      <c r="BQ622" s="12"/>
      <c r="BR622" s="12"/>
      <c r="BS622" s="12"/>
      <c r="BT622" s="12"/>
      <c r="BU622" s="12"/>
      <c r="BV622" s="12"/>
      <c r="BW622" s="12"/>
      <c r="BX622" s="12"/>
      <c r="BY622" s="9"/>
      <c r="BZ622" s="21"/>
      <c r="CA622" s="21"/>
      <c r="CB622" s="21"/>
      <c r="CC622" s="21"/>
      <c r="CD622" s="21"/>
      <c r="CE622" s="21"/>
      <c r="CF622" s="21"/>
      <c r="CG622" s="21"/>
      <c r="CH622" s="21"/>
      <c r="CI622" s="21"/>
      <c r="CJ622" s="21"/>
    </row>
    <row r="623" spans="1:88" ht="40.5" customHeight="1">
      <c r="A623" s="9"/>
      <c r="B623" s="12"/>
      <c r="C623" s="9" t="s">
        <v>1594</v>
      </c>
      <c r="D623" s="9" t="s">
        <v>627</v>
      </c>
      <c r="E623" s="12">
        <v>0</v>
      </c>
      <c r="F623" s="12">
        <v>0</v>
      </c>
      <c r="G623" s="12" t="b">
        <v>0</v>
      </c>
      <c r="H623" s="9" t="s">
        <v>75</v>
      </c>
      <c r="I623" s="9" t="s">
        <v>1595</v>
      </c>
      <c r="J623" s="10" t="s">
        <v>84</v>
      </c>
      <c r="K623" s="9" t="s">
        <v>79</v>
      </c>
      <c r="L623" s="12"/>
      <c r="M623" s="12"/>
      <c r="N623" s="13"/>
      <c r="O623" s="16" t="s">
        <v>78</v>
      </c>
      <c r="P623" s="14" t="s">
        <v>79</v>
      </c>
      <c r="Q623" s="15" t="s">
        <v>155</v>
      </c>
      <c r="R623" s="14" t="s">
        <v>75</v>
      </c>
      <c r="S623" s="14" t="s">
        <v>75</v>
      </c>
      <c r="T623" s="16" t="s">
        <v>126</v>
      </c>
      <c r="U623" s="17"/>
      <c r="V623" s="13"/>
      <c r="W623" s="13"/>
      <c r="X623" s="13"/>
      <c r="Y623" s="13"/>
      <c r="Z623" s="13"/>
      <c r="AA623" s="13"/>
      <c r="AB623" s="18"/>
      <c r="AC623" s="18"/>
      <c r="AD623" s="18"/>
      <c r="AE623" s="18"/>
      <c r="AF623" s="18"/>
      <c r="AG623" s="18"/>
      <c r="AH623" s="13"/>
      <c r="AI623" s="18"/>
      <c r="AJ623" s="13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3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2"/>
      <c r="BK623" s="12"/>
      <c r="BL623" s="12"/>
      <c r="BM623" s="9"/>
      <c r="BN623" s="9"/>
      <c r="BO623" s="9"/>
      <c r="BP623" s="12"/>
      <c r="BQ623" s="12"/>
      <c r="BR623" s="12"/>
      <c r="BS623" s="12"/>
      <c r="BT623" s="12"/>
      <c r="BU623" s="12"/>
      <c r="BV623" s="12"/>
      <c r="BW623" s="12"/>
      <c r="BX623" s="12"/>
      <c r="BY623" s="9"/>
      <c r="BZ623" s="21"/>
      <c r="CA623" s="21"/>
      <c r="CB623" s="21"/>
      <c r="CC623" s="21"/>
      <c r="CD623" s="21"/>
      <c r="CE623" s="21"/>
      <c r="CF623" s="21"/>
      <c r="CG623" s="21"/>
      <c r="CH623" s="21"/>
      <c r="CI623" s="21"/>
      <c r="CJ623" s="21"/>
    </row>
    <row r="624" spans="1:88" ht="40.5" customHeight="1">
      <c r="A624" s="9"/>
      <c r="B624" s="12"/>
      <c r="C624" s="9" t="s">
        <v>1596</v>
      </c>
      <c r="D624" s="9" t="s">
        <v>627</v>
      </c>
      <c r="E624" s="12">
        <v>0</v>
      </c>
      <c r="F624" s="12">
        <v>0</v>
      </c>
      <c r="G624" s="12" t="b">
        <v>0</v>
      </c>
      <c r="H624" s="9" t="s">
        <v>75</v>
      </c>
      <c r="I624" s="9" t="s">
        <v>1597</v>
      </c>
      <c r="J624" s="9" t="s">
        <v>75</v>
      </c>
      <c r="K624" s="9" t="s">
        <v>79</v>
      </c>
      <c r="L624" s="12"/>
      <c r="M624" s="12"/>
      <c r="N624" s="13"/>
      <c r="O624" s="16" t="s">
        <v>78</v>
      </c>
      <c r="P624" s="14" t="s">
        <v>79</v>
      </c>
      <c r="Q624" s="15" t="s">
        <v>155</v>
      </c>
      <c r="R624" s="14" t="s">
        <v>75</v>
      </c>
      <c r="S624" s="14" t="s">
        <v>75</v>
      </c>
      <c r="T624" s="16" t="s">
        <v>126</v>
      </c>
      <c r="U624" s="17"/>
      <c r="V624" s="13"/>
      <c r="W624" s="13"/>
      <c r="X624" s="13"/>
      <c r="Y624" s="13"/>
      <c r="Z624" s="13"/>
      <c r="AA624" s="13"/>
      <c r="AB624" s="18"/>
      <c r="AC624" s="18"/>
      <c r="AD624" s="18"/>
      <c r="AE624" s="18"/>
      <c r="AF624" s="18"/>
      <c r="AG624" s="18"/>
      <c r="AH624" s="13"/>
      <c r="AI624" s="18"/>
      <c r="AJ624" s="13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3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2"/>
      <c r="BK624" s="12"/>
      <c r="BL624" s="12"/>
      <c r="BM624" s="9"/>
      <c r="BN624" s="9"/>
      <c r="BO624" s="9"/>
      <c r="BP624" s="12"/>
      <c r="BQ624" s="12"/>
      <c r="BR624" s="12"/>
      <c r="BS624" s="12"/>
      <c r="BT624" s="12"/>
      <c r="BU624" s="12"/>
      <c r="BV624" s="12"/>
      <c r="BW624" s="12"/>
      <c r="BX624" s="12"/>
      <c r="BY624" s="9"/>
      <c r="BZ624" s="21"/>
      <c r="CA624" s="21"/>
      <c r="CB624" s="21"/>
      <c r="CC624" s="21"/>
      <c r="CD624" s="21"/>
      <c r="CE624" s="21"/>
      <c r="CF624" s="21"/>
      <c r="CG624" s="21"/>
      <c r="CH624" s="21"/>
      <c r="CI624" s="21"/>
      <c r="CJ624" s="21"/>
    </row>
    <row r="625" spans="1:88" ht="40.5" customHeight="1">
      <c r="A625" s="9"/>
      <c r="B625" s="12"/>
      <c r="C625" s="9" t="s">
        <v>1598</v>
      </c>
      <c r="D625" s="9" t="s">
        <v>627</v>
      </c>
      <c r="E625" s="12">
        <v>0</v>
      </c>
      <c r="F625" s="12">
        <v>0</v>
      </c>
      <c r="G625" s="12" t="b">
        <v>0</v>
      </c>
      <c r="H625" s="9" t="s">
        <v>75</v>
      </c>
      <c r="I625" s="9" t="s">
        <v>1599</v>
      </c>
      <c r="J625" s="9" t="s">
        <v>75</v>
      </c>
      <c r="K625" s="9" t="s">
        <v>79</v>
      </c>
      <c r="L625" s="12"/>
      <c r="M625" s="12"/>
      <c r="N625" s="13"/>
      <c r="O625" s="16" t="s">
        <v>78</v>
      </c>
      <c r="P625" s="14" t="s">
        <v>79</v>
      </c>
      <c r="Q625" s="15" t="s">
        <v>155</v>
      </c>
      <c r="R625" s="14" t="s">
        <v>75</v>
      </c>
      <c r="S625" s="14" t="s">
        <v>75</v>
      </c>
      <c r="T625" s="16" t="s">
        <v>126</v>
      </c>
      <c r="U625" s="17"/>
      <c r="V625" s="13"/>
      <c r="W625" s="13"/>
      <c r="X625" s="13"/>
      <c r="Y625" s="13"/>
      <c r="Z625" s="13"/>
      <c r="AA625" s="13"/>
      <c r="AB625" s="18"/>
      <c r="AC625" s="18"/>
      <c r="AD625" s="18"/>
      <c r="AE625" s="18"/>
      <c r="AF625" s="18"/>
      <c r="AG625" s="18"/>
      <c r="AH625" s="13"/>
      <c r="AI625" s="18"/>
      <c r="AJ625" s="13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3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2"/>
      <c r="BK625" s="12"/>
      <c r="BL625" s="12"/>
      <c r="BM625" s="9"/>
      <c r="BN625" s="9"/>
      <c r="BO625" s="9"/>
      <c r="BP625" s="12"/>
      <c r="BQ625" s="12"/>
      <c r="BR625" s="12"/>
      <c r="BS625" s="12"/>
      <c r="BT625" s="12"/>
      <c r="BU625" s="12"/>
      <c r="BV625" s="12"/>
      <c r="BW625" s="12"/>
      <c r="BX625" s="12"/>
      <c r="BY625" s="9"/>
      <c r="BZ625" s="21"/>
      <c r="CA625" s="21"/>
      <c r="CB625" s="21"/>
      <c r="CC625" s="21"/>
      <c r="CD625" s="21"/>
      <c r="CE625" s="21"/>
      <c r="CF625" s="21"/>
      <c r="CG625" s="21"/>
      <c r="CH625" s="21"/>
      <c r="CI625" s="21"/>
      <c r="CJ625" s="21"/>
    </row>
    <row r="626" spans="1:88" ht="40.5" customHeight="1">
      <c r="A626" s="9"/>
      <c r="B626" s="12"/>
      <c r="C626" s="9" t="s">
        <v>1600</v>
      </c>
      <c r="D626" s="9" t="s">
        <v>627</v>
      </c>
      <c r="E626" s="12">
        <v>0</v>
      </c>
      <c r="F626" s="12">
        <v>0</v>
      </c>
      <c r="G626" s="12" t="b">
        <v>0</v>
      </c>
      <c r="H626" s="9" t="s">
        <v>75</v>
      </c>
      <c r="I626" s="9" t="s">
        <v>1601</v>
      </c>
      <c r="J626" s="9" t="s">
        <v>75</v>
      </c>
      <c r="K626" s="9" t="s">
        <v>79</v>
      </c>
      <c r="L626" s="12"/>
      <c r="M626" s="12"/>
      <c r="N626" s="13"/>
      <c r="O626" s="16" t="s">
        <v>78</v>
      </c>
      <c r="P626" s="14" t="s">
        <v>79</v>
      </c>
      <c r="Q626" s="15" t="s">
        <v>155</v>
      </c>
      <c r="R626" s="14" t="s">
        <v>75</v>
      </c>
      <c r="S626" s="14" t="s">
        <v>75</v>
      </c>
      <c r="T626" s="16" t="s">
        <v>153</v>
      </c>
      <c r="U626" s="17"/>
      <c r="V626" s="13"/>
      <c r="W626" s="13"/>
      <c r="X626" s="13"/>
      <c r="Y626" s="13"/>
      <c r="Z626" s="13"/>
      <c r="AA626" s="13"/>
      <c r="AB626" s="18"/>
      <c r="AC626" s="18"/>
      <c r="AD626" s="18"/>
      <c r="AE626" s="18"/>
      <c r="AF626" s="18"/>
      <c r="AG626" s="18"/>
      <c r="AH626" s="13"/>
      <c r="AI626" s="18"/>
      <c r="AJ626" s="13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3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2"/>
      <c r="BK626" s="12"/>
      <c r="BL626" s="12"/>
      <c r="BM626" s="9"/>
      <c r="BN626" s="9"/>
      <c r="BO626" s="9"/>
      <c r="BP626" s="12"/>
      <c r="BQ626" s="12"/>
      <c r="BR626" s="12"/>
      <c r="BS626" s="12"/>
      <c r="BT626" s="12"/>
      <c r="BU626" s="12"/>
      <c r="BV626" s="12"/>
      <c r="BW626" s="12"/>
      <c r="BX626" s="12"/>
      <c r="BY626" s="9"/>
      <c r="BZ626" s="21"/>
      <c r="CA626" s="21"/>
      <c r="CB626" s="21"/>
      <c r="CC626" s="21"/>
      <c r="CD626" s="21"/>
      <c r="CE626" s="21"/>
      <c r="CF626" s="21"/>
      <c r="CG626" s="21"/>
      <c r="CH626" s="21"/>
      <c r="CI626" s="21"/>
      <c r="CJ626" s="21"/>
    </row>
    <row r="627" spans="1:88" ht="40.5" customHeight="1">
      <c r="A627" s="9"/>
      <c r="B627" s="12"/>
      <c r="C627" s="9" t="s">
        <v>1602</v>
      </c>
      <c r="D627" s="9" t="s">
        <v>627</v>
      </c>
      <c r="E627" s="12">
        <v>0</v>
      </c>
      <c r="F627" s="12">
        <v>0</v>
      </c>
      <c r="G627" s="12" t="b">
        <v>0</v>
      </c>
      <c r="H627" s="9" t="s">
        <v>75</v>
      </c>
      <c r="I627" s="9" t="s">
        <v>1603</v>
      </c>
      <c r="J627" s="9" t="s">
        <v>75</v>
      </c>
      <c r="K627" s="9" t="s">
        <v>79</v>
      </c>
      <c r="L627" s="12"/>
      <c r="M627" s="12"/>
      <c r="N627" s="13"/>
      <c r="O627" s="16" t="s">
        <v>78</v>
      </c>
      <c r="P627" s="14" t="s">
        <v>79</v>
      </c>
      <c r="Q627" s="15" t="s">
        <v>155</v>
      </c>
      <c r="R627" s="14" t="s">
        <v>75</v>
      </c>
      <c r="S627" s="14" t="s">
        <v>75</v>
      </c>
      <c r="T627" s="16" t="s">
        <v>126</v>
      </c>
      <c r="U627" s="17"/>
      <c r="V627" s="13"/>
      <c r="W627" s="13"/>
      <c r="X627" s="13"/>
      <c r="Y627" s="13"/>
      <c r="Z627" s="13"/>
      <c r="AA627" s="13"/>
      <c r="AB627" s="18"/>
      <c r="AC627" s="18"/>
      <c r="AD627" s="18"/>
      <c r="AE627" s="18"/>
      <c r="AF627" s="18"/>
      <c r="AG627" s="18"/>
      <c r="AH627" s="13"/>
      <c r="AI627" s="18"/>
      <c r="AJ627" s="13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3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2"/>
      <c r="BK627" s="12"/>
      <c r="BL627" s="12"/>
      <c r="BM627" s="9"/>
      <c r="BN627" s="9"/>
      <c r="BO627" s="9"/>
      <c r="BP627" s="12"/>
      <c r="BQ627" s="12"/>
      <c r="BR627" s="12"/>
      <c r="BS627" s="12"/>
      <c r="BT627" s="12"/>
      <c r="BU627" s="12"/>
      <c r="BV627" s="12"/>
      <c r="BW627" s="12"/>
      <c r="BX627" s="12"/>
      <c r="BY627" s="9"/>
      <c r="BZ627" s="21"/>
      <c r="CA627" s="21"/>
      <c r="CB627" s="21"/>
      <c r="CC627" s="21"/>
      <c r="CD627" s="21"/>
      <c r="CE627" s="21"/>
      <c r="CF627" s="21"/>
      <c r="CG627" s="21"/>
      <c r="CH627" s="21"/>
      <c r="CI627" s="21"/>
      <c r="CJ627" s="21"/>
    </row>
    <row r="628" spans="1:88" ht="40.5" customHeight="1">
      <c r="A628" s="9"/>
      <c r="B628" s="12"/>
      <c r="C628" s="9" t="s">
        <v>1604</v>
      </c>
      <c r="D628" s="9" t="s">
        <v>627</v>
      </c>
      <c r="E628" s="12">
        <v>0</v>
      </c>
      <c r="F628" s="12">
        <v>0</v>
      </c>
      <c r="G628" s="12" t="b">
        <v>0</v>
      </c>
      <c r="H628" s="9" t="s">
        <v>75</v>
      </c>
      <c r="I628" s="9" t="s">
        <v>1605</v>
      </c>
      <c r="J628" s="9" t="s">
        <v>75</v>
      </c>
      <c r="K628" s="9" t="s">
        <v>79</v>
      </c>
      <c r="L628" s="12"/>
      <c r="M628" s="12"/>
      <c r="N628" s="13"/>
      <c r="O628" s="16" t="s">
        <v>78</v>
      </c>
      <c r="P628" s="14" t="s">
        <v>79</v>
      </c>
      <c r="Q628" s="15" t="s">
        <v>155</v>
      </c>
      <c r="R628" s="14" t="s">
        <v>75</v>
      </c>
      <c r="S628" s="14" t="s">
        <v>75</v>
      </c>
      <c r="T628" s="16" t="s">
        <v>81</v>
      </c>
      <c r="U628" s="17"/>
      <c r="V628" s="13"/>
      <c r="W628" s="13"/>
      <c r="X628" s="13"/>
      <c r="Y628" s="13"/>
      <c r="Z628" s="13"/>
      <c r="AA628" s="13"/>
      <c r="AB628" s="18"/>
      <c r="AC628" s="18"/>
      <c r="AD628" s="18"/>
      <c r="AE628" s="18"/>
      <c r="AF628" s="18"/>
      <c r="AG628" s="18"/>
      <c r="AH628" s="13"/>
      <c r="AI628" s="18"/>
      <c r="AJ628" s="13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3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2"/>
      <c r="BK628" s="12"/>
      <c r="BL628" s="12"/>
      <c r="BM628" s="9"/>
      <c r="BN628" s="9"/>
      <c r="BO628" s="9"/>
      <c r="BP628" s="12"/>
      <c r="BQ628" s="12"/>
      <c r="BR628" s="12"/>
      <c r="BS628" s="12"/>
      <c r="BT628" s="12"/>
      <c r="BU628" s="12"/>
      <c r="BV628" s="12"/>
      <c r="BW628" s="12"/>
      <c r="BX628" s="12"/>
      <c r="BY628" s="9"/>
      <c r="BZ628" s="21"/>
      <c r="CA628" s="21"/>
      <c r="CB628" s="21"/>
      <c r="CC628" s="21"/>
      <c r="CD628" s="21"/>
      <c r="CE628" s="21"/>
      <c r="CF628" s="21"/>
      <c r="CG628" s="21"/>
      <c r="CH628" s="21"/>
      <c r="CI628" s="21"/>
      <c r="CJ628" s="21"/>
    </row>
    <row r="629" spans="1:88" ht="40.5" customHeight="1">
      <c r="A629" s="9"/>
      <c r="B629" s="12"/>
      <c r="C629" s="9" t="s">
        <v>1606</v>
      </c>
      <c r="D629" s="9" t="s">
        <v>627</v>
      </c>
      <c r="E629" s="12">
        <v>0</v>
      </c>
      <c r="F629" s="12">
        <v>0</v>
      </c>
      <c r="G629" s="12" t="b">
        <v>0</v>
      </c>
      <c r="H629" s="9" t="s">
        <v>75</v>
      </c>
      <c r="I629" s="9" t="s">
        <v>1607</v>
      </c>
      <c r="J629" s="9" t="s">
        <v>75</v>
      </c>
      <c r="K629" s="9" t="s">
        <v>79</v>
      </c>
      <c r="L629" s="12"/>
      <c r="M629" s="12"/>
      <c r="N629" s="13"/>
      <c r="O629" s="16" t="s">
        <v>78</v>
      </c>
      <c r="P629" s="14" t="s">
        <v>79</v>
      </c>
      <c r="Q629" s="15" t="s">
        <v>155</v>
      </c>
      <c r="R629" s="14" t="s">
        <v>75</v>
      </c>
      <c r="S629" s="14" t="s">
        <v>75</v>
      </c>
      <c r="T629" s="16" t="s">
        <v>166</v>
      </c>
      <c r="U629" s="17"/>
      <c r="V629" s="13"/>
      <c r="W629" s="13"/>
      <c r="X629" s="13"/>
      <c r="Y629" s="13"/>
      <c r="Z629" s="13"/>
      <c r="AA629" s="13"/>
      <c r="AB629" s="18"/>
      <c r="AC629" s="18"/>
      <c r="AD629" s="18"/>
      <c r="AE629" s="18"/>
      <c r="AF629" s="18"/>
      <c r="AG629" s="18"/>
      <c r="AH629" s="13"/>
      <c r="AI629" s="18"/>
      <c r="AJ629" s="13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3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2"/>
      <c r="BK629" s="12"/>
      <c r="BL629" s="12"/>
      <c r="BM629" s="9"/>
      <c r="BN629" s="9"/>
      <c r="BO629" s="9"/>
      <c r="BP629" s="12"/>
      <c r="BQ629" s="12"/>
      <c r="BR629" s="12"/>
      <c r="BS629" s="12"/>
      <c r="BT629" s="12"/>
      <c r="BU629" s="12"/>
      <c r="BV629" s="12"/>
      <c r="BW629" s="12"/>
      <c r="BX629" s="12"/>
      <c r="BY629" s="9"/>
      <c r="BZ629" s="21"/>
      <c r="CA629" s="21"/>
      <c r="CB629" s="21"/>
      <c r="CC629" s="21"/>
      <c r="CD629" s="21"/>
      <c r="CE629" s="21"/>
      <c r="CF629" s="21"/>
      <c r="CG629" s="21"/>
      <c r="CH629" s="21"/>
      <c r="CI629" s="21"/>
      <c r="CJ629" s="21"/>
    </row>
    <row r="630" spans="1:88" ht="40.5" customHeight="1">
      <c r="A630" s="9"/>
      <c r="B630" s="12"/>
      <c r="C630" s="9" t="s">
        <v>1608</v>
      </c>
      <c r="D630" s="9" t="s">
        <v>627</v>
      </c>
      <c r="E630" s="12">
        <v>0</v>
      </c>
      <c r="F630" s="12">
        <v>0</v>
      </c>
      <c r="G630" s="12" t="b">
        <v>0</v>
      </c>
      <c r="H630" s="9" t="s">
        <v>75</v>
      </c>
      <c r="I630" s="9" t="s">
        <v>1609</v>
      </c>
      <c r="J630" s="9" t="s">
        <v>75</v>
      </c>
      <c r="K630" s="9" t="s">
        <v>79</v>
      </c>
      <c r="L630" s="12"/>
      <c r="M630" s="12"/>
      <c r="N630" s="13"/>
      <c r="O630" s="16" t="s">
        <v>78</v>
      </c>
      <c r="P630" s="14" t="s">
        <v>79</v>
      </c>
      <c r="Q630" s="15" t="s">
        <v>155</v>
      </c>
      <c r="R630" s="14" t="s">
        <v>75</v>
      </c>
      <c r="S630" s="14" t="s">
        <v>75</v>
      </c>
      <c r="T630" s="16" t="s">
        <v>4</v>
      </c>
      <c r="U630" s="17"/>
      <c r="V630" s="13"/>
      <c r="W630" s="13"/>
      <c r="X630" s="13"/>
      <c r="Y630" s="13"/>
      <c r="Z630" s="13"/>
      <c r="AA630" s="13"/>
      <c r="AB630" s="18"/>
      <c r="AC630" s="18"/>
      <c r="AD630" s="18"/>
      <c r="AE630" s="18"/>
      <c r="AF630" s="18"/>
      <c r="AG630" s="18"/>
      <c r="AH630" s="13"/>
      <c r="AI630" s="18"/>
      <c r="AJ630" s="13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3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2"/>
      <c r="BK630" s="12"/>
      <c r="BL630" s="12"/>
      <c r="BM630" s="9"/>
      <c r="BN630" s="9"/>
      <c r="BO630" s="9"/>
      <c r="BP630" s="12"/>
      <c r="BQ630" s="12"/>
      <c r="BR630" s="12"/>
      <c r="BS630" s="12"/>
      <c r="BT630" s="12"/>
      <c r="BU630" s="12"/>
      <c r="BV630" s="12"/>
      <c r="BW630" s="12"/>
      <c r="BX630" s="12"/>
      <c r="BY630" s="9"/>
      <c r="BZ630" s="21"/>
      <c r="CA630" s="21"/>
      <c r="CB630" s="21"/>
      <c r="CC630" s="21"/>
      <c r="CD630" s="21"/>
      <c r="CE630" s="21"/>
      <c r="CF630" s="21"/>
      <c r="CG630" s="21"/>
      <c r="CH630" s="21"/>
      <c r="CI630" s="21"/>
      <c r="CJ630" s="21"/>
    </row>
    <row r="631" spans="1:88" ht="40.5" customHeight="1">
      <c r="A631" s="9"/>
      <c r="B631" s="12"/>
      <c r="C631" s="9" t="s">
        <v>1610</v>
      </c>
      <c r="D631" s="9" t="s">
        <v>627</v>
      </c>
      <c r="E631" s="12">
        <v>0</v>
      </c>
      <c r="F631" s="12">
        <v>0</v>
      </c>
      <c r="G631" s="12" t="b">
        <v>0</v>
      </c>
      <c r="H631" s="9" t="s">
        <v>75</v>
      </c>
      <c r="I631" s="9" t="s">
        <v>1611</v>
      </c>
      <c r="J631" s="9" t="s">
        <v>75</v>
      </c>
      <c r="K631" s="9" t="s">
        <v>79</v>
      </c>
      <c r="L631" s="12"/>
      <c r="M631" s="12"/>
      <c r="N631" s="13"/>
      <c r="O631" s="16" t="s">
        <v>78</v>
      </c>
      <c r="P631" s="14" t="s">
        <v>79</v>
      </c>
      <c r="Q631" s="15" t="s">
        <v>155</v>
      </c>
      <c r="R631" s="14" t="s">
        <v>75</v>
      </c>
      <c r="S631" s="14" t="s">
        <v>75</v>
      </c>
      <c r="T631" s="16" t="s">
        <v>126</v>
      </c>
      <c r="U631" s="17"/>
      <c r="V631" s="13"/>
      <c r="W631" s="13"/>
      <c r="X631" s="13"/>
      <c r="Y631" s="13"/>
      <c r="Z631" s="13"/>
      <c r="AA631" s="13"/>
      <c r="AB631" s="18"/>
      <c r="AC631" s="18"/>
      <c r="AD631" s="18"/>
      <c r="AE631" s="18"/>
      <c r="AF631" s="18"/>
      <c r="AG631" s="18"/>
      <c r="AH631" s="13"/>
      <c r="AI631" s="18"/>
      <c r="AJ631" s="13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3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2"/>
      <c r="BK631" s="12"/>
      <c r="BL631" s="12"/>
      <c r="BM631" s="9"/>
      <c r="BN631" s="9"/>
      <c r="BO631" s="9"/>
      <c r="BP631" s="12"/>
      <c r="BQ631" s="12"/>
      <c r="BR631" s="12"/>
      <c r="BS631" s="12"/>
      <c r="BT631" s="12"/>
      <c r="BU631" s="12"/>
      <c r="BV631" s="12"/>
      <c r="BW631" s="12"/>
      <c r="BX631" s="12"/>
      <c r="BY631" s="9"/>
      <c r="BZ631" s="21"/>
      <c r="CA631" s="21"/>
      <c r="CB631" s="21"/>
      <c r="CC631" s="21"/>
      <c r="CD631" s="21"/>
      <c r="CE631" s="21"/>
      <c r="CF631" s="21"/>
      <c r="CG631" s="21"/>
      <c r="CH631" s="21"/>
      <c r="CI631" s="21"/>
      <c r="CJ631" s="21"/>
    </row>
    <row r="632" spans="1:88" ht="40.5" customHeight="1">
      <c r="A632" s="9"/>
      <c r="B632" s="12"/>
      <c r="C632" s="9" t="s">
        <v>1612</v>
      </c>
      <c r="D632" s="9" t="s">
        <v>627</v>
      </c>
      <c r="E632" s="12">
        <v>0</v>
      </c>
      <c r="F632" s="12">
        <v>0</v>
      </c>
      <c r="G632" s="12" t="b">
        <v>0</v>
      </c>
      <c r="H632" s="9" t="s">
        <v>75</v>
      </c>
      <c r="I632" s="9" t="s">
        <v>1613</v>
      </c>
      <c r="J632" s="10" t="s">
        <v>84</v>
      </c>
      <c r="K632" s="9" t="s">
        <v>79</v>
      </c>
      <c r="L632" s="12"/>
      <c r="M632" s="12"/>
      <c r="N632" s="13"/>
      <c r="O632" s="16" t="s">
        <v>78</v>
      </c>
      <c r="P632" s="14" t="s">
        <v>79</v>
      </c>
      <c r="Q632" s="15" t="s">
        <v>155</v>
      </c>
      <c r="R632" s="14" t="s">
        <v>75</v>
      </c>
      <c r="S632" s="14" t="s">
        <v>75</v>
      </c>
      <c r="T632" s="16" t="s">
        <v>126</v>
      </c>
      <c r="U632" s="17"/>
      <c r="V632" s="13"/>
      <c r="W632" s="13"/>
      <c r="X632" s="13"/>
      <c r="Y632" s="13"/>
      <c r="Z632" s="13"/>
      <c r="AA632" s="13"/>
      <c r="AB632" s="18"/>
      <c r="AC632" s="18"/>
      <c r="AD632" s="18"/>
      <c r="AE632" s="18"/>
      <c r="AF632" s="18"/>
      <c r="AG632" s="18"/>
      <c r="AH632" s="13"/>
      <c r="AI632" s="18"/>
      <c r="AJ632" s="13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3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2"/>
      <c r="BK632" s="12"/>
      <c r="BL632" s="12"/>
      <c r="BM632" s="9"/>
      <c r="BN632" s="9"/>
      <c r="BO632" s="9"/>
      <c r="BP632" s="12"/>
      <c r="BQ632" s="12"/>
      <c r="BR632" s="12"/>
      <c r="BS632" s="12"/>
      <c r="BT632" s="12"/>
      <c r="BU632" s="12"/>
      <c r="BV632" s="12"/>
      <c r="BW632" s="12"/>
      <c r="BX632" s="12"/>
      <c r="BY632" s="9"/>
      <c r="BZ632" s="21"/>
      <c r="CA632" s="21"/>
      <c r="CB632" s="21"/>
      <c r="CC632" s="21"/>
      <c r="CD632" s="21"/>
      <c r="CE632" s="21"/>
      <c r="CF632" s="21"/>
      <c r="CG632" s="21"/>
      <c r="CH632" s="21"/>
      <c r="CI632" s="21"/>
      <c r="CJ632" s="21"/>
    </row>
    <row r="633" spans="1:88" ht="40.5" customHeight="1">
      <c r="A633" s="9"/>
      <c r="B633" s="12"/>
      <c r="C633" s="9" t="s">
        <v>1614</v>
      </c>
      <c r="D633" s="9" t="s">
        <v>627</v>
      </c>
      <c r="E633" s="12">
        <v>0</v>
      </c>
      <c r="F633" s="12">
        <v>0</v>
      </c>
      <c r="G633" s="12" t="b">
        <v>0</v>
      </c>
      <c r="H633" s="9" t="s">
        <v>75</v>
      </c>
      <c r="I633" s="9" t="s">
        <v>1615</v>
      </c>
      <c r="J633" s="9" t="s">
        <v>75</v>
      </c>
      <c r="K633" s="9" t="s">
        <v>79</v>
      </c>
      <c r="L633" s="12"/>
      <c r="M633" s="12"/>
      <c r="N633" s="13"/>
      <c r="O633" s="16" t="s">
        <v>78</v>
      </c>
      <c r="P633" s="14" t="s">
        <v>79</v>
      </c>
      <c r="Q633" s="15" t="s">
        <v>155</v>
      </c>
      <c r="R633" s="14" t="s">
        <v>75</v>
      </c>
      <c r="S633" s="14" t="s">
        <v>75</v>
      </c>
      <c r="T633" s="16" t="s">
        <v>126</v>
      </c>
      <c r="U633" s="17"/>
      <c r="V633" s="13"/>
      <c r="W633" s="13"/>
      <c r="X633" s="13"/>
      <c r="Y633" s="13"/>
      <c r="Z633" s="13"/>
      <c r="AA633" s="13"/>
      <c r="AB633" s="18"/>
      <c r="AC633" s="18"/>
      <c r="AD633" s="18"/>
      <c r="AE633" s="18"/>
      <c r="AF633" s="18"/>
      <c r="AG633" s="18"/>
      <c r="AH633" s="13"/>
      <c r="AI633" s="18"/>
      <c r="AJ633" s="13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3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2"/>
      <c r="BK633" s="12"/>
      <c r="BL633" s="12"/>
      <c r="BM633" s="9"/>
      <c r="BN633" s="9"/>
      <c r="BO633" s="9"/>
      <c r="BP633" s="12"/>
      <c r="BQ633" s="12"/>
      <c r="BR633" s="12"/>
      <c r="BS633" s="12"/>
      <c r="BT633" s="12"/>
      <c r="BU633" s="12"/>
      <c r="BV633" s="12"/>
      <c r="BW633" s="12"/>
      <c r="BX633" s="12"/>
      <c r="BY633" s="9"/>
      <c r="BZ633" s="21"/>
      <c r="CA633" s="21"/>
      <c r="CB633" s="21"/>
      <c r="CC633" s="21"/>
      <c r="CD633" s="21"/>
      <c r="CE633" s="21"/>
      <c r="CF633" s="21"/>
      <c r="CG633" s="21"/>
      <c r="CH633" s="21"/>
      <c r="CI633" s="21"/>
      <c r="CJ633" s="21"/>
    </row>
    <row r="634" spans="1:88" ht="40.5" customHeight="1">
      <c r="A634" s="9"/>
      <c r="B634" s="12"/>
      <c r="C634" s="9" t="s">
        <v>1616</v>
      </c>
      <c r="D634" s="9" t="s">
        <v>627</v>
      </c>
      <c r="E634" s="12">
        <v>0</v>
      </c>
      <c r="F634" s="12">
        <v>0</v>
      </c>
      <c r="G634" s="12" t="b">
        <v>0</v>
      </c>
      <c r="H634" s="9" t="s">
        <v>75</v>
      </c>
      <c r="I634" s="9" t="s">
        <v>1617</v>
      </c>
      <c r="J634" s="10" t="s">
        <v>84</v>
      </c>
      <c r="K634" s="9" t="s">
        <v>79</v>
      </c>
      <c r="L634" s="12"/>
      <c r="M634" s="12"/>
      <c r="N634" s="13"/>
      <c r="O634" s="16" t="s">
        <v>78</v>
      </c>
      <c r="P634" s="14" t="s">
        <v>79</v>
      </c>
      <c r="Q634" s="15" t="s">
        <v>155</v>
      </c>
      <c r="R634" s="14" t="s">
        <v>75</v>
      </c>
      <c r="S634" s="14" t="s">
        <v>75</v>
      </c>
      <c r="T634" s="16" t="s">
        <v>126</v>
      </c>
      <c r="U634" s="17"/>
      <c r="V634" s="13"/>
      <c r="W634" s="13"/>
      <c r="X634" s="13"/>
      <c r="Y634" s="13"/>
      <c r="Z634" s="13"/>
      <c r="AA634" s="13"/>
      <c r="AB634" s="18"/>
      <c r="AC634" s="18"/>
      <c r="AD634" s="18"/>
      <c r="AE634" s="18"/>
      <c r="AF634" s="18"/>
      <c r="AG634" s="18"/>
      <c r="AH634" s="13"/>
      <c r="AI634" s="18"/>
      <c r="AJ634" s="13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3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2"/>
      <c r="BK634" s="12"/>
      <c r="BL634" s="12"/>
      <c r="BM634" s="9"/>
      <c r="BN634" s="9"/>
      <c r="BO634" s="9"/>
      <c r="BP634" s="12"/>
      <c r="BQ634" s="12"/>
      <c r="BR634" s="12"/>
      <c r="BS634" s="12"/>
      <c r="BT634" s="12"/>
      <c r="BU634" s="12"/>
      <c r="BV634" s="12"/>
      <c r="BW634" s="12"/>
      <c r="BX634" s="12"/>
      <c r="BY634" s="9"/>
      <c r="BZ634" s="21"/>
      <c r="CA634" s="21"/>
      <c r="CB634" s="21"/>
      <c r="CC634" s="21"/>
      <c r="CD634" s="21"/>
      <c r="CE634" s="21"/>
      <c r="CF634" s="21"/>
      <c r="CG634" s="21"/>
      <c r="CH634" s="21"/>
      <c r="CI634" s="21"/>
      <c r="CJ634" s="21"/>
    </row>
    <row r="635" spans="1:88" ht="40.5" customHeight="1">
      <c r="A635" s="9"/>
      <c r="B635" s="12"/>
      <c r="C635" s="9" t="s">
        <v>1618</v>
      </c>
      <c r="D635" s="9" t="s">
        <v>627</v>
      </c>
      <c r="E635" s="12">
        <v>0</v>
      </c>
      <c r="F635" s="12">
        <v>0</v>
      </c>
      <c r="G635" s="12" t="b">
        <v>0</v>
      </c>
      <c r="H635" s="9" t="s">
        <v>75</v>
      </c>
      <c r="I635" s="9" t="s">
        <v>1619</v>
      </c>
      <c r="J635" s="9" t="s">
        <v>75</v>
      </c>
      <c r="K635" s="9" t="s">
        <v>79</v>
      </c>
      <c r="L635" s="12"/>
      <c r="M635" s="12"/>
      <c r="N635" s="13"/>
      <c r="O635" s="16" t="s">
        <v>78</v>
      </c>
      <c r="P635" s="14" t="s">
        <v>79</v>
      </c>
      <c r="Q635" s="15" t="s">
        <v>155</v>
      </c>
      <c r="R635" s="14" t="s">
        <v>75</v>
      </c>
      <c r="S635" s="14" t="s">
        <v>75</v>
      </c>
      <c r="T635" s="16" t="s">
        <v>4</v>
      </c>
      <c r="U635" s="17"/>
      <c r="V635" s="13"/>
      <c r="W635" s="13"/>
      <c r="X635" s="13"/>
      <c r="Y635" s="13"/>
      <c r="Z635" s="13"/>
      <c r="AA635" s="13"/>
      <c r="AB635" s="18"/>
      <c r="AC635" s="18"/>
      <c r="AD635" s="18"/>
      <c r="AE635" s="18"/>
      <c r="AF635" s="18"/>
      <c r="AG635" s="18"/>
      <c r="AH635" s="13"/>
      <c r="AI635" s="18"/>
      <c r="AJ635" s="13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3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2"/>
      <c r="BK635" s="12"/>
      <c r="BL635" s="12"/>
      <c r="BM635" s="9"/>
      <c r="BN635" s="9"/>
      <c r="BO635" s="9"/>
      <c r="BP635" s="12"/>
      <c r="BQ635" s="12"/>
      <c r="BR635" s="12"/>
      <c r="BS635" s="12"/>
      <c r="BT635" s="12"/>
      <c r="BU635" s="12"/>
      <c r="BV635" s="12"/>
      <c r="BW635" s="12"/>
      <c r="BX635" s="12"/>
      <c r="BY635" s="9"/>
      <c r="BZ635" s="21"/>
      <c r="CA635" s="21"/>
      <c r="CB635" s="21"/>
      <c r="CC635" s="21"/>
      <c r="CD635" s="21"/>
      <c r="CE635" s="21"/>
      <c r="CF635" s="21"/>
      <c r="CG635" s="21"/>
      <c r="CH635" s="21"/>
      <c r="CI635" s="21"/>
      <c r="CJ635" s="21"/>
    </row>
    <row r="636" spans="1:88" ht="40.5" customHeight="1">
      <c r="A636" s="9"/>
      <c r="B636" s="12"/>
      <c r="C636" s="9" t="s">
        <v>1620</v>
      </c>
      <c r="D636" s="9" t="s">
        <v>627</v>
      </c>
      <c r="E636" s="12">
        <v>0</v>
      </c>
      <c r="F636" s="12">
        <v>0</v>
      </c>
      <c r="G636" s="12" t="b">
        <v>0</v>
      </c>
      <c r="H636" s="9" t="s">
        <v>75</v>
      </c>
      <c r="I636" s="9" t="s">
        <v>1621</v>
      </c>
      <c r="J636" s="9" t="s">
        <v>75</v>
      </c>
      <c r="K636" s="9" t="s">
        <v>79</v>
      </c>
      <c r="L636" s="12"/>
      <c r="M636" s="12"/>
      <c r="N636" s="13"/>
      <c r="O636" s="16" t="s">
        <v>78</v>
      </c>
      <c r="P636" s="14" t="s">
        <v>79</v>
      </c>
      <c r="Q636" s="15" t="s">
        <v>155</v>
      </c>
      <c r="R636" s="14" t="s">
        <v>75</v>
      </c>
      <c r="S636" s="14" t="s">
        <v>75</v>
      </c>
      <c r="T636" s="16" t="s">
        <v>126</v>
      </c>
      <c r="U636" s="17"/>
      <c r="V636" s="13"/>
      <c r="W636" s="13"/>
      <c r="X636" s="13"/>
      <c r="Y636" s="13"/>
      <c r="Z636" s="13"/>
      <c r="AA636" s="13"/>
      <c r="AB636" s="18"/>
      <c r="AC636" s="18"/>
      <c r="AD636" s="18"/>
      <c r="AE636" s="18"/>
      <c r="AF636" s="18"/>
      <c r="AG636" s="18"/>
      <c r="AH636" s="13"/>
      <c r="AI636" s="18"/>
      <c r="AJ636" s="13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3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2"/>
      <c r="BK636" s="12"/>
      <c r="BL636" s="12"/>
      <c r="BM636" s="9"/>
      <c r="BN636" s="9"/>
      <c r="BO636" s="9"/>
      <c r="BP636" s="12"/>
      <c r="BQ636" s="12"/>
      <c r="BR636" s="12"/>
      <c r="BS636" s="12"/>
      <c r="BT636" s="12"/>
      <c r="BU636" s="12"/>
      <c r="BV636" s="12"/>
      <c r="BW636" s="12"/>
      <c r="BX636" s="12"/>
      <c r="BY636" s="9"/>
      <c r="BZ636" s="21"/>
      <c r="CA636" s="21"/>
      <c r="CB636" s="21"/>
      <c r="CC636" s="21"/>
      <c r="CD636" s="21"/>
      <c r="CE636" s="21"/>
      <c r="CF636" s="21"/>
      <c r="CG636" s="21"/>
      <c r="CH636" s="21"/>
      <c r="CI636" s="21"/>
      <c r="CJ636" s="21"/>
    </row>
    <row r="637" spans="1:88" ht="40.5" customHeight="1">
      <c r="A637" s="9"/>
      <c r="B637" s="12"/>
      <c r="C637" s="9" t="s">
        <v>1622</v>
      </c>
      <c r="D637" s="9" t="s">
        <v>627</v>
      </c>
      <c r="E637" s="12">
        <v>0</v>
      </c>
      <c r="F637" s="12">
        <v>0</v>
      </c>
      <c r="G637" s="12" t="b">
        <v>0</v>
      </c>
      <c r="H637" s="9" t="s">
        <v>75</v>
      </c>
      <c r="I637" s="9" t="s">
        <v>1623</v>
      </c>
      <c r="J637" s="9" t="s">
        <v>75</v>
      </c>
      <c r="K637" s="9" t="s">
        <v>79</v>
      </c>
      <c r="L637" s="12"/>
      <c r="M637" s="12"/>
      <c r="N637" s="13"/>
      <c r="O637" s="16" t="s">
        <v>78</v>
      </c>
      <c r="P637" s="14" t="s">
        <v>79</v>
      </c>
      <c r="Q637" s="15" t="s">
        <v>155</v>
      </c>
      <c r="R637" s="14" t="s">
        <v>75</v>
      </c>
      <c r="S637" s="14" t="s">
        <v>75</v>
      </c>
      <c r="T637" s="16" t="s">
        <v>126</v>
      </c>
      <c r="U637" s="17"/>
      <c r="V637" s="13"/>
      <c r="W637" s="13"/>
      <c r="X637" s="13"/>
      <c r="Y637" s="13"/>
      <c r="Z637" s="13"/>
      <c r="AA637" s="13"/>
      <c r="AB637" s="18"/>
      <c r="AC637" s="18"/>
      <c r="AD637" s="18"/>
      <c r="AE637" s="18"/>
      <c r="AF637" s="18"/>
      <c r="AG637" s="18"/>
      <c r="AH637" s="13"/>
      <c r="AI637" s="18"/>
      <c r="AJ637" s="13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3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2"/>
      <c r="BK637" s="12"/>
      <c r="BL637" s="12"/>
      <c r="BM637" s="9"/>
      <c r="BN637" s="9"/>
      <c r="BO637" s="9"/>
      <c r="BP637" s="12"/>
      <c r="BQ637" s="12"/>
      <c r="BR637" s="12"/>
      <c r="BS637" s="12"/>
      <c r="BT637" s="12"/>
      <c r="BU637" s="12"/>
      <c r="BV637" s="12"/>
      <c r="BW637" s="12"/>
      <c r="BX637" s="12"/>
      <c r="BY637" s="9"/>
      <c r="BZ637" s="21"/>
      <c r="CA637" s="21"/>
      <c r="CB637" s="21"/>
      <c r="CC637" s="21"/>
      <c r="CD637" s="21"/>
      <c r="CE637" s="21"/>
      <c r="CF637" s="21"/>
      <c r="CG637" s="21"/>
      <c r="CH637" s="21"/>
      <c r="CI637" s="21"/>
      <c r="CJ637" s="21"/>
    </row>
    <row r="638" spans="1:88" ht="40.5" customHeight="1">
      <c r="A638" s="9"/>
      <c r="B638" s="12"/>
      <c r="C638" s="9" t="s">
        <v>1624</v>
      </c>
      <c r="D638" s="9" t="s">
        <v>627</v>
      </c>
      <c r="E638" s="12">
        <v>0</v>
      </c>
      <c r="F638" s="12">
        <v>0</v>
      </c>
      <c r="G638" s="12" t="b">
        <v>0</v>
      </c>
      <c r="H638" s="9" t="s">
        <v>75</v>
      </c>
      <c r="I638" s="9" t="s">
        <v>1625</v>
      </c>
      <c r="J638" s="9" t="s">
        <v>75</v>
      </c>
      <c r="K638" s="9" t="s">
        <v>79</v>
      </c>
      <c r="L638" s="12"/>
      <c r="M638" s="12"/>
      <c r="N638" s="13"/>
      <c r="O638" s="16" t="s">
        <v>78</v>
      </c>
      <c r="P638" s="14" t="s">
        <v>79</v>
      </c>
      <c r="Q638" s="15" t="s">
        <v>155</v>
      </c>
      <c r="R638" s="14" t="s">
        <v>75</v>
      </c>
      <c r="S638" s="14" t="s">
        <v>75</v>
      </c>
      <c r="T638" s="16" t="s">
        <v>166</v>
      </c>
      <c r="U638" s="17"/>
      <c r="V638" s="13"/>
      <c r="W638" s="13"/>
      <c r="X638" s="13"/>
      <c r="Y638" s="13"/>
      <c r="Z638" s="13"/>
      <c r="AA638" s="13"/>
      <c r="AB638" s="18"/>
      <c r="AC638" s="18"/>
      <c r="AD638" s="18"/>
      <c r="AE638" s="18"/>
      <c r="AF638" s="18"/>
      <c r="AG638" s="18"/>
      <c r="AH638" s="13"/>
      <c r="AI638" s="18"/>
      <c r="AJ638" s="13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3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2"/>
      <c r="BK638" s="12"/>
      <c r="BL638" s="12"/>
      <c r="BM638" s="9"/>
      <c r="BN638" s="9"/>
      <c r="BO638" s="9"/>
      <c r="BP638" s="12"/>
      <c r="BQ638" s="12"/>
      <c r="BR638" s="12"/>
      <c r="BS638" s="12"/>
      <c r="BT638" s="12"/>
      <c r="BU638" s="12"/>
      <c r="BV638" s="12"/>
      <c r="BW638" s="12"/>
      <c r="BX638" s="12"/>
      <c r="BY638" s="9"/>
      <c r="BZ638" s="21"/>
      <c r="CA638" s="21"/>
      <c r="CB638" s="21"/>
      <c r="CC638" s="21"/>
      <c r="CD638" s="21"/>
      <c r="CE638" s="21"/>
      <c r="CF638" s="21"/>
      <c r="CG638" s="21"/>
      <c r="CH638" s="21"/>
      <c r="CI638" s="21"/>
      <c r="CJ638" s="21"/>
    </row>
    <row r="639" spans="1:88" ht="40.5" customHeight="1">
      <c r="A639" s="9"/>
      <c r="B639" s="12"/>
      <c r="C639" s="9" t="s">
        <v>1626</v>
      </c>
      <c r="D639" s="9" t="s">
        <v>627</v>
      </c>
      <c r="E639" s="12">
        <v>0</v>
      </c>
      <c r="F639" s="12">
        <v>0</v>
      </c>
      <c r="G639" s="12" t="b">
        <v>0</v>
      </c>
      <c r="H639" s="9" t="s">
        <v>75</v>
      </c>
      <c r="I639" s="9" t="s">
        <v>1627</v>
      </c>
      <c r="J639" s="9" t="s">
        <v>75</v>
      </c>
      <c r="K639" s="9" t="s">
        <v>79</v>
      </c>
      <c r="L639" s="12"/>
      <c r="M639" s="12"/>
      <c r="N639" s="13"/>
      <c r="O639" s="16" t="s">
        <v>78</v>
      </c>
      <c r="P639" s="14" t="s">
        <v>79</v>
      </c>
      <c r="Q639" s="15" t="s">
        <v>155</v>
      </c>
      <c r="R639" s="14" t="s">
        <v>75</v>
      </c>
      <c r="S639" s="14" t="s">
        <v>75</v>
      </c>
      <c r="T639" s="16" t="s">
        <v>153</v>
      </c>
      <c r="U639" s="17"/>
      <c r="V639" s="13"/>
      <c r="W639" s="13"/>
      <c r="X639" s="13"/>
      <c r="Y639" s="13"/>
      <c r="Z639" s="13"/>
      <c r="AA639" s="13"/>
      <c r="AB639" s="18"/>
      <c r="AC639" s="18"/>
      <c r="AD639" s="18"/>
      <c r="AE639" s="18"/>
      <c r="AF639" s="18"/>
      <c r="AG639" s="18"/>
      <c r="AH639" s="13"/>
      <c r="AI639" s="18"/>
      <c r="AJ639" s="13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3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2"/>
      <c r="BK639" s="12"/>
      <c r="BL639" s="12"/>
      <c r="BM639" s="9"/>
      <c r="BN639" s="9"/>
      <c r="BO639" s="9"/>
      <c r="BP639" s="12"/>
      <c r="BQ639" s="12"/>
      <c r="BR639" s="12"/>
      <c r="BS639" s="12"/>
      <c r="BT639" s="12"/>
      <c r="BU639" s="12"/>
      <c r="BV639" s="12"/>
      <c r="BW639" s="12"/>
      <c r="BX639" s="12"/>
      <c r="BY639" s="9"/>
      <c r="BZ639" s="21"/>
      <c r="CA639" s="21"/>
      <c r="CB639" s="21"/>
      <c r="CC639" s="21"/>
      <c r="CD639" s="21"/>
      <c r="CE639" s="21"/>
      <c r="CF639" s="21"/>
      <c r="CG639" s="21"/>
      <c r="CH639" s="21"/>
      <c r="CI639" s="21"/>
      <c r="CJ639" s="21"/>
    </row>
    <row r="640" spans="1:88" ht="40.5" customHeight="1">
      <c r="A640" s="9"/>
      <c r="B640" s="12"/>
      <c r="C640" s="9" t="s">
        <v>1628</v>
      </c>
      <c r="D640" s="9" t="s">
        <v>627</v>
      </c>
      <c r="E640" s="12">
        <v>0</v>
      </c>
      <c r="F640" s="12">
        <v>0</v>
      </c>
      <c r="G640" s="12" t="b">
        <v>0</v>
      </c>
      <c r="H640" s="9" t="s">
        <v>75</v>
      </c>
      <c r="I640" s="9" t="s">
        <v>1629</v>
      </c>
      <c r="J640" s="9" t="s">
        <v>75</v>
      </c>
      <c r="K640" s="9" t="s">
        <v>79</v>
      </c>
      <c r="L640" s="12"/>
      <c r="M640" s="12"/>
      <c r="N640" s="13"/>
      <c r="O640" s="16" t="s">
        <v>78</v>
      </c>
      <c r="P640" s="14" t="s">
        <v>79</v>
      </c>
      <c r="Q640" s="15" t="s">
        <v>155</v>
      </c>
      <c r="R640" s="14" t="s">
        <v>75</v>
      </c>
      <c r="S640" s="14" t="s">
        <v>75</v>
      </c>
      <c r="T640" s="16" t="s">
        <v>153</v>
      </c>
      <c r="U640" s="17"/>
      <c r="V640" s="13"/>
      <c r="W640" s="13"/>
      <c r="X640" s="13"/>
      <c r="Y640" s="13"/>
      <c r="Z640" s="13"/>
      <c r="AA640" s="13"/>
      <c r="AB640" s="18"/>
      <c r="AC640" s="18"/>
      <c r="AD640" s="18"/>
      <c r="AE640" s="18"/>
      <c r="AF640" s="18"/>
      <c r="AG640" s="18"/>
      <c r="AH640" s="13"/>
      <c r="AI640" s="18"/>
      <c r="AJ640" s="13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3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2"/>
      <c r="BK640" s="12"/>
      <c r="BL640" s="12"/>
      <c r="BM640" s="9"/>
      <c r="BN640" s="9"/>
      <c r="BO640" s="9"/>
      <c r="BP640" s="12"/>
      <c r="BQ640" s="12"/>
      <c r="BR640" s="12"/>
      <c r="BS640" s="12"/>
      <c r="BT640" s="12"/>
      <c r="BU640" s="12"/>
      <c r="BV640" s="12"/>
      <c r="BW640" s="12"/>
      <c r="BX640" s="12"/>
      <c r="BY640" s="9"/>
      <c r="BZ640" s="21"/>
      <c r="CA640" s="21"/>
      <c r="CB640" s="21"/>
      <c r="CC640" s="21"/>
      <c r="CD640" s="21"/>
      <c r="CE640" s="21"/>
      <c r="CF640" s="21"/>
      <c r="CG640" s="21"/>
      <c r="CH640" s="21"/>
      <c r="CI640" s="21"/>
      <c r="CJ640" s="21"/>
    </row>
    <row r="641" spans="1:88" ht="40.5" customHeight="1">
      <c r="A641" s="9"/>
      <c r="B641" s="12"/>
      <c r="C641" s="9" t="s">
        <v>1630</v>
      </c>
      <c r="D641" s="9" t="s">
        <v>627</v>
      </c>
      <c r="E641" s="12">
        <v>0</v>
      </c>
      <c r="F641" s="12">
        <v>0</v>
      </c>
      <c r="G641" s="12" t="b">
        <v>0</v>
      </c>
      <c r="H641" s="9" t="s">
        <v>75</v>
      </c>
      <c r="I641" s="9" t="s">
        <v>1631</v>
      </c>
      <c r="J641" s="9" t="s">
        <v>75</v>
      </c>
      <c r="K641" s="9" t="s">
        <v>79</v>
      </c>
      <c r="L641" s="12"/>
      <c r="M641" s="12"/>
      <c r="N641" s="13"/>
      <c r="O641" s="16" t="s">
        <v>78</v>
      </c>
      <c r="P641" s="14" t="s">
        <v>79</v>
      </c>
      <c r="Q641" s="15" t="s">
        <v>155</v>
      </c>
      <c r="R641" s="14" t="s">
        <v>75</v>
      </c>
      <c r="S641" s="14" t="s">
        <v>75</v>
      </c>
      <c r="T641" s="16" t="s">
        <v>126</v>
      </c>
      <c r="U641" s="17"/>
      <c r="V641" s="13"/>
      <c r="W641" s="13"/>
      <c r="X641" s="13"/>
      <c r="Y641" s="13"/>
      <c r="Z641" s="13"/>
      <c r="AA641" s="13"/>
      <c r="AB641" s="18"/>
      <c r="AC641" s="18"/>
      <c r="AD641" s="18"/>
      <c r="AE641" s="18"/>
      <c r="AF641" s="18"/>
      <c r="AG641" s="18"/>
      <c r="AH641" s="13"/>
      <c r="AI641" s="18"/>
      <c r="AJ641" s="13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3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2"/>
      <c r="BK641" s="12"/>
      <c r="BL641" s="12"/>
      <c r="BM641" s="9"/>
      <c r="BN641" s="9"/>
      <c r="BO641" s="9"/>
      <c r="BP641" s="12"/>
      <c r="BQ641" s="12"/>
      <c r="BR641" s="12"/>
      <c r="BS641" s="12"/>
      <c r="BT641" s="12"/>
      <c r="BU641" s="12"/>
      <c r="BV641" s="12"/>
      <c r="BW641" s="12"/>
      <c r="BX641" s="12"/>
      <c r="BY641" s="9"/>
      <c r="BZ641" s="21"/>
      <c r="CA641" s="21"/>
      <c r="CB641" s="21"/>
      <c r="CC641" s="21"/>
      <c r="CD641" s="21"/>
      <c r="CE641" s="21"/>
      <c r="CF641" s="21"/>
      <c r="CG641" s="21"/>
      <c r="CH641" s="21"/>
      <c r="CI641" s="21"/>
      <c r="CJ641" s="21"/>
    </row>
    <row r="642" spans="1:88" ht="40.5" customHeight="1">
      <c r="A642" s="9"/>
      <c r="B642" s="12"/>
      <c r="C642" s="9" t="s">
        <v>1632</v>
      </c>
      <c r="D642" s="9" t="s">
        <v>627</v>
      </c>
      <c r="E642" s="12">
        <v>0</v>
      </c>
      <c r="F642" s="12">
        <v>0</v>
      </c>
      <c r="G642" s="12" t="b">
        <v>0</v>
      </c>
      <c r="H642" s="9" t="s">
        <v>75</v>
      </c>
      <c r="I642" s="9" t="s">
        <v>1633</v>
      </c>
      <c r="J642" s="9" t="s">
        <v>75</v>
      </c>
      <c r="K642" s="9" t="s">
        <v>79</v>
      </c>
      <c r="L642" s="12"/>
      <c r="M642" s="12"/>
      <c r="N642" s="13"/>
      <c r="O642" s="16" t="s">
        <v>78</v>
      </c>
      <c r="P642" s="14" t="s">
        <v>79</v>
      </c>
      <c r="Q642" s="15" t="s">
        <v>155</v>
      </c>
      <c r="R642" s="14" t="s">
        <v>75</v>
      </c>
      <c r="S642" s="23" t="s">
        <v>84</v>
      </c>
      <c r="T642" s="16" t="s">
        <v>81</v>
      </c>
      <c r="U642" s="17"/>
      <c r="V642" s="13"/>
      <c r="W642" s="13"/>
      <c r="X642" s="13"/>
      <c r="Y642" s="13"/>
      <c r="Z642" s="13"/>
      <c r="AA642" s="13"/>
      <c r="AB642" s="18"/>
      <c r="AC642" s="18"/>
      <c r="AD642" s="18"/>
      <c r="AE642" s="18"/>
      <c r="AF642" s="18"/>
      <c r="AG642" s="18"/>
      <c r="AH642" s="13"/>
      <c r="AI642" s="18"/>
      <c r="AJ642" s="13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3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2"/>
      <c r="BK642" s="12"/>
      <c r="BL642" s="12"/>
      <c r="BM642" s="9"/>
      <c r="BN642" s="9"/>
      <c r="BO642" s="9"/>
      <c r="BP642" s="12"/>
      <c r="BQ642" s="12"/>
      <c r="BR642" s="12"/>
      <c r="BS642" s="12"/>
      <c r="BT642" s="12"/>
      <c r="BU642" s="12"/>
      <c r="BV642" s="12"/>
      <c r="BW642" s="12"/>
      <c r="BX642" s="12"/>
      <c r="BY642" s="9"/>
      <c r="BZ642" s="21"/>
      <c r="CA642" s="21"/>
      <c r="CB642" s="21"/>
      <c r="CC642" s="21"/>
      <c r="CD642" s="21"/>
      <c r="CE642" s="21"/>
      <c r="CF642" s="21"/>
      <c r="CG642" s="21"/>
      <c r="CH642" s="21"/>
      <c r="CI642" s="21"/>
      <c r="CJ642" s="21"/>
    </row>
    <row r="643" spans="1:88" ht="40.5" customHeight="1">
      <c r="A643" s="9"/>
      <c r="B643" s="12"/>
      <c r="C643" s="9" t="s">
        <v>1634</v>
      </c>
      <c r="D643" s="9" t="s">
        <v>627</v>
      </c>
      <c r="E643" s="12">
        <v>0</v>
      </c>
      <c r="F643" s="12">
        <v>0</v>
      </c>
      <c r="G643" s="12" t="b">
        <v>0</v>
      </c>
      <c r="H643" s="9" t="s">
        <v>75</v>
      </c>
      <c r="I643" s="9" t="s">
        <v>1635</v>
      </c>
      <c r="J643" s="9" t="s">
        <v>75</v>
      </c>
      <c r="K643" s="9" t="s">
        <v>79</v>
      </c>
      <c r="L643" s="12"/>
      <c r="M643" s="12"/>
      <c r="N643" s="13"/>
      <c r="O643" s="16" t="s">
        <v>78</v>
      </c>
      <c r="P643" s="14" t="s">
        <v>79</v>
      </c>
      <c r="Q643" s="15" t="s">
        <v>155</v>
      </c>
      <c r="R643" s="14" t="s">
        <v>75</v>
      </c>
      <c r="S643" s="14" t="s">
        <v>75</v>
      </c>
      <c r="T643" s="16" t="s">
        <v>126</v>
      </c>
      <c r="U643" s="17"/>
      <c r="V643" s="13"/>
      <c r="W643" s="13"/>
      <c r="X643" s="13"/>
      <c r="Y643" s="13"/>
      <c r="Z643" s="13"/>
      <c r="AA643" s="13"/>
      <c r="AB643" s="18"/>
      <c r="AC643" s="18"/>
      <c r="AD643" s="18"/>
      <c r="AE643" s="18"/>
      <c r="AF643" s="18"/>
      <c r="AG643" s="18"/>
      <c r="AH643" s="13"/>
      <c r="AI643" s="18"/>
      <c r="AJ643" s="13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3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2"/>
      <c r="BK643" s="12"/>
      <c r="BL643" s="12"/>
      <c r="BM643" s="9"/>
      <c r="BN643" s="9"/>
      <c r="BO643" s="9"/>
      <c r="BP643" s="12"/>
      <c r="BQ643" s="12"/>
      <c r="BR643" s="12"/>
      <c r="BS643" s="12"/>
      <c r="BT643" s="12"/>
      <c r="BU643" s="12"/>
      <c r="BV643" s="12"/>
      <c r="BW643" s="12"/>
      <c r="BX643" s="12"/>
      <c r="BY643" s="9"/>
      <c r="BZ643" s="21"/>
      <c r="CA643" s="21"/>
      <c r="CB643" s="21"/>
      <c r="CC643" s="21"/>
      <c r="CD643" s="21"/>
      <c r="CE643" s="21"/>
      <c r="CF643" s="21"/>
      <c r="CG643" s="21"/>
      <c r="CH643" s="21"/>
      <c r="CI643" s="21"/>
      <c r="CJ643" s="21"/>
    </row>
    <row r="644" spans="1:88" ht="40.5" customHeight="1">
      <c r="A644" s="9"/>
      <c r="B644" s="12"/>
      <c r="C644" s="9" t="s">
        <v>1636</v>
      </c>
      <c r="D644" s="9" t="s">
        <v>627</v>
      </c>
      <c r="E644" s="12">
        <v>0</v>
      </c>
      <c r="F644" s="12">
        <v>0</v>
      </c>
      <c r="G644" s="12" t="b">
        <v>0</v>
      </c>
      <c r="H644" s="9" t="s">
        <v>75</v>
      </c>
      <c r="I644" s="9" t="s">
        <v>1637</v>
      </c>
      <c r="J644" s="9" t="s">
        <v>75</v>
      </c>
      <c r="K644" s="9" t="s">
        <v>79</v>
      </c>
      <c r="L644" s="12"/>
      <c r="M644" s="12"/>
      <c r="N644" s="13"/>
      <c r="O644" s="16" t="s">
        <v>78</v>
      </c>
      <c r="P644" s="14" t="s">
        <v>79</v>
      </c>
      <c r="Q644" s="15" t="s">
        <v>155</v>
      </c>
      <c r="R644" s="14" t="s">
        <v>75</v>
      </c>
      <c r="S644" s="14" t="s">
        <v>75</v>
      </c>
      <c r="T644" s="16" t="s">
        <v>126</v>
      </c>
      <c r="U644" s="17"/>
      <c r="V644" s="13"/>
      <c r="W644" s="13"/>
      <c r="X644" s="13"/>
      <c r="Y644" s="13"/>
      <c r="Z644" s="13"/>
      <c r="AA644" s="13"/>
      <c r="AB644" s="18"/>
      <c r="AC644" s="18"/>
      <c r="AD644" s="18"/>
      <c r="AE644" s="18"/>
      <c r="AF644" s="18"/>
      <c r="AG644" s="18"/>
      <c r="AH644" s="13"/>
      <c r="AI644" s="18"/>
      <c r="AJ644" s="13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3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2"/>
      <c r="BK644" s="12"/>
      <c r="BL644" s="12"/>
      <c r="BM644" s="9"/>
      <c r="BN644" s="9"/>
      <c r="BO644" s="9"/>
      <c r="BP644" s="12"/>
      <c r="BQ644" s="12"/>
      <c r="BR644" s="12"/>
      <c r="BS644" s="12"/>
      <c r="BT644" s="12"/>
      <c r="BU644" s="12"/>
      <c r="BV644" s="12"/>
      <c r="BW644" s="12"/>
      <c r="BX644" s="12"/>
      <c r="BY644" s="9"/>
      <c r="BZ644" s="21"/>
      <c r="CA644" s="21"/>
      <c r="CB644" s="21"/>
      <c r="CC644" s="21"/>
      <c r="CD644" s="21"/>
      <c r="CE644" s="21"/>
      <c r="CF644" s="21"/>
      <c r="CG644" s="21"/>
      <c r="CH644" s="21"/>
      <c r="CI644" s="21"/>
      <c r="CJ644" s="21"/>
    </row>
    <row r="645" spans="1:88" ht="40.5" customHeight="1">
      <c r="A645" s="9"/>
      <c r="B645" s="12"/>
      <c r="C645" s="9" t="s">
        <v>1638</v>
      </c>
      <c r="D645" s="9" t="s">
        <v>627</v>
      </c>
      <c r="E645" s="12">
        <v>0</v>
      </c>
      <c r="F645" s="12">
        <v>0</v>
      </c>
      <c r="G645" s="12" t="b">
        <v>0</v>
      </c>
      <c r="H645" s="9" t="s">
        <v>75</v>
      </c>
      <c r="I645" s="9" t="s">
        <v>1639</v>
      </c>
      <c r="J645" s="9" t="s">
        <v>75</v>
      </c>
      <c r="K645" s="9" t="s">
        <v>79</v>
      </c>
      <c r="L645" s="12"/>
      <c r="M645" s="12"/>
      <c r="N645" s="13"/>
      <c r="O645" s="16" t="s">
        <v>78</v>
      </c>
      <c r="P645" s="14" t="s">
        <v>79</v>
      </c>
      <c r="Q645" s="15" t="s">
        <v>155</v>
      </c>
      <c r="R645" s="14" t="s">
        <v>75</v>
      </c>
      <c r="S645" s="14" t="s">
        <v>75</v>
      </c>
      <c r="T645" s="16" t="s">
        <v>126</v>
      </c>
      <c r="U645" s="17"/>
      <c r="V645" s="13"/>
      <c r="W645" s="13"/>
      <c r="X645" s="13"/>
      <c r="Y645" s="13"/>
      <c r="Z645" s="13"/>
      <c r="AA645" s="13"/>
      <c r="AB645" s="18"/>
      <c r="AC645" s="18"/>
      <c r="AD645" s="18"/>
      <c r="AE645" s="18"/>
      <c r="AF645" s="18"/>
      <c r="AG645" s="18"/>
      <c r="AH645" s="13"/>
      <c r="AI645" s="18"/>
      <c r="AJ645" s="13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3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2"/>
      <c r="BK645" s="12"/>
      <c r="BL645" s="12"/>
      <c r="BM645" s="9"/>
      <c r="BN645" s="9"/>
      <c r="BO645" s="9"/>
      <c r="BP645" s="12"/>
      <c r="BQ645" s="12"/>
      <c r="BR645" s="12"/>
      <c r="BS645" s="12"/>
      <c r="BT645" s="12"/>
      <c r="BU645" s="12"/>
      <c r="BV645" s="12"/>
      <c r="BW645" s="12"/>
      <c r="BX645" s="12"/>
      <c r="BY645" s="9"/>
      <c r="BZ645" s="21"/>
      <c r="CA645" s="21"/>
      <c r="CB645" s="21"/>
      <c r="CC645" s="21"/>
      <c r="CD645" s="21"/>
      <c r="CE645" s="21"/>
      <c r="CF645" s="21"/>
      <c r="CG645" s="21"/>
      <c r="CH645" s="21"/>
      <c r="CI645" s="21"/>
      <c r="CJ645" s="21"/>
    </row>
    <row r="646" spans="1:88" ht="40.5" customHeight="1">
      <c r="A646" s="9"/>
      <c r="B646" s="12"/>
      <c r="C646" s="9" t="s">
        <v>1640</v>
      </c>
      <c r="D646" s="9" t="s">
        <v>627</v>
      </c>
      <c r="E646" s="12">
        <v>0</v>
      </c>
      <c r="F646" s="12">
        <v>0</v>
      </c>
      <c r="G646" s="12" t="b">
        <v>0</v>
      </c>
      <c r="H646" s="9" t="s">
        <v>75</v>
      </c>
      <c r="I646" s="9" t="s">
        <v>1641</v>
      </c>
      <c r="J646" s="9" t="s">
        <v>75</v>
      </c>
      <c r="K646" s="9" t="s">
        <v>79</v>
      </c>
      <c r="L646" s="12"/>
      <c r="M646" s="12"/>
      <c r="N646" s="13"/>
      <c r="O646" s="16" t="s">
        <v>78</v>
      </c>
      <c r="P646" s="14" t="s">
        <v>79</v>
      </c>
      <c r="Q646" s="15" t="s">
        <v>155</v>
      </c>
      <c r="R646" s="14" t="s">
        <v>75</v>
      </c>
      <c r="S646" s="14" t="s">
        <v>75</v>
      </c>
      <c r="T646" s="16" t="s">
        <v>166</v>
      </c>
      <c r="U646" s="17"/>
      <c r="V646" s="13"/>
      <c r="W646" s="13"/>
      <c r="X646" s="13"/>
      <c r="Y646" s="13"/>
      <c r="Z646" s="13"/>
      <c r="AA646" s="13"/>
      <c r="AB646" s="18"/>
      <c r="AC646" s="18"/>
      <c r="AD646" s="18"/>
      <c r="AE646" s="18"/>
      <c r="AF646" s="18"/>
      <c r="AG646" s="18"/>
      <c r="AH646" s="13"/>
      <c r="AI646" s="18"/>
      <c r="AJ646" s="13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3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2"/>
      <c r="BK646" s="12"/>
      <c r="BL646" s="12"/>
      <c r="BM646" s="9"/>
      <c r="BN646" s="9"/>
      <c r="BO646" s="9"/>
      <c r="BP646" s="12"/>
      <c r="BQ646" s="12"/>
      <c r="BR646" s="12"/>
      <c r="BS646" s="12"/>
      <c r="BT646" s="12"/>
      <c r="BU646" s="12"/>
      <c r="BV646" s="12"/>
      <c r="BW646" s="12"/>
      <c r="BX646" s="12"/>
      <c r="BY646" s="9"/>
      <c r="BZ646" s="21"/>
      <c r="CA646" s="21"/>
      <c r="CB646" s="21"/>
      <c r="CC646" s="21"/>
      <c r="CD646" s="21"/>
      <c r="CE646" s="21"/>
      <c r="CF646" s="21"/>
      <c r="CG646" s="21"/>
      <c r="CH646" s="21"/>
      <c r="CI646" s="21"/>
      <c r="CJ646" s="21"/>
    </row>
    <row r="647" spans="1:88" ht="40.5" customHeight="1">
      <c r="A647" s="9"/>
      <c r="B647" s="12"/>
      <c r="C647" s="9" t="s">
        <v>1642</v>
      </c>
      <c r="D647" s="9" t="s">
        <v>627</v>
      </c>
      <c r="E647" s="12">
        <v>0</v>
      </c>
      <c r="F647" s="12">
        <v>0</v>
      </c>
      <c r="G647" s="12" t="b">
        <v>0</v>
      </c>
      <c r="H647" s="9" t="s">
        <v>75</v>
      </c>
      <c r="I647" s="9" t="s">
        <v>1643</v>
      </c>
      <c r="J647" s="9" t="s">
        <v>75</v>
      </c>
      <c r="K647" s="9" t="s">
        <v>79</v>
      </c>
      <c r="L647" s="12"/>
      <c r="M647" s="12"/>
      <c r="N647" s="13"/>
      <c r="O647" s="16" t="s">
        <v>78</v>
      </c>
      <c r="P647" s="14" t="s">
        <v>79</v>
      </c>
      <c r="Q647" s="15" t="s">
        <v>155</v>
      </c>
      <c r="R647" s="14" t="s">
        <v>75</v>
      </c>
      <c r="S647" s="14" t="s">
        <v>75</v>
      </c>
      <c r="T647" s="16" t="s">
        <v>126</v>
      </c>
      <c r="U647" s="17"/>
      <c r="V647" s="13"/>
      <c r="W647" s="13"/>
      <c r="X647" s="13"/>
      <c r="Y647" s="13"/>
      <c r="Z647" s="13"/>
      <c r="AA647" s="13"/>
      <c r="AB647" s="18"/>
      <c r="AC647" s="18"/>
      <c r="AD647" s="18"/>
      <c r="AE647" s="18"/>
      <c r="AF647" s="18"/>
      <c r="AG647" s="18"/>
      <c r="AH647" s="13"/>
      <c r="AI647" s="18"/>
      <c r="AJ647" s="13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3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2"/>
      <c r="BK647" s="12"/>
      <c r="BL647" s="12"/>
      <c r="BM647" s="9"/>
      <c r="BN647" s="9"/>
      <c r="BO647" s="9"/>
      <c r="BP647" s="12"/>
      <c r="BQ647" s="12"/>
      <c r="BR647" s="12"/>
      <c r="BS647" s="12"/>
      <c r="BT647" s="12"/>
      <c r="BU647" s="12"/>
      <c r="BV647" s="12"/>
      <c r="BW647" s="12"/>
      <c r="BX647" s="12"/>
      <c r="BY647" s="9"/>
      <c r="BZ647" s="21"/>
      <c r="CA647" s="21"/>
      <c r="CB647" s="21"/>
      <c r="CC647" s="21"/>
      <c r="CD647" s="21"/>
      <c r="CE647" s="21"/>
      <c r="CF647" s="21"/>
      <c r="CG647" s="21"/>
      <c r="CH647" s="21"/>
      <c r="CI647" s="21"/>
      <c r="CJ647" s="21"/>
    </row>
    <row r="648" spans="1:88" ht="40.5" customHeight="1">
      <c r="A648" s="9"/>
      <c r="B648" s="12"/>
      <c r="C648" s="9" t="s">
        <v>1644</v>
      </c>
      <c r="D648" s="9" t="s">
        <v>627</v>
      </c>
      <c r="E648" s="12">
        <v>0</v>
      </c>
      <c r="F648" s="12">
        <v>0</v>
      </c>
      <c r="G648" s="12" t="b">
        <v>0</v>
      </c>
      <c r="H648" s="9" t="s">
        <v>75</v>
      </c>
      <c r="I648" s="9" t="s">
        <v>1645</v>
      </c>
      <c r="J648" s="9" t="s">
        <v>75</v>
      </c>
      <c r="K648" s="9" t="s">
        <v>79</v>
      </c>
      <c r="L648" s="12"/>
      <c r="M648" s="12"/>
      <c r="N648" s="13"/>
      <c r="O648" s="16" t="s">
        <v>78</v>
      </c>
      <c r="P648" s="14" t="s">
        <v>79</v>
      </c>
      <c r="Q648" s="15" t="s">
        <v>155</v>
      </c>
      <c r="R648" s="14" t="s">
        <v>75</v>
      </c>
      <c r="S648" s="14" t="s">
        <v>75</v>
      </c>
      <c r="T648" s="16" t="s">
        <v>166</v>
      </c>
      <c r="U648" s="17"/>
      <c r="V648" s="13"/>
      <c r="W648" s="13"/>
      <c r="X648" s="13"/>
      <c r="Y648" s="13"/>
      <c r="Z648" s="13"/>
      <c r="AA648" s="13"/>
      <c r="AB648" s="18"/>
      <c r="AC648" s="18"/>
      <c r="AD648" s="18"/>
      <c r="AE648" s="18"/>
      <c r="AF648" s="18"/>
      <c r="AG648" s="18"/>
      <c r="AH648" s="13"/>
      <c r="AI648" s="18"/>
      <c r="AJ648" s="13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3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2"/>
      <c r="BK648" s="12"/>
      <c r="BL648" s="12"/>
      <c r="BM648" s="9"/>
      <c r="BN648" s="9"/>
      <c r="BO648" s="9"/>
      <c r="BP648" s="12"/>
      <c r="BQ648" s="12"/>
      <c r="BR648" s="12"/>
      <c r="BS648" s="12"/>
      <c r="BT648" s="12"/>
      <c r="BU648" s="12"/>
      <c r="BV648" s="12"/>
      <c r="BW648" s="12"/>
      <c r="BX648" s="12"/>
      <c r="BY648" s="9"/>
      <c r="BZ648" s="21"/>
      <c r="CA648" s="21"/>
      <c r="CB648" s="21"/>
      <c r="CC648" s="21"/>
      <c r="CD648" s="21"/>
      <c r="CE648" s="21"/>
      <c r="CF648" s="21"/>
      <c r="CG648" s="21"/>
      <c r="CH648" s="21"/>
      <c r="CI648" s="21"/>
      <c r="CJ648" s="21"/>
    </row>
    <row r="649" spans="1:88" ht="40.5" customHeight="1">
      <c r="A649" s="9"/>
      <c r="B649" s="12"/>
      <c r="C649" s="9" t="s">
        <v>1646</v>
      </c>
      <c r="D649" s="9" t="s">
        <v>627</v>
      </c>
      <c r="E649" s="12">
        <v>0</v>
      </c>
      <c r="F649" s="12">
        <v>0</v>
      </c>
      <c r="G649" s="12" t="b">
        <v>0</v>
      </c>
      <c r="H649" s="9" t="s">
        <v>75</v>
      </c>
      <c r="I649" s="9" t="s">
        <v>1647</v>
      </c>
      <c r="J649" s="9" t="s">
        <v>75</v>
      </c>
      <c r="K649" s="9" t="s">
        <v>79</v>
      </c>
      <c r="L649" s="12"/>
      <c r="M649" s="12"/>
      <c r="N649" s="13"/>
      <c r="O649" s="16" t="s">
        <v>78</v>
      </c>
      <c r="P649" s="14" t="s">
        <v>79</v>
      </c>
      <c r="Q649" s="15" t="s">
        <v>155</v>
      </c>
      <c r="R649" s="14" t="s">
        <v>75</v>
      </c>
      <c r="S649" s="23" t="s">
        <v>84</v>
      </c>
      <c r="T649" s="16" t="s">
        <v>126</v>
      </c>
      <c r="U649" s="17"/>
      <c r="V649" s="13"/>
      <c r="W649" s="13"/>
      <c r="X649" s="13"/>
      <c r="Y649" s="13"/>
      <c r="Z649" s="13"/>
      <c r="AA649" s="13"/>
      <c r="AB649" s="18"/>
      <c r="AC649" s="18"/>
      <c r="AD649" s="18"/>
      <c r="AE649" s="18"/>
      <c r="AF649" s="18"/>
      <c r="AG649" s="18"/>
      <c r="AH649" s="13"/>
      <c r="AI649" s="18"/>
      <c r="AJ649" s="13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3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2"/>
      <c r="BK649" s="12"/>
      <c r="BL649" s="12"/>
      <c r="BM649" s="9"/>
      <c r="BN649" s="9"/>
      <c r="BO649" s="9"/>
      <c r="BP649" s="12"/>
      <c r="BQ649" s="12"/>
      <c r="BR649" s="12"/>
      <c r="BS649" s="12"/>
      <c r="BT649" s="12"/>
      <c r="BU649" s="12"/>
      <c r="BV649" s="12"/>
      <c r="BW649" s="12"/>
      <c r="BX649" s="12"/>
      <c r="BY649" s="9"/>
      <c r="BZ649" s="21"/>
      <c r="CA649" s="21"/>
      <c r="CB649" s="21"/>
      <c r="CC649" s="21"/>
      <c r="CD649" s="21"/>
      <c r="CE649" s="21"/>
      <c r="CF649" s="21"/>
      <c r="CG649" s="21"/>
      <c r="CH649" s="21"/>
      <c r="CI649" s="21"/>
      <c r="CJ649" s="21"/>
    </row>
    <row r="650" spans="1:88" ht="40.5" customHeight="1">
      <c r="A650" s="9"/>
      <c r="B650" s="12"/>
      <c r="C650" s="9" t="s">
        <v>1648</v>
      </c>
      <c r="D650" s="9" t="s">
        <v>627</v>
      </c>
      <c r="E650" s="12">
        <v>0</v>
      </c>
      <c r="F650" s="12">
        <v>0</v>
      </c>
      <c r="G650" s="12" t="b">
        <v>0</v>
      </c>
      <c r="H650" s="9" t="s">
        <v>75</v>
      </c>
      <c r="I650" s="9" t="s">
        <v>1649</v>
      </c>
      <c r="J650" s="9" t="s">
        <v>75</v>
      </c>
      <c r="K650" s="9" t="s">
        <v>79</v>
      </c>
      <c r="L650" s="12"/>
      <c r="M650" s="12"/>
      <c r="N650" s="13"/>
      <c r="O650" s="16" t="s">
        <v>78</v>
      </c>
      <c r="P650" s="14" t="s">
        <v>79</v>
      </c>
      <c r="Q650" s="15" t="s">
        <v>155</v>
      </c>
      <c r="R650" s="14" t="s">
        <v>75</v>
      </c>
      <c r="S650" s="14" t="s">
        <v>75</v>
      </c>
      <c r="T650" s="16" t="s">
        <v>166</v>
      </c>
      <c r="U650" s="17"/>
      <c r="V650" s="13"/>
      <c r="W650" s="13"/>
      <c r="X650" s="13"/>
      <c r="Y650" s="13"/>
      <c r="Z650" s="13"/>
      <c r="AA650" s="13"/>
      <c r="AB650" s="18"/>
      <c r="AC650" s="18"/>
      <c r="AD650" s="18"/>
      <c r="AE650" s="18"/>
      <c r="AF650" s="18"/>
      <c r="AG650" s="18"/>
      <c r="AH650" s="13"/>
      <c r="AI650" s="18"/>
      <c r="AJ650" s="13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3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2"/>
      <c r="BK650" s="12"/>
      <c r="BL650" s="12"/>
      <c r="BM650" s="9"/>
      <c r="BN650" s="9"/>
      <c r="BO650" s="9"/>
      <c r="BP650" s="12"/>
      <c r="BQ650" s="12"/>
      <c r="BR650" s="12"/>
      <c r="BS650" s="12"/>
      <c r="BT650" s="12"/>
      <c r="BU650" s="12"/>
      <c r="BV650" s="12"/>
      <c r="BW650" s="12"/>
      <c r="BX650" s="12"/>
      <c r="BY650" s="9"/>
      <c r="BZ650" s="21"/>
      <c r="CA650" s="21"/>
      <c r="CB650" s="21"/>
      <c r="CC650" s="21"/>
      <c r="CD650" s="21"/>
      <c r="CE650" s="21"/>
      <c r="CF650" s="21"/>
      <c r="CG650" s="21"/>
      <c r="CH650" s="21"/>
      <c r="CI650" s="21"/>
      <c r="CJ650" s="21"/>
    </row>
    <row r="651" spans="1:88" ht="40.5" customHeight="1">
      <c r="A651" s="9"/>
      <c r="B651" s="12"/>
      <c r="C651" s="9" t="s">
        <v>1650</v>
      </c>
      <c r="D651" s="9" t="s">
        <v>627</v>
      </c>
      <c r="E651" s="12">
        <v>0</v>
      </c>
      <c r="F651" s="12">
        <v>0</v>
      </c>
      <c r="G651" s="12" t="b">
        <v>0</v>
      </c>
      <c r="H651" s="9" t="s">
        <v>75</v>
      </c>
      <c r="I651" s="9" t="s">
        <v>1651</v>
      </c>
      <c r="J651" s="9" t="s">
        <v>75</v>
      </c>
      <c r="K651" s="9" t="s">
        <v>79</v>
      </c>
      <c r="L651" s="12"/>
      <c r="M651" s="12"/>
      <c r="N651" s="13"/>
      <c r="O651" s="16" t="s">
        <v>78</v>
      </c>
      <c r="P651" s="14" t="s">
        <v>79</v>
      </c>
      <c r="Q651" s="15" t="s">
        <v>155</v>
      </c>
      <c r="R651" s="14" t="s">
        <v>75</v>
      </c>
      <c r="S651" s="14" t="s">
        <v>75</v>
      </c>
      <c r="T651" s="16" t="s">
        <v>126</v>
      </c>
      <c r="U651" s="17"/>
      <c r="V651" s="13"/>
      <c r="W651" s="13"/>
      <c r="X651" s="13"/>
      <c r="Y651" s="13"/>
      <c r="Z651" s="13"/>
      <c r="AA651" s="13"/>
      <c r="AB651" s="18"/>
      <c r="AC651" s="18"/>
      <c r="AD651" s="18"/>
      <c r="AE651" s="18"/>
      <c r="AF651" s="18"/>
      <c r="AG651" s="18"/>
      <c r="AH651" s="13"/>
      <c r="AI651" s="18"/>
      <c r="AJ651" s="13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3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2"/>
      <c r="BK651" s="12"/>
      <c r="BL651" s="12"/>
      <c r="BM651" s="9"/>
      <c r="BN651" s="9"/>
      <c r="BO651" s="9"/>
      <c r="BP651" s="12"/>
      <c r="BQ651" s="12"/>
      <c r="BR651" s="12"/>
      <c r="BS651" s="12"/>
      <c r="BT651" s="12"/>
      <c r="BU651" s="12"/>
      <c r="BV651" s="12"/>
      <c r="BW651" s="12"/>
      <c r="BX651" s="12"/>
      <c r="BY651" s="9"/>
      <c r="BZ651" s="21"/>
      <c r="CA651" s="21"/>
      <c r="CB651" s="21"/>
      <c r="CC651" s="21"/>
      <c r="CD651" s="21"/>
      <c r="CE651" s="21"/>
      <c r="CF651" s="21"/>
      <c r="CG651" s="21"/>
      <c r="CH651" s="21"/>
      <c r="CI651" s="21"/>
      <c r="CJ651" s="21"/>
    </row>
    <row r="652" spans="1:88" ht="40.5" customHeight="1">
      <c r="A652" s="9"/>
      <c r="B652" s="12"/>
      <c r="C652" s="9" t="s">
        <v>1652</v>
      </c>
      <c r="D652" s="9" t="s">
        <v>627</v>
      </c>
      <c r="E652" s="12">
        <v>0</v>
      </c>
      <c r="F652" s="12">
        <v>0</v>
      </c>
      <c r="G652" s="12" t="b">
        <v>0</v>
      </c>
      <c r="H652" s="9" t="s">
        <v>75</v>
      </c>
      <c r="I652" s="9" t="s">
        <v>1653</v>
      </c>
      <c r="J652" s="9" t="s">
        <v>75</v>
      </c>
      <c r="K652" s="9" t="s">
        <v>79</v>
      </c>
      <c r="L652" s="12"/>
      <c r="M652" s="12"/>
      <c r="N652" s="13"/>
      <c r="O652" s="16" t="s">
        <v>78</v>
      </c>
      <c r="P652" s="14" t="s">
        <v>79</v>
      </c>
      <c r="Q652" s="15" t="s">
        <v>155</v>
      </c>
      <c r="R652" s="14" t="s">
        <v>75</v>
      </c>
      <c r="S652" s="14" t="s">
        <v>75</v>
      </c>
      <c r="T652" s="16" t="s">
        <v>4</v>
      </c>
      <c r="U652" s="17"/>
      <c r="V652" s="13"/>
      <c r="W652" s="13"/>
      <c r="X652" s="13"/>
      <c r="Y652" s="13"/>
      <c r="Z652" s="13"/>
      <c r="AA652" s="13"/>
      <c r="AB652" s="18"/>
      <c r="AC652" s="18"/>
      <c r="AD652" s="18"/>
      <c r="AE652" s="18"/>
      <c r="AF652" s="18"/>
      <c r="AG652" s="18"/>
      <c r="AH652" s="13"/>
      <c r="AI652" s="18"/>
      <c r="AJ652" s="13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3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2"/>
      <c r="BK652" s="12"/>
      <c r="BL652" s="12"/>
      <c r="BM652" s="9"/>
      <c r="BN652" s="9"/>
      <c r="BO652" s="9"/>
      <c r="BP652" s="12"/>
      <c r="BQ652" s="12"/>
      <c r="BR652" s="12"/>
      <c r="BS652" s="12"/>
      <c r="BT652" s="12"/>
      <c r="BU652" s="12"/>
      <c r="BV652" s="12"/>
      <c r="BW652" s="12"/>
      <c r="BX652" s="12"/>
      <c r="BY652" s="9"/>
      <c r="BZ652" s="21"/>
      <c r="CA652" s="21"/>
      <c r="CB652" s="21"/>
      <c r="CC652" s="21"/>
      <c r="CD652" s="21"/>
      <c r="CE652" s="21"/>
      <c r="CF652" s="21"/>
      <c r="CG652" s="21"/>
      <c r="CH652" s="21"/>
      <c r="CI652" s="21"/>
      <c r="CJ652" s="21"/>
    </row>
    <row r="653" spans="1:88" ht="40.5" customHeight="1">
      <c r="A653" s="9"/>
      <c r="B653" s="12"/>
      <c r="C653" s="9" t="s">
        <v>1654</v>
      </c>
      <c r="D653" s="9" t="s">
        <v>627</v>
      </c>
      <c r="E653" s="12">
        <v>0</v>
      </c>
      <c r="F653" s="12">
        <v>0</v>
      </c>
      <c r="G653" s="12" t="b">
        <v>0</v>
      </c>
      <c r="H653" s="9" t="s">
        <v>75</v>
      </c>
      <c r="I653" s="9" t="s">
        <v>1655</v>
      </c>
      <c r="J653" s="9" t="s">
        <v>75</v>
      </c>
      <c r="K653" s="9" t="s">
        <v>79</v>
      </c>
      <c r="L653" s="12"/>
      <c r="M653" s="12"/>
      <c r="N653" s="13"/>
      <c r="O653" s="16" t="s">
        <v>78</v>
      </c>
      <c r="P653" s="14" t="s">
        <v>79</v>
      </c>
      <c r="Q653" s="15" t="s">
        <v>155</v>
      </c>
      <c r="R653" s="14" t="s">
        <v>75</v>
      </c>
      <c r="S653" s="14" t="s">
        <v>75</v>
      </c>
      <c r="T653" s="16" t="s">
        <v>166</v>
      </c>
      <c r="U653" s="17"/>
      <c r="V653" s="13"/>
      <c r="W653" s="13"/>
      <c r="X653" s="13"/>
      <c r="Y653" s="13"/>
      <c r="Z653" s="13"/>
      <c r="AA653" s="13"/>
      <c r="AB653" s="18"/>
      <c r="AC653" s="18"/>
      <c r="AD653" s="18"/>
      <c r="AE653" s="18"/>
      <c r="AF653" s="18"/>
      <c r="AG653" s="18"/>
      <c r="AH653" s="13"/>
      <c r="AI653" s="18"/>
      <c r="AJ653" s="13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3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2"/>
      <c r="BK653" s="12"/>
      <c r="BL653" s="12"/>
      <c r="BM653" s="9"/>
      <c r="BN653" s="9"/>
      <c r="BO653" s="9"/>
      <c r="BP653" s="12"/>
      <c r="BQ653" s="12"/>
      <c r="BR653" s="12"/>
      <c r="BS653" s="12"/>
      <c r="BT653" s="12"/>
      <c r="BU653" s="12"/>
      <c r="BV653" s="12"/>
      <c r="BW653" s="12"/>
      <c r="BX653" s="12"/>
      <c r="BY653" s="9"/>
      <c r="BZ653" s="21"/>
      <c r="CA653" s="21"/>
      <c r="CB653" s="21"/>
      <c r="CC653" s="21"/>
      <c r="CD653" s="21"/>
      <c r="CE653" s="21"/>
      <c r="CF653" s="21"/>
      <c r="CG653" s="21"/>
      <c r="CH653" s="21"/>
      <c r="CI653" s="21"/>
      <c r="CJ653" s="21"/>
    </row>
    <row r="654" spans="1:88" ht="40.5" customHeight="1">
      <c r="A654" s="9"/>
      <c r="B654" s="12"/>
      <c r="C654" s="9" t="s">
        <v>1656</v>
      </c>
      <c r="D654" s="9" t="s">
        <v>627</v>
      </c>
      <c r="E654" s="12">
        <v>0</v>
      </c>
      <c r="F654" s="12">
        <v>0</v>
      </c>
      <c r="G654" s="12" t="b">
        <v>0</v>
      </c>
      <c r="H654" s="9" t="s">
        <v>75</v>
      </c>
      <c r="I654" s="9" t="s">
        <v>1657</v>
      </c>
      <c r="J654" s="9" t="s">
        <v>75</v>
      </c>
      <c r="K654" s="9" t="s">
        <v>79</v>
      </c>
      <c r="L654" s="12"/>
      <c r="M654" s="12"/>
      <c r="N654" s="13"/>
      <c r="O654" s="16" t="s">
        <v>78</v>
      </c>
      <c r="P654" s="14" t="s">
        <v>79</v>
      </c>
      <c r="Q654" s="15" t="s">
        <v>155</v>
      </c>
      <c r="R654" s="14" t="s">
        <v>75</v>
      </c>
      <c r="S654" s="14" t="s">
        <v>75</v>
      </c>
      <c r="T654" s="16" t="s">
        <v>81</v>
      </c>
      <c r="U654" s="17"/>
      <c r="V654" s="13"/>
      <c r="W654" s="13"/>
      <c r="X654" s="13"/>
      <c r="Y654" s="13"/>
      <c r="Z654" s="13"/>
      <c r="AA654" s="13"/>
      <c r="AB654" s="18"/>
      <c r="AC654" s="18"/>
      <c r="AD654" s="18"/>
      <c r="AE654" s="18"/>
      <c r="AF654" s="18"/>
      <c r="AG654" s="18"/>
      <c r="AH654" s="13"/>
      <c r="AI654" s="18"/>
      <c r="AJ654" s="13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3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2"/>
      <c r="BK654" s="12"/>
      <c r="BL654" s="12"/>
      <c r="BM654" s="9"/>
      <c r="BN654" s="9"/>
      <c r="BO654" s="9"/>
      <c r="BP654" s="12"/>
      <c r="BQ654" s="12"/>
      <c r="BR654" s="12"/>
      <c r="BS654" s="12"/>
      <c r="BT654" s="12"/>
      <c r="BU654" s="12"/>
      <c r="BV654" s="12"/>
      <c r="BW654" s="12"/>
      <c r="BX654" s="12"/>
      <c r="BY654" s="9"/>
      <c r="BZ654" s="21"/>
      <c r="CA654" s="21"/>
      <c r="CB654" s="21"/>
      <c r="CC654" s="21"/>
      <c r="CD654" s="21"/>
      <c r="CE654" s="21"/>
      <c r="CF654" s="21"/>
      <c r="CG654" s="21"/>
      <c r="CH654" s="21"/>
      <c r="CI654" s="21"/>
      <c r="CJ654" s="21"/>
    </row>
    <row r="655" spans="1:88" ht="40.5" customHeight="1">
      <c r="A655" s="9"/>
      <c r="B655" s="12"/>
      <c r="C655" s="9" t="s">
        <v>1658</v>
      </c>
      <c r="D655" s="9" t="s">
        <v>627</v>
      </c>
      <c r="E655" s="12">
        <v>0</v>
      </c>
      <c r="F655" s="12">
        <v>0</v>
      </c>
      <c r="G655" s="12" t="b">
        <v>0</v>
      </c>
      <c r="H655" s="9" t="s">
        <v>75</v>
      </c>
      <c r="I655" s="9" t="s">
        <v>1659</v>
      </c>
      <c r="J655" s="9" t="s">
        <v>75</v>
      </c>
      <c r="K655" s="9" t="s">
        <v>79</v>
      </c>
      <c r="L655" s="12"/>
      <c r="M655" s="12"/>
      <c r="N655" s="13"/>
      <c r="O655" s="16" t="s">
        <v>78</v>
      </c>
      <c r="P655" s="14" t="s">
        <v>79</v>
      </c>
      <c r="Q655" s="15" t="s">
        <v>155</v>
      </c>
      <c r="R655" s="14" t="s">
        <v>75</v>
      </c>
      <c r="S655" s="14" t="s">
        <v>75</v>
      </c>
      <c r="T655" s="16" t="s">
        <v>166</v>
      </c>
      <c r="U655" s="17"/>
      <c r="V655" s="13"/>
      <c r="W655" s="13"/>
      <c r="X655" s="13"/>
      <c r="Y655" s="13"/>
      <c r="Z655" s="13"/>
      <c r="AA655" s="13"/>
      <c r="AB655" s="18"/>
      <c r="AC655" s="18"/>
      <c r="AD655" s="18"/>
      <c r="AE655" s="18"/>
      <c r="AF655" s="18"/>
      <c r="AG655" s="18"/>
      <c r="AH655" s="13"/>
      <c r="AI655" s="18"/>
      <c r="AJ655" s="13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3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2"/>
      <c r="BK655" s="12"/>
      <c r="BL655" s="12"/>
      <c r="BM655" s="9"/>
      <c r="BN655" s="9"/>
      <c r="BO655" s="9"/>
      <c r="BP655" s="12"/>
      <c r="BQ655" s="12"/>
      <c r="BR655" s="12"/>
      <c r="BS655" s="12"/>
      <c r="BT655" s="12"/>
      <c r="BU655" s="12"/>
      <c r="BV655" s="12"/>
      <c r="BW655" s="12"/>
      <c r="BX655" s="12"/>
      <c r="BY655" s="9"/>
      <c r="BZ655" s="21"/>
      <c r="CA655" s="21"/>
      <c r="CB655" s="21"/>
      <c r="CC655" s="21"/>
      <c r="CD655" s="21"/>
      <c r="CE655" s="21"/>
      <c r="CF655" s="21"/>
      <c r="CG655" s="21"/>
      <c r="CH655" s="21"/>
      <c r="CI655" s="21"/>
      <c r="CJ655" s="21"/>
    </row>
    <row r="656" spans="1:88" ht="40.5" customHeight="1">
      <c r="A656" s="9"/>
      <c r="B656" s="12"/>
      <c r="C656" s="9" t="s">
        <v>1660</v>
      </c>
      <c r="D656" s="9" t="s">
        <v>627</v>
      </c>
      <c r="E656" s="12">
        <v>0</v>
      </c>
      <c r="F656" s="12">
        <v>0</v>
      </c>
      <c r="G656" s="12" t="b">
        <v>0</v>
      </c>
      <c r="H656" s="9" t="s">
        <v>75</v>
      </c>
      <c r="I656" s="9" t="s">
        <v>1661</v>
      </c>
      <c r="J656" s="9" t="s">
        <v>75</v>
      </c>
      <c r="K656" s="9" t="s">
        <v>79</v>
      </c>
      <c r="L656" s="12"/>
      <c r="M656" s="12"/>
      <c r="N656" s="13"/>
      <c r="O656" s="16" t="s">
        <v>78</v>
      </c>
      <c r="P656" s="14" t="s">
        <v>79</v>
      </c>
      <c r="Q656" s="15" t="s">
        <v>155</v>
      </c>
      <c r="R656" s="14" t="s">
        <v>75</v>
      </c>
      <c r="S656" s="14" t="s">
        <v>75</v>
      </c>
      <c r="T656" s="16" t="s">
        <v>126</v>
      </c>
      <c r="U656" s="17"/>
      <c r="V656" s="13"/>
      <c r="W656" s="13"/>
      <c r="X656" s="13"/>
      <c r="Y656" s="13"/>
      <c r="Z656" s="13"/>
      <c r="AA656" s="13"/>
      <c r="AB656" s="18"/>
      <c r="AC656" s="18"/>
      <c r="AD656" s="18"/>
      <c r="AE656" s="18"/>
      <c r="AF656" s="18"/>
      <c r="AG656" s="18"/>
      <c r="AH656" s="13"/>
      <c r="AI656" s="18"/>
      <c r="AJ656" s="13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3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2"/>
      <c r="BK656" s="12"/>
      <c r="BL656" s="12"/>
      <c r="BM656" s="9"/>
      <c r="BN656" s="9"/>
      <c r="BO656" s="9"/>
      <c r="BP656" s="12"/>
      <c r="BQ656" s="12"/>
      <c r="BR656" s="12"/>
      <c r="BS656" s="12"/>
      <c r="BT656" s="12"/>
      <c r="BU656" s="12"/>
      <c r="BV656" s="12"/>
      <c r="BW656" s="12"/>
      <c r="BX656" s="12"/>
      <c r="BY656" s="9"/>
      <c r="BZ656" s="21"/>
      <c r="CA656" s="21"/>
      <c r="CB656" s="21"/>
      <c r="CC656" s="21"/>
      <c r="CD656" s="21"/>
      <c r="CE656" s="21"/>
      <c r="CF656" s="21"/>
      <c r="CG656" s="21"/>
      <c r="CH656" s="21"/>
      <c r="CI656" s="21"/>
      <c r="CJ656" s="21"/>
    </row>
    <row r="657" spans="1:88" ht="40.5" customHeight="1">
      <c r="A657" s="9"/>
      <c r="B657" s="12"/>
      <c r="C657" s="9" t="s">
        <v>1662</v>
      </c>
      <c r="D657" s="9" t="s">
        <v>627</v>
      </c>
      <c r="E657" s="12">
        <v>0</v>
      </c>
      <c r="F657" s="12">
        <v>0</v>
      </c>
      <c r="G657" s="12" t="b">
        <v>0</v>
      </c>
      <c r="H657" s="9" t="s">
        <v>75</v>
      </c>
      <c r="I657" s="9" t="s">
        <v>1663</v>
      </c>
      <c r="J657" s="9" t="s">
        <v>75</v>
      </c>
      <c r="K657" s="9" t="s">
        <v>79</v>
      </c>
      <c r="L657" s="12"/>
      <c r="M657" s="12"/>
      <c r="N657" s="13"/>
      <c r="O657" s="16" t="s">
        <v>78</v>
      </c>
      <c r="P657" s="14" t="s">
        <v>79</v>
      </c>
      <c r="Q657" s="15" t="s">
        <v>155</v>
      </c>
      <c r="R657" s="14" t="s">
        <v>75</v>
      </c>
      <c r="S657" s="14" t="s">
        <v>75</v>
      </c>
      <c r="T657" s="16" t="s">
        <v>126</v>
      </c>
      <c r="U657" s="17"/>
      <c r="V657" s="13"/>
      <c r="W657" s="13"/>
      <c r="X657" s="13"/>
      <c r="Y657" s="13"/>
      <c r="Z657" s="13"/>
      <c r="AA657" s="13"/>
      <c r="AB657" s="18"/>
      <c r="AC657" s="18"/>
      <c r="AD657" s="18"/>
      <c r="AE657" s="18"/>
      <c r="AF657" s="18"/>
      <c r="AG657" s="18"/>
      <c r="AH657" s="13"/>
      <c r="AI657" s="18"/>
      <c r="AJ657" s="13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3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2"/>
      <c r="BK657" s="12"/>
      <c r="BL657" s="12"/>
      <c r="BM657" s="9"/>
      <c r="BN657" s="9"/>
      <c r="BO657" s="9"/>
      <c r="BP657" s="12"/>
      <c r="BQ657" s="12"/>
      <c r="BR657" s="12"/>
      <c r="BS657" s="12"/>
      <c r="BT657" s="12"/>
      <c r="BU657" s="12"/>
      <c r="BV657" s="12"/>
      <c r="BW657" s="12"/>
      <c r="BX657" s="12"/>
      <c r="BY657" s="9"/>
      <c r="BZ657" s="21"/>
      <c r="CA657" s="21"/>
      <c r="CB657" s="21"/>
      <c r="CC657" s="21"/>
      <c r="CD657" s="21"/>
      <c r="CE657" s="21"/>
      <c r="CF657" s="21"/>
      <c r="CG657" s="21"/>
      <c r="CH657" s="21"/>
      <c r="CI657" s="21"/>
      <c r="CJ657" s="21"/>
    </row>
    <row r="658" spans="1:88" ht="40.5" customHeight="1">
      <c r="A658" s="9"/>
      <c r="B658" s="12"/>
      <c r="C658" s="9" t="s">
        <v>1664</v>
      </c>
      <c r="D658" s="9" t="s">
        <v>627</v>
      </c>
      <c r="E658" s="12">
        <v>0</v>
      </c>
      <c r="F658" s="12">
        <v>0</v>
      </c>
      <c r="G658" s="12" t="b">
        <v>0</v>
      </c>
      <c r="H658" s="9" t="s">
        <v>75</v>
      </c>
      <c r="I658" s="9" t="s">
        <v>1665</v>
      </c>
      <c r="J658" s="9" t="s">
        <v>75</v>
      </c>
      <c r="K658" s="9" t="s">
        <v>79</v>
      </c>
      <c r="L658" s="12"/>
      <c r="M658" s="12"/>
      <c r="N658" s="13"/>
      <c r="O658" s="16" t="s">
        <v>78</v>
      </c>
      <c r="P658" s="14" t="s">
        <v>79</v>
      </c>
      <c r="Q658" s="15" t="s">
        <v>155</v>
      </c>
      <c r="R658" s="14" t="s">
        <v>75</v>
      </c>
      <c r="S658" s="14" t="s">
        <v>75</v>
      </c>
      <c r="T658" s="16" t="s">
        <v>126</v>
      </c>
      <c r="U658" s="17"/>
      <c r="V658" s="16" t="s">
        <v>78</v>
      </c>
      <c r="W658" s="16" t="s">
        <v>79</v>
      </c>
      <c r="X658" s="15" t="s">
        <v>384</v>
      </c>
      <c r="Y658" s="16" t="s">
        <v>75</v>
      </c>
      <c r="Z658" s="16" t="s">
        <v>75</v>
      </c>
      <c r="AA658" s="16" t="s">
        <v>126</v>
      </c>
      <c r="AB658" s="18"/>
      <c r="AC658" s="18"/>
      <c r="AD658" s="18"/>
      <c r="AE658" s="18"/>
      <c r="AF658" s="18"/>
      <c r="AG658" s="18"/>
      <c r="AH658" s="13"/>
      <c r="AI658" s="18"/>
      <c r="AJ658" s="13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3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2"/>
      <c r="BK658" s="12"/>
      <c r="BL658" s="12"/>
      <c r="BM658" s="9"/>
      <c r="BN658" s="9"/>
      <c r="BO658" s="9"/>
      <c r="BP658" s="12"/>
      <c r="BQ658" s="12"/>
      <c r="BR658" s="12"/>
      <c r="BS658" s="12"/>
      <c r="BT658" s="12"/>
      <c r="BU658" s="12"/>
      <c r="BV658" s="12"/>
      <c r="BW658" s="12"/>
      <c r="BX658" s="12"/>
      <c r="BY658" s="9"/>
      <c r="BZ658" s="21"/>
      <c r="CA658" s="21"/>
      <c r="CB658" s="21"/>
      <c r="CC658" s="21"/>
      <c r="CD658" s="21"/>
      <c r="CE658" s="21"/>
      <c r="CF658" s="21"/>
      <c r="CG658" s="21"/>
      <c r="CH658" s="21"/>
      <c r="CI658" s="21"/>
      <c r="CJ658" s="21"/>
    </row>
    <row r="659" spans="1:88" ht="40.5" customHeight="1">
      <c r="A659" s="9"/>
      <c r="B659" s="12"/>
      <c r="C659" s="9" t="s">
        <v>1666</v>
      </c>
      <c r="D659" s="9" t="s">
        <v>627</v>
      </c>
      <c r="E659" s="12">
        <v>0</v>
      </c>
      <c r="F659" s="12">
        <v>0</v>
      </c>
      <c r="G659" s="12" t="b">
        <v>0</v>
      </c>
      <c r="H659" s="9" t="s">
        <v>75</v>
      </c>
      <c r="I659" s="9" t="s">
        <v>1667</v>
      </c>
      <c r="J659" s="9" t="s">
        <v>75</v>
      </c>
      <c r="K659" s="9" t="s">
        <v>79</v>
      </c>
      <c r="L659" s="12"/>
      <c r="M659" s="12"/>
      <c r="N659" s="13"/>
      <c r="O659" s="16" t="s">
        <v>78</v>
      </c>
      <c r="P659" s="14" t="s">
        <v>79</v>
      </c>
      <c r="Q659" s="15" t="s">
        <v>155</v>
      </c>
      <c r="R659" s="14" t="s">
        <v>75</v>
      </c>
      <c r="S659" s="14" t="s">
        <v>75</v>
      </c>
      <c r="T659" s="16" t="s">
        <v>126</v>
      </c>
      <c r="U659" s="17"/>
      <c r="V659" s="16" t="s">
        <v>78</v>
      </c>
      <c r="W659" s="16" t="s">
        <v>79</v>
      </c>
      <c r="X659" s="15" t="s">
        <v>384</v>
      </c>
      <c r="Y659" s="16" t="s">
        <v>75</v>
      </c>
      <c r="Z659" s="16" t="s">
        <v>75</v>
      </c>
      <c r="AA659" s="16" t="s">
        <v>126</v>
      </c>
      <c r="AB659" s="18"/>
      <c r="AC659" s="18"/>
      <c r="AD659" s="18"/>
      <c r="AE659" s="18"/>
      <c r="AF659" s="18"/>
      <c r="AG659" s="18"/>
      <c r="AH659" s="13"/>
      <c r="AI659" s="18"/>
      <c r="AJ659" s="13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3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2"/>
      <c r="BK659" s="12"/>
      <c r="BL659" s="12"/>
      <c r="BM659" s="9"/>
      <c r="BN659" s="9"/>
      <c r="BO659" s="9"/>
      <c r="BP659" s="12"/>
      <c r="BQ659" s="12"/>
      <c r="BR659" s="12"/>
      <c r="BS659" s="12"/>
      <c r="BT659" s="12"/>
      <c r="BU659" s="12"/>
      <c r="BV659" s="12"/>
      <c r="BW659" s="12"/>
      <c r="BX659" s="12"/>
      <c r="BY659" s="9"/>
      <c r="BZ659" s="21"/>
      <c r="CA659" s="21"/>
      <c r="CB659" s="21"/>
      <c r="CC659" s="21"/>
      <c r="CD659" s="21"/>
      <c r="CE659" s="21"/>
      <c r="CF659" s="21"/>
      <c r="CG659" s="21"/>
      <c r="CH659" s="21"/>
      <c r="CI659" s="21"/>
      <c r="CJ659" s="21"/>
    </row>
    <row r="660" spans="1:88" ht="40.5" customHeight="1">
      <c r="A660" s="9"/>
      <c r="B660" s="12"/>
      <c r="C660" s="9" t="s">
        <v>1668</v>
      </c>
      <c r="D660" s="9" t="s">
        <v>627</v>
      </c>
      <c r="E660" s="12">
        <v>0</v>
      </c>
      <c r="F660" s="12">
        <v>0</v>
      </c>
      <c r="G660" s="12" t="b">
        <v>0</v>
      </c>
      <c r="H660" s="9" t="s">
        <v>75</v>
      </c>
      <c r="I660" s="9" t="s">
        <v>1669</v>
      </c>
      <c r="J660" s="9" t="s">
        <v>75</v>
      </c>
      <c r="K660" s="9" t="s">
        <v>79</v>
      </c>
      <c r="L660" s="12"/>
      <c r="M660" s="12"/>
      <c r="N660" s="13"/>
      <c r="O660" s="16" t="s">
        <v>78</v>
      </c>
      <c r="P660" s="14" t="s">
        <v>79</v>
      </c>
      <c r="Q660" s="15" t="s">
        <v>155</v>
      </c>
      <c r="R660" s="14" t="s">
        <v>75</v>
      </c>
      <c r="S660" s="14" t="s">
        <v>75</v>
      </c>
      <c r="T660" s="16" t="s">
        <v>4</v>
      </c>
      <c r="U660" s="17"/>
      <c r="V660" s="13"/>
      <c r="W660" s="13"/>
      <c r="X660" s="13"/>
      <c r="Y660" s="13"/>
      <c r="Z660" s="13"/>
      <c r="AA660" s="13"/>
      <c r="AB660" s="18"/>
      <c r="AC660" s="18"/>
      <c r="AD660" s="18"/>
      <c r="AE660" s="18"/>
      <c r="AF660" s="18"/>
      <c r="AG660" s="18"/>
      <c r="AH660" s="13"/>
      <c r="AI660" s="18"/>
      <c r="AJ660" s="13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3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2"/>
      <c r="BK660" s="12"/>
      <c r="BL660" s="12"/>
      <c r="BM660" s="9"/>
      <c r="BN660" s="9"/>
      <c r="BO660" s="9"/>
      <c r="BP660" s="12"/>
      <c r="BQ660" s="12"/>
      <c r="BR660" s="12"/>
      <c r="BS660" s="12"/>
      <c r="BT660" s="12"/>
      <c r="BU660" s="12"/>
      <c r="BV660" s="12"/>
      <c r="BW660" s="12"/>
      <c r="BX660" s="12"/>
      <c r="BY660" s="9"/>
      <c r="BZ660" s="21"/>
      <c r="CA660" s="21"/>
      <c r="CB660" s="21"/>
      <c r="CC660" s="21"/>
      <c r="CD660" s="21"/>
      <c r="CE660" s="21"/>
      <c r="CF660" s="21"/>
      <c r="CG660" s="21"/>
      <c r="CH660" s="21"/>
      <c r="CI660" s="21"/>
      <c r="CJ660" s="21"/>
    </row>
    <row r="661" spans="1:88" ht="40.5" customHeight="1">
      <c r="A661" s="9"/>
      <c r="B661" s="12"/>
      <c r="C661" s="9" t="s">
        <v>1670</v>
      </c>
      <c r="D661" s="9" t="s">
        <v>627</v>
      </c>
      <c r="E661" s="12">
        <v>0</v>
      </c>
      <c r="F661" s="12">
        <v>0</v>
      </c>
      <c r="G661" s="12" t="b">
        <v>0</v>
      </c>
      <c r="H661" s="9" t="s">
        <v>79</v>
      </c>
      <c r="I661" s="10" t="s">
        <v>1671</v>
      </c>
      <c r="J661" s="9" t="s">
        <v>79</v>
      </c>
      <c r="K661" s="9" t="s">
        <v>75</v>
      </c>
      <c r="L661" s="12"/>
      <c r="M661" s="12"/>
      <c r="N661" s="13"/>
      <c r="O661" s="16" t="s">
        <v>78</v>
      </c>
      <c r="P661" s="14" t="s">
        <v>79</v>
      </c>
      <c r="Q661" s="15" t="s">
        <v>155</v>
      </c>
      <c r="R661" s="14" t="s">
        <v>75</v>
      </c>
      <c r="S661" s="14" t="s">
        <v>75</v>
      </c>
      <c r="T661" s="16" t="s">
        <v>126</v>
      </c>
      <c r="U661" s="17"/>
      <c r="V661" s="16" t="s">
        <v>78</v>
      </c>
      <c r="W661" s="16" t="s">
        <v>79</v>
      </c>
      <c r="X661" s="15" t="s">
        <v>384</v>
      </c>
      <c r="Y661" s="16" t="s">
        <v>75</v>
      </c>
      <c r="Z661" s="16" t="s">
        <v>75</v>
      </c>
      <c r="AA661" s="16" t="s">
        <v>166</v>
      </c>
      <c r="AB661" s="18"/>
      <c r="AC661" s="18"/>
      <c r="AD661" s="18"/>
      <c r="AE661" s="18"/>
      <c r="AF661" s="18"/>
      <c r="AG661" s="18"/>
      <c r="AH661" s="13"/>
      <c r="AI661" s="18"/>
      <c r="AJ661" s="13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3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2"/>
      <c r="BK661" s="12"/>
      <c r="BL661" s="12"/>
      <c r="BM661" s="9"/>
      <c r="BN661" s="9"/>
      <c r="BO661" s="9"/>
      <c r="BP661" s="12"/>
      <c r="BQ661" s="12"/>
      <c r="BR661" s="12"/>
      <c r="BS661" s="12"/>
      <c r="BT661" s="12"/>
      <c r="BU661" s="12"/>
      <c r="BV661" s="12"/>
      <c r="BW661" s="12"/>
      <c r="BX661" s="12"/>
      <c r="BY661" s="9"/>
      <c r="BZ661" s="21"/>
      <c r="CA661" s="21"/>
      <c r="CB661" s="21"/>
      <c r="CC661" s="21"/>
      <c r="CD661" s="21"/>
      <c r="CE661" s="21"/>
      <c r="CF661" s="21"/>
      <c r="CG661" s="21"/>
      <c r="CH661" s="21"/>
      <c r="CI661" s="21"/>
      <c r="CJ661" s="21"/>
    </row>
    <row r="662" spans="1:88" ht="40.5" customHeight="1">
      <c r="A662" s="9"/>
      <c r="B662" s="12"/>
      <c r="C662" s="9" t="s">
        <v>1672</v>
      </c>
      <c r="D662" s="9" t="s">
        <v>627</v>
      </c>
      <c r="E662" s="12">
        <v>0</v>
      </c>
      <c r="F662" s="12">
        <v>0</v>
      </c>
      <c r="G662" s="12" t="b">
        <v>0</v>
      </c>
      <c r="H662" s="9" t="s">
        <v>75</v>
      </c>
      <c r="I662" s="9" t="s">
        <v>1673</v>
      </c>
      <c r="J662" s="9" t="s">
        <v>75</v>
      </c>
      <c r="K662" s="9" t="s">
        <v>79</v>
      </c>
      <c r="L662" s="12"/>
      <c r="M662" s="12"/>
      <c r="N662" s="13"/>
      <c r="O662" s="16" t="s">
        <v>78</v>
      </c>
      <c r="P662" s="14" t="s">
        <v>79</v>
      </c>
      <c r="Q662" s="15" t="s">
        <v>155</v>
      </c>
      <c r="R662" s="14" t="s">
        <v>75</v>
      </c>
      <c r="S662" s="14" t="s">
        <v>75</v>
      </c>
      <c r="T662" s="16" t="s">
        <v>126</v>
      </c>
      <c r="U662" s="17"/>
      <c r="V662" s="16" t="s">
        <v>78</v>
      </c>
      <c r="W662" s="16" t="s">
        <v>79</v>
      </c>
      <c r="X662" s="15" t="s">
        <v>384</v>
      </c>
      <c r="Y662" s="16" t="s">
        <v>75</v>
      </c>
      <c r="Z662" s="16" t="s">
        <v>75</v>
      </c>
      <c r="AA662" s="16" t="s">
        <v>4</v>
      </c>
      <c r="AB662" s="18"/>
      <c r="AC662" s="18"/>
      <c r="AD662" s="18"/>
      <c r="AE662" s="18"/>
      <c r="AF662" s="18"/>
      <c r="AG662" s="18"/>
      <c r="AH662" s="13"/>
      <c r="AI662" s="18"/>
      <c r="AJ662" s="13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3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2"/>
      <c r="BK662" s="12"/>
      <c r="BL662" s="12"/>
      <c r="BM662" s="9"/>
      <c r="BN662" s="9"/>
      <c r="BO662" s="9"/>
      <c r="BP662" s="12"/>
      <c r="BQ662" s="12"/>
      <c r="BR662" s="12"/>
      <c r="BS662" s="12"/>
      <c r="BT662" s="12"/>
      <c r="BU662" s="12"/>
      <c r="BV662" s="12"/>
      <c r="BW662" s="12"/>
      <c r="BX662" s="12"/>
      <c r="BY662" s="9"/>
      <c r="BZ662" s="21"/>
      <c r="CA662" s="21"/>
      <c r="CB662" s="21"/>
      <c r="CC662" s="21"/>
      <c r="CD662" s="21"/>
      <c r="CE662" s="21"/>
      <c r="CF662" s="21"/>
      <c r="CG662" s="21"/>
      <c r="CH662" s="21"/>
      <c r="CI662" s="21"/>
      <c r="CJ662" s="21"/>
    </row>
    <row r="663" spans="1:88" ht="40.5" customHeight="1">
      <c r="A663" s="9"/>
      <c r="B663" s="12"/>
      <c r="C663" s="9" t="s">
        <v>1674</v>
      </c>
      <c r="D663" s="9" t="s">
        <v>627</v>
      </c>
      <c r="E663" s="12">
        <v>0</v>
      </c>
      <c r="F663" s="12">
        <v>0</v>
      </c>
      <c r="G663" s="12" t="b">
        <v>0</v>
      </c>
      <c r="H663" s="9" t="s">
        <v>75</v>
      </c>
      <c r="I663" s="9" t="s">
        <v>1675</v>
      </c>
      <c r="J663" s="9" t="s">
        <v>75</v>
      </c>
      <c r="K663" s="9" t="s">
        <v>79</v>
      </c>
      <c r="L663" s="12"/>
      <c r="M663" s="12"/>
      <c r="N663" s="13"/>
      <c r="O663" s="16" t="s">
        <v>78</v>
      </c>
      <c r="P663" s="14" t="s">
        <v>79</v>
      </c>
      <c r="Q663" s="15" t="s">
        <v>155</v>
      </c>
      <c r="R663" s="14" t="s">
        <v>75</v>
      </c>
      <c r="S663" s="14" t="s">
        <v>75</v>
      </c>
      <c r="T663" s="16" t="s">
        <v>126</v>
      </c>
      <c r="U663" s="17"/>
      <c r="V663" s="16" t="s">
        <v>78</v>
      </c>
      <c r="W663" s="16" t="s">
        <v>79</v>
      </c>
      <c r="X663" s="15" t="s">
        <v>384</v>
      </c>
      <c r="Y663" s="16" t="s">
        <v>75</v>
      </c>
      <c r="Z663" s="16" t="s">
        <v>75</v>
      </c>
      <c r="AA663" s="16" t="s">
        <v>126</v>
      </c>
      <c r="AB663" s="18"/>
      <c r="AC663" s="18"/>
      <c r="AD663" s="18"/>
      <c r="AE663" s="18"/>
      <c r="AF663" s="18"/>
      <c r="AG663" s="18"/>
      <c r="AH663" s="13"/>
      <c r="AI663" s="18"/>
      <c r="AJ663" s="13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3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2"/>
      <c r="BK663" s="12"/>
      <c r="BL663" s="12"/>
      <c r="BM663" s="9"/>
      <c r="BN663" s="9"/>
      <c r="BO663" s="9"/>
      <c r="BP663" s="12"/>
      <c r="BQ663" s="12"/>
      <c r="BR663" s="12"/>
      <c r="BS663" s="12"/>
      <c r="BT663" s="12"/>
      <c r="BU663" s="12"/>
      <c r="BV663" s="12"/>
      <c r="BW663" s="12"/>
      <c r="BX663" s="12"/>
      <c r="BY663" s="9"/>
      <c r="BZ663" s="21"/>
      <c r="CA663" s="21"/>
      <c r="CB663" s="21"/>
      <c r="CC663" s="21"/>
      <c r="CD663" s="21"/>
      <c r="CE663" s="21"/>
      <c r="CF663" s="21"/>
      <c r="CG663" s="21"/>
      <c r="CH663" s="21"/>
      <c r="CI663" s="21"/>
      <c r="CJ663" s="21"/>
    </row>
    <row r="664" spans="1:88" ht="40.5" customHeight="1">
      <c r="A664" s="9"/>
      <c r="B664" s="12"/>
      <c r="C664" s="9" t="s">
        <v>1676</v>
      </c>
      <c r="D664" s="9" t="s">
        <v>627</v>
      </c>
      <c r="E664" s="12">
        <v>0</v>
      </c>
      <c r="F664" s="12">
        <v>0</v>
      </c>
      <c r="G664" s="12" t="b">
        <v>0</v>
      </c>
      <c r="H664" s="9" t="s">
        <v>79</v>
      </c>
      <c r="I664" s="10" t="s">
        <v>1677</v>
      </c>
      <c r="J664" s="9" t="s">
        <v>79</v>
      </c>
      <c r="K664" s="9" t="s">
        <v>75</v>
      </c>
      <c r="L664" s="12"/>
      <c r="M664" s="12"/>
      <c r="N664" s="13"/>
      <c r="O664" s="16" t="s">
        <v>78</v>
      </c>
      <c r="P664" s="14" t="s">
        <v>79</v>
      </c>
      <c r="Q664" s="15" t="s">
        <v>155</v>
      </c>
      <c r="R664" s="14" t="s">
        <v>75</v>
      </c>
      <c r="S664" s="14" t="s">
        <v>75</v>
      </c>
      <c r="T664" s="16" t="s">
        <v>126</v>
      </c>
      <c r="U664" s="17"/>
      <c r="V664" s="16" t="s">
        <v>78</v>
      </c>
      <c r="W664" s="16" t="s">
        <v>79</v>
      </c>
      <c r="X664" s="15" t="s">
        <v>384</v>
      </c>
      <c r="Y664" s="16" t="s">
        <v>75</v>
      </c>
      <c r="Z664" s="16" t="s">
        <v>75</v>
      </c>
      <c r="AA664" s="16" t="s">
        <v>81</v>
      </c>
      <c r="AB664" s="18"/>
      <c r="AC664" s="18"/>
      <c r="AD664" s="18"/>
      <c r="AE664" s="18"/>
      <c r="AF664" s="18"/>
      <c r="AG664" s="18"/>
      <c r="AH664" s="13"/>
      <c r="AI664" s="18"/>
      <c r="AJ664" s="13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3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2"/>
      <c r="BK664" s="12"/>
      <c r="BL664" s="12"/>
      <c r="BM664" s="9"/>
      <c r="BN664" s="9"/>
      <c r="BO664" s="9"/>
      <c r="BP664" s="12"/>
      <c r="BQ664" s="12"/>
      <c r="BR664" s="12"/>
      <c r="BS664" s="12"/>
      <c r="BT664" s="12"/>
      <c r="BU664" s="12"/>
      <c r="BV664" s="12"/>
      <c r="BW664" s="12"/>
      <c r="BX664" s="12"/>
      <c r="BY664" s="9"/>
      <c r="BZ664" s="21"/>
      <c r="CA664" s="21"/>
      <c r="CB664" s="21"/>
      <c r="CC664" s="21"/>
      <c r="CD664" s="21"/>
      <c r="CE664" s="21"/>
      <c r="CF664" s="21"/>
      <c r="CG664" s="21"/>
      <c r="CH664" s="21"/>
      <c r="CI664" s="21"/>
      <c r="CJ664" s="21"/>
    </row>
    <row r="665" spans="1:88" ht="40.5" customHeight="1">
      <c r="A665" s="9"/>
      <c r="B665" s="12"/>
      <c r="C665" s="9" t="s">
        <v>1678</v>
      </c>
      <c r="D665" s="9" t="s">
        <v>627</v>
      </c>
      <c r="E665" s="12">
        <v>0</v>
      </c>
      <c r="F665" s="12">
        <v>0</v>
      </c>
      <c r="G665" s="12" t="b">
        <v>0</v>
      </c>
      <c r="H665" s="9" t="s">
        <v>75</v>
      </c>
      <c r="I665" s="9" t="s">
        <v>1679</v>
      </c>
      <c r="J665" s="9" t="s">
        <v>75</v>
      </c>
      <c r="K665" s="9" t="s">
        <v>79</v>
      </c>
      <c r="L665" s="12"/>
      <c r="M665" s="12"/>
      <c r="N665" s="13"/>
      <c r="O665" s="16" t="s">
        <v>78</v>
      </c>
      <c r="P665" s="14" t="s">
        <v>79</v>
      </c>
      <c r="Q665" s="15" t="s">
        <v>155</v>
      </c>
      <c r="R665" s="14" t="s">
        <v>75</v>
      </c>
      <c r="S665" s="14" t="s">
        <v>75</v>
      </c>
      <c r="T665" s="16" t="s">
        <v>126</v>
      </c>
      <c r="U665" s="17"/>
      <c r="V665" s="16" t="s">
        <v>78</v>
      </c>
      <c r="W665" s="16" t="s">
        <v>79</v>
      </c>
      <c r="X665" s="15" t="s">
        <v>384</v>
      </c>
      <c r="Y665" s="16" t="s">
        <v>75</v>
      </c>
      <c r="Z665" s="16" t="s">
        <v>75</v>
      </c>
      <c r="AA665" s="16" t="s">
        <v>81</v>
      </c>
      <c r="AB665" s="18"/>
      <c r="AC665" s="18"/>
      <c r="AD665" s="18"/>
      <c r="AE665" s="18"/>
      <c r="AF665" s="18"/>
      <c r="AG665" s="18"/>
      <c r="AH665" s="13"/>
      <c r="AI665" s="18"/>
      <c r="AJ665" s="13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3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2"/>
      <c r="BK665" s="12"/>
      <c r="BL665" s="12"/>
      <c r="BM665" s="9"/>
      <c r="BN665" s="9"/>
      <c r="BO665" s="9"/>
      <c r="BP665" s="12"/>
      <c r="BQ665" s="12"/>
      <c r="BR665" s="12"/>
      <c r="BS665" s="12"/>
      <c r="BT665" s="12"/>
      <c r="BU665" s="12"/>
      <c r="BV665" s="12"/>
      <c r="BW665" s="12"/>
      <c r="BX665" s="12"/>
      <c r="BY665" s="9"/>
      <c r="BZ665" s="21"/>
      <c r="CA665" s="21"/>
      <c r="CB665" s="21"/>
      <c r="CC665" s="21"/>
      <c r="CD665" s="21"/>
      <c r="CE665" s="21"/>
      <c r="CF665" s="21"/>
      <c r="CG665" s="21"/>
      <c r="CH665" s="21"/>
      <c r="CI665" s="21"/>
      <c r="CJ665" s="21"/>
    </row>
    <row r="666" spans="1:88" ht="40.5" customHeight="1">
      <c r="A666" s="9"/>
      <c r="B666" s="12"/>
      <c r="C666" s="9" t="s">
        <v>1680</v>
      </c>
      <c r="D666" s="9" t="s">
        <v>627</v>
      </c>
      <c r="E666" s="12">
        <v>0</v>
      </c>
      <c r="F666" s="12">
        <v>0</v>
      </c>
      <c r="G666" s="12" t="b">
        <v>0</v>
      </c>
      <c r="H666" s="9" t="s">
        <v>75</v>
      </c>
      <c r="I666" s="9" t="s">
        <v>1681</v>
      </c>
      <c r="J666" s="10" t="s">
        <v>84</v>
      </c>
      <c r="K666" s="9" t="s">
        <v>79</v>
      </c>
      <c r="L666" s="12"/>
      <c r="M666" s="12"/>
      <c r="N666" s="13"/>
      <c r="O666" s="16" t="s">
        <v>78</v>
      </c>
      <c r="P666" s="14" t="s">
        <v>79</v>
      </c>
      <c r="Q666" s="15" t="s">
        <v>155</v>
      </c>
      <c r="R666" s="14" t="s">
        <v>75</v>
      </c>
      <c r="S666" s="14" t="s">
        <v>75</v>
      </c>
      <c r="T666" s="16" t="s">
        <v>126</v>
      </c>
      <c r="U666" s="17"/>
      <c r="V666" s="16" t="s">
        <v>78</v>
      </c>
      <c r="W666" s="16" t="s">
        <v>79</v>
      </c>
      <c r="X666" s="15" t="s">
        <v>384</v>
      </c>
      <c r="Y666" s="16" t="s">
        <v>75</v>
      </c>
      <c r="Z666" s="16" t="s">
        <v>75</v>
      </c>
      <c r="AA666" s="16" t="s">
        <v>101</v>
      </c>
      <c r="AB666" s="18"/>
      <c r="AC666" s="18"/>
      <c r="AD666" s="18"/>
      <c r="AE666" s="18"/>
      <c r="AF666" s="18"/>
      <c r="AG666" s="18"/>
      <c r="AH666" s="13"/>
      <c r="AI666" s="18"/>
      <c r="AJ666" s="13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3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2"/>
      <c r="BK666" s="12"/>
      <c r="BL666" s="12"/>
      <c r="BM666" s="9"/>
      <c r="BN666" s="9"/>
      <c r="BO666" s="9"/>
      <c r="BP666" s="12"/>
      <c r="BQ666" s="12"/>
      <c r="BR666" s="12"/>
      <c r="BS666" s="12"/>
      <c r="BT666" s="12"/>
      <c r="BU666" s="12"/>
      <c r="BV666" s="12"/>
      <c r="BW666" s="12"/>
      <c r="BX666" s="12"/>
      <c r="BY666" s="9"/>
      <c r="BZ666" s="21"/>
      <c r="CA666" s="21"/>
      <c r="CB666" s="21"/>
      <c r="CC666" s="21"/>
      <c r="CD666" s="21"/>
      <c r="CE666" s="21"/>
      <c r="CF666" s="21"/>
      <c r="CG666" s="21"/>
      <c r="CH666" s="21"/>
      <c r="CI666" s="21"/>
      <c r="CJ666" s="21"/>
    </row>
    <row r="667" spans="1:88" ht="40.5" customHeight="1">
      <c r="A667" s="9"/>
      <c r="B667" s="12"/>
      <c r="C667" s="9" t="s">
        <v>1682</v>
      </c>
      <c r="D667" s="9" t="s">
        <v>627</v>
      </c>
      <c r="E667" s="12">
        <v>0</v>
      </c>
      <c r="F667" s="12">
        <v>0</v>
      </c>
      <c r="G667" s="12" t="b">
        <v>0</v>
      </c>
      <c r="H667" s="9" t="s">
        <v>75</v>
      </c>
      <c r="I667" s="9" t="s">
        <v>1683</v>
      </c>
      <c r="J667" s="9" t="s">
        <v>75</v>
      </c>
      <c r="K667" s="9" t="s">
        <v>79</v>
      </c>
      <c r="L667" s="12"/>
      <c r="M667" s="12"/>
      <c r="N667" s="13"/>
      <c r="O667" s="16" t="s">
        <v>78</v>
      </c>
      <c r="P667" s="14" t="s">
        <v>79</v>
      </c>
      <c r="Q667" s="15" t="s">
        <v>155</v>
      </c>
      <c r="R667" s="14" t="s">
        <v>75</v>
      </c>
      <c r="S667" s="14" t="s">
        <v>75</v>
      </c>
      <c r="T667" s="16" t="s">
        <v>126</v>
      </c>
      <c r="U667" s="17"/>
      <c r="V667" s="16" t="s">
        <v>78</v>
      </c>
      <c r="W667" s="16" t="s">
        <v>79</v>
      </c>
      <c r="X667" s="15" t="s">
        <v>384</v>
      </c>
      <c r="Y667" s="16" t="s">
        <v>75</v>
      </c>
      <c r="Z667" s="16" t="s">
        <v>75</v>
      </c>
      <c r="AA667" s="16" t="s">
        <v>126</v>
      </c>
      <c r="AB667" s="18"/>
      <c r="AC667" s="18"/>
      <c r="AD667" s="18"/>
      <c r="AE667" s="18"/>
      <c r="AF667" s="18"/>
      <c r="AG667" s="18"/>
      <c r="AH667" s="13"/>
      <c r="AI667" s="18"/>
      <c r="AJ667" s="13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3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2"/>
      <c r="BK667" s="12"/>
      <c r="BL667" s="12"/>
      <c r="BM667" s="9"/>
      <c r="BN667" s="9"/>
      <c r="BO667" s="9"/>
      <c r="BP667" s="12"/>
      <c r="BQ667" s="12"/>
      <c r="BR667" s="12"/>
      <c r="BS667" s="12"/>
      <c r="BT667" s="12"/>
      <c r="BU667" s="12"/>
      <c r="BV667" s="12"/>
      <c r="BW667" s="12"/>
      <c r="BX667" s="12"/>
      <c r="BY667" s="9"/>
      <c r="BZ667" s="21"/>
      <c r="CA667" s="21"/>
      <c r="CB667" s="21"/>
      <c r="CC667" s="21"/>
      <c r="CD667" s="21"/>
      <c r="CE667" s="21"/>
      <c r="CF667" s="21"/>
      <c r="CG667" s="21"/>
      <c r="CH667" s="21"/>
      <c r="CI667" s="21"/>
      <c r="CJ667" s="21"/>
    </row>
    <row r="668" spans="1:88" ht="40.5" customHeight="1">
      <c r="A668" s="9"/>
      <c r="B668" s="12"/>
      <c r="C668" s="9" t="s">
        <v>1684</v>
      </c>
      <c r="D668" s="9" t="s">
        <v>627</v>
      </c>
      <c r="E668" s="12">
        <v>0</v>
      </c>
      <c r="F668" s="12">
        <v>0</v>
      </c>
      <c r="G668" s="12" t="b">
        <v>0</v>
      </c>
      <c r="H668" s="9" t="s">
        <v>75</v>
      </c>
      <c r="I668" s="9" t="s">
        <v>1685</v>
      </c>
      <c r="J668" s="9" t="s">
        <v>75</v>
      </c>
      <c r="K668" s="9" t="s">
        <v>79</v>
      </c>
      <c r="L668" s="12"/>
      <c r="M668" s="12"/>
      <c r="N668" s="13"/>
      <c r="O668" s="16" t="s">
        <v>78</v>
      </c>
      <c r="P668" s="14" t="s">
        <v>79</v>
      </c>
      <c r="Q668" s="15" t="s">
        <v>155</v>
      </c>
      <c r="R668" s="14" t="s">
        <v>75</v>
      </c>
      <c r="S668" s="14" t="s">
        <v>75</v>
      </c>
      <c r="T668" s="16" t="s">
        <v>126</v>
      </c>
      <c r="U668" s="17"/>
      <c r="V668" s="16" t="s">
        <v>78</v>
      </c>
      <c r="W668" s="16" t="s">
        <v>79</v>
      </c>
      <c r="X668" s="15" t="s">
        <v>384</v>
      </c>
      <c r="Y668" s="16" t="s">
        <v>75</v>
      </c>
      <c r="Z668" s="16" t="s">
        <v>75</v>
      </c>
      <c r="AA668" s="16" t="s">
        <v>126</v>
      </c>
      <c r="AB668" s="18"/>
      <c r="AC668" s="18"/>
      <c r="AD668" s="18"/>
      <c r="AE668" s="18"/>
      <c r="AF668" s="18"/>
      <c r="AG668" s="18"/>
      <c r="AH668" s="13"/>
      <c r="AI668" s="18"/>
      <c r="AJ668" s="13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3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2"/>
      <c r="BK668" s="12"/>
      <c r="BL668" s="12"/>
      <c r="BM668" s="9"/>
      <c r="BN668" s="9"/>
      <c r="BO668" s="9"/>
      <c r="BP668" s="12"/>
      <c r="BQ668" s="12"/>
      <c r="BR668" s="12"/>
      <c r="BS668" s="12"/>
      <c r="BT668" s="12"/>
      <c r="BU668" s="12"/>
      <c r="BV668" s="12"/>
      <c r="BW668" s="12"/>
      <c r="BX668" s="12"/>
      <c r="BY668" s="9"/>
      <c r="BZ668" s="21"/>
      <c r="CA668" s="21"/>
      <c r="CB668" s="21"/>
      <c r="CC668" s="21"/>
      <c r="CD668" s="21"/>
      <c r="CE668" s="21"/>
      <c r="CF668" s="21"/>
      <c r="CG668" s="21"/>
      <c r="CH668" s="21"/>
      <c r="CI668" s="21"/>
      <c r="CJ668" s="21"/>
    </row>
    <row r="669" spans="1:88" ht="40.5" customHeight="1">
      <c r="A669" s="9"/>
      <c r="B669" s="12"/>
      <c r="C669" s="9" t="s">
        <v>1686</v>
      </c>
      <c r="D669" s="9" t="s">
        <v>627</v>
      </c>
      <c r="E669" s="12">
        <v>0</v>
      </c>
      <c r="F669" s="12">
        <v>0</v>
      </c>
      <c r="G669" s="12" t="b">
        <v>0</v>
      </c>
      <c r="H669" s="9" t="s">
        <v>75</v>
      </c>
      <c r="I669" s="9" t="s">
        <v>1687</v>
      </c>
      <c r="J669" s="9" t="s">
        <v>75</v>
      </c>
      <c r="K669" s="9" t="s">
        <v>79</v>
      </c>
      <c r="L669" s="12"/>
      <c r="M669" s="12"/>
      <c r="N669" s="13"/>
      <c r="O669" s="16" t="s">
        <v>78</v>
      </c>
      <c r="P669" s="14" t="s">
        <v>79</v>
      </c>
      <c r="Q669" s="15" t="s">
        <v>155</v>
      </c>
      <c r="R669" s="14" t="s">
        <v>75</v>
      </c>
      <c r="S669" s="14" t="s">
        <v>75</v>
      </c>
      <c r="T669" s="16" t="s">
        <v>126</v>
      </c>
      <c r="U669" s="17"/>
      <c r="V669" s="16" t="s">
        <v>78</v>
      </c>
      <c r="W669" s="16" t="s">
        <v>79</v>
      </c>
      <c r="X669" s="15" t="s">
        <v>384</v>
      </c>
      <c r="Y669" s="16" t="s">
        <v>75</v>
      </c>
      <c r="Z669" s="16" t="s">
        <v>75</v>
      </c>
      <c r="AA669" s="16" t="s">
        <v>126</v>
      </c>
      <c r="AB669" s="18"/>
      <c r="AC669" s="18"/>
      <c r="AD669" s="18"/>
      <c r="AE669" s="18"/>
      <c r="AF669" s="18"/>
      <c r="AG669" s="18"/>
      <c r="AH669" s="13"/>
      <c r="AI669" s="18"/>
      <c r="AJ669" s="13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3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2"/>
      <c r="BK669" s="12"/>
      <c r="BL669" s="12"/>
      <c r="BM669" s="9"/>
      <c r="BN669" s="9"/>
      <c r="BO669" s="9"/>
      <c r="BP669" s="12"/>
      <c r="BQ669" s="12"/>
      <c r="BR669" s="12"/>
      <c r="BS669" s="12"/>
      <c r="BT669" s="12"/>
      <c r="BU669" s="12"/>
      <c r="BV669" s="12"/>
      <c r="BW669" s="12"/>
      <c r="BX669" s="12"/>
      <c r="BY669" s="9"/>
      <c r="BZ669" s="21"/>
      <c r="CA669" s="21"/>
      <c r="CB669" s="21"/>
      <c r="CC669" s="21"/>
      <c r="CD669" s="21"/>
      <c r="CE669" s="21"/>
      <c r="CF669" s="21"/>
      <c r="CG669" s="21"/>
      <c r="CH669" s="21"/>
      <c r="CI669" s="21"/>
      <c r="CJ669" s="21"/>
    </row>
    <row r="670" spans="1:88" ht="40.5" customHeight="1">
      <c r="A670" s="9"/>
      <c r="B670" s="12"/>
      <c r="C670" s="9" t="s">
        <v>1688</v>
      </c>
      <c r="D670" s="9" t="s">
        <v>627</v>
      </c>
      <c r="E670" s="12">
        <v>0</v>
      </c>
      <c r="F670" s="12">
        <v>0</v>
      </c>
      <c r="G670" s="12" t="b">
        <v>0</v>
      </c>
      <c r="H670" s="9" t="s">
        <v>75</v>
      </c>
      <c r="I670" s="9" t="s">
        <v>1689</v>
      </c>
      <c r="J670" s="9" t="s">
        <v>75</v>
      </c>
      <c r="K670" s="9" t="s">
        <v>79</v>
      </c>
      <c r="L670" s="12"/>
      <c r="M670" s="12"/>
      <c r="N670" s="13"/>
      <c r="O670" s="16" t="s">
        <v>78</v>
      </c>
      <c r="P670" s="14" t="s">
        <v>79</v>
      </c>
      <c r="Q670" s="15" t="s">
        <v>155</v>
      </c>
      <c r="R670" s="14" t="s">
        <v>75</v>
      </c>
      <c r="S670" s="14" t="s">
        <v>75</v>
      </c>
      <c r="T670" s="16" t="s">
        <v>126</v>
      </c>
      <c r="U670" s="17"/>
      <c r="V670" s="16" t="s">
        <v>78</v>
      </c>
      <c r="W670" s="16" t="s">
        <v>79</v>
      </c>
      <c r="X670" s="15" t="s">
        <v>384</v>
      </c>
      <c r="Y670" s="16" t="s">
        <v>75</v>
      </c>
      <c r="Z670" s="16" t="s">
        <v>75</v>
      </c>
      <c r="AA670" s="16" t="s">
        <v>166</v>
      </c>
      <c r="AB670" s="18"/>
      <c r="AC670" s="18"/>
      <c r="AD670" s="18"/>
      <c r="AE670" s="18"/>
      <c r="AF670" s="18"/>
      <c r="AG670" s="18"/>
      <c r="AH670" s="13"/>
      <c r="AI670" s="18"/>
      <c r="AJ670" s="13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3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2"/>
      <c r="BK670" s="12"/>
      <c r="BL670" s="12"/>
      <c r="BM670" s="9"/>
      <c r="BN670" s="9"/>
      <c r="BO670" s="9"/>
      <c r="BP670" s="12"/>
      <c r="BQ670" s="12"/>
      <c r="BR670" s="12"/>
      <c r="BS670" s="12"/>
      <c r="BT670" s="12"/>
      <c r="BU670" s="12"/>
      <c r="BV670" s="12"/>
      <c r="BW670" s="12"/>
      <c r="BX670" s="12"/>
      <c r="BY670" s="9"/>
      <c r="BZ670" s="21"/>
      <c r="CA670" s="21"/>
      <c r="CB670" s="21"/>
      <c r="CC670" s="21"/>
      <c r="CD670" s="21"/>
      <c r="CE670" s="21"/>
      <c r="CF670" s="21"/>
      <c r="CG670" s="21"/>
      <c r="CH670" s="21"/>
      <c r="CI670" s="21"/>
      <c r="CJ670" s="21"/>
    </row>
    <row r="671" spans="1:88" ht="40.5" customHeight="1">
      <c r="A671" s="9"/>
      <c r="B671" s="12"/>
      <c r="C671" s="9" t="s">
        <v>1690</v>
      </c>
      <c r="D671" s="9" t="s">
        <v>627</v>
      </c>
      <c r="E671" s="12">
        <v>0</v>
      </c>
      <c r="F671" s="12">
        <v>0</v>
      </c>
      <c r="G671" s="12" t="b">
        <v>0</v>
      </c>
      <c r="H671" s="9" t="s">
        <v>75</v>
      </c>
      <c r="I671" s="9" t="s">
        <v>1691</v>
      </c>
      <c r="J671" s="9" t="s">
        <v>75</v>
      </c>
      <c r="K671" s="9" t="s">
        <v>79</v>
      </c>
      <c r="L671" s="12"/>
      <c r="M671" s="12"/>
      <c r="N671" s="13"/>
      <c r="O671" s="16" t="s">
        <v>78</v>
      </c>
      <c r="P671" s="14" t="s">
        <v>79</v>
      </c>
      <c r="Q671" s="15" t="s">
        <v>155</v>
      </c>
      <c r="R671" s="14" t="s">
        <v>75</v>
      </c>
      <c r="S671" s="14" t="s">
        <v>75</v>
      </c>
      <c r="T671" s="16" t="s">
        <v>166</v>
      </c>
      <c r="U671" s="17"/>
      <c r="V671" s="16" t="s">
        <v>78</v>
      </c>
      <c r="W671" s="16" t="s">
        <v>79</v>
      </c>
      <c r="X671" s="15" t="s">
        <v>384</v>
      </c>
      <c r="Y671" s="16" t="s">
        <v>75</v>
      </c>
      <c r="Z671" s="16" t="s">
        <v>75</v>
      </c>
      <c r="AA671" s="16" t="s">
        <v>86</v>
      </c>
      <c r="AB671" s="18"/>
      <c r="AC671" s="18"/>
      <c r="AD671" s="18"/>
      <c r="AE671" s="18"/>
      <c r="AF671" s="18"/>
      <c r="AG671" s="18"/>
      <c r="AH671" s="13"/>
      <c r="AI671" s="18"/>
      <c r="AJ671" s="13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3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2"/>
      <c r="BK671" s="12"/>
      <c r="BL671" s="12"/>
      <c r="BM671" s="9"/>
      <c r="BN671" s="9"/>
      <c r="BO671" s="9"/>
      <c r="BP671" s="12"/>
      <c r="BQ671" s="12"/>
      <c r="BR671" s="12"/>
      <c r="BS671" s="12"/>
      <c r="BT671" s="12"/>
      <c r="BU671" s="12"/>
      <c r="BV671" s="12"/>
      <c r="BW671" s="12"/>
      <c r="BX671" s="12"/>
      <c r="BY671" s="9"/>
      <c r="BZ671" s="21"/>
      <c r="CA671" s="21"/>
      <c r="CB671" s="21"/>
      <c r="CC671" s="21"/>
      <c r="CD671" s="21"/>
      <c r="CE671" s="21"/>
      <c r="CF671" s="21"/>
      <c r="CG671" s="21"/>
      <c r="CH671" s="21"/>
      <c r="CI671" s="21"/>
      <c r="CJ671" s="21"/>
    </row>
    <row r="672" spans="1:88" ht="40.5" customHeight="1">
      <c r="A672" s="9"/>
      <c r="B672" s="12"/>
      <c r="C672" s="9" t="s">
        <v>1692</v>
      </c>
      <c r="D672" s="9" t="s">
        <v>627</v>
      </c>
      <c r="E672" s="12">
        <v>0</v>
      </c>
      <c r="F672" s="12">
        <v>0</v>
      </c>
      <c r="G672" s="12" t="b">
        <v>0</v>
      </c>
      <c r="H672" s="9" t="s">
        <v>75</v>
      </c>
      <c r="I672" s="9" t="s">
        <v>1693</v>
      </c>
      <c r="J672" s="9" t="s">
        <v>75</v>
      </c>
      <c r="K672" s="9" t="s">
        <v>79</v>
      </c>
      <c r="L672" s="12"/>
      <c r="M672" s="12"/>
      <c r="N672" s="13"/>
      <c r="O672" s="16" t="s">
        <v>78</v>
      </c>
      <c r="P672" s="14" t="s">
        <v>79</v>
      </c>
      <c r="Q672" s="15" t="s">
        <v>155</v>
      </c>
      <c r="R672" s="14" t="s">
        <v>75</v>
      </c>
      <c r="S672" s="14" t="s">
        <v>75</v>
      </c>
      <c r="T672" s="16" t="s">
        <v>126</v>
      </c>
      <c r="U672" s="17"/>
      <c r="V672" s="16" t="s">
        <v>78</v>
      </c>
      <c r="W672" s="16" t="s">
        <v>79</v>
      </c>
      <c r="X672" s="15" t="s">
        <v>384</v>
      </c>
      <c r="Y672" s="16" t="s">
        <v>75</v>
      </c>
      <c r="Z672" s="16" t="s">
        <v>75</v>
      </c>
      <c r="AA672" s="16" t="s">
        <v>126</v>
      </c>
      <c r="AB672" s="18"/>
      <c r="AC672" s="18"/>
      <c r="AD672" s="18"/>
      <c r="AE672" s="18"/>
      <c r="AF672" s="18"/>
      <c r="AG672" s="18"/>
      <c r="AH672" s="13"/>
      <c r="AI672" s="18"/>
      <c r="AJ672" s="13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3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2"/>
      <c r="BK672" s="12"/>
      <c r="BL672" s="12"/>
      <c r="BM672" s="9"/>
      <c r="BN672" s="9"/>
      <c r="BO672" s="9"/>
      <c r="BP672" s="12"/>
      <c r="BQ672" s="12"/>
      <c r="BR672" s="12"/>
      <c r="BS672" s="12"/>
      <c r="BT672" s="12"/>
      <c r="BU672" s="12"/>
      <c r="BV672" s="12"/>
      <c r="BW672" s="12"/>
      <c r="BX672" s="12"/>
      <c r="BY672" s="9"/>
      <c r="BZ672" s="21"/>
      <c r="CA672" s="21"/>
      <c r="CB672" s="21"/>
      <c r="CC672" s="21"/>
      <c r="CD672" s="21"/>
      <c r="CE672" s="21"/>
      <c r="CF672" s="21"/>
      <c r="CG672" s="21"/>
      <c r="CH672" s="21"/>
      <c r="CI672" s="21"/>
      <c r="CJ672" s="21"/>
    </row>
    <row r="673" spans="1:88" ht="40.5" customHeight="1">
      <c r="A673" s="9"/>
      <c r="B673" s="12"/>
      <c r="C673" s="9" t="s">
        <v>1694</v>
      </c>
      <c r="D673" s="9" t="s">
        <v>119</v>
      </c>
      <c r="E673" s="12">
        <v>0</v>
      </c>
      <c r="F673" s="12">
        <v>0</v>
      </c>
      <c r="G673" s="12" t="b">
        <v>0</v>
      </c>
      <c r="H673" s="9" t="s">
        <v>75</v>
      </c>
      <c r="I673" s="9" t="s">
        <v>1695</v>
      </c>
      <c r="J673" s="9" t="s">
        <v>75</v>
      </c>
      <c r="K673" s="9" t="s">
        <v>79</v>
      </c>
      <c r="L673" s="12"/>
      <c r="M673" s="12"/>
      <c r="N673" s="13"/>
      <c r="O673" s="16" t="s">
        <v>78</v>
      </c>
      <c r="P673" s="14" t="s">
        <v>79</v>
      </c>
      <c r="Q673" s="15" t="s">
        <v>140</v>
      </c>
      <c r="R673" s="14" t="s">
        <v>75</v>
      </c>
      <c r="S673" s="14" t="s">
        <v>75</v>
      </c>
      <c r="T673" s="16" t="s">
        <v>126</v>
      </c>
      <c r="U673" s="17"/>
      <c r="V673" s="16" t="s">
        <v>78</v>
      </c>
      <c r="W673" s="16" t="s">
        <v>79</v>
      </c>
      <c r="X673" s="15" t="s">
        <v>80</v>
      </c>
      <c r="Y673" s="16" t="s">
        <v>75</v>
      </c>
      <c r="Z673" s="16" t="s">
        <v>75</v>
      </c>
      <c r="AA673" s="16" t="s">
        <v>4</v>
      </c>
      <c r="AB673" s="18"/>
      <c r="AC673" s="18"/>
      <c r="AD673" s="18"/>
      <c r="AE673" s="18"/>
      <c r="AF673" s="18"/>
      <c r="AG673" s="18"/>
      <c r="AH673" s="13"/>
      <c r="AI673" s="18"/>
      <c r="AJ673" s="13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3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2"/>
      <c r="BK673" s="12"/>
      <c r="BL673" s="12"/>
      <c r="BM673" s="9"/>
      <c r="BN673" s="9"/>
      <c r="BO673" s="9"/>
      <c r="BP673" s="12"/>
      <c r="BQ673" s="12"/>
      <c r="BR673" s="12"/>
      <c r="BS673" s="12"/>
      <c r="BT673" s="12"/>
      <c r="BU673" s="12"/>
      <c r="BV673" s="12"/>
      <c r="BW673" s="12"/>
      <c r="BX673" s="12"/>
      <c r="BY673" s="9"/>
      <c r="BZ673" s="21"/>
      <c r="CA673" s="21"/>
      <c r="CB673" s="21"/>
      <c r="CC673" s="21"/>
      <c r="CD673" s="21"/>
      <c r="CE673" s="21"/>
      <c r="CF673" s="21"/>
      <c r="CG673" s="21"/>
      <c r="CH673" s="21"/>
      <c r="CI673" s="21"/>
      <c r="CJ673" s="21"/>
    </row>
    <row r="674" spans="1:88" ht="40.5" customHeight="1">
      <c r="A674" s="9"/>
      <c r="B674" s="12"/>
      <c r="C674" s="9" t="s">
        <v>1696</v>
      </c>
      <c r="D674" s="9" t="s">
        <v>1697</v>
      </c>
      <c r="E674" s="12">
        <v>0</v>
      </c>
      <c r="F674" s="12">
        <v>0</v>
      </c>
      <c r="G674" s="12" t="b">
        <v>0</v>
      </c>
      <c r="H674" s="9" t="s">
        <v>75</v>
      </c>
      <c r="I674" s="10" t="s">
        <v>1698</v>
      </c>
      <c r="J674" s="9" t="s">
        <v>75</v>
      </c>
      <c r="K674" s="11" t="s">
        <v>1699</v>
      </c>
      <c r="L674" s="12"/>
      <c r="M674" s="12"/>
      <c r="N674" s="13"/>
      <c r="O674" s="16" t="s">
        <v>78</v>
      </c>
      <c r="P674" s="14" t="s">
        <v>79</v>
      </c>
      <c r="Q674" s="15" t="s">
        <v>1700</v>
      </c>
      <c r="R674" s="14" t="s">
        <v>75</v>
      </c>
      <c r="S674" s="14" t="s">
        <v>75</v>
      </c>
      <c r="T674" s="16" t="s">
        <v>126</v>
      </c>
      <c r="U674" s="17"/>
      <c r="V674" s="16" t="s">
        <v>78</v>
      </c>
      <c r="W674" s="16" t="s">
        <v>79</v>
      </c>
      <c r="X674" s="15" t="s">
        <v>221</v>
      </c>
      <c r="Y674" s="16" t="s">
        <v>75</v>
      </c>
      <c r="Z674" s="15" t="s">
        <v>84</v>
      </c>
      <c r="AA674" s="16" t="s">
        <v>126</v>
      </c>
      <c r="AB674" s="18"/>
      <c r="AC674" s="19" t="s">
        <v>78</v>
      </c>
      <c r="AD674" s="19" t="s">
        <v>79</v>
      </c>
      <c r="AE674" s="20" t="s">
        <v>1701</v>
      </c>
      <c r="AF674" s="19" t="s">
        <v>75</v>
      </c>
      <c r="AG674" s="19" t="s">
        <v>75</v>
      </c>
      <c r="AH674" s="16" t="s">
        <v>126</v>
      </c>
      <c r="AI674" s="18"/>
      <c r="AJ674" s="16" t="s">
        <v>78</v>
      </c>
      <c r="AK674" s="19" t="s">
        <v>79</v>
      </c>
      <c r="AL674" s="20" t="s">
        <v>102</v>
      </c>
      <c r="AM674" s="19" t="s">
        <v>75</v>
      </c>
      <c r="AN674" s="19" t="s">
        <v>75</v>
      </c>
      <c r="AO674" s="19" t="s">
        <v>86</v>
      </c>
      <c r="AP674" s="18"/>
      <c r="AQ674" s="19" t="s">
        <v>78</v>
      </c>
      <c r="AR674" s="19" t="s">
        <v>79</v>
      </c>
      <c r="AS674" s="20" t="s">
        <v>1702</v>
      </c>
      <c r="AT674" s="19" t="s">
        <v>75</v>
      </c>
      <c r="AU674" s="20" t="s">
        <v>84</v>
      </c>
      <c r="AV674" s="19" t="s">
        <v>126</v>
      </c>
      <c r="AW674" s="18"/>
      <c r="AX674" s="13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2"/>
      <c r="BK674" s="12"/>
      <c r="BL674" s="12"/>
      <c r="BM674" s="9"/>
      <c r="BN674" s="9"/>
      <c r="BO674" s="9"/>
      <c r="BP674" s="12"/>
      <c r="BQ674" s="12"/>
      <c r="BR674" s="12"/>
      <c r="BS674" s="12"/>
      <c r="BT674" s="12"/>
      <c r="BU674" s="12"/>
      <c r="BV674" s="12"/>
      <c r="BW674" s="12"/>
      <c r="BX674" s="12"/>
      <c r="BY674" s="9"/>
      <c r="BZ674" s="21"/>
      <c r="CA674" s="21"/>
      <c r="CB674" s="21"/>
      <c r="CC674" s="21"/>
      <c r="CD674" s="21"/>
      <c r="CE674" s="21"/>
      <c r="CF674" s="21"/>
      <c r="CG674" s="21"/>
      <c r="CH674" s="21"/>
      <c r="CI674" s="21"/>
      <c r="CJ674" s="21"/>
    </row>
    <row r="675" spans="1:88" ht="40.5" customHeight="1">
      <c r="A675" s="9"/>
      <c r="B675" s="12"/>
      <c r="C675" s="9" t="s">
        <v>1703</v>
      </c>
      <c r="D675" s="9" t="s">
        <v>1697</v>
      </c>
      <c r="E675" s="12">
        <v>0</v>
      </c>
      <c r="F675" s="12">
        <v>0</v>
      </c>
      <c r="G675" s="12" t="b">
        <v>0</v>
      </c>
      <c r="H675" s="9" t="s">
        <v>75</v>
      </c>
      <c r="I675" s="9" t="s">
        <v>1704</v>
      </c>
      <c r="J675" s="9" t="s">
        <v>75</v>
      </c>
      <c r="K675" s="11" t="s">
        <v>1705</v>
      </c>
      <c r="L675" s="12"/>
      <c r="M675" s="12"/>
      <c r="N675" s="13"/>
      <c r="O675" s="16" t="s">
        <v>78</v>
      </c>
      <c r="P675" s="14" t="s">
        <v>79</v>
      </c>
      <c r="Q675" s="15" t="s">
        <v>1700</v>
      </c>
      <c r="R675" s="14" t="s">
        <v>75</v>
      </c>
      <c r="S675" s="14" t="s">
        <v>75</v>
      </c>
      <c r="T675" s="16" t="s">
        <v>145</v>
      </c>
      <c r="U675" s="17"/>
      <c r="V675" s="16" t="s">
        <v>78</v>
      </c>
      <c r="W675" s="16" t="s">
        <v>79</v>
      </c>
      <c r="X675" s="15" t="s">
        <v>221</v>
      </c>
      <c r="Y675" s="16" t="s">
        <v>75</v>
      </c>
      <c r="Z675" s="16" t="s">
        <v>75</v>
      </c>
      <c r="AA675" s="16" t="s">
        <v>101</v>
      </c>
      <c r="AB675" s="18"/>
      <c r="AC675" s="19" t="s">
        <v>78</v>
      </c>
      <c r="AD675" s="19" t="s">
        <v>79</v>
      </c>
      <c r="AE675" s="20" t="s">
        <v>1701</v>
      </c>
      <c r="AF675" s="19" t="s">
        <v>75</v>
      </c>
      <c r="AG675" s="19" t="s">
        <v>75</v>
      </c>
      <c r="AH675" s="16" t="s">
        <v>101</v>
      </c>
      <c r="AI675" s="18"/>
      <c r="AJ675" s="16" t="s">
        <v>78</v>
      </c>
      <c r="AK675" s="19" t="s">
        <v>79</v>
      </c>
      <c r="AL675" s="20" t="s">
        <v>102</v>
      </c>
      <c r="AM675" s="19" t="s">
        <v>75</v>
      </c>
      <c r="AN675" s="19" t="s">
        <v>75</v>
      </c>
      <c r="AO675" s="19" t="s">
        <v>101</v>
      </c>
      <c r="AP675" s="18"/>
      <c r="AQ675" s="19" t="s">
        <v>78</v>
      </c>
      <c r="AR675" s="19" t="s">
        <v>79</v>
      </c>
      <c r="AS675" s="20" t="s">
        <v>1702</v>
      </c>
      <c r="AT675" s="19" t="s">
        <v>75</v>
      </c>
      <c r="AU675" s="19" t="s">
        <v>75</v>
      </c>
      <c r="AV675" s="19" t="s">
        <v>101</v>
      </c>
      <c r="AW675" s="18"/>
      <c r="AX675" s="13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2"/>
      <c r="BK675" s="12"/>
      <c r="BL675" s="12"/>
      <c r="BM675" s="9"/>
      <c r="BN675" s="9"/>
      <c r="BO675" s="9"/>
      <c r="BP675" s="12"/>
      <c r="BQ675" s="12"/>
      <c r="BR675" s="12"/>
      <c r="BS675" s="12"/>
      <c r="BT675" s="12"/>
      <c r="BU675" s="12"/>
      <c r="BV675" s="12"/>
      <c r="BW675" s="12"/>
      <c r="BX675" s="12"/>
      <c r="BY675" s="9"/>
      <c r="BZ675" s="21"/>
      <c r="CA675" s="21"/>
      <c r="CB675" s="21"/>
      <c r="CC675" s="21"/>
      <c r="CD675" s="21"/>
      <c r="CE675" s="21"/>
      <c r="CF675" s="21"/>
      <c r="CG675" s="21"/>
      <c r="CH675" s="21"/>
      <c r="CI675" s="21"/>
      <c r="CJ675" s="21"/>
    </row>
    <row r="676" spans="1:88" ht="40.5" customHeight="1">
      <c r="A676" s="9"/>
      <c r="B676" s="12"/>
      <c r="C676" s="9" t="s">
        <v>1706</v>
      </c>
      <c r="D676" s="9" t="s">
        <v>1697</v>
      </c>
      <c r="E676" s="12">
        <v>0</v>
      </c>
      <c r="F676" s="12">
        <v>0</v>
      </c>
      <c r="G676" s="12" t="b">
        <v>0</v>
      </c>
      <c r="H676" s="9" t="s">
        <v>75</v>
      </c>
      <c r="I676" s="10" t="s">
        <v>1707</v>
      </c>
      <c r="J676" s="9" t="s">
        <v>75</v>
      </c>
      <c r="K676" s="11" t="s">
        <v>1708</v>
      </c>
      <c r="L676" s="12"/>
      <c r="M676" s="12"/>
      <c r="N676" s="13"/>
      <c r="O676" s="16" t="s">
        <v>78</v>
      </c>
      <c r="P676" s="14" t="s">
        <v>79</v>
      </c>
      <c r="Q676" s="15" t="s">
        <v>1700</v>
      </c>
      <c r="R676" s="14" t="s">
        <v>75</v>
      </c>
      <c r="S676" s="14" t="s">
        <v>75</v>
      </c>
      <c r="T676" s="16" t="s">
        <v>4</v>
      </c>
      <c r="U676" s="17"/>
      <c r="V676" s="13"/>
      <c r="W676" s="13"/>
      <c r="X676" s="13"/>
      <c r="Y676" s="13"/>
      <c r="Z676" s="13"/>
      <c r="AA676" s="13"/>
      <c r="AB676" s="18"/>
      <c r="AC676" s="18"/>
      <c r="AD676" s="18"/>
      <c r="AE676" s="18"/>
      <c r="AF676" s="18"/>
      <c r="AG676" s="18"/>
      <c r="AH676" s="13"/>
      <c r="AI676" s="18"/>
      <c r="AJ676" s="13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3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2"/>
      <c r="BK676" s="12"/>
      <c r="BL676" s="12"/>
      <c r="BM676" s="9"/>
      <c r="BN676" s="9"/>
      <c r="BO676" s="9"/>
      <c r="BP676" s="12"/>
      <c r="BQ676" s="12"/>
      <c r="BR676" s="12"/>
      <c r="BS676" s="12"/>
      <c r="BT676" s="12"/>
      <c r="BU676" s="12"/>
      <c r="BV676" s="12"/>
      <c r="BW676" s="12"/>
      <c r="BX676" s="12"/>
      <c r="BY676" s="9"/>
      <c r="BZ676" s="21"/>
      <c r="CA676" s="21"/>
      <c r="CB676" s="21"/>
      <c r="CC676" s="21"/>
      <c r="CD676" s="21"/>
      <c r="CE676" s="21"/>
      <c r="CF676" s="21"/>
      <c r="CG676" s="21"/>
      <c r="CH676" s="21"/>
      <c r="CI676" s="21"/>
      <c r="CJ676" s="21"/>
    </row>
    <row r="677" spans="1:88" ht="40.5" customHeight="1">
      <c r="A677" s="9"/>
      <c r="B677" s="12"/>
      <c r="C677" s="9" t="s">
        <v>1709</v>
      </c>
      <c r="D677" s="9" t="s">
        <v>1697</v>
      </c>
      <c r="E677" s="12">
        <v>0</v>
      </c>
      <c r="F677" s="12">
        <v>0</v>
      </c>
      <c r="G677" s="12" t="b">
        <v>0</v>
      </c>
      <c r="H677" s="9" t="s">
        <v>75</v>
      </c>
      <c r="I677" s="9" t="s">
        <v>1710</v>
      </c>
      <c r="J677" s="9" t="s">
        <v>75</v>
      </c>
      <c r="K677" s="11" t="s">
        <v>1711</v>
      </c>
      <c r="L677" s="12"/>
      <c r="M677" s="12"/>
      <c r="N677" s="13"/>
      <c r="O677" s="16" t="s">
        <v>78</v>
      </c>
      <c r="P677" s="14" t="s">
        <v>79</v>
      </c>
      <c r="Q677" s="15" t="s">
        <v>1700</v>
      </c>
      <c r="R677" s="14" t="s">
        <v>75</v>
      </c>
      <c r="S677" s="14" t="s">
        <v>75</v>
      </c>
      <c r="T677" s="16" t="s">
        <v>145</v>
      </c>
      <c r="U677" s="17"/>
      <c r="V677" s="16" t="s">
        <v>78</v>
      </c>
      <c r="W677" s="16" t="s">
        <v>79</v>
      </c>
      <c r="X677" s="15" t="s">
        <v>221</v>
      </c>
      <c r="Y677" s="16" t="s">
        <v>75</v>
      </c>
      <c r="Z677" s="16" t="s">
        <v>75</v>
      </c>
      <c r="AA677" s="16" t="s">
        <v>145</v>
      </c>
      <c r="AB677" s="18"/>
      <c r="AC677" s="19" t="s">
        <v>78</v>
      </c>
      <c r="AD677" s="19" t="s">
        <v>79</v>
      </c>
      <c r="AE677" s="20" t="s">
        <v>1701</v>
      </c>
      <c r="AF677" s="19" t="s">
        <v>75</v>
      </c>
      <c r="AG677" s="19" t="s">
        <v>75</v>
      </c>
      <c r="AH677" s="16" t="s">
        <v>145</v>
      </c>
      <c r="AI677" s="18"/>
      <c r="AJ677" s="16" t="s">
        <v>7</v>
      </c>
      <c r="AK677" s="19" t="s">
        <v>79</v>
      </c>
      <c r="AL677" s="20" t="s">
        <v>102</v>
      </c>
      <c r="AM677" s="19" t="s">
        <v>75</v>
      </c>
      <c r="AN677" s="19" t="s">
        <v>75</v>
      </c>
      <c r="AO677" s="19" t="s">
        <v>86</v>
      </c>
      <c r="AP677" s="18"/>
      <c r="AQ677" s="19" t="s">
        <v>7</v>
      </c>
      <c r="AR677" s="19" t="s">
        <v>79</v>
      </c>
      <c r="AS677" s="20" t="s">
        <v>1702</v>
      </c>
      <c r="AT677" s="19" t="s">
        <v>75</v>
      </c>
      <c r="AU677" s="19" t="s">
        <v>75</v>
      </c>
      <c r="AV677" s="19" t="s">
        <v>86</v>
      </c>
      <c r="AW677" s="18"/>
      <c r="AX677" s="16" t="s">
        <v>7</v>
      </c>
      <c r="AY677" s="19" t="s">
        <v>79</v>
      </c>
      <c r="AZ677" s="20" t="s">
        <v>1712</v>
      </c>
      <c r="BA677" s="19" t="s">
        <v>75</v>
      </c>
      <c r="BB677" s="19" t="s">
        <v>75</v>
      </c>
      <c r="BC677" s="19" t="s">
        <v>86</v>
      </c>
      <c r="BD677" s="18"/>
      <c r="BE677" s="18"/>
      <c r="BF677" s="18"/>
      <c r="BG677" s="18"/>
      <c r="BH677" s="18"/>
      <c r="BI677" s="18"/>
      <c r="BJ677" s="12"/>
      <c r="BK677" s="12"/>
      <c r="BL677" s="12"/>
      <c r="BM677" s="9"/>
      <c r="BN677" s="9"/>
      <c r="BO677" s="9"/>
      <c r="BP677" s="12"/>
      <c r="BQ677" s="12"/>
      <c r="BR677" s="12"/>
      <c r="BS677" s="12"/>
      <c r="BT677" s="12"/>
      <c r="BU677" s="12"/>
      <c r="BV677" s="12"/>
      <c r="BW677" s="12"/>
      <c r="BX677" s="12"/>
      <c r="BY677" s="9"/>
      <c r="BZ677" s="21"/>
      <c r="CA677" s="21"/>
      <c r="CB677" s="21"/>
      <c r="CC677" s="21"/>
      <c r="CD677" s="21"/>
      <c r="CE677" s="21"/>
      <c r="CF677" s="21"/>
      <c r="CG677" s="21"/>
      <c r="CH677" s="21"/>
      <c r="CI677" s="21"/>
      <c r="CJ677" s="21"/>
    </row>
    <row r="678" spans="1:88" ht="40.5" customHeight="1">
      <c r="A678" s="9"/>
      <c r="B678" s="12"/>
      <c r="C678" s="9" t="s">
        <v>1713</v>
      </c>
      <c r="D678" s="9" t="s">
        <v>1697</v>
      </c>
      <c r="E678" s="12">
        <v>0</v>
      </c>
      <c r="F678" s="12">
        <v>0</v>
      </c>
      <c r="G678" s="12" t="b">
        <v>0</v>
      </c>
      <c r="H678" s="9" t="s">
        <v>1714</v>
      </c>
      <c r="I678" s="10" t="s">
        <v>1715</v>
      </c>
      <c r="J678" s="9" t="s">
        <v>79</v>
      </c>
      <c r="K678" s="11" t="s">
        <v>1716</v>
      </c>
      <c r="L678" s="12"/>
      <c r="M678" s="12"/>
      <c r="N678" s="13"/>
      <c r="O678" s="16" t="s">
        <v>78</v>
      </c>
      <c r="P678" s="14" t="s">
        <v>79</v>
      </c>
      <c r="Q678" s="15" t="s">
        <v>1700</v>
      </c>
      <c r="R678" s="14" t="s">
        <v>75</v>
      </c>
      <c r="S678" s="14" t="s">
        <v>75</v>
      </c>
      <c r="T678" s="16" t="s">
        <v>145</v>
      </c>
      <c r="U678" s="17"/>
      <c r="V678" s="16" t="s">
        <v>78</v>
      </c>
      <c r="W678" s="16" t="s">
        <v>79</v>
      </c>
      <c r="X678" s="15" t="s">
        <v>221</v>
      </c>
      <c r="Y678" s="16" t="s">
        <v>75</v>
      </c>
      <c r="Z678" s="16" t="s">
        <v>75</v>
      </c>
      <c r="AA678" s="16" t="s">
        <v>145</v>
      </c>
      <c r="AB678" s="18"/>
      <c r="AC678" s="19" t="s">
        <v>7</v>
      </c>
      <c r="AD678" s="19" t="s">
        <v>79</v>
      </c>
      <c r="AE678" s="20" t="s">
        <v>1701</v>
      </c>
      <c r="AF678" s="19" t="s">
        <v>75</v>
      </c>
      <c r="AG678" s="19" t="s">
        <v>75</v>
      </c>
      <c r="AH678" s="16" t="s">
        <v>86</v>
      </c>
      <c r="AI678" s="18"/>
      <c r="AJ678" s="16" t="s">
        <v>7</v>
      </c>
      <c r="AK678" s="19" t="s">
        <v>79</v>
      </c>
      <c r="AL678" s="20" t="s">
        <v>102</v>
      </c>
      <c r="AM678" s="19" t="s">
        <v>75</v>
      </c>
      <c r="AN678" s="19" t="s">
        <v>75</v>
      </c>
      <c r="AO678" s="19" t="s">
        <v>86</v>
      </c>
      <c r="AP678" s="18"/>
      <c r="AQ678" s="19" t="s">
        <v>7</v>
      </c>
      <c r="AR678" s="19" t="s">
        <v>79</v>
      </c>
      <c r="AS678" s="20" t="s">
        <v>1702</v>
      </c>
      <c r="AT678" s="19" t="s">
        <v>75</v>
      </c>
      <c r="AU678" s="19" t="s">
        <v>75</v>
      </c>
      <c r="AV678" s="19" t="s">
        <v>86</v>
      </c>
      <c r="AW678" s="18"/>
      <c r="AX678" s="16" t="s">
        <v>7</v>
      </c>
      <c r="AY678" s="19" t="s">
        <v>79</v>
      </c>
      <c r="AZ678" s="20" t="s">
        <v>1712</v>
      </c>
      <c r="BA678" s="19" t="s">
        <v>75</v>
      </c>
      <c r="BB678" s="19" t="s">
        <v>75</v>
      </c>
      <c r="BC678" s="19" t="s">
        <v>86</v>
      </c>
      <c r="BD678" s="18"/>
      <c r="BE678" s="18"/>
      <c r="BF678" s="18"/>
      <c r="BG678" s="18"/>
      <c r="BH678" s="18"/>
      <c r="BI678" s="18"/>
      <c r="BJ678" s="12"/>
      <c r="BK678" s="12"/>
      <c r="BL678" s="12"/>
      <c r="BM678" s="9"/>
      <c r="BN678" s="9"/>
      <c r="BO678" s="9"/>
      <c r="BP678" s="12"/>
      <c r="BQ678" s="12"/>
      <c r="BR678" s="12"/>
      <c r="BS678" s="12"/>
      <c r="BT678" s="12"/>
      <c r="BU678" s="12"/>
      <c r="BV678" s="12"/>
      <c r="BW678" s="12"/>
      <c r="BX678" s="12"/>
      <c r="BY678" s="9"/>
      <c r="BZ678" s="21"/>
      <c r="CA678" s="21"/>
      <c r="CB678" s="21"/>
      <c r="CC678" s="21"/>
      <c r="CD678" s="21"/>
      <c r="CE678" s="21"/>
      <c r="CF678" s="21"/>
      <c r="CG678" s="21"/>
      <c r="CH678" s="21"/>
      <c r="CI678" s="21"/>
      <c r="CJ678" s="21"/>
    </row>
    <row r="679" spans="1:88" ht="40.5" customHeight="1">
      <c r="A679" s="9"/>
      <c r="B679" s="12"/>
      <c r="C679" s="9" t="s">
        <v>1717</v>
      </c>
      <c r="D679" s="9" t="s">
        <v>1697</v>
      </c>
      <c r="E679" s="12">
        <v>0</v>
      </c>
      <c r="F679" s="12">
        <v>0</v>
      </c>
      <c r="G679" s="12" t="b">
        <v>0</v>
      </c>
      <c r="H679" s="9" t="s">
        <v>75</v>
      </c>
      <c r="I679" s="9" t="s">
        <v>1718</v>
      </c>
      <c r="J679" s="9" t="s">
        <v>75</v>
      </c>
      <c r="K679" s="11" t="s">
        <v>1719</v>
      </c>
      <c r="L679" s="12"/>
      <c r="M679" s="12"/>
      <c r="N679" s="13"/>
      <c r="O679" s="16" t="s">
        <v>78</v>
      </c>
      <c r="P679" s="14" t="s">
        <v>79</v>
      </c>
      <c r="Q679" s="15" t="s">
        <v>1700</v>
      </c>
      <c r="R679" s="14" t="s">
        <v>75</v>
      </c>
      <c r="S679" s="14" t="s">
        <v>75</v>
      </c>
      <c r="T679" s="16" t="s">
        <v>145</v>
      </c>
      <c r="U679" s="17"/>
      <c r="V679" s="16" t="s">
        <v>78</v>
      </c>
      <c r="W679" s="16" t="s">
        <v>79</v>
      </c>
      <c r="X679" s="15" t="s">
        <v>221</v>
      </c>
      <c r="Y679" s="16" t="s">
        <v>75</v>
      </c>
      <c r="Z679" s="16" t="s">
        <v>75</v>
      </c>
      <c r="AA679" s="16" t="s">
        <v>4</v>
      </c>
      <c r="AB679" s="18"/>
      <c r="AC679" s="18"/>
      <c r="AD679" s="18"/>
      <c r="AE679" s="18"/>
      <c r="AF679" s="18"/>
      <c r="AG679" s="18"/>
      <c r="AH679" s="13"/>
      <c r="AI679" s="18"/>
      <c r="AJ679" s="13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3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2"/>
      <c r="BK679" s="12"/>
      <c r="BL679" s="12"/>
      <c r="BM679" s="9"/>
      <c r="BN679" s="9"/>
      <c r="BO679" s="9"/>
      <c r="BP679" s="12"/>
      <c r="BQ679" s="12"/>
      <c r="BR679" s="12"/>
      <c r="BS679" s="12"/>
      <c r="BT679" s="12"/>
      <c r="BU679" s="12"/>
      <c r="BV679" s="12"/>
      <c r="BW679" s="12"/>
      <c r="BX679" s="12"/>
      <c r="BY679" s="9"/>
      <c r="BZ679" s="21"/>
      <c r="CA679" s="21"/>
      <c r="CB679" s="21"/>
      <c r="CC679" s="21"/>
      <c r="CD679" s="21"/>
      <c r="CE679" s="21"/>
      <c r="CF679" s="21"/>
      <c r="CG679" s="21"/>
      <c r="CH679" s="21"/>
      <c r="CI679" s="21"/>
      <c r="CJ679" s="21"/>
    </row>
    <row r="680" spans="1:88" ht="40.5" customHeight="1">
      <c r="A680" s="9"/>
      <c r="B680" s="12"/>
      <c r="C680" s="9" t="s">
        <v>1720</v>
      </c>
      <c r="D680" s="9" t="s">
        <v>1697</v>
      </c>
      <c r="E680" s="12">
        <v>0</v>
      </c>
      <c r="F680" s="12">
        <v>0</v>
      </c>
      <c r="G680" s="12" t="b">
        <v>0</v>
      </c>
      <c r="H680" s="9" t="s">
        <v>75</v>
      </c>
      <c r="I680" s="9" t="s">
        <v>1721</v>
      </c>
      <c r="J680" s="9" t="s">
        <v>75</v>
      </c>
      <c r="K680" s="11" t="s">
        <v>1722</v>
      </c>
      <c r="L680" s="12"/>
      <c r="M680" s="12"/>
      <c r="N680" s="13"/>
      <c r="O680" s="16" t="s">
        <v>78</v>
      </c>
      <c r="P680" s="14" t="s">
        <v>79</v>
      </c>
      <c r="Q680" s="15" t="s">
        <v>1700</v>
      </c>
      <c r="R680" s="14" t="s">
        <v>75</v>
      </c>
      <c r="S680" s="14" t="s">
        <v>75</v>
      </c>
      <c r="T680" s="16" t="s">
        <v>145</v>
      </c>
      <c r="U680" s="17"/>
      <c r="V680" s="16" t="s">
        <v>78</v>
      </c>
      <c r="W680" s="16" t="s">
        <v>79</v>
      </c>
      <c r="X680" s="15" t="s">
        <v>221</v>
      </c>
      <c r="Y680" s="16" t="s">
        <v>75</v>
      </c>
      <c r="Z680" s="16" t="s">
        <v>75</v>
      </c>
      <c r="AA680" s="16" t="s">
        <v>101</v>
      </c>
      <c r="AB680" s="18"/>
      <c r="AC680" s="19" t="s">
        <v>78</v>
      </c>
      <c r="AD680" s="19" t="s">
        <v>79</v>
      </c>
      <c r="AE680" s="20" t="s">
        <v>1701</v>
      </c>
      <c r="AF680" s="19" t="s">
        <v>75</v>
      </c>
      <c r="AG680" s="19" t="s">
        <v>75</v>
      </c>
      <c r="AH680" s="16" t="s">
        <v>4</v>
      </c>
      <c r="AI680" s="18"/>
      <c r="AJ680" s="13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3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2"/>
      <c r="BK680" s="12"/>
      <c r="BL680" s="12"/>
      <c r="BM680" s="9"/>
      <c r="BN680" s="9"/>
      <c r="BO680" s="9"/>
      <c r="BP680" s="12"/>
      <c r="BQ680" s="12"/>
      <c r="BR680" s="12"/>
      <c r="BS680" s="12"/>
      <c r="BT680" s="12"/>
      <c r="BU680" s="12"/>
      <c r="BV680" s="12"/>
      <c r="BW680" s="12"/>
      <c r="BX680" s="12"/>
      <c r="BY680" s="9"/>
      <c r="BZ680" s="21"/>
      <c r="CA680" s="21"/>
      <c r="CB680" s="21"/>
      <c r="CC680" s="21"/>
      <c r="CD680" s="21"/>
      <c r="CE680" s="21"/>
      <c r="CF680" s="21"/>
      <c r="CG680" s="21"/>
      <c r="CH680" s="21"/>
      <c r="CI680" s="21"/>
      <c r="CJ680" s="21"/>
    </row>
    <row r="681" spans="1:88" ht="40.5" customHeight="1">
      <c r="A681" s="9"/>
      <c r="B681" s="12"/>
      <c r="C681" s="9" t="s">
        <v>1723</v>
      </c>
      <c r="D681" s="9" t="s">
        <v>1697</v>
      </c>
      <c r="E681" s="12">
        <v>0</v>
      </c>
      <c r="F681" s="12">
        <v>0</v>
      </c>
      <c r="G681" s="12" t="b">
        <v>0</v>
      </c>
      <c r="H681" s="9" t="s">
        <v>75</v>
      </c>
      <c r="I681" s="9" t="s">
        <v>1724</v>
      </c>
      <c r="J681" s="9" t="s">
        <v>75</v>
      </c>
      <c r="K681" s="11" t="s">
        <v>1725</v>
      </c>
      <c r="L681" s="12"/>
      <c r="M681" s="12"/>
      <c r="N681" s="13"/>
      <c r="O681" s="16" t="s">
        <v>78</v>
      </c>
      <c r="P681" s="14" t="s">
        <v>79</v>
      </c>
      <c r="Q681" s="15" t="s">
        <v>1700</v>
      </c>
      <c r="R681" s="14" t="s">
        <v>75</v>
      </c>
      <c r="S681" s="14" t="s">
        <v>75</v>
      </c>
      <c r="T681" s="16" t="s">
        <v>145</v>
      </c>
      <c r="U681" s="17"/>
      <c r="V681" s="16" t="s">
        <v>78</v>
      </c>
      <c r="W681" s="16" t="s">
        <v>79</v>
      </c>
      <c r="X681" s="15" t="s">
        <v>221</v>
      </c>
      <c r="Y681" s="16" t="s">
        <v>75</v>
      </c>
      <c r="Z681" s="16" t="s">
        <v>75</v>
      </c>
      <c r="AA681" s="16" t="s">
        <v>101</v>
      </c>
      <c r="AB681" s="18"/>
      <c r="AC681" s="19" t="s">
        <v>78</v>
      </c>
      <c r="AD681" s="19" t="s">
        <v>79</v>
      </c>
      <c r="AE681" s="20" t="s">
        <v>1701</v>
      </c>
      <c r="AF681" s="19" t="s">
        <v>75</v>
      </c>
      <c r="AG681" s="19" t="s">
        <v>75</v>
      </c>
      <c r="AH681" s="16" t="s">
        <v>101</v>
      </c>
      <c r="AI681" s="18"/>
      <c r="AJ681" s="16" t="s">
        <v>78</v>
      </c>
      <c r="AK681" s="19" t="s">
        <v>79</v>
      </c>
      <c r="AL681" s="20" t="s">
        <v>102</v>
      </c>
      <c r="AM681" s="19" t="s">
        <v>75</v>
      </c>
      <c r="AN681" s="19" t="s">
        <v>75</v>
      </c>
      <c r="AO681" s="19" t="s">
        <v>101</v>
      </c>
      <c r="AP681" s="18"/>
      <c r="AQ681" s="19" t="s">
        <v>78</v>
      </c>
      <c r="AR681" s="19" t="s">
        <v>79</v>
      </c>
      <c r="AS681" s="20" t="s">
        <v>1702</v>
      </c>
      <c r="AT681" s="19" t="s">
        <v>75</v>
      </c>
      <c r="AU681" s="19" t="s">
        <v>75</v>
      </c>
      <c r="AV681" s="19" t="s">
        <v>101</v>
      </c>
      <c r="AW681" s="18"/>
      <c r="AX681" s="16" t="s">
        <v>78</v>
      </c>
      <c r="AY681" s="19" t="s">
        <v>79</v>
      </c>
      <c r="AZ681" s="20" t="s">
        <v>1712</v>
      </c>
      <c r="BA681" s="19" t="s">
        <v>75</v>
      </c>
      <c r="BB681" s="19" t="s">
        <v>75</v>
      </c>
      <c r="BC681" s="19" t="s">
        <v>145</v>
      </c>
      <c r="BD681" s="18"/>
      <c r="BE681" s="18"/>
      <c r="BF681" s="18"/>
      <c r="BG681" s="18"/>
      <c r="BH681" s="18"/>
      <c r="BI681" s="18"/>
      <c r="BJ681" s="12"/>
      <c r="BK681" s="12"/>
      <c r="BL681" s="12"/>
      <c r="BM681" s="9"/>
      <c r="BN681" s="9"/>
      <c r="BO681" s="9"/>
      <c r="BP681" s="12"/>
      <c r="BQ681" s="12"/>
      <c r="BR681" s="12"/>
      <c r="BS681" s="12"/>
      <c r="BT681" s="12"/>
      <c r="BU681" s="12"/>
      <c r="BV681" s="12"/>
      <c r="BW681" s="12"/>
      <c r="BX681" s="12"/>
      <c r="BY681" s="9"/>
      <c r="BZ681" s="21"/>
      <c r="CA681" s="21"/>
      <c r="CB681" s="21"/>
      <c r="CC681" s="21"/>
      <c r="CD681" s="21"/>
      <c r="CE681" s="21"/>
      <c r="CF681" s="21"/>
      <c r="CG681" s="21"/>
      <c r="CH681" s="21"/>
      <c r="CI681" s="21"/>
      <c r="CJ681" s="21"/>
    </row>
    <row r="682" spans="1:88" ht="40.5" customHeight="1">
      <c r="A682" s="9"/>
      <c r="B682" s="12"/>
      <c r="C682" s="9" t="s">
        <v>1726</v>
      </c>
      <c r="D682" s="9" t="s">
        <v>1697</v>
      </c>
      <c r="E682" s="12">
        <v>0</v>
      </c>
      <c r="F682" s="12">
        <v>0</v>
      </c>
      <c r="G682" s="12" t="b">
        <v>0</v>
      </c>
      <c r="H682" s="9" t="s">
        <v>75</v>
      </c>
      <c r="I682" s="9" t="s">
        <v>1727</v>
      </c>
      <c r="J682" s="9" t="s">
        <v>75</v>
      </c>
      <c r="K682" s="11" t="s">
        <v>1728</v>
      </c>
      <c r="L682" s="12"/>
      <c r="M682" s="12"/>
      <c r="N682" s="13"/>
      <c r="O682" s="16" t="s">
        <v>78</v>
      </c>
      <c r="P682" s="14" t="s">
        <v>79</v>
      </c>
      <c r="Q682" s="15" t="s">
        <v>1700</v>
      </c>
      <c r="R682" s="14" t="s">
        <v>75</v>
      </c>
      <c r="S682" s="14" t="s">
        <v>75</v>
      </c>
      <c r="T682" s="16" t="s">
        <v>81</v>
      </c>
      <c r="U682" s="17"/>
      <c r="V682" s="16" t="s">
        <v>78</v>
      </c>
      <c r="W682" s="16" t="s">
        <v>79</v>
      </c>
      <c r="X682" s="15" t="s">
        <v>221</v>
      </c>
      <c r="Y682" s="16" t="s">
        <v>75</v>
      </c>
      <c r="Z682" s="16" t="s">
        <v>75</v>
      </c>
      <c r="AA682" s="16" t="s">
        <v>86</v>
      </c>
      <c r="AB682" s="18"/>
      <c r="AC682" s="19" t="s">
        <v>7</v>
      </c>
      <c r="AD682" s="19" t="s">
        <v>79</v>
      </c>
      <c r="AE682" s="20" t="s">
        <v>1701</v>
      </c>
      <c r="AF682" s="19" t="s">
        <v>75</v>
      </c>
      <c r="AG682" s="19" t="s">
        <v>75</v>
      </c>
      <c r="AH682" s="16" t="s">
        <v>86</v>
      </c>
      <c r="AI682" s="18"/>
      <c r="AJ682" s="16" t="s">
        <v>7</v>
      </c>
      <c r="AK682" s="19" t="s">
        <v>79</v>
      </c>
      <c r="AL682" s="20" t="s">
        <v>102</v>
      </c>
      <c r="AM682" s="19" t="s">
        <v>75</v>
      </c>
      <c r="AN682" s="19" t="s">
        <v>75</v>
      </c>
      <c r="AO682" s="19" t="s">
        <v>86</v>
      </c>
      <c r="AP682" s="18"/>
      <c r="AQ682" s="19" t="s">
        <v>7</v>
      </c>
      <c r="AR682" s="19" t="s">
        <v>79</v>
      </c>
      <c r="AS682" s="20" t="s">
        <v>1712</v>
      </c>
      <c r="AT682" s="19" t="s">
        <v>75</v>
      </c>
      <c r="AU682" s="19" t="s">
        <v>75</v>
      </c>
      <c r="AV682" s="19" t="s">
        <v>4</v>
      </c>
      <c r="AW682" s="18"/>
      <c r="AX682" s="13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2"/>
      <c r="BK682" s="12"/>
      <c r="BL682" s="12"/>
      <c r="BM682" s="9"/>
      <c r="BN682" s="9"/>
      <c r="BO682" s="9"/>
      <c r="BP682" s="12"/>
      <c r="BQ682" s="12"/>
      <c r="BR682" s="12"/>
      <c r="BS682" s="12"/>
      <c r="BT682" s="12"/>
      <c r="BU682" s="12"/>
      <c r="BV682" s="12"/>
      <c r="BW682" s="12"/>
      <c r="BX682" s="12"/>
      <c r="BY682" s="9"/>
      <c r="BZ682" s="21"/>
      <c r="CA682" s="21"/>
      <c r="CB682" s="21"/>
      <c r="CC682" s="21"/>
      <c r="CD682" s="21"/>
      <c r="CE682" s="21"/>
      <c r="CF682" s="21"/>
      <c r="CG682" s="21"/>
      <c r="CH682" s="21"/>
      <c r="CI682" s="21"/>
      <c r="CJ682" s="21"/>
    </row>
    <row r="683" spans="1:88" ht="40.5" customHeight="1">
      <c r="A683" s="9"/>
      <c r="B683" s="12"/>
      <c r="C683" s="9" t="s">
        <v>1729</v>
      </c>
      <c r="D683" s="9" t="s">
        <v>1697</v>
      </c>
      <c r="E683" s="12">
        <v>0</v>
      </c>
      <c r="F683" s="12">
        <v>0</v>
      </c>
      <c r="G683" s="12" t="b">
        <v>0</v>
      </c>
      <c r="H683" s="9" t="s">
        <v>75</v>
      </c>
      <c r="I683" s="9" t="s">
        <v>1730</v>
      </c>
      <c r="J683" s="9" t="s">
        <v>75</v>
      </c>
      <c r="K683" s="11" t="s">
        <v>1731</v>
      </c>
      <c r="L683" s="12"/>
      <c r="M683" s="12"/>
      <c r="N683" s="13"/>
      <c r="O683" s="16" t="s">
        <v>78</v>
      </c>
      <c r="P683" s="14" t="s">
        <v>79</v>
      </c>
      <c r="Q683" s="15" t="s">
        <v>1700</v>
      </c>
      <c r="R683" s="14" t="s">
        <v>75</v>
      </c>
      <c r="S683" s="14" t="s">
        <v>75</v>
      </c>
      <c r="T683" s="16" t="s">
        <v>126</v>
      </c>
      <c r="U683" s="17"/>
      <c r="V683" s="16" t="s">
        <v>78</v>
      </c>
      <c r="W683" s="16" t="s">
        <v>79</v>
      </c>
      <c r="X683" s="15" t="s">
        <v>221</v>
      </c>
      <c r="Y683" s="16" t="s">
        <v>75</v>
      </c>
      <c r="Z683" s="16" t="s">
        <v>75</v>
      </c>
      <c r="AA683" s="16" t="s">
        <v>101</v>
      </c>
      <c r="AB683" s="18"/>
      <c r="AC683" s="19" t="s">
        <v>78</v>
      </c>
      <c r="AD683" s="19" t="s">
        <v>79</v>
      </c>
      <c r="AE683" s="20" t="s">
        <v>1701</v>
      </c>
      <c r="AF683" s="19" t="s">
        <v>75</v>
      </c>
      <c r="AG683" s="19" t="s">
        <v>75</v>
      </c>
      <c r="AH683" s="16" t="s">
        <v>101</v>
      </c>
      <c r="AI683" s="18"/>
      <c r="AJ683" s="16" t="s">
        <v>78</v>
      </c>
      <c r="AK683" s="19" t="s">
        <v>79</v>
      </c>
      <c r="AL683" s="20" t="s">
        <v>102</v>
      </c>
      <c r="AM683" s="19" t="s">
        <v>75</v>
      </c>
      <c r="AN683" s="19" t="s">
        <v>75</v>
      </c>
      <c r="AO683" s="19" t="s">
        <v>101</v>
      </c>
      <c r="AP683" s="18"/>
      <c r="AQ683" s="19" t="s">
        <v>78</v>
      </c>
      <c r="AR683" s="19" t="s">
        <v>79</v>
      </c>
      <c r="AS683" s="20" t="s">
        <v>1702</v>
      </c>
      <c r="AT683" s="19" t="s">
        <v>75</v>
      </c>
      <c r="AU683" s="19" t="s">
        <v>75</v>
      </c>
      <c r="AV683" s="19" t="s">
        <v>4</v>
      </c>
      <c r="AW683" s="18"/>
      <c r="AX683" s="13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2"/>
      <c r="BK683" s="12"/>
      <c r="BL683" s="12"/>
      <c r="BM683" s="9"/>
      <c r="BN683" s="9"/>
      <c r="BO683" s="9"/>
      <c r="BP683" s="12"/>
      <c r="BQ683" s="12"/>
      <c r="BR683" s="12"/>
      <c r="BS683" s="12"/>
      <c r="BT683" s="12"/>
      <c r="BU683" s="12"/>
      <c r="BV683" s="12"/>
      <c r="BW683" s="12"/>
      <c r="BX683" s="12"/>
      <c r="BY683" s="9"/>
      <c r="BZ683" s="21"/>
      <c r="CA683" s="21"/>
      <c r="CB683" s="21"/>
      <c r="CC683" s="21"/>
      <c r="CD683" s="21"/>
      <c r="CE683" s="21"/>
      <c r="CF683" s="21"/>
      <c r="CG683" s="21"/>
      <c r="CH683" s="21"/>
      <c r="CI683" s="21"/>
      <c r="CJ683" s="21"/>
    </row>
    <row r="684" spans="1:88" ht="40.5" customHeight="1">
      <c r="A684" s="9"/>
      <c r="B684" s="12"/>
      <c r="C684" s="9" t="s">
        <v>1732</v>
      </c>
      <c r="D684" s="9" t="s">
        <v>1697</v>
      </c>
      <c r="E684" s="12">
        <v>0</v>
      </c>
      <c r="F684" s="12">
        <v>0</v>
      </c>
      <c r="G684" s="12" t="b">
        <v>0</v>
      </c>
      <c r="H684" s="11" t="s">
        <v>1733</v>
      </c>
      <c r="I684" s="10" t="s">
        <v>1734</v>
      </c>
      <c r="J684" s="9" t="s">
        <v>79</v>
      </c>
      <c r="K684" s="9" t="s">
        <v>1735</v>
      </c>
      <c r="L684" s="12"/>
      <c r="M684" s="12"/>
      <c r="N684" s="13"/>
      <c r="O684" s="16" t="s">
        <v>78</v>
      </c>
      <c r="P684" s="14" t="s">
        <v>79</v>
      </c>
      <c r="Q684" s="15" t="s">
        <v>1700</v>
      </c>
      <c r="R684" s="14" t="s">
        <v>75</v>
      </c>
      <c r="S684" s="14" t="s">
        <v>75</v>
      </c>
      <c r="T684" s="16" t="s">
        <v>81</v>
      </c>
      <c r="U684" s="17"/>
      <c r="V684" s="16" t="s">
        <v>78</v>
      </c>
      <c r="W684" s="16" t="s">
        <v>79</v>
      </c>
      <c r="X684" s="15" t="s">
        <v>221</v>
      </c>
      <c r="Y684" s="16" t="s">
        <v>75</v>
      </c>
      <c r="Z684" s="16" t="s">
        <v>75</v>
      </c>
      <c r="AA684" s="16" t="s">
        <v>101</v>
      </c>
      <c r="AB684" s="18"/>
      <c r="AC684" s="19" t="s">
        <v>7</v>
      </c>
      <c r="AD684" s="19" t="s">
        <v>79</v>
      </c>
      <c r="AE684" s="20" t="s">
        <v>1701</v>
      </c>
      <c r="AF684" s="19" t="s">
        <v>75</v>
      </c>
      <c r="AG684" s="19" t="s">
        <v>75</v>
      </c>
      <c r="AH684" s="16" t="s">
        <v>86</v>
      </c>
      <c r="AI684" s="18"/>
      <c r="AJ684" s="16" t="s">
        <v>7</v>
      </c>
      <c r="AK684" s="19" t="s">
        <v>79</v>
      </c>
      <c r="AL684" s="20" t="s">
        <v>102</v>
      </c>
      <c r="AM684" s="19" t="s">
        <v>75</v>
      </c>
      <c r="AN684" s="19" t="s">
        <v>75</v>
      </c>
      <c r="AO684" s="19" t="s">
        <v>86</v>
      </c>
      <c r="AP684" s="18"/>
      <c r="AQ684" s="19" t="s">
        <v>78</v>
      </c>
      <c r="AR684" s="19" t="s">
        <v>79</v>
      </c>
      <c r="AS684" s="20" t="s">
        <v>1712</v>
      </c>
      <c r="AT684" s="19" t="s">
        <v>75</v>
      </c>
      <c r="AU684" s="19" t="s">
        <v>75</v>
      </c>
      <c r="AV684" s="19" t="s">
        <v>4</v>
      </c>
      <c r="AW684" s="18"/>
      <c r="AX684" s="13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2"/>
      <c r="BK684" s="12"/>
      <c r="BL684" s="12"/>
      <c r="BM684" s="9"/>
      <c r="BN684" s="9"/>
      <c r="BO684" s="9"/>
      <c r="BP684" s="12"/>
      <c r="BQ684" s="12"/>
      <c r="BR684" s="12"/>
      <c r="BS684" s="12"/>
      <c r="BT684" s="12"/>
      <c r="BU684" s="12"/>
      <c r="BV684" s="12"/>
      <c r="BW684" s="12"/>
      <c r="BX684" s="12"/>
      <c r="BY684" s="9"/>
      <c r="BZ684" s="21"/>
      <c r="CA684" s="21"/>
      <c r="CB684" s="21"/>
      <c r="CC684" s="21"/>
      <c r="CD684" s="21"/>
      <c r="CE684" s="21"/>
      <c r="CF684" s="21"/>
      <c r="CG684" s="21"/>
      <c r="CH684" s="21"/>
      <c r="CI684" s="21"/>
      <c r="CJ684" s="21"/>
    </row>
    <row r="685" spans="1:88" ht="40.5" customHeight="1">
      <c r="A685" s="9"/>
      <c r="B685" s="12"/>
      <c r="C685" s="9" t="s">
        <v>1736</v>
      </c>
      <c r="D685" s="9" t="s">
        <v>1697</v>
      </c>
      <c r="E685" s="12">
        <v>0</v>
      </c>
      <c r="F685" s="12">
        <v>0</v>
      </c>
      <c r="G685" s="12" t="b">
        <v>0</v>
      </c>
      <c r="H685" s="9" t="s">
        <v>1737</v>
      </c>
      <c r="I685" s="10" t="s">
        <v>1738</v>
      </c>
      <c r="J685" s="9" t="s">
        <v>79</v>
      </c>
      <c r="K685" s="11" t="s">
        <v>1739</v>
      </c>
      <c r="L685" s="12"/>
      <c r="M685" s="12"/>
      <c r="N685" s="13"/>
      <c r="O685" s="16" t="s">
        <v>78</v>
      </c>
      <c r="P685" s="14" t="s">
        <v>79</v>
      </c>
      <c r="Q685" s="15" t="s">
        <v>1700</v>
      </c>
      <c r="R685" s="14" t="s">
        <v>75</v>
      </c>
      <c r="S685" s="14" t="s">
        <v>75</v>
      </c>
      <c r="T685" s="16" t="s">
        <v>81</v>
      </c>
      <c r="U685" s="17"/>
      <c r="V685" s="16" t="s">
        <v>78</v>
      </c>
      <c r="W685" s="16" t="s">
        <v>79</v>
      </c>
      <c r="X685" s="15" t="s">
        <v>221</v>
      </c>
      <c r="Y685" s="16" t="s">
        <v>75</v>
      </c>
      <c r="Z685" s="16" t="s">
        <v>75</v>
      </c>
      <c r="AA685" s="16" t="s">
        <v>86</v>
      </c>
      <c r="AB685" s="18"/>
      <c r="AC685" s="19" t="s">
        <v>7</v>
      </c>
      <c r="AD685" s="19" t="s">
        <v>79</v>
      </c>
      <c r="AE685" s="20" t="s">
        <v>1701</v>
      </c>
      <c r="AF685" s="19" t="s">
        <v>75</v>
      </c>
      <c r="AG685" s="19" t="s">
        <v>75</v>
      </c>
      <c r="AH685" s="16" t="s">
        <v>86</v>
      </c>
      <c r="AI685" s="18"/>
      <c r="AJ685" s="16" t="s">
        <v>7</v>
      </c>
      <c r="AK685" s="19" t="s">
        <v>79</v>
      </c>
      <c r="AL685" s="20" t="s">
        <v>102</v>
      </c>
      <c r="AM685" s="19" t="s">
        <v>75</v>
      </c>
      <c r="AN685" s="19" t="s">
        <v>75</v>
      </c>
      <c r="AO685" s="19" t="s">
        <v>86</v>
      </c>
      <c r="AP685" s="18"/>
      <c r="AQ685" s="19" t="s">
        <v>78</v>
      </c>
      <c r="AR685" s="19" t="s">
        <v>79</v>
      </c>
      <c r="AS685" s="20" t="s">
        <v>1712</v>
      </c>
      <c r="AT685" s="19" t="s">
        <v>75</v>
      </c>
      <c r="AU685" s="19" t="s">
        <v>75</v>
      </c>
      <c r="AV685" s="19" t="s">
        <v>86</v>
      </c>
      <c r="AW685" s="18"/>
      <c r="AX685" s="13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2"/>
      <c r="BK685" s="12"/>
      <c r="BL685" s="12"/>
      <c r="BM685" s="9"/>
      <c r="BN685" s="9"/>
      <c r="BO685" s="9"/>
      <c r="BP685" s="12"/>
      <c r="BQ685" s="12"/>
      <c r="BR685" s="12"/>
      <c r="BS685" s="12"/>
      <c r="BT685" s="12"/>
      <c r="BU685" s="12"/>
      <c r="BV685" s="12"/>
      <c r="BW685" s="12"/>
      <c r="BX685" s="12"/>
      <c r="BY685" s="9"/>
      <c r="BZ685" s="21"/>
      <c r="CA685" s="21"/>
      <c r="CB685" s="21"/>
      <c r="CC685" s="21"/>
      <c r="CD685" s="21"/>
      <c r="CE685" s="21"/>
      <c r="CF685" s="21"/>
      <c r="CG685" s="21"/>
      <c r="CH685" s="21"/>
      <c r="CI685" s="21"/>
      <c r="CJ685" s="21"/>
    </row>
    <row r="686" spans="1:88" ht="40.5" customHeight="1">
      <c r="A686" s="9"/>
      <c r="B686" s="12"/>
      <c r="C686" s="9" t="s">
        <v>1740</v>
      </c>
      <c r="D686" s="9" t="s">
        <v>1697</v>
      </c>
      <c r="E686" s="12">
        <v>0</v>
      </c>
      <c r="F686" s="12">
        <v>0</v>
      </c>
      <c r="G686" s="12" t="b">
        <v>0</v>
      </c>
      <c r="H686" s="9" t="s">
        <v>75</v>
      </c>
      <c r="I686" s="9" t="s">
        <v>1741</v>
      </c>
      <c r="J686" s="9" t="s">
        <v>75</v>
      </c>
      <c r="K686" s="9" t="s">
        <v>79</v>
      </c>
      <c r="L686" s="12"/>
      <c r="M686" s="12"/>
      <c r="N686" s="13"/>
      <c r="O686" s="16" t="s">
        <v>78</v>
      </c>
      <c r="P686" s="14" t="s">
        <v>79</v>
      </c>
      <c r="Q686" s="15" t="s">
        <v>1700</v>
      </c>
      <c r="R686" s="14" t="s">
        <v>75</v>
      </c>
      <c r="S686" s="14" t="s">
        <v>75</v>
      </c>
      <c r="T686" s="16" t="s">
        <v>126</v>
      </c>
      <c r="U686" s="17"/>
      <c r="V686" s="16" t="s">
        <v>78</v>
      </c>
      <c r="W686" s="16" t="s">
        <v>79</v>
      </c>
      <c r="X686" s="15" t="s">
        <v>221</v>
      </c>
      <c r="Y686" s="16" t="s">
        <v>75</v>
      </c>
      <c r="Z686" s="16" t="s">
        <v>75</v>
      </c>
      <c r="AA686" s="16" t="s">
        <v>166</v>
      </c>
      <c r="AB686" s="18"/>
      <c r="AC686" s="19" t="s">
        <v>98</v>
      </c>
      <c r="AD686" s="19" t="s">
        <v>79</v>
      </c>
      <c r="AE686" s="20" t="s">
        <v>629</v>
      </c>
      <c r="AF686" s="19" t="s">
        <v>75</v>
      </c>
      <c r="AG686" s="19" t="s">
        <v>75</v>
      </c>
      <c r="AH686" s="16" t="s">
        <v>86</v>
      </c>
      <c r="AI686" s="18"/>
      <c r="AJ686" s="13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3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2"/>
      <c r="BK686" s="12"/>
      <c r="BL686" s="12"/>
      <c r="BM686" s="9"/>
      <c r="BN686" s="9"/>
      <c r="BO686" s="9"/>
      <c r="BP686" s="12"/>
      <c r="BQ686" s="12"/>
      <c r="BR686" s="12"/>
      <c r="BS686" s="12"/>
      <c r="BT686" s="12"/>
      <c r="BU686" s="12"/>
      <c r="BV686" s="12"/>
      <c r="BW686" s="12"/>
      <c r="BX686" s="12"/>
      <c r="BY686" s="9"/>
      <c r="BZ686" s="21"/>
      <c r="CA686" s="21"/>
      <c r="CB686" s="21"/>
      <c r="CC686" s="21"/>
      <c r="CD686" s="21"/>
      <c r="CE686" s="21"/>
      <c r="CF686" s="21"/>
      <c r="CG686" s="21"/>
      <c r="CH686" s="21"/>
      <c r="CI686" s="21"/>
      <c r="CJ686" s="21"/>
    </row>
    <row r="687" spans="1:88" ht="40.5" customHeight="1">
      <c r="A687" s="9"/>
      <c r="B687" s="12"/>
      <c r="C687" s="9" t="s">
        <v>1742</v>
      </c>
      <c r="D687" s="9" t="s">
        <v>1697</v>
      </c>
      <c r="E687" s="12">
        <v>0</v>
      </c>
      <c r="F687" s="12">
        <v>0</v>
      </c>
      <c r="G687" s="12" t="b">
        <v>0</v>
      </c>
      <c r="H687" s="9" t="s">
        <v>75</v>
      </c>
      <c r="I687" s="9" t="s">
        <v>1743</v>
      </c>
      <c r="J687" s="9" t="s">
        <v>75</v>
      </c>
      <c r="K687" s="11" t="s">
        <v>1744</v>
      </c>
      <c r="L687" s="12"/>
      <c r="M687" s="12"/>
      <c r="N687" s="13"/>
      <c r="O687" s="16" t="s">
        <v>78</v>
      </c>
      <c r="P687" s="14" t="s">
        <v>79</v>
      </c>
      <c r="Q687" s="15" t="s">
        <v>1700</v>
      </c>
      <c r="R687" s="23" t="s">
        <v>228</v>
      </c>
      <c r="S687" s="14" t="s">
        <v>75</v>
      </c>
      <c r="T687" s="16" t="s">
        <v>81</v>
      </c>
      <c r="U687" s="17"/>
      <c r="V687" s="16" t="s">
        <v>78</v>
      </c>
      <c r="W687" s="16" t="s">
        <v>79</v>
      </c>
      <c r="X687" s="15" t="s">
        <v>221</v>
      </c>
      <c r="Y687" s="16" t="s">
        <v>75</v>
      </c>
      <c r="Z687" s="16" t="s">
        <v>75</v>
      </c>
      <c r="AA687" s="16" t="s">
        <v>86</v>
      </c>
      <c r="AB687" s="18"/>
      <c r="AC687" s="19" t="s">
        <v>78</v>
      </c>
      <c r="AD687" s="19" t="s">
        <v>79</v>
      </c>
      <c r="AE687" s="20" t="s">
        <v>1701</v>
      </c>
      <c r="AF687" s="19" t="s">
        <v>75</v>
      </c>
      <c r="AG687" s="20" t="s">
        <v>84</v>
      </c>
      <c r="AH687" s="16" t="s">
        <v>86</v>
      </c>
      <c r="AI687" s="18"/>
      <c r="AJ687" s="16" t="s">
        <v>7</v>
      </c>
      <c r="AK687" s="19" t="s">
        <v>79</v>
      </c>
      <c r="AL687" s="20" t="s">
        <v>102</v>
      </c>
      <c r="AM687" s="19" t="s">
        <v>75</v>
      </c>
      <c r="AN687" s="19" t="s">
        <v>75</v>
      </c>
      <c r="AO687" s="19" t="s">
        <v>86</v>
      </c>
      <c r="AP687" s="18"/>
      <c r="AQ687" s="19" t="s">
        <v>78</v>
      </c>
      <c r="AR687" s="19" t="s">
        <v>79</v>
      </c>
      <c r="AS687" s="20" t="s">
        <v>1712</v>
      </c>
      <c r="AT687" s="19" t="s">
        <v>75</v>
      </c>
      <c r="AU687" s="19" t="s">
        <v>75</v>
      </c>
      <c r="AV687" s="19" t="s">
        <v>86</v>
      </c>
      <c r="AW687" s="18"/>
      <c r="AX687" s="13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2"/>
      <c r="BK687" s="12"/>
      <c r="BL687" s="12"/>
      <c r="BM687" s="9"/>
      <c r="BN687" s="9"/>
      <c r="BO687" s="9"/>
      <c r="BP687" s="12"/>
      <c r="BQ687" s="12"/>
      <c r="BR687" s="12"/>
      <c r="BS687" s="12"/>
      <c r="BT687" s="12"/>
      <c r="BU687" s="12"/>
      <c r="BV687" s="12"/>
      <c r="BW687" s="12"/>
      <c r="BX687" s="12"/>
      <c r="BY687" s="9"/>
      <c r="BZ687" s="21"/>
      <c r="CA687" s="21"/>
      <c r="CB687" s="21"/>
      <c r="CC687" s="21"/>
      <c r="CD687" s="21"/>
      <c r="CE687" s="21"/>
      <c r="CF687" s="21"/>
      <c r="CG687" s="21"/>
      <c r="CH687" s="21"/>
      <c r="CI687" s="21"/>
      <c r="CJ687" s="21"/>
    </row>
    <row r="688" spans="1:88" ht="40.5" customHeight="1">
      <c r="A688" s="9"/>
      <c r="B688" s="12"/>
      <c r="C688" s="9" t="s">
        <v>1745</v>
      </c>
      <c r="D688" s="9" t="s">
        <v>1697</v>
      </c>
      <c r="E688" s="12">
        <v>0</v>
      </c>
      <c r="F688" s="12">
        <v>0</v>
      </c>
      <c r="G688" s="12" t="b">
        <v>0</v>
      </c>
      <c r="H688" s="9" t="s">
        <v>75</v>
      </c>
      <c r="I688" s="9" t="s">
        <v>1746</v>
      </c>
      <c r="J688" s="9" t="s">
        <v>75</v>
      </c>
      <c r="K688" s="9" t="s">
        <v>79</v>
      </c>
      <c r="L688" s="12"/>
      <c r="M688" s="12"/>
      <c r="N688" s="13"/>
      <c r="O688" s="16" t="s">
        <v>78</v>
      </c>
      <c r="P688" s="14" t="s">
        <v>79</v>
      </c>
      <c r="Q688" s="15" t="s">
        <v>1700</v>
      </c>
      <c r="R688" s="23" t="s">
        <v>228</v>
      </c>
      <c r="S688" s="14" t="s">
        <v>75</v>
      </c>
      <c r="T688" s="16" t="s">
        <v>166</v>
      </c>
      <c r="U688" s="17"/>
      <c r="V688" s="16" t="s">
        <v>78</v>
      </c>
      <c r="W688" s="16" t="s">
        <v>79</v>
      </c>
      <c r="X688" s="15" t="s">
        <v>221</v>
      </c>
      <c r="Y688" s="16" t="s">
        <v>75</v>
      </c>
      <c r="Z688" s="16" t="s">
        <v>75</v>
      </c>
      <c r="AA688" s="16" t="s">
        <v>101</v>
      </c>
      <c r="AB688" s="18"/>
      <c r="AC688" s="19" t="s">
        <v>98</v>
      </c>
      <c r="AD688" s="19" t="s">
        <v>79</v>
      </c>
      <c r="AE688" s="20" t="s">
        <v>1702</v>
      </c>
      <c r="AF688" s="19" t="s">
        <v>75</v>
      </c>
      <c r="AG688" s="19" t="s">
        <v>75</v>
      </c>
      <c r="AH688" s="16" t="s">
        <v>86</v>
      </c>
      <c r="AI688" s="18"/>
      <c r="AJ688" s="16" t="s">
        <v>98</v>
      </c>
      <c r="AK688" s="19" t="s">
        <v>79</v>
      </c>
      <c r="AL688" s="20" t="s">
        <v>1712</v>
      </c>
      <c r="AM688" s="19" t="s">
        <v>75</v>
      </c>
      <c r="AN688" s="19" t="s">
        <v>75</v>
      </c>
      <c r="AO688" s="19" t="s">
        <v>86</v>
      </c>
      <c r="AP688" s="18"/>
      <c r="AQ688" s="18"/>
      <c r="AR688" s="18"/>
      <c r="AS688" s="18"/>
      <c r="AT688" s="18"/>
      <c r="AU688" s="18"/>
      <c r="AV688" s="18"/>
      <c r="AW688" s="18"/>
      <c r="AX688" s="13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2"/>
      <c r="BK688" s="12"/>
      <c r="BL688" s="12"/>
      <c r="BM688" s="9"/>
      <c r="BN688" s="9"/>
      <c r="BO688" s="9"/>
      <c r="BP688" s="12"/>
      <c r="BQ688" s="12"/>
      <c r="BR688" s="12"/>
      <c r="BS688" s="12"/>
      <c r="BT688" s="12"/>
      <c r="BU688" s="12"/>
      <c r="BV688" s="12"/>
      <c r="BW688" s="12"/>
      <c r="BX688" s="12"/>
      <c r="BY688" s="9"/>
      <c r="BZ688" s="21"/>
      <c r="CA688" s="21"/>
      <c r="CB688" s="21"/>
      <c r="CC688" s="21"/>
      <c r="CD688" s="21"/>
      <c r="CE688" s="21"/>
      <c r="CF688" s="21"/>
      <c r="CG688" s="21"/>
      <c r="CH688" s="21"/>
      <c r="CI688" s="21"/>
      <c r="CJ688" s="21"/>
    </row>
    <row r="689" spans="1:88" ht="40.5" customHeight="1">
      <c r="A689" s="9"/>
      <c r="B689" s="12"/>
      <c r="C689" s="9" t="s">
        <v>1747</v>
      </c>
      <c r="D689" s="9" t="s">
        <v>1697</v>
      </c>
      <c r="E689" s="12">
        <v>0</v>
      </c>
      <c r="F689" s="12">
        <v>0</v>
      </c>
      <c r="G689" s="12" t="b">
        <v>0</v>
      </c>
      <c r="H689" s="9" t="s">
        <v>75</v>
      </c>
      <c r="I689" s="9" t="s">
        <v>1748</v>
      </c>
      <c r="J689" s="9" t="s">
        <v>75</v>
      </c>
      <c r="K689" s="11" t="s">
        <v>1749</v>
      </c>
      <c r="L689" s="12"/>
      <c r="M689" s="12"/>
      <c r="N689" s="13"/>
      <c r="O689" s="16" t="s">
        <v>78</v>
      </c>
      <c r="P689" s="14" t="s">
        <v>79</v>
      </c>
      <c r="Q689" s="15" t="s">
        <v>1700</v>
      </c>
      <c r="R689" s="14" t="s">
        <v>75</v>
      </c>
      <c r="S689" s="14" t="s">
        <v>75</v>
      </c>
      <c r="T689" s="16" t="s">
        <v>101</v>
      </c>
      <c r="U689" s="17"/>
      <c r="V689" s="16" t="s">
        <v>78</v>
      </c>
      <c r="W689" s="16" t="s">
        <v>79</v>
      </c>
      <c r="X689" s="15" t="s">
        <v>221</v>
      </c>
      <c r="Y689" s="16" t="s">
        <v>75</v>
      </c>
      <c r="Z689" s="16" t="s">
        <v>75</v>
      </c>
      <c r="AA689" s="16" t="s">
        <v>86</v>
      </c>
      <c r="AB689" s="18"/>
      <c r="AC689" s="19" t="s">
        <v>78</v>
      </c>
      <c r="AD689" s="19" t="s">
        <v>79</v>
      </c>
      <c r="AE689" s="20" t="s">
        <v>1701</v>
      </c>
      <c r="AF689" s="19" t="s">
        <v>75</v>
      </c>
      <c r="AG689" s="19" t="s">
        <v>75</v>
      </c>
      <c r="AH689" s="16" t="s">
        <v>101</v>
      </c>
      <c r="AI689" s="18"/>
      <c r="AJ689" s="16" t="s">
        <v>98</v>
      </c>
      <c r="AK689" s="19" t="s">
        <v>79</v>
      </c>
      <c r="AL689" s="20" t="s">
        <v>102</v>
      </c>
      <c r="AM689" s="19" t="s">
        <v>75</v>
      </c>
      <c r="AN689" s="19" t="s">
        <v>75</v>
      </c>
      <c r="AO689" s="19" t="s">
        <v>101</v>
      </c>
      <c r="AP689" s="18"/>
      <c r="AQ689" s="19" t="s">
        <v>78</v>
      </c>
      <c r="AR689" s="19" t="s">
        <v>79</v>
      </c>
      <c r="AS689" s="20" t="s">
        <v>1702</v>
      </c>
      <c r="AT689" s="19" t="s">
        <v>75</v>
      </c>
      <c r="AU689" s="19" t="s">
        <v>75</v>
      </c>
      <c r="AV689" s="19" t="s">
        <v>101</v>
      </c>
      <c r="AW689" s="18"/>
      <c r="AX689" s="16" t="s">
        <v>78</v>
      </c>
      <c r="AY689" s="19" t="s">
        <v>79</v>
      </c>
      <c r="AZ689" s="20" t="s">
        <v>1712</v>
      </c>
      <c r="BA689" s="19" t="s">
        <v>75</v>
      </c>
      <c r="BB689" s="19" t="s">
        <v>75</v>
      </c>
      <c r="BC689" s="19" t="s">
        <v>101</v>
      </c>
      <c r="BD689" s="18"/>
      <c r="BE689" s="18"/>
      <c r="BF689" s="18"/>
      <c r="BG689" s="18"/>
      <c r="BH689" s="18"/>
      <c r="BI689" s="18"/>
      <c r="BJ689" s="12"/>
      <c r="BK689" s="12"/>
      <c r="BL689" s="12"/>
      <c r="BM689" s="9"/>
      <c r="BN689" s="9"/>
      <c r="BO689" s="9"/>
      <c r="BP689" s="12"/>
      <c r="BQ689" s="12"/>
      <c r="BR689" s="12"/>
      <c r="BS689" s="12"/>
      <c r="BT689" s="12"/>
      <c r="BU689" s="12"/>
      <c r="BV689" s="12"/>
      <c r="BW689" s="12"/>
      <c r="BX689" s="12"/>
      <c r="BY689" s="9"/>
      <c r="BZ689" s="21"/>
      <c r="CA689" s="21"/>
      <c r="CB689" s="21"/>
      <c r="CC689" s="21"/>
      <c r="CD689" s="21"/>
      <c r="CE689" s="21"/>
      <c r="CF689" s="21"/>
      <c r="CG689" s="21"/>
      <c r="CH689" s="21"/>
      <c r="CI689" s="21"/>
      <c r="CJ689" s="21"/>
    </row>
    <row r="690" spans="1:88" ht="40.5" customHeight="1">
      <c r="A690" s="9"/>
      <c r="B690" s="12"/>
      <c r="C690" s="9" t="s">
        <v>1750</v>
      </c>
      <c r="D690" s="9" t="s">
        <v>1697</v>
      </c>
      <c r="E690" s="12">
        <v>0</v>
      </c>
      <c r="F690" s="12">
        <v>0</v>
      </c>
      <c r="G690" s="12" t="b">
        <v>0</v>
      </c>
      <c r="H690" s="9" t="s">
        <v>75</v>
      </c>
      <c r="I690" s="9" t="s">
        <v>1751</v>
      </c>
      <c r="J690" s="9" t="s">
        <v>75</v>
      </c>
      <c r="K690" s="11" t="s">
        <v>1752</v>
      </c>
      <c r="L690" s="12"/>
      <c r="M690" s="12"/>
      <c r="N690" s="13"/>
      <c r="O690" s="16" t="s">
        <v>78</v>
      </c>
      <c r="P690" s="14" t="s">
        <v>79</v>
      </c>
      <c r="Q690" s="15" t="s">
        <v>1700</v>
      </c>
      <c r="R690" s="14" t="s">
        <v>75</v>
      </c>
      <c r="S690" s="14" t="s">
        <v>75</v>
      </c>
      <c r="T690" s="16" t="s">
        <v>265</v>
      </c>
      <c r="U690" s="17"/>
      <c r="V690" s="16" t="s">
        <v>78</v>
      </c>
      <c r="W690" s="16" t="s">
        <v>79</v>
      </c>
      <c r="X690" s="15" t="s">
        <v>221</v>
      </c>
      <c r="Y690" s="16" t="s">
        <v>75</v>
      </c>
      <c r="Z690" s="16" t="s">
        <v>75</v>
      </c>
      <c r="AA690" s="16" t="s">
        <v>86</v>
      </c>
      <c r="AB690" s="18"/>
      <c r="AC690" s="19" t="s">
        <v>98</v>
      </c>
      <c r="AD690" s="19" t="s">
        <v>79</v>
      </c>
      <c r="AE690" s="20" t="s">
        <v>1701</v>
      </c>
      <c r="AF690" s="19" t="s">
        <v>75</v>
      </c>
      <c r="AG690" s="19" t="s">
        <v>75</v>
      </c>
      <c r="AH690" s="16" t="s">
        <v>86</v>
      </c>
      <c r="AI690" s="18"/>
      <c r="AJ690" s="16" t="s">
        <v>7</v>
      </c>
      <c r="AK690" s="19" t="s">
        <v>79</v>
      </c>
      <c r="AL690" s="20" t="s">
        <v>80</v>
      </c>
      <c r="AM690" s="19" t="s">
        <v>75</v>
      </c>
      <c r="AN690" s="19" t="s">
        <v>75</v>
      </c>
      <c r="AO690" s="19" t="s">
        <v>86</v>
      </c>
      <c r="AP690" s="18"/>
      <c r="AQ690" s="19" t="s">
        <v>78</v>
      </c>
      <c r="AR690" s="19" t="s">
        <v>79</v>
      </c>
      <c r="AS690" s="20" t="s">
        <v>83</v>
      </c>
      <c r="AT690" s="19" t="s">
        <v>75</v>
      </c>
      <c r="AU690" s="19" t="s">
        <v>75</v>
      </c>
      <c r="AV690" s="19" t="s">
        <v>86</v>
      </c>
      <c r="AW690" s="18"/>
      <c r="AX690" s="16" t="s">
        <v>98</v>
      </c>
      <c r="AY690" s="19" t="s">
        <v>79</v>
      </c>
      <c r="AZ690" s="20" t="s">
        <v>1712</v>
      </c>
      <c r="BA690" s="19" t="s">
        <v>75</v>
      </c>
      <c r="BB690" s="19" t="s">
        <v>75</v>
      </c>
      <c r="BC690" s="19" t="s">
        <v>86</v>
      </c>
      <c r="BD690" s="18"/>
      <c r="BE690" s="18"/>
      <c r="BF690" s="18"/>
      <c r="BG690" s="18"/>
      <c r="BH690" s="18"/>
      <c r="BI690" s="18"/>
      <c r="BJ690" s="12"/>
      <c r="BK690" s="12"/>
      <c r="BL690" s="12"/>
      <c r="BM690" s="9"/>
      <c r="BN690" s="9"/>
      <c r="BO690" s="9"/>
      <c r="BP690" s="12"/>
      <c r="BQ690" s="12"/>
      <c r="BR690" s="12"/>
      <c r="BS690" s="12"/>
      <c r="BT690" s="12"/>
      <c r="BU690" s="12"/>
      <c r="BV690" s="12"/>
      <c r="BW690" s="12"/>
      <c r="BX690" s="12"/>
      <c r="BY690" s="9"/>
      <c r="BZ690" s="21"/>
      <c r="CA690" s="21"/>
      <c r="CB690" s="21"/>
      <c r="CC690" s="21"/>
      <c r="CD690" s="21"/>
      <c r="CE690" s="21"/>
      <c r="CF690" s="21"/>
      <c r="CG690" s="21"/>
      <c r="CH690" s="21"/>
      <c r="CI690" s="21"/>
      <c r="CJ690" s="21"/>
    </row>
    <row r="691" spans="1:88" ht="40.5" customHeight="1">
      <c r="A691" s="9"/>
      <c r="B691" s="12"/>
      <c r="C691" s="9" t="s">
        <v>1753</v>
      </c>
      <c r="D691" s="9" t="s">
        <v>1697</v>
      </c>
      <c r="E691" s="12">
        <v>0</v>
      </c>
      <c r="F691" s="12">
        <v>0</v>
      </c>
      <c r="G691" s="12" t="b">
        <v>0</v>
      </c>
      <c r="H691" s="9" t="s">
        <v>75</v>
      </c>
      <c r="I691" s="9" t="s">
        <v>1754</v>
      </c>
      <c r="J691" s="9" t="s">
        <v>75</v>
      </c>
      <c r="K691" s="9" t="s">
        <v>79</v>
      </c>
      <c r="L691" s="12"/>
      <c r="M691" s="12"/>
      <c r="N691" s="13"/>
      <c r="O691" s="16" t="s">
        <v>78</v>
      </c>
      <c r="P691" s="14" t="s">
        <v>79</v>
      </c>
      <c r="Q691" s="15" t="s">
        <v>1700</v>
      </c>
      <c r="R691" s="14" t="s">
        <v>75</v>
      </c>
      <c r="S691" s="14" t="s">
        <v>75</v>
      </c>
      <c r="T691" s="16" t="s">
        <v>126</v>
      </c>
      <c r="U691" s="17"/>
      <c r="V691" s="16" t="s">
        <v>78</v>
      </c>
      <c r="W691" s="16" t="s">
        <v>79</v>
      </c>
      <c r="X691" s="15" t="s">
        <v>221</v>
      </c>
      <c r="Y691" s="16" t="s">
        <v>75</v>
      </c>
      <c r="Z691" s="15" t="s">
        <v>84</v>
      </c>
      <c r="AA691" s="16" t="s">
        <v>126</v>
      </c>
      <c r="AB691" s="18"/>
      <c r="AC691" s="19" t="s">
        <v>78</v>
      </c>
      <c r="AD691" s="19" t="s">
        <v>79</v>
      </c>
      <c r="AE691" s="20" t="s">
        <v>1701</v>
      </c>
      <c r="AF691" s="19" t="s">
        <v>75</v>
      </c>
      <c r="AG691" s="19" t="s">
        <v>75</v>
      </c>
      <c r="AH691" s="16" t="s">
        <v>4</v>
      </c>
      <c r="AI691" s="18"/>
      <c r="AJ691" s="13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3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2"/>
      <c r="BK691" s="12"/>
      <c r="BL691" s="12"/>
      <c r="BM691" s="9"/>
      <c r="BN691" s="9"/>
      <c r="BO691" s="9"/>
      <c r="BP691" s="12"/>
      <c r="BQ691" s="12"/>
      <c r="BR691" s="12"/>
      <c r="BS691" s="12"/>
      <c r="BT691" s="12"/>
      <c r="BU691" s="12"/>
      <c r="BV691" s="12"/>
      <c r="BW691" s="12"/>
      <c r="BX691" s="12"/>
      <c r="BY691" s="9"/>
      <c r="BZ691" s="21"/>
      <c r="CA691" s="21"/>
      <c r="CB691" s="21"/>
      <c r="CC691" s="21"/>
      <c r="CD691" s="21"/>
      <c r="CE691" s="21"/>
      <c r="CF691" s="21"/>
      <c r="CG691" s="21"/>
      <c r="CH691" s="21"/>
      <c r="CI691" s="21"/>
      <c r="CJ691" s="21"/>
    </row>
    <row r="692" spans="1:88" ht="40.5" customHeight="1">
      <c r="A692" s="9"/>
      <c r="B692" s="12"/>
      <c r="C692" s="9" t="s">
        <v>1755</v>
      </c>
      <c r="D692" s="9" t="s">
        <v>1697</v>
      </c>
      <c r="E692" s="12">
        <v>0</v>
      </c>
      <c r="F692" s="12">
        <v>0</v>
      </c>
      <c r="G692" s="12" t="b">
        <v>0</v>
      </c>
      <c r="H692" s="9" t="s">
        <v>75</v>
      </c>
      <c r="I692" s="9" t="s">
        <v>1756</v>
      </c>
      <c r="J692" s="9" t="s">
        <v>75</v>
      </c>
      <c r="K692" s="9" t="s">
        <v>79</v>
      </c>
      <c r="L692" s="12"/>
      <c r="M692" s="12"/>
      <c r="N692" s="13"/>
      <c r="O692" s="16" t="s">
        <v>78</v>
      </c>
      <c r="P692" s="14" t="s">
        <v>79</v>
      </c>
      <c r="Q692" s="15" t="s">
        <v>1700</v>
      </c>
      <c r="R692" s="14" t="s">
        <v>75</v>
      </c>
      <c r="S692" s="14" t="s">
        <v>75</v>
      </c>
      <c r="T692" s="16" t="s">
        <v>126</v>
      </c>
      <c r="U692" s="17"/>
      <c r="V692" s="16" t="s">
        <v>78</v>
      </c>
      <c r="W692" s="16" t="s">
        <v>79</v>
      </c>
      <c r="X692" s="15" t="s">
        <v>221</v>
      </c>
      <c r="Y692" s="16" t="s">
        <v>75</v>
      </c>
      <c r="Z692" s="16" t="s">
        <v>75</v>
      </c>
      <c r="AA692" s="16" t="s">
        <v>126</v>
      </c>
      <c r="AB692" s="18"/>
      <c r="AC692" s="19" t="s">
        <v>78</v>
      </c>
      <c r="AD692" s="19" t="s">
        <v>79</v>
      </c>
      <c r="AE692" s="20" t="s">
        <v>1701</v>
      </c>
      <c r="AF692" s="19" t="s">
        <v>75</v>
      </c>
      <c r="AG692" s="19" t="s">
        <v>75</v>
      </c>
      <c r="AH692" s="16" t="s">
        <v>4</v>
      </c>
      <c r="AI692" s="18"/>
      <c r="AJ692" s="13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3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2"/>
      <c r="BK692" s="12"/>
      <c r="BL692" s="12"/>
      <c r="BM692" s="9"/>
      <c r="BN692" s="9"/>
      <c r="BO692" s="9"/>
      <c r="BP692" s="12"/>
      <c r="BQ692" s="12"/>
      <c r="BR692" s="12"/>
      <c r="BS692" s="12"/>
      <c r="BT692" s="12"/>
      <c r="BU692" s="12"/>
      <c r="BV692" s="12"/>
      <c r="BW692" s="12"/>
      <c r="BX692" s="12"/>
      <c r="BY692" s="9"/>
      <c r="BZ692" s="21"/>
      <c r="CA692" s="21"/>
      <c r="CB692" s="21"/>
      <c r="CC692" s="21"/>
      <c r="CD692" s="21"/>
      <c r="CE692" s="21"/>
      <c r="CF692" s="21"/>
      <c r="CG692" s="21"/>
      <c r="CH692" s="21"/>
      <c r="CI692" s="21"/>
      <c r="CJ692" s="21"/>
    </row>
    <row r="693" spans="1:88" ht="40.5" customHeight="1">
      <c r="A693" s="9"/>
      <c r="B693" s="12"/>
      <c r="C693" s="9" t="s">
        <v>1757</v>
      </c>
      <c r="D693" s="9" t="s">
        <v>1697</v>
      </c>
      <c r="E693" s="12">
        <v>0</v>
      </c>
      <c r="F693" s="12">
        <v>0</v>
      </c>
      <c r="G693" s="12" t="b">
        <v>0</v>
      </c>
      <c r="H693" s="11" t="s">
        <v>1758</v>
      </c>
      <c r="I693" s="9" t="s">
        <v>1759</v>
      </c>
      <c r="J693" s="9" t="s">
        <v>75</v>
      </c>
      <c r="K693" s="9" t="s">
        <v>79</v>
      </c>
      <c r="L693" s="12"/>
      <c r="M693" s="12"/>
      <c r="N693" s="13"/>
      <c r="O693" s="16" t="s">
        <v>78</v>
      </c>
      <c r="P693" s="14" t="s">
        <v>79</v>
      </c>
      <c r="Q693" s="15" t="s">
        <v>1700</v>
      </c>
      <c r="R693" s="14" t="s">
        <v>75</v>
      </c>
      <c r="S693" s="14" t="s">
        <v>75</v>
      </c>
      <c r="T693" s="16" t="s">
        <v>145</v>
      </c>
      <c r="U693" s="17"/>
      <c r="V693" s="16" t="s">
        <v>78</v>
      </c>
      <c r="W693" s="16" t="s">
        <v>79</v>
      </c>
      <c r="X693" s="15" t="s">
        <v>221</v>
      </c>
      <c r="Y693" s="16" t="s">
        <v>75</v>
      </c>
      <c r="Z693" s="16" t="s">
        <v>75</v>
      </c>
      <c r="AA693" s="16" t="s">
        <v>145</v>
      </c>
      <c r="AB693" s="18"/>
      <c r="AC693" s="19" t="s">
        <v>78</v>
      </c>
      <c r="AD693" s="19" t="s">
        <v>79</v>
      </c>
      <c r="AE693" s="20" t="s">
        <v>1701</v>
      </c>
      <c r="AF693" s="19" t="s">
        <v>75</v>
      </c>
      <c r="AG693" s="20" t="s">
        <v>84</v>
      </c>
      <c r="AH693" s="16" t="s">
        <v>101</v>
      </c>
      <c r="AI693" s="18"/>
      <c r="AJ693" s="16" t="s">
        <v>98</v>
      </c>
      <c r="AK693" s="19" t="s">
        <v>79</v>
      </c>
      <c r="AL693" s="20" t="s">
        <v>1702</v>
      </c>
      <c r="AM693" s="19" t="s">
        <v>75</v>
      </c>
      <c r="AN693" s="19" t="s">
        <v>75</v>
      </c>
      <c r="AO693" s="19" t="s">
        <v>4</v>
      </c>
      <c r="AP693" s="18"/>
      <c r="AQ693" s="18"/>
      <c r="AR693" s="18"/>
      <c r="AS693" s="18"/>
      <c r="AT693" s="18"/>
      <c r="AU693" s="18"/>
      <c r="AV693" s="18"/>
      <c r="AW693" s="18"/>
      <c r="AX693" s="13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2"/>
      <c r="BK693" s="12"/>
      <c r="BL693" s="12"/>
      <c r="BM693" s="9"/>
      <c r="BN693" s="9"/>
      <c r="BO693" s="9"/>
      <c r="BP693" s="12"/>
      <c r="BQ693" s="12"/>
      <c r="BR693" s="12"/>
      <c r="BS693" s="12"/>
      <c r="BT693" s="12"/>
      <c r="BU693" s="12"/>
      <c r="BV693" s="12"/>
      <c r="BW693" s="12"/>
      <c r="BX693" s="12"/>
      <c r="BY693" s="9"/>
      <c r="BZ693" s="21"/>
      <c r="CA693" s="21"/>
      <c r="CB693" s="21"/>
      <c r="CC693" s="21"/>
      <c r="CD693" s="21"/>
      <c r="CE693" s="21"/>
      <c r="CF693" s="21"/>
      <c r="CG693" s="21"/>
      <c r="CH693" s="21"/>
      <c r="CI693" s="21"/>
      <c r="CJ693" s="21"/>
    </row>
    <row r="694" spans="1:88" ht="40.5" customHeight="1">
      <c r="A694" s="9"/>
      <c r="B694" s="12"/>
      <c r="C694" s="9" t="s">
        <v>1760</v>
      </c>
      <c r="D694" s="9" t="s">
        <v>1697</v>
      </c>
      <c r="E694" s="12">
        <v>0</v>
      </c>
      <c r="F694" s="12">
        <v>0</v>
      </c>
      <c r="G694" s="12" t="b">
        <v>0</v>
      </c>
      <c r="H694" s="9" t="s">
        <v>75</v>
      </c>
      <c r="I694" s="9" t="s">
        <v>1761</v>
      </c>
      <c r="J694" s="9" t="s">
        <v>75</v>
      </c>
      <c r="K694" s="11" t="s">
        <v>1762</v>
      </c>
      <c r="L694" s="12"/>
      <c r="M694" s="12"/>
      <c r="N694" s="13"/>
      <c r="O694" s="16" t="s">
        <v>78</v>
      </c>
      <c r="P694" s="14" t="s">
        <v>79</v>
      </c>
      <c r="Q694" s="15" t="s">
        <v>1700</v>
      </c>
      <c r="R694" s="14" t="s">
        <v>75</v>
      </c>
      <c r="S694" s="23" t="s">
        <v>84</v>
      </c>
      <c r="T694" s="16" t="s">
        <v>101</v>
      </c>
      <c r="U694" s="17"/>
      <c r="V694" s="16" t="s">
        <v>78</v>
      </c>
      <c r="W694" s="16" t="s">
        <v>79</v>
      </c>
      <c r="X694" s="15" t="s">
        <v>221</v>
      </c>
      <c r="Y694" s="16" t="s">
        <v>75</v>
      </c>
      <c r="Z694" s="16" t="s">
        <v>75</v>
      </c>
      <c r="AA694" s="16" t="s">
        <v>101</v>
      </c>
      <c r="AB694" s="18"/>
      <c r="AC694" s="19" t="s">
        <v>78</v>
      </c>
      <c r="AD694" s="19" t="s">
        <v>79</v>
      </c>
      <c r="AE694" s="20" t="s">
        <v>1701</v>
      </c>
      <c r="AF694" s="19" t="s">
        <v>75</v>
      </c>
      <c r="AG694" s="19" t="s">
        <v>75</v>
      </c>
      <c r="AH694" s="16" t="s">
        <v>101</v>
      </c>
      <c r="AI694" s="18"/>
      <c r="AJ694" s="16" t="s">
        <v>78</v>
      </c>
      <c r="AK694" s="19" t="s">
        <v>79</v>
      </c>
      <c r="AL694" s="20" t="s">
        <v>102</v>
      </c>
      <c r="AM694" s="19" t="s">
        <v>75</v>
      </c>
      <c r="AN694" s="19" t="s">
        <v>75</v>
      </c>
      <c r="AO694" s="19" t="s">
        <v>101</v>
      </c>
      <c r="AP694" s="18"/>
      <c r="AQ694" s="19" t="s">
        <v>78</v>
      </c>
      <c r="AR694" s="19" t="s">
        <v>79</v>
      </c>
      <c r="AS694" s="20" t="s">
        <v>1702</v>
      </c>
      <c r="AT694" s="19" t="s">
        <v>75</v>
      </c>
      <c r="AU694" s="19" t="s">
        <v>75</v>
      </c>
      <c r="AV694" s="19" t="s">
        <v>101</v>
      </c>
      <c r="AW694" s="18"/>
      <c r="AX694" s="16" t="s">
        <v>78</v>
      </c>
      <c r="AY694" s="19" t="s">
        <v>79</v>
      </c>
      <c r="AZ694" s="20" t="s">
        <v>1712</v>
      </c>
      <c r="BA694" s="19" t="s">
        <v>75</v>
      </c>
      <c r="BB694" s="19" t="s">
        <v>75</v>
      </c>
      <c r="BC694" s="19" t="s">
        <v>4</v>
      </c>
      <c r="BD694" s="18"/>
      <c r="BE694" s="18"/>
      <c r="BF694" s="18"/>
      <c r="BG694" s="18"/>
      <c r="BH694" s="18"/>
      <c r="BI694" s="18"/>
      <c r="BJ694" s="12"/>
      <c r="BK694" s="12"/>
      <c r="BL694" s="12"/>
      <c r="BM694" s="9"/>
      <c r="BN694" s="9"/>
      <c r="BO694" s="9"/>
      <c r="BP694" s="12"/>
      <c r="BQ694" s="12"/>
      <c r="BR694" s="12"/>
      <c r="BS694" s="12"/>
      <c r="BT694" s="12"/>
      <c r="BU694" s="12"/>
      <c r="BV694" s="12"/>
      <c r="BW694" s="12"/>
      <c r="BX694" s="12"/>
      <c r="BY694" s="9"/>
      <c r="BZ694" s="21"/>
      <c r="CA694" s="21"/>
      <c r="CB694" s="21"/>
      <c r="CC694" s="21"/>
      <c r="CD694" s="21"/>
      <c r="CE694" s="21"/>
      <c r="CF694" s="21"/>
      <c r="CG694" s="21"/>
      <c r="CH694" s="21"/>
      <c r="CI694" s="21"/>
      <c r="CJ694" s="21"/>
    </row>
    <row r="695" spans="1:88" ht="40.5" customHeight="1">
      <c r="A695" s="9"/>
      <c r="B695" s="12"/>
      <c r="C695" s="9" t="s">
        <v>1763</v>
      </c>
      <c r="D695" s="9" t="s">
        <v>1697</v>
      </c>
      <c r="E695" s="12">
        <v>0</v>
      </c>
      <c r="F695" s="12">
        <v>0</v>
      </c>
      <c r="G695" s="12" t="b">
        <v>0</v>
      </c>
      <c r="H695" s="9" t="s">
        <v>75</v>
      </c>
      <c r="I695" s="9" t="s">
        <v>1764</v>
      </c>
      <c r="J695" s="9" t="s">
        <v>75</v>
      </c>
      <c r="K695" s="11" t="s">
        <v>1765</v>
      </c>
      <c r="L695" s="12"/>
      <c r="M695" s="12"/>
      <c r="N695" s="13"/>
      <c r="O695" s="16" t="s">
        <v>78</v>
      </c>
      <c r="P695" s="14" t="s">
        <v>79</v>
      </c>
      <c r="Q695" s="15" t="s">
        <v>1700</v>
      </c>
      <c r="R695" s="14" t="s">
        <v>75</v>
      </c>
      <c r="S695" s="14" t="s">
        <v>75</v>
      </c>
      <c r="T695" s="16" t="s">
        <v>4</v>
      </c>
      <c r="U695" s="17"/>
      <c r="V695" s="13"/>
      <c r="W695" s="13"/>
      <c r="X695" s="13"/>
      <c r="Y695" s="13"/>
      <c r="Z695" s="13"/>
      <c r="AA695" s="13"/>
      <c r="AB695" s="18"/>
      <c r="AC695" s="18"/>
      <c r="AD695" s="18"/>
      <c r="AE695" s="18"/>
      <c r="AF695" s="18"/>
      <c r="AG695" s="18"/>
      <c r="AH695" s="13"/>
      <c r="AI695" s="18"/>
      <c r="AJ695" s="13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3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2"/>
      <c r="BK695" s="12"/>
      <c r="BL695" s="12"/>
      <c r="BM695" s="9"/>
      <c r="BN695" s="9"/>
      <c r="BO695" s="9"/>
      <c r="BP695" s="12"/>
      <c r="BQ695" s="12"/>
      <c r="BR695" s="12"/>
      <c r="BS695" s="12"/>
      <c r="BT695" s="12"/>
      <c r="BU695" s="12"/>
      <c r="BV695" s="12"/>
      <c r="BW695" s="12"/>
      <c r="BX695" s="12"/>
      <c r="BY695" s="9"/>
      <c r="BZ695" s="21"/>
      <c r="CA695" s="21"/>
      <c r="CB695" s="21"/>
      <c r="CC695" s="21"/>
      <c r="CD695" s="21"/>
      <c r="CE695" s="21"/>
      <c r="CF695" s="21"/>
      <c r="CG695" s="21"/>
      <c r="CH695" s="21"/>
      <c r="CI695" s="21"/>
      <c r="CJ695" s="21"/>
    </row>
    <row r="696" spans="1:88" ht="40.5" customHeight="1">
      <c r="A696" s="9"/>
      <c r="B696" s="12"/>
      <c r="C696" s="9" t="s">
        <v>1766</v>
      </c>
      <c r="D696" s="9" t="s">
        <v>1697</v>
      </c>
      <c r="E696" s="12">
        <v>0</v>
      </c>
      <c r="F696" s="12">
        <v>0</v>
      </c>
      <c r="G696" s="12" t="b">
        <v>0</v>
      </c>
      <c r="H696" s="9" t="s">
        <v>75</v>
      </c>
      <c r="I696" s="9" t="s">
        <v>1767</v>
      </c>
      <c r="J696" s="9" t="s">
        <v>75</v>
      </c>
      <c r="K696" s="11" t="s">
        <v>1768</v>
      </c>
      <c r="L696" s="12"/>
      <c r="M696" s="12"/>
      <c r="N696" s="13"/>
      <c r="O696" s="16" t="s">
        <v>78</v>
      </c>
      <c r="P696" s="14" t="s">
        <v>79</v>
      </c>
      <c r="Q696" s="15" t="s">
        <v>221</v>
      </c>
      <c r="R696" s="14" t="s">
        <v>75</v>
      </c>
      <c r="S696" s="14" t="s">
        <v>75</v>
      </c>
      <c r="T696" s="16" t="s">
        <v>101</v>
      </c>
      <c r="U696" s="17"/>
      <c r="V696" s="16" t="s">
        <v>78</v>
      </c>
      <c r="W696" s="16" t="s">
        <v>79</v>
      </c>
      <c r="X696" s="15" t="s">
        <v>1701</v>
      </c>
      <c r="Y696" s="16" t="s">
        <v>75</v>
      </c>
      <c r="Z696" s="16" t="s">
        <v>75</v>
      </c>
      <c r="AA696" s="16" t="s">
        <v>126</v>
      </c>
      <c r="AB696" s="18"/>
      <c r="AC696" s="19" t="s">
        <v>78</v>
      </c>
      <c r="AD696" s="19" t="s">
        <v>79</v>
      </c>
      <c r="AE696" s="20" t="s">
        <v>102</v>
      </c>
      <c r="AF696" s="19" t="s">
        <v>75</v>
      </c>
      <c r="AG696" s="19" t="s">
        <v>75</v>
      </c>
      <c r="AH696" s="16" t="s">
        <v>101</v>
      </c>
      <c r="AI696" s="18"/>
      <c r="AJ696" s="16" t="s">
        <v>78</v>
      </c>
      <c r="AK696" s="19" t="s">
        <v>79</v>
      </c>
      <c r="AL696" s="20" t="s">
        <v>1702</v>
      </c>
      <c r="AM696" s="19" t="s">
        <v>75</v>
      </c>
      <c r="AN696" s="19" t="s">
        <v>75</v>
      </c>
      <c r="AO696" s="19" t="s">
        <v>101</v>
      </c>
      <c r="AP696" s="18"/>
      <c r="AQ696" s="19" t="s">
        <v>78</v>
      </c>
      <c r="AR696" s="19" t="s">
        <v>79</v>
      </c>
      <c r="AS696" s="20" t="s">
        <v>1712</v>
      </c>
      <c r="AT696" s="19" t="s">
        <v>75</v>
      </c>
      <c r="AU696" s="19" t="s">
        <v>75</v>
      </c>
      <c r="AV696" s="19" t="s">
        <v>101</v>
      </c>
      <c r="AW696" s="18"/>
      <c r="AX696" s="13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2"/>
      <c r="BK696" s="12"/>
      <c r="BL696" s="12"/>
      <c r="BM696" s="9"/>
      <c r="BN696" s="9"/>
      <c r="BO696" s="9"/>
      <c r="BP696" s="12"/>
      <c r="BQ696" s="12"/>
      <c r="BR696" s="12"/>
      <c r="BS696" s="12"/>
      <c r="BT696" s="12"/>
      <c r="BU696" s="12"/>
      <c r="BV696" s="12"/>
      <c r="BW696" s="12"/>
      <c r="BX696" s="12"/>
      <c r="BY696" s="9"/>
      <c r="BZ696" s="21"/>
      <c r="CA696" s="21"/>
      <c r="CB696" s="21"/>
      <c r="CC696" s="21"/>
      <c r="CD696" s="21"/>
      <c r="CE696" s="21"/>
      <c r="CF696" s="21"/>
      <c r="CG696" s="21"/>
      <c r="CH696" s="21"/>
      <c r="CI696" s="21"/>
      <c r="CJ696" s="21"/>
    </row>
    <row r="697" spans="1:88" ht="40.5" customHeight="1">
      <c r="A697" s="9"/>
      <c r="B697" s="12"/>
      <c r="C697" s="9" t="s">
        <v>1769</v>
      </c>
      <c r="D697" s="9" t="s">
        <v>1697</v>
      </c>
      <c r="E697" s="12">
        <v>0</v>
      </c>
      <c r="F697" s="12">
        <v>0</v>
      </c>
      <c r="G697" s="12" t="b">
        <v>0</v>
      </c>
      <c r="H697" s="9" t="s">
        <v>75</v>
      </c>
      <c r="I697" s="9" t="s">
        <v>1770</v>
      </c>
      <c r="J697" s="9" t="s">
        <v>75</v>
      </c>
      <c r="K697" s="11" t="s">
        <v>1771</v>
      </c>
      <c r="L697" s="12"/>
      <c r="M697" s="12"/>
      <c r="N697" s="13"/>
      <c r="O697" s="16" t="s">
        <v>78</v>
      </c>
      <c r="P697" s="14" t="s">
        <v>79</v>
      </c>
      <c r="Q697" s="15" t="s">
        <v>1700</v>
      </c>
      <c r="R697" s="14" t="s">
        <v>75</v>
      </c>
      <c r="S697" s="14" t="s">
        <v>75</v>
      </c>
      <c r="T697" s="16" t="s">
        <v>145</v>
      </c>
      <c r="U697" s="17"/>
      <c r="V697" s="16" t="s">
        <v>78</v>
      </c>
      <c r="W697" s="16" t="s">
        <v>79</v>
      </c>
      <c r="X697" s="15" t="s">
        <v>1701</v>
      </c>
      <c r="Y697" s="16" t="s">
        <v>75</v>
      </c>
      <c r="Z697" s="16" t="s">
        <v>75</v>
      </c>
      <c r="AA697" s="16" t="s">
        <v>166</v>
      </c>
      <c r="AB697" s="18"/>
      <c r="AC697" s="19" t="s">
        <v>78</v>
      </c>
      <c r="AD697" s="19" t="s">
        <v>79</v>
      </c>
      <c r="AE697" s="20" t="s">
        <v>384</v>
      </c>
      <c r="AF697" s="19" t="s">
        <v>75</v>
      </c>
      <c r="AG697" s="19" t="s">
        <v>75</v>
      </c>
      <c r="AH697" s="16" t="s">
        <v>101</v>
      </c>
      <c r="AI697" s="18"/>
      <c r="AJ697" s="16" t="s">
        <v>78</v>
      </c>
      <c r="AK697" s="19" t="s">
        <v>79</v>
      </c>
      <c r="AL697" s="20" t="s">
        <v>1702</v>
      </c>
      <c r="AM697" s="19" t="s">
        <v>75</v>
      </c>
      <c r="AN697" s="19" t="s">
        <v>75</v>
      </c>
      <c r="AO697" s="19" t="s">
        <v>101</v>
      </c>
      <c r="AP697" s="18"/>
      <c r="AQ697" s="19" t="s">
        <v>78</v>
      </c>
      <c r="AR697" s="19" t="s">
        <v>79</v>
      </c>
      <c r="AS697" s="20" t="s">
        <v>1712</v>
      </c>
      <c r="AT697" s="19" t="s">
        <v>75</v>
      </c>
      <c r="AU697" s="19" t="s">
        <v>75</v>
      </c>
      <c r="AV697" s="19" t="s">
        <v>101</v>
      </c>
      <c r="AW697" s="18"/>
      <c r="AX697" s="13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2"/>
      <c r="BK697" s="12"/>
      <c r="BL697" s="12"/>
      <c r="BM697" s="9"/>
      <c r="BN697" s="9"/>
      <c r="BO697" s="9"/>
      <c r="BP697" s="12"/>
      <c r="BQ697" s="12"/>
      <c r="BR697" s="12"/>
      <c r="BS697" s="12"/>
      <c r="BT697" s="12"/>
      <c r="BU697" s="12"/>
      <c r="BV697" s="12"/>
      <c r="BW697" s="12"/>
      <c r="BX697" s="12"/>
      <c r="BY697" s="9"/>
      <c r="BZ697" s="21"/>
      <c r="CA697" s="21"/>
      <c r="CB697" s="21"/>
      <c r="CC697" s="21"/>
      <c r="CD697" s="21"/>
      <c r="CE697" s="21"/>
      <c r="CF697" s="21"/>
      <c r="CG697" s="21"/>
      <c r="CH697" s="21"/>
      <c r="CI697" s="21"/>
      <c r="CJ697" s="21"/>
    </row>
    <row r="698" spans="1:88" ht="40.5" customHeight="1">
      <c r="A698" s="9"/>
      <c r="B698" s="12"/>
      <c r="C698" s="9" t="s">
        <v>1772</v>
      </c>
      <c r="D698" s="9" t="s">
        <v>1697</v>
      </c>
      <c r="E698" s="12">
        <v>0</v>
      </c>
      <c r="F698" s="12">
        <v>0</v>
      </c>
      <c r="G698" s="12" t="b">
        <v>0</v>
      </c>
      <c r="H698" s="9" t="s">
        <v>75</v>
      </c>
      <c r="I698" s="9" t="s">
        <v>1773</v>
      </c>
      <c r="J698" s="9" t="s">
        <v>75</v>
      </c>
      <c r="K698" s="11" t="s">
        <v>1774</v>
      </c>
      <c r="L698" s="12"/>
      <c r="M698" s="12"/>
      <c r="N698" s="13"/>
      <c r="O698" s="16" t="s">
        <v>78</v>
      </c>
      <c r="P698" s="14" t="s">
        <v>79</v>
      </c>
      <c r="Q698" s="15" t="s">
        <v>1700</v>
      </c>
      <c r="R698" s="14" t="s">
        <v>75</v>
      </c>
      <c r="S698" s="14" t="s">
        <v>75</v>
      </c>
      <c r="T698" s="16" t="s">
        <v>145</v>
      </c>
      <c r="U698" s="17"/>
      <c r="V698" s="16" t="s">
        <v>78</v>
      </c>
      <c r="W698" s="16" t="s">
        <v>79</v>
      </c>
      <c r="X698" s="15" t="s">
        <v>221</v>
      </c>
      <c r="Y698" s="16" t="s">
        <v>75</v>
      </c>
      <c r="Z698" s="16" t="s">
        <v>75</v>
      </c>
      <c r="AA698" s="16" t="s">
        <v>101</v>
      </c>
      <c r="AB698" s="18"/>
      <c r="AC698" s="19" t="s">
        <v>78</v>
      </c>
      <c r="AD698" s="19" t="s">
        <v>79</v>
      </c>
      <c r="AE698" s="20" t="s">
        <v>1701</v>
      </c>
      <c r="AF698" s="19" t="s">
        <v>75</v>
      </c>
      <c r="AG698" s="19" t="s">
        <v>75</v>
      </c>
      <c r="AH698" s="16" t="s">
        <v>101</v>
      </c>
      <c r="AI698" s="18"/>
      <c r="AJ698" s="16" t="s">
        <v>78</v>
      </c>
      <c r="AK698" s="19" t="s">
        <v>79</v>
      </c>
      <c r="AL698" s="20" t="s">
        <v>384</v>
      </c>
      <c r="AM698" s="19" t="s">
        <v>75</v>
      </c>
      <c r="AN698" s="19" t="s">
        <v>75</v>
      </c>
      <c r="AO698" s="19" t="s">
        <v>101</v>
      </c>
      <c r="AP698" s="18"/>
      <c r="AQ698" s="19" t="s">
        <v>78</v>
      </c>
      <c r="AR698" s="19" t="s">
        <v>79</v>
      </c>
      <c r="AS698" s="20" t="s">
        <v>1702</v>
      </c>
      <c r="AT698" s="19" t="s">
        <v>75</v>
      </c>
      <c r="AU698" s="19" t="s">
        <v>75</v>
      </c>
      <c r="AV698" s="19" t="s">
        <v>101</v>
      </c>
      <c r="AW698" s="18"/>
      <c r="AX698" s="16" t="s">
        <v>78</v>
      </c>
      <c r="AY698" s="19" t="s">
        <v>79</v>
      </c>
      <c r="AZ698" s="20" t="s">
        <v>1712</v>
      </c>
      <c r="BA698" s="19" t="s">
        <v>75</v>
      </c>
      <c r="BB698" s="19" t="s">
        <v>75</v>
      </c>
      <c r="BC698" s="19" t="s">
        <v>101</v>
      </c>
      <c r="BD698" s="18"/>
      <c r="BE698" s="18"/>
      <c r="BF698" s="18"/>
      <c r="BG698" s="18"/>
      <c r="BH698" s="18"/>
      <c r="BI698" s="18"/>
      <c r="BJ698" s="12"/>
      <c r="BK698" s="12"/>
      <c r="BL698" s="12"/>
      <c r="BM698" s="9"/>
      <c r="BN698" s="9"/>
      <c r="BO698" s="9"/>
      <c r="BP698" s="12"/>
      <c r="BQ698" s="12"/>
      <c r="BR698" s="12"/>
      <c r="BS698" s="12"/>
      <c r="BT698" s="12"/>
      <c r="BU698" s="12"/>
      <c r="BV698" s="12"/>
      <c r="BW698" s="12"/>
      <c r="BX698" s="12"/>
      <c r="BY698" s="9"/>
      <c r="BZ698" s="21"/>
      <c r="CA698" s="21"/>
      <c r="CB698" s="21"/>
      <c r="CC698" s="21"/>
      <c r="CD698" s="21"/>
      <c r="CE698" s="21"/>
      <c r="CF698" s="21"/>
      <c r="CG698" s="21"/>
      <c r="CH698" s="21"/>
      <c r="CI698" s="21"/>
      <c r="CJ698" s="21"/>
    </row>
    <row r="699" spans="1:88" ht="40.5" customHeight="1">
      <c r="A699" s="9"/>
      <c r="B699" s="12"/>
      <c r="C699" s="9" t="s">
        <v>1775</v>
      </c>
      <c r="D699" s="9" t="s">
        <v>1697</v>
      </c>
      <c r="E699" s="12">
        <v>0</v>
      </c>
      <c r="F699" s="12">
        <v>0</v>
      </c>
      <c r="G699" s="12" t="b">
        <v>0</v>
      </c>
      <c r="H699" s="9" t="s">
        <v>75</v>
      </c>
      <c r="I699" s="10" t="s">
        <v>1776</v>
      </c>
      <c r="J699" s="9" t="s">
        <v>75</v>
      </c>
      <c r="K699" s="11" t="s">
        <v>1777</v>
      </c>
      <c r="L699" s="12"/>
      <c r="M699" s="12"/>
      <c r="N699" s="13"/>
      <c r="O699" s="16" t="s">
        <v>78</v>
      </c>
      <c r="P699" s="14" t="s">
        <v>79</v>
      </c>
      <c r="Q699" s="15" t="s">
        <v>1700</v>
      </c>
      <c r="R699" s="14" t="s">
        <v>75</v>
      </c>
      <c r="S699" s="14" t="s">
        <v>75</v>
      </c>
      <c r="T699" s="16" t="s">
        <v>4</v>
      </c>
      <c r="U699" s="17"/>
      <c r="V699" s="13"/>
      <c r="W699" s="13"/>
      <c r="X699" s="13"/>
      <c r="Y699" s="13"/>
      <c r="Z699" s="13"/>
      <c r="AA699" s="13"/>
      <c r="AB699" s="18"/>
      <c r="AC699" s="18"/>
      <c r="AD699" s="18"/>
      <c r="AE699" s="18"/>
      <c r="AF699" s="18"/>
      <c r="AG699" s="18"/>
      <c r="AH699" s="13"/>
      <c r="AI699" s="18"/>
      <c r="AJ699" s="13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3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2"/>
      <c r="BK699" s="12"/>
      <c r="BL699" s="12"/>
      <c r="BM699" s="9"/>
      <c r="BN699" s="9"/>
      <c r="BO699" s="9"/>
      <c r="BP699" s="12"/>
      <c r="BQ699" s="12"/>
      <c r="BR699" s="12"/>
      <c r="BS699" s="12"/>
      <c r="BT699" s="12"/>
      <c r="BU699" s="12"/>
      <c r="BV699" s="12"/>
      <c r="BW699" s="12"/>
      <c r="BX699" s="12"/>
      <c r="BY699" s="9"/>
      <c r="BZ699" s="21"/>
      <c r="CA699" s="21"/>
      <c r="CB699" s="21"/>
      <c r="CC699" s="21"/>
      <c r="CD699" s="21"/>
      <c r="CE699" s="21"/>
      <c r="CF699" s="21"/>
      <c r="CG699" s="21"/>
      <c r="CH699" s="21"/>
      <c r="CI699" s="21"/>
      <c r="CJ699" s="21"/>
    </row>
    <row r="700" spans="1:88" ht="40.5" customHeight="1">
      <c r="A700" s="9"/>
      <c r="B700" s="12"/>
      <c r="C700" s="9" t="s">
        <v>1778</v>
      </c>
      <c r="D700" s="9" t="s">
        <v>1697</v>
      </c>
      <c r="E700" s="12">
        <v>0</v>
      </c>
      <c r="F700" s="12">
        <v>0</v>
      </c>
      <c r="G700" s="12" t="b">
        <v>0</v>
      </c>
      <c r="H700" s="9" t="s">
        <v>75</v>
      </c>
      <c r="I700" s="9" t="s">
        <v>1779</v>
      </c>
      <c r="J700" s="9" t="s">
        <v>75</v>
      </c>
      <c r="K700" s="9" t="s">
        <v>79</v>
      </c>
      <c r="L700" s="12"/>
      <c r="M700" s="12"/>
      <c r="N700" s="13"/>
      <c r="O700" s="16" t="s">
        <v>78</v>
      </c>
      <c r="P700" s="14" t="s">
        <v>79</v>
      </c>
      <c r="Q700" s="15" t="s">
        <v>1700</v>
      </c>
      <c r="R700" s="23" t="s">
        <v>228</v>
      </c>
      <c r="S700" s="14" t="s">
        <v>75</v>
      </c>
      <c r="T700" s="16" t="s">
        <v>166</v>
      </c>
      <c r="U700" s="17"/>
      <c r="V700" s="16" t="s">
        <v>98</v>
      </c>
      <c r="W700" s="16" t="s">
        <v>79</v>
      </c>
      <c r="X700" s="15" t="s">
        <v>221</v>
      </c>
      <c r="Y700" s="16" t="s">
        <v>75</v>
      </c>
      <c r="Z700" s="16" t="s">
        <v>75</v>
      </c>
      <c r="AA700" s="16" t="s">
        <v>86</v>
      </c>
      <c r="AB700" s="18"/>
      <c r="AC700" s="19" t="s">
        <v>78</v>
      </c>
      <c r="AD700" s="19" t="s">
        <v>79</v>
      </c>
      <c r="AE700" s="20" t="s">
        <v>1712</v>
      </c>
      <c r="AF700" s="19" t="s">
        <v>75</v>
      </c>
      <c r="AG700" s="19" t="s">
        <v>75</v>
      </c>
      <c r="AH700" s="16" t="s">
        <v>86</v>
      </c>
      <c r="AI700" s="18"/>
      <c r="AJ700" s="13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3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2"/>
      <c r="BK700" s="12"/>
      <c r="BL700" s="12"/>
      <c r="BM700" s="9"/>
      <c r="BN700" s="9"/>
      <c r="BO700" s="9"/>
      <c r="BP700" s="12"/>
      <c r="BQ700" s="12"/>
      <c r="BR700" s="12"/>
      <c r="BS700" s="12"/>
      <c r="BT700" s="12"/>
      <c r="BU700" s="12"/>
      <c r="BV700" s="12"/>
      <c r="BW700" s="12"/>
      <c r="BX700" s="12"/>
      <c r="BY700" s="9"/>
      <c r="BZ700" s="21"/>
      <c r="CA700" s="21"/>
      <c r="CB700" s="21"/>
      <c r="CC700" s="21"/>
      <c r="CD700" s="21"/>
      <c r="CE700" s="21"/>
      <c r="CF700" s="21"/>
      <c r="CG700" s="21"/>
      <c r="CH700" s="21"/>
      <c r="CI700" s="21"/>
      <c r="CJ700" s="21"/>
    </row>
    <row r="701" spans="1:88" ht="40.5" customHeight="1">
      <c r="A701" s="9"/>
      <c r="B701" s="12"/>
      <c r="C701" s="9" t="s">
        <v>1780</v>
      </c>
      <c r="D701" s="9" t="s">
        <v>1697</v>
      </c>
      <c r="E701" s="12">
        <v>0</v>
      </c>
      <c r="F701" s="12">
        <v>0</v>
      </c>
      <c r="G701" s="12" t="b">
        <v>0</v>
      </c>
      <c r="H701" s="9" t="s">
        <v>75</v>
      </c>
      <c r="I701" s="9" t="s">
        <v>1781</v>
      </c>
      <c r="J701" s="9" t="s">
        <v>75</v>
      </c>
      <c r="K701" s="11" t="s">
        <v>1782</v>
      </c>
      <c r="L701" s="12"/>
      <c r="M701" s="12"/>
      <c r="N701" s="13"/>
      <c r="O701" s="16" t="s">
        <v>78</v>
      </c>
      <c r="P701" s="14" t="s">
        <v>79</v>
      </c>
      <c r="Q701" s="15" t="s">
        <v>1700</v>
      </c>
      <c r="R701" s="23" t="s">
        <v>228</v>
      </c>
      <c r="S701" s="14" t="s">
        <v>75</v>
      </c>
      <c r="T701" s="16" t="s">
        <v>166</v>
      </c>
      <c r="U701" s="17"/>
      <c r="V701" s="16" t="s">
        <v>78</v>
      </c>
      <c r="W701" s="16" t="s">
        <v>79</v>
      </c>
      <c r="X701" s="15" t="s">
        <v>221</v>
      </c>
      <c r="Y701" s="16" t="s">
        <v>75</v>
      </c>
      <c r="Z701" s="16" t="s">
        <v>75</v>
      </c>
      <c r="AA701" s="16" t="s">
        <v>190</v>
      </c>
      <c r="AB701" s="18"/>
      <c r="AC701" s="19" t="s">
        <v>78</v>
      </c>
      <c r="AD701" s="19" t="s">
        <v>79</v>
      </c>
      <c r="AE701" s="20" t="s">
        <v>1701</v>
      </c>
      <c r="AF701" s="19" t="s">
        <v>75</v>
      </c>
      <c r="AG701" s="19" t="s">
        <v>75</v>
      </c>
      <c r="AH701" s="16" t="s">
        <v>101</v>
      </c>
      <c r="AI701" s="18"/>
      <c r="AJ701" s="16" t="s">
        <v>78</v>
      </c>
      <c r="AK701" s="19" t="s">
        <v>79</v>
      </c>
      <c r="AL701" s="20" t="s">
        <v>384</v>
      </c>
      <c r="AM701" s="19" t="s">
        <v>75</v>
      </c>
      <c r="AN701" s="19" t="s">
        <v>75</v>
      </c>
      <c r="AO701" s="19" t="s">
        <v>101</v>
      </c>
      <c r="AP701" s="18"/>
      <c r="AQ701" s="19" t="s">
        <v>78</v>
      </c>
      <c r="AR701" s="19" t="s">
        <v>79</v>
      </c>
      <c r="AS701" s="20" t="s">
        <v>1712</v>
      </c>
      <c r="AT701" s="19" t="s">
        <v>75</v>
      </c>
      <c r="AU701" s="19" t="s">
        <v>75</v>
      </c>
      <c r="AV701" s="19" t="s">
        <v>101</v>
      </c>
      <c r="AW701" s="18"/>
      <c r="AX701" s="13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2"/>
      <c r="BK701" s="12"/>
      <c r="BL701" s="12"/>
      <c r="BM701" s="9"/>
      <c r="BN701" s="9"/>
      <c r="BO701" s="9"/>
      <c r="BP701" s="12"/>
      <c r="BQ701" s="12"/>
      <c r="BR701" s="12"/>
      <c r="BS701" s="12"/>
      <c r="BT701" s="12"/>
      <c r="BU701" s="12"/>
      <c r="BV701" s="12"/>
      <c r="BW701" s="12"/>
      <c r="BX701" s="12"/>
      <c r="BY701" s="9"/>
      <c r="BZ701" s="21"/>
      <c r="CA701" s="21"/>
      <c r="CB701" s="21"/>
      <c r="CC701" s="21"/>
      <c r="CD701" s="21"/>
      <c r="CE701" s="21"/>
      <c r="CF701" s="21"/>
      <c r="CG701" s="21"/>
      <c r="CH701" s="21"/>
      <c r="CI701" s="21"/>
      <c r="CJ701" s="21"/>
    </row>
    <row r="702" spans="1:88" ht="40.5" customHeight="1">
      <c r="A702" s="9"/>
      <c r="B702" s="12"/>
      <c r="C702" s="9" t="s">
        <v>1783</v>
      </c>
      <c r="D702" s="9" t="s">
        <v>1697</v>
      </c>
      <c r="E702" s="12">
        <v>0</v>
      </c>
      <c r="F702" s="12">
        <v>0</v>
      </c>
      <c r="G702" s="12" t="b">
        <v>0</v>
      </c>
      <c r="H702" s="9" t="s">
        <v>75</v>
      </c>
      <c r="I702" s="10" t="s">
        <v>1784</v>
      </c>
      <c r="J702" s="9" t="s">
        <v>75</v>
      </c>
      <c r="K702" s="11" t="s">
        <v>1785</v>
      </c>
      <c r="L702" s="12"/>
      <c r="M702" s="12"/>
      <c r="N702" s="13"/>
      <c r="O702" s="16" t="s">
        <v>78</v>
      </c>
      <c r="P702" s="14" t="s">
        <v>79</v>
      </c>
      <c r="Q702" s="15" t="s">
        <v>1700</v>
      </c>
      <c r="R702" s="14" t="s">
        <v>75</v>
      </c>
      <c r="S702" s="14" t="s">
        <v>75</v>
      </c>
      <c r="T702" s="16" t="s">
        <v>4</v>
      </c>
      <c r="U702" s="17"/>
      <c r="V702" s="13"/>
      <c r="W702" s="13"/>
      <c r="X702" s="13"/>
      <c r="Y702" s="13"/>
      <c r="Z702" s="13"/>
      <c r="AA702" s="13"/>
      <c r="AB702" s="18"/>
      <c r="AC702" s="18"/>
      <c r="AD702" s="18"/>
      <c r="AE702" s="18"/>
      <c r="AF702" s="18"/>
      <c r="AG702" s="18"/>
      <c r="AH702" s="13"/>
      <c r="AI702" s="18"/>
      <c r="AJ702" s="13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3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2"/>
      <c r="BK702" s="12"/>
      <c r="BL702" s="12"/>
      <c r="BM702" s="9"/>
      <c r="BN702" s="9"/>
      <c r="BO702" s="9"/>
      <c r="BP702" s="12"/>
      <c r="BQ702" s="12"/>
      <c r="BR702" s="12"/>
      <c r="BS702" s="12"/>
      <c r="BT702" s="12"/>
      <c r="BU702" s="12"/>
      <c r="BV702" s="12"/>
      <c r="BW702" s="12"/>
      <c r="BX702" s="12"/>
      <c r="BY702" s="9"/>
      <c r="BZ702" s="21"/>
      <c r="CA702" s="21"/>
      <c r="CB702" s="21"/>
      <c r="CC702" s="21"/>
      <c r="CD702" s="21"/>
      <c r="CE702" s="21"/>
      <c r="CF702" s="21"/>
      <c r="CG702" s="21"/>
      <c r="CH702" s="21"/>
      <c r="CI702" s="21"/>
      <c r="CJ702" s="21"/>
    </row>
    <row r="703" spans="1:88" ht="40.5" customHeight="1">
      <c r="A703" s="9"/>
      <c r="B703" s="12"/>
      <c r="C703" s="9" t="s">
        <v>1786</v>
      </c>
      <c r="D703" s="9" t="s">
        <v>1697</v>
      </c>
      <c r="E703" s="12">
        <v>0</v>
      </c>
      <c r="F703" s="12">
        <v>0</v>
      </c>
      <c r="G703" s="12" t="b">
        <v>0</v>
      </c>
      <c r="H703" s="9" t="s">
        <v>75</v>
      </c>
      <c r="I703" s="9" t="s">
        <v>1787</v>
      </c>
      <c r="J703" s="9" t="s">
        <v>75</v>
      </c>
      <c r="K703" s="11" t="s">
        <v>1788</v>
      </c>
      <c r="L703" s="12"/>
      <c r="M703" s="12"/>
      <c r="N703" s="13"/>
      <c r="O703" s="16" t="s">
        <v>78</v>
      </c>
      <c r="P703" s="14" t="s">
        <v>79</v>
      </c>
      <c r="Q703" s="15" t="s">
        <v>1700</v>
      </c>
      <c r="R703" s="14" t="s">
        <v>75</v>
      </c>
      <c r="S703" s="14" t="s">
        <v>75</v>
      </c>
      <c r="T703" s="16" t="s">
        <v>145</v>
      </c>
      <c r="U703" s="17"/>
      <c r="V703" s="16" t="s">
        <v>78</v>
      </c>
      <c r="W703" s="16" t="s">
        <v>79</v>
      </c>
      <c r="X703" s="15" t="s">
        <v>221</v>
      </c>
      <c r="Y703" s="16" t="s">
        <v>75</v>
      </c>
      <c r="Z703" s="16" t="s">
        <v>75</v>
      </c>
      <c r="AA703" s="16" t="s">
        <v>145</v>
      </c>
      <c r="AB703" s="18"/>
      <c r="AC703" s="19" t="s">
        <v>7</v>
      </c>
      <c r="AD703" s="19" t="s">
        <v>79</v>
      </c>
      <c r="AE703" s="20" t="s">
        <v>1701</v>
      </c>
      <c r="AF703" s="19" t="s">
        <v>75</v>
      </c>
      <c r="AG703" s="19" t="s">
        <v>75</v>
      </c>
      <c r="AH703" s="16" t="s">
        <v>86</v>
      </c>
      <c r="AI703" s="18"/>
      <c r="AJ703" s="13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3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2"/>
      <c r="BK703" s="12"/>
      <c r="BL703" s="12"/>
      <c r="BM703" s="9"/>
      <c r="BN703" s="9"/>
      <c r="BO703" s="9"/>
      <c r="BP703" s="12"/>
      <c r="BQ703" s="12"/>
      <c r="BR703" s="12"/>
      <c r="BS703" s="12"/>
      <c r="BT703" s="12"/>
      <c r="BU703" s="12"/>
      <c r="BV703" s="12"/>
      <c r="BW703" s="12"/>
      <c r="BX703" s="12"/>
      <c r="BY703" s="9"/>
      <c r="BZ703" s="21"/>
      <c r="CA703" s="21"/>
      <c r="CB703" s="21"/>
      <c r="CC703" s="21"/>
      <c r="CD703" s="21"/>
      <c r="CE703" s="21"/>
      <c r="CF703" s="21"/>
      <c r="CG703" s="21"/>
      <c r="CH703" s="21"/>
      <c r="CI703" s="21"/>
      <c r="CJ703" s="21"/>
    </row>
    <row r="704" spans="1:88" ht="40.5" customHeight="1">
      <c r="A704" s="9"/>
      <c r="B704" s="12"/>
      <c r="C704" s="9" t="s">
        <v>1789</v>
      </c>
      <c r="D704" s="9" t="s">
        <v>1697</v>
      </c>
      <c r="E704" s="12">
        <v>0</v>
      </c>
      <c r="F704" s="12">
        <v>0</v>
      </c>
      <c r="G704" s="12" t="b">
        <v>0</v>
      </c>
      <c r="H704" s="9" t="s">
        <v>75</v>
      </c>
      <c r="I704" s="9" t="s">
        <v>1790</v>
      </c>
      <c r="J704" s="9" t="s">
        <v>75</v>
      </c>
      <c r="K704" s="11" t="s">
        <v>1791</v>
      </c>
      <c r="L704" s="12"/>
      <c r="M704" s="12"/>
      <c r="N704" s="13"/>
      <c r="O704" s="16" t="s">
        <v>78</v>
      </c>
      <c r="P704" s="14" t="s">
        <v>79</v>
      </c>
      <c r="Q704" s="15" t="s">
        <v>1700</v>
      </c>
      <c r="R704" s="14" t="s">
        <v>75</v>
      </c>
      <c r="S704" s="14" t="s">
        <v>75</v>
      </c>
      <c r="T704" s="16" t="s">
        <v>145</v>
      </c>
      <c r="U704" s="17"/>
      <c r="V704" s="16" t="s">
        <v>78</v>
      </c>
      <c r="W704" s="16" t="s">
        <v>79</v>
      </c>
      <c r="X704" s="15" t="s">
        <v>221</v>
      </c>
      <c r="Y704" s="16" t="s">
        <v>75</v>
      </c>
      <c r="Z704" s="16" t="s">
        <v>75</v>
      </c>
      <c r="AA704" s="16" t="s">
        <v>145</v>
      </c>
      <c r="AB704" s="18"/>
      <c r="AC704" s="19" t="s">
        <v>78</v>
      </c>
      <c r="AD704" s="19" t="s">
        <v>79</v>
      </c>
      <c r="AE704" s="20" t="s">
        <v>1701</v>
      </c>
      <c r="AF704" s="19" t="s">
        <v>75</v>
      </c>
      <c r="AG704" s="19" t="s">
        <v>75</v>
      </c>
      <c r="AH704" s="16" t="s">
        <v>101</v>
      </c>
      <c r="AI704" s="18"/>
      <c r="AJ704" s="16" t="s">
        <v>78</v>
      </c>
      <c r="AK704" s="19" t="s">
        <v>79</v>
      </c>
      <c r="AL704" s="20" t="s">
        <v>1792</v>
      </c>
      <c r="AM704" s="19" t="s">
        <v>75</v>
      </c>
      <c r="AN704" s="19" t="s">
        <v>75</v>
      </c>
      <c r="AO704" s="19" t="s">
        <v>145</v>
      </c>
      <c r="AP704" s="18"/>
      <c r="AQ704" s="18"/>
      <c r="AR704" s="18"/>
      <c r="AS704" s="18"/>
      <c r="AT704" s="18"/>
      <c r="AU704" s="18"/>
      <c r="AV704" s="18"/>
      <c r="AW704" s="18"/>
      <c r="AX704" s="13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2"/>
      <c r="BK704" s="12"/>
      <c r="BL704" s="12"/>
      <c r="BM704" s="9"/>
      <c r="BN704" s="9"/>
      <c r="BO704" s="9"/>
      <c r="BP704" s="12"/>
      <c r="BQ704" s="12"/>
      <c r="BR704" s="12"/>
      <c r="BS704" s="12"/>
      <c r="BT704" s="12"/>
      <c r="BU704" s="12"/>
      <c r="BV704" s="12"/>
      <c r="BW704" s="12"/>
      <c r="BX704" s="12"/>
      <c r="BY704" s="9"/>
      <c r="BZ704" s="21"/>
      <c r="CA704" s="21"/>
      <c r="CB704" s="21"/>
      <c r="CC704" s="21"/>
      <c r="CD704" s="21"/>
      <c r="CE704" s="21"/>
      <c r="CF704" s="21"/>
      <c r="CG704" s="21"/>
      <c r="CH704" s="21"/>
      <c r="CI704" s="21"/>
      <c r="CJ704" s="21"/>
    </row>
    <row r="705" spans="1:88" ht="40.5" customHeight="1">
      <c r="A705" s="9"/>
      <c r="B705" s="12"/>
      <c r="C705" s="9" t="s">
        <v>1793</v>
      </c>
      <c r="D705" s="9" t="s">
        <v>1697</v>
      </c>
      <c r="E705" s="12">
        <v>0</v>
      </c>
      <c r="F705" s="12">
        <v>0</v>
      </c>
      <c r="G705" s="12" t="b">
        <v>0</v>
      </c>
      <c r="H705" s="9" t="s">
        <v>75</v>
      </c>
      <c r="I705" s="9" t="s">
        <v>1794</v>
      </c>
      <c r="J705" s="9" t="s">
        <v>75</v>
      </c>
      <c r="K705" s="11" t="s">
        <v>1795</v>
      </c>
      <c r="L705" s="12"/>
      <c r="M705" s="12"/>
      <c r="N705" s="13"/>
      <c r="O705" s="16" t="s">
        <v>78</v>
      </c>
      <c r="P705" s="14" t="s">
        <v>79</v>
      </c>
      <c r="Q705" s="15" t="s">
        <v>1700</v>
      </c>
      <c r="R705" s="14" t="s">
        <v>75</v>
      </c>
      <c r="S705" s="14" t="s">
        <v>75</v>
      </c>
      <c r="T705" s="16" t="s">
        <v>4</v>
      </c>
      <c r="U705" s="17"/>
      <c r="V705" s="13"/>
      <c r="W705" s="13"/>
      <c r="X705" s="13"/>
      <c r="Y705" s="13"/>
      <c r="Z705" s="13"/>
      <c r="AA705" s="13"/>
      <c r="AB705" s="18"/>
      <c r="AC705" s="18"/>
      <c r="AD705" s="18"/>
      <c r="AE705" s="18"/>
      <c r="AF705" s="18"/>
      <c r="AG705" s="18"/>
      <c r="AH705" s="13"/>
      <c r="AI705" s="18"/>
      <c r="AJ705" s="13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3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2"/>
      <c r="BK705" s="12"/>
      <c r="BL705" s="12"/>
      <c r="BM705" s="9"/>
      <c r="BN705" s="9"/>
      <c r="BO705" s="9"/>
      <c r="BP705" s="12"/>
      <c r="BQ705" s="12"/>
      <c r="BR705" s="12"/>
      <c r="BS705" s="12"/>
      <c r="BT705" s="12"/>
      <c r="BU705" s="12"/>
      <c r="BV705" s="12"/>
      <c r="BW705" s="12"/>
      <c r="BX705" s="12"/>
      <c r="BY705" s="9"/>
      <c r="BZ705" s="21"/>
      <c r="CA705" s="21"/>
      <c r="CB705" s="21"/>
      <c r="CC705" s="21"/>
      <c r="CD705" s="21"/>
      <c r="CE705" s="21"/>
      <c r="CF705" s="21"/>
      <c r="CG705" s="21"/>
      <c r="CH705" s="21"/>
      <c r="CI705" s="21"/>
      <c r="CJ705" s="21"/>
    </row>
    <row r="706" spans="1:88" ht="40.5" customHeight="1">
      <c r="A706" s="9"/>
      <c r="B706" s="12"/>
      <c r="C706" s="9" t="s">
        <v>1796</v>
      </c>
      <c r="D706" s="9" t="s">
        <v>1697</v>
      </c>
      <c r="E706" s="12">
        <v>0</v>
      </c>
      <c r="F706" s="12">
        <v>0</v>
      </c>
      <c r="G706" s="12" t="b">
        <v>0</v>
      </c>
      <c r="H706" s="9" t="s">
        <v>75</v>
      </c>
      <c r="I706" s="9" t="s">
        <v>1797</v>
      </c>
      <c r="J706" s="9" t="s">
        <v>75</v>
      </c>
      <c r="K706" s="11" t="s">
        <v>1798</v>
      </c>
      <c r="L706" s="12"/>
      <c r="M706" s="12"/>
      <c r="N706" s="13"/>
      <c r="O706" s="16" t="s">
        <v>78</v>
      </c>
      <c r="P706" s="14" t="s">
        <v>79</v>
      </c>
      <c r="Q706" s="15" t="s">
        <v>1700</v>
      </c>
      <c r="R706" s="14" t="s">
        <v>75</v>
      </c>
      <c r="S706" s="14" t="s">
        <v>75</v>
      </c>
      <c r="T706" s="16" t="s">
        <v>145</v>
      </c>
      <c r="U706" s="17"/>
      <c r="V706" s="16" t="s">
        <v>78</v>
      </c>
      <c r="W706" s="16" t="s">
        <v>79</v>
      </c>
      <c r="X706" s="15" t="s">
        <v>221</v>
      </c>
      <c r="Y706" s="16" t="s">
        <v>75</v>
      </c>
      <c r="Z706" s="16" t="s">
        <v>75</v>
      </c>
      <c r="AA706" s="16" t="s">
        <v>101</v>
      </c>
      <c r="AB706" s="18"/>
      <c r="AC706" s="19" t="s">
        <v>78</v>
      </c>
      <c r="AD706" s="19" t="s">
        <v>79</v>
      </c>
      <c r="AE706" s="20" t="s">
        <v>1701</v>
      </c>
      <c r="AF706" s="19" t="s">
        <v>75</v>
      </c>
      <c r="AG706" s="19" t="s">
        <v>75</v>
      </c>
      <c r="AH706" s="16" t="s">
        <v>101</v>
      </c>
      <c r="AI706" s="18"/>
      <c r="AJ706" s="16" t="s">
        <v>78</v>
      </c>
      <c r="AK706" s="19" t="s">
        <v>79</v>
      </c>
      <c r="AL706" s="20" t="s">
        <v>1792</v>
      </c>
      <c r="AM706" s="19" t="s">
        <v>75</v>
      </c>
      <c r="AN706" s="19" t="s">
        <v>75</v>
      </c>
      <c r="AO706" s="19" t="s">
        <v>101</v>
      </c>
      <c r="AP706" s="18"/>
      <c r="AQ706" s="18"/>
      <c r="AR706" s="18"/>
      <c r="AS706" s="18"/>
      <c r="AT706" s="18"/>
      <c r="AU706" s="18"/>
      <c r="AV706" s="18"/>
      <c r="AW706" s="18"/>
      <c r="AX706" s="13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2"/>
      <c r="BK706" s="12"/>
      <c r="BL706" s="12"/>
      <c r="BM706" s="9"/>
      <c r="BN706" s="9"/>
      <c r="BO706" s="9"/>
      <c r="BP706" s="12"/>
      <c r="BQ706" s="12"/>
      <c r="BR706" s="12"/>
      <c r="BS706" s="12"/>
      <c r="BT706" s="12"/>
      <c r="BU706" s="12"/>
      <c r="BV706" s="12"/>
      <c r="BW706" s="12"/>
      <c r="BX706" s="12"/>
      <c r="BY706" s="9"/>
      <c r="BZ706" s="21"/>
      <c r="CA706" s="21"/>
      <c r="CB706" s="21"/>
      <c r="CC706" s="21"/>
      <c r="CD706" s="21"/>
      <c r="CE706" s="21"/>
      <c r="CF706" s="21"/>
      <c r="CG706" s="21"/>
      <c r="CH706" s="21"/>
      <c r="CI706" s="21"/>
      <c r="CJ706" s="21"/>
    </row>
    <row r="707" spans="1:88" ht="40.5" customHeight="1">
      <c r="A707" s="9"/>
      <c r="B707" s="12"/>
      <c r="C707" s="9" t="s">
        <v>1799</v>
      </c>
      <c r="D707" s="9" t="s">
        <v>1697</v>
      </c>
      <c r="E707" s="12">
        <v>0</v>
      </c>
      <c r="F707" s="12">
        <v>0</v>
      </c>
      <c r="G707" s="12" t="b">
        <v>0</v>
      </c>
      <c r="H707" s="9" t="s">
        <v>75</v>
      </c>
      <c r="I707" s="9" t="s">
        <v>1800</v>
      </c>
      <c r="J707" s="9" t="s">
        <v>75</v>
      </c>
      <c r="K707" s="9" t="s">
        <v>79</v>
      </c>
      <c r="L707" s="12"/>
      <c r="M707" s="12"/>
      <c r="N707" s="13"/>
      <c r="O707" s="16" t="s">
        <v>78</v>
      </c>
      <c r="P707" s="14" t="s">
        <v>79</v>
      </c>
      <c r="Q707" s="15" t="s">
        <v>1700</v>
      </c>
      <c r="R707" s="14" t="s">
        <v>75</v>
      </c>
      <c r="S707" s="14" t="s">
        <v>75</v>
      </c>
      <c r="T707" s="16" t="s">
        <v>101</v>
      </c>
      <c r="U707" s="17"/>
      <c r="V707" s="16" t="s">
        <v>78</v>
      </c>
      <c r="W707" s="16" t="s">
        <v>79</v>
      </c>
      <c r="X707" s="15" t="s">
        <v>881</v>
      </c>
      <c r="Y707" s="16" t="s">
        <v>75</v>
      </c>
      <c r="Z707" s="16" t="s">
        <v>75</v>
      </c>
      <c r="AA707" s="16" t="s">
        <v>166</v>
      </c>
      <c r="AB707" s="18"/>
      <c r="AC707" s="19" t="s">
        <v>78</v>
      </c>
      <c r="AD707" s="19" t="s">
        <v>79</v>
      </c>
      <c r="AE707" s="20" t="s">
        <v>1701</v>
      </c>
      <c r="AF707" s="19" t="s">
        <v>75</v>
      </c>
      <c r="AG707" s="19" t="s">
        <v>75</v>
      </c>
      <c r="AH707" s="16" t="s">
        <v>101</v>
      </c>
      <c r="AI707" s="18"/>
      <c r="AJ707" s="16" t="s">
        <v>78</v>
      </c>
      <c r="AK707" s="19" t="s">
        <v>79</v>
      </c>
      <c r="AL707" s="20" t="s">
        <v>1792</v>
      </c>
      <c r="AM707" s="19" t="s">
        <v>75</v>
      </c>
      <c r="AN707" s="19" t="s">
        <v>75</v>
      </c>
      <c r="AO707" s="19" t="s">
        <v>101</v>
      </c>
      <c r="AP707" s="18"/>
      <c r="AQ707" s="18"/>
      <c r="AR707" s="18"/>
      <c r="AS707" s="18"/>
      <c r="AT707" s="18"/>
      <c r="AU707" s="18"/>
      <c r="AV707" s="18"/>
      <c r="AW707" s="18"/>
      <c r="AX707" s="13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2"/>
      <c r="BK707" s="12"/>
      <c r="BL707" s="12"/>
      <c r="BM707" s="9"/>
      <c r="BN707" s="9"/>
      <c r="BO707" s="9"/>
      <c r="BP707" s="12"/>
      <c r="BQ707" s="12"/>
      <c r="BR707" s="12"/>
      <c r="BS707" s="12"/>
      <c r="BT707" s="12"/>
      <c r="BU707" s="12"/>
      <c r="BV707" s="12"/>
      <c r="BW707" s="12"/>
      <c r="BX707" s="12"/>
      <c r="BY707" s="9"/>
      <c r="BZ707" s="21"/>
      <c r="CA707" s="21"/>
      <c r="CB707" s="21"/>
      <c r="CC707" s="21"/>
      <c r="CD707" s="21"/>
      <c r="CE707" s="21"/>
      <c r="CF707" s="21"/>
      <c r="CG707" s="21"/>
      <c r="CH707" s="21"/>
      <c r="CI707" s="21"/>
      <c r="CJ707" s="21"/>
    </row>
    <row r="708" spans="1:88" ht="40.5" customHeight="1">
      <c r="A708" s="9"/>
      <c r="B708" s="12"/>
      <c r="C708" s="9" t="s">
        <v>1801</v>
      </c>
      <c r="D708" s="9" t="s">
        <v>1697</v>
      </c>
      <c r="E708" s="12">
        <v>0</v>
      </c>
      <c r="F708" s="12">
        <v>0</v>
      </c>
      <c r="G708" s="12" t="b">
        <v>0</v>
      </c>
      <c r="H708" s="9" t="s">
        <v>75</v>
      </c>
      <c r="I708" s="9" t="s">
        <v>1802</v>
      </c>
      <c r="J708" s="9" t="s">
        <v>75</v>
      </c>
      <c r="K708" s="11" t="s">
        <v>1803</v>
      </c>
      <c r="L708" s="12"/>
      <c r="M708" s="12"/>
      <c r="N708" s="13"/>
      <c r="O708" s="16" t="s">
        <v>98</v>
      </c>
      <c r="P708" s="14" t="s">
        <v>79</v>
      </c>
      <c r="Q708" s="15" t="s">
        <v>881</v>
      </c>
      <c r="R708" s="14" t="s">
        <v>75</v>
      </c>
      <c r="S708" s="14" t="s">
        <v>75</v>
      </c>
      <c r="T708" s="16" t="s">
        <v>101</v>
      </c>
      <c r="U708" s="17"/>
      <c r="V708" s="16" t="s">
        <v>78</v>
      </c>
      <c r="W708" s="16" t="s">
        <v>79</v>
      </c>
      <c r="X708" s="15" t="s">
        <v>1701</v>
      </c>
      <c r="Y708" s="16" t="s">
        <v>75</v>
      </c>
      <c r="Z708" s="16" t="s">
        <v>75</v>
      </c>
      <c r="AA708" s="16" t="s">
        <v>101</v>
      </c>
      <c r="AB708" s="18"/>
      <c r="AC708" s="19" t="s">
        <v>78</v>
      </c>
      <c r="AD708" s="19" t="s">
        <v>79</v>
      </c>
      <c r="AE708" s="20" t="s">
        <v>1792</v>
      </c>
      <c r="AF708" s="19" t="s">
        <v>75</v>
      </c>
      <c r="AG708" s="19" t="s">
        <v>75</v>
      </c>
      <c r="AH708" s="16" t="s">
        <v>4</v>
      </c>
      <c r="AI708" s="18"/>
      <c r="AJ708" s="13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3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2"/>
      <c r="BK708" s="12"/>
      <c r="BL708" s="12"/>
      <c r="BM708" s="9"/>
      <c r="BN708" s="9"/>
      <c r="BO708" s="9"/>
      <c r="BP708" s="12"/>
      <c r="BQ708" s="12"/>
      <c r="BR708" s="12"/>
      <c r="BS708" s="12"/>
      <c r="BT708" s="12"/>
      <c r="BU708" s="12"/>
      <c r="BV708" s="12"/>
      <c r="BW708" s="12"/>
      <c r="BX708" s="12"/>
      <c r="BY708" s="9"/>
      <c r="BZ708" s="21"/>
      <c r="CA708" s="21"/>
      <c r="CB708" s="21"/>
      <c r="CC708" s="21"/>
      <c r="CD708" s="21"/>
      <c r="CE708" s="21"/>
      <c r="CF708" s="21"/>
      <c r="CG708" s="21"/>
      <c r="CH708" s="21"/>
      <c r="CI708" s="21"/>
      <c r="CJ708" s="21"/>
    </row>
    <row r="709" spans="1:88" ht="40.5" customHeight="1">
      <c r="A709" s="9"/>
      <c r="B709" s="12"/>
      <c r="C709" s="9" t="s">
        <v>1804</v>
      </c>
      <c r="D709" s="9" t="s">
        <v>1697</v>
      </c>
      <c r="E709" s="12">
        <v>0</v>
      </c>
      <c r="F709" s="12">
        <v>0</v>
      </c>
      <c r="G709" s="12" t="b">
        <v>0</v>
      </c>
      <c r="H709" s="9" t="s">
        <v>75</v>
      </c>
      <c r="I709" s="9" t="s">
        <v>1805</v>
      </c>
      <c r="J709" s="9" t="s">
        <v>75</v>
      </c>
      <c r="K709" s="11" t="s">
        <v>1806</v>
      </c>
      <c r="L709" s="12"/>
      <c r="M709" s="12"/>
      <c r="N709" s="13"/>
      <c r="O709" s="16" t="s">
        <v>78</v>
      </c>
      <c r="P709" s="14" t="s">
        <v>79</v>
      </c>
      <c r="Q709" s="15" t="s">
        <v>1700</v>
      </c>
      <c r="R709" s="23" t="s">
        <v>228</v>
      </c>
      <c r="S709" s="14" t="s">
        <v>75</v>
      </c>
      <c r="T709" s="16" t="s">
        <v>166</v>
      </c>
      <c r="U709" s="17"/>
      <c r="V709" s="16" t="s">
        <v>78</v>
      </c>
      <c r="W709" s="16" t="s">
        <v>79</v>
      </c>
      <c r="X709" s="15" t="s">
        <v>881</v>
      </c>
      <c r="Y709" s="16" t="s">
        <v>75</v>
      </c>
      <c r="Z709" s="16" t="s">
        <v>75</v>
      </c>
      <c r="AA709" s="16" t="s">
        <v>101</v>
      </c>
      <c r="AB709" s="18"/>
      <c r="AC709" s="19" t="s">
        <v>78</v>
      </c>
      <c r="AD709" s="19" t="s">
        <v>79</v>
      </c>
      <c r="AE709" s="20" t="s">
        <v>1792</v>
      </c>
      <c r="AF709" s="19" t="s">
        <v>75</v>
      </c>
      <c r="AG709" s="19" t="s">
        <v>75</v>
      </c>
      <c r="AH709" s="16" t="s">
        <v>4</v>
      </c>
      <c r="AI709" s="18"/>
      <c r="AJ709" s="13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3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2"/>
      <c r="BK709" s="12"/>
      <c r="BL709" s="12"/>
      <c r="BM709" s="9"/>
      <c r="BN709" s="9"/>
      <c r="BO709" s="9"/>
      <c r="BP709" s="12"/>
      <c r="BQ709" s="12"/>
      <c r="BR709" s="12"/>
      <c r="BS709" s="12"/>
      <c r="BT709" s="12"/>
      <c r="BU709" s="12"/>
      <c r="BV709" s="12"/>
      <c r="BW709" s="12"/>
      <c r="BX709" s="12"/>
      <c r="BY709" s="9"/>
      <c r="BZ709" s="21"/>
      <c r="CA709" s="21"/>
      <c r="CB709" s="21"/>
      <c r="CC709" s="21"/>
      <c r="CD709" s="21"/>
      <c r="CE709" s="21"/>
      <c r="CF709" s="21"/>
      <c r="CG709" s="21"/>
      <c r="CH709" s="21"/>
      <c r="CI709" s="21"/>
      <c r="CJ709" s="21"/>
    </row>
    <row r="710" spans="1:88" ht="40.5" customHeight="1">
      <c r="A710" s="9"/>
      <c r="B710" s="12"/>
      <c r="C710" s="9" t="s">
        <v>1807</v>
      </c>
      <c r="D710" s="9" t="s">
        <v>1697</v>
      </c>
      <c r="E710" s="12">
        <v>0</v>
      </c>
      <c r="F710" s="12">
        <v>0</v>
      </c>
      <c r="G710" s="12" t="b">
        <v>0</v>
      </c>
      <c r="H710" s="9" t="s">
        <v>75</v>
      </c>
      <c r="I710" s="9" t="s">
        <v>1808</v>
      </c>
      <c r="J710" s="9" t="s">
        <v>75</v>
      </c>
      <c r="K710" s="9" t="s">
        <v>79</v>
      </c>
      <c r="L710" s="12"/>
      <c r="M710" s="12"/>
      <c r="N710" s="13"/>
      <c r="O710" s="16" t="s">
        <v>78</v>
      </c>
      <c r="P710" s="14" t="s">
        <v>79</v>
      </c>
      <c r="Q710" s="15" t="s">
        <v>1700</v>
      </c>
      <c r="R710" s="23" t="s">
        <v>228</v>
      </c>
      <c r="S710" s="23" t="s">
        <v>84</v>
      </c>
      <c r="T710" s="16" t="s">
        <v>166</v>
      </c>
      <c r="U710" s="17"/>
      <c r="V710" s="16" t="s">
        <v>78</v>
      </c>
      <c r="W710" s="16" t="s">
        <v>79</v>
      </c>
      <c r="X710" s="15" t="s">
        <v>881</v>
      </c>
      <c r="Y710" s="16" t="s">
        <v>75</v>
      </c>
      <c r="Z710" s="16" t="s">
        <v>75</v>
      </c>
      <c r="AA710" s="16" t="s">
        <v>86</v>
      </c>
      <c r="AB710" s="18"/>
      <c r="AC710" s="19" t="s">
        <v>98</v>
      </c>
      <c r="AD710" s="19" t="s">
        <v>79</v>
      </c>
      <c r="AE710" s="20" t="s">
        <v>1701</v>
      </c>
      <c r="AF710" s="19" t="s">
        <v>75</v>
      </c>
      <c r="AG710" s="19" t="s">
        <v>75</v>
      </c>
      <c r="AH710" s="16" t="s">
        <v>86</v>
      </c>
      <c r="AI710" s="18"/>
      <c r="AJ710" s="16" t="s">
        <v>78</v>
      </c>
      <c r="AK710" s="19" t="s">
        <v>79</v>
      </c>
      <c r="AL710" s="20" t="s">
        <v>1792</v>
      </c>
      <c r="AM710" s="19" t="s">
        <v>75</v>
      </c>
      <c r="AN710" s="19" t="s">
        <v>75</v>
      </c>
      <c r="AO710" s="19" t="s">
        <v>86</v>
      </c>
      <c r="AP710" s="18"/>
      <c r="AQ710" s="18"/>
      <c r="AR710" s="18"/>
      <c r="AS710" s="18"/>
      <c r="AT710" s="18"/>
      <c r="AU710" s="18"/>
      <c r="AV710" s="18"/>
      <c r="AW710" s="18"/>
      <c r="AX710" s="13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2"/>
      <c r="BK710" s="12"/>
      <c r="BL710" s="12"/>
      <c r="BM710" s="9"/>
      <c r="BN710" s="9"/>
      <c r="BO710" s="9"/>
      <c r="BP710" s="12"/>
      <c r="BQ710" s="12"/>
      <c r="BR710" s="12"/>
      <c r="BS710" s="12"/>
      <c r="BT710" s="12"/>
      <c r="BU710" s="12"/>
      <c r="BV710" s="12"/>
      <c r="BW710" s="12"/>
      <c r="BX710" s="12"/>
      <c r="BY710" s="9"/>
      <c r="BZ710" s="21"/>
      <c r="CA710" s="21"/>
      <c r="CB710" s="21"/>
      <c r="CC710" s="21"/>
      <c r="CD710" s="21"/>
      <c r="CE710" s="21"/>
      <c r="CF710" s="21"/>
      <c r="CG710" s="21"/>
      <c r="CH710" s="21"/>
      <c r="CI710" s="21"/>
      <c r="CJ710" s="21"/>
    </row>
    <row r="711" spans="1:88" ht="40.5" customHeight="1">
      <c r="A711" s="9"/>
      <c r="B711" s="12"/>
      <c r="C711" s="9" t="s">
        <v>1809</v>
      </c>
      <c r="D711" s="9" t="s">
        <v>1697</v>
      </c>
      <c r="E711" s="12">
        <v>0</v>
      </c>
      <c r="F711" s="12">
        <v>0</v>
      </c>
      <c r="G711" s="12" t="b">
        <v>0</v>
      </c>
      <c r="H711" s="9" t="s">
        <v>75</v>
      </c>
      <c r="I711" s="9" t="s">
        <v>1810</v>
      </c>
      <c r="J711" s="9" t="s">
        <v>75</v>
      </c>
      <c r="K711" s="11" t="s">
        <v>1811</v>
      </c>
      <c r="L711" s="12"/>
      <c r="M711" s="12"/>
      <c r="N711" s="13"/>
      <c r="O711" s="16" t="s">
        <v>78</v>
      </c>
      <c r="P711" s="14" t="s">
        <v>79</v>
      </c>
      <c r="Q711" s="15" t="s">
        <v>1700</v>
      </c>
      <c r="R711" s="23" t="s">
        <v>242</v>
      </c>
      <c r="S711" s="14" t="s">
        <v>75</v>
      </c>
      <c r="T711" s="16" t="s">
        <v>166</v>
      </c>
      <c r="U711" s="17"/>
      <c r="V711" s="16" t="s">
        <v>78</v>
      </c>
      <c r="W711" s="16" t="s">
        <v>79</v>
      </c>
      <c r="X711" s="15" t="s">
        <v>881</v>
      </c>
      <c r="Y711" s="16" t="s">
        <v>75</v>
      </c>
      <c r="Z711" s="16" t="s">
        <v>75</v>
      </c>
      <c r="AA711" s="16" t="s">
        <v>101</v>
      </c>
      <c r="AB711" s="18"/>
      <c r="AC711" s="19" t="s">
        <v>78</v>
      </c>
      <c r="AD711" s="19" t="s">
        <v>79</v>
      </c>
      <c r="AE711" s="20" t="s">
        <v>1701</v>
      </c>
      <c r="AF711" s="19" t="s">
        <v>75</v>
      </c>
      <c r="AG711" s="19" t="s">
        <v>75</v>
      </c>
      <c r="AH711" s="16" t="s">
        <v>86</v>
      </c>
      <c r="AI711" s="18"/>
      <c r="AJ711" s="16" t="s">
        <v>78</v>
      </c>
      <c r="AK711" s="19" t="s">
        <v>79</v>
      </c>
      <c r="AL711" s="20" t="s">
        <v>1792</v>
      </c>
      <c r="AM711" s="19" t="s">
        <v>75</v>
      </c>
      <c r="AN711" s="19" t="s">
        <v>75</v>
      </c>
      <c r="AO711" s="19" t="s">
        <v>4</v>
      </c>
      <c r="AP711" s="18"/>
      <c r="AQ711" s="18"/>
      <c r="AR711" s="18"/>
      <c r="AS711" s="18"/>
      <c r="AT711" s="18"/>
      <c r="AU711" s="18"/>
      <c r="AV711" s="18"/>
      <c r="AW711" s="18"/>
      <c r="AX711" s="13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2"/>
      <c r="BK711" s="12"/>
      <c r="BL711" s="12"/>
      <c r="BM711" s="9"/>
      <c r="BN711" s="9"/>
      <c r="BO711" s="9"/>
      <c r="BP711" s="12"/>
      <c r="BQ711" s="12"/>
      <c r="BR711" s="12"/>
      <c r="BS711" s="12"/>
      <c r="BT711" s="12"/>
      <c r="BU711" s="12"/>
      <c r="BV711" s="12"/>
      <c r="BW711" s="12"/>
      <c r="BX711" s="12"/>
      <c r="BY711" s="9"/>
      <c r="BZ711" s="21"/>
      <c r="CA711" s="21"/>
      <c r="CB711" s="21"/>
      <c r="CC711" s="21"/>
      <c r="CD711" s="21"/>
      <c r="CE711" s="21"/>
      <c r="CF711" s="21"/>
      <c r="CG711" s="21"/>
      <c r="CH711" s="21"/>
      <c r="CI711" s="21"/>
      <c r="CJ711" s="21"/>
    </row>
    <row r="712" spans="1:88" ht="40.5" customHeight="1">
      <c r="A712" s="9"/>
      <c r="B712" s="12"/>
      <c r="C712" s="9" t="s">
        <v>1812</v>
      </c>
      <c r="D712" s="9" t="s">
        <v>1697</v>
      </c>
      <c r="E712" s="12">
        <v>0</v>
      </c>
      <c r="F712" s="12">
        <v>0</v>
      </c>
      <c r="G712" s="12" t="b">
        <v>0</v>
      </c>
      <c r="H712" s="9" t="s">
        <v>75</v>
      </c>
      <c r="I712" s="9" t="s">
        <v>1813</v>
      </c>
      <c r="J712" s="9" t="s">
        <v>75</v>
      </c>
      <c r="K712" s="11" t="s">
        <v>1814</v>
      </c>
      <c r="L712" s="12"/>
      <c r="M712" s="12"/>
      <c r="N712" s="13"/>
      <c r="O712" s="16" t="s">
        <v>78</v>
      </c>
      <c r="P712" s="14" t="s">
        <v>79</v>
      </c>
      <c r="Q712" s="15" t="s">
        <v>1700</v>
      </c>
      <c r="R712" s="23" t="s">
        <v>228</v>
      </c>
      <c r="S712" s="14" t="s">
        <v>75</v>
      </c>
      <c r="T712" s="16" t="s">
        <v>166</v>
      </c>
      <c r="U712" s="17"/>
      <c r="V712" s="16" t="s">
        <v>78</v>
      </c>
      <c r="W712" s="16" t="s">
        <v>79</v>
      </c>
      <c r="X712" s="15" t="s">
        <v>881</v>
      </c>
      <c r="Y712" s="16" t="s">
        <v>75</v>
      </c>
      <c r="Z712" s="16" t="s">
        <v>75</v>
      </c>
      <c r="AA712" s="16" t="s">
        <v>86</v>
      </c>
      <c r="AB712" s="18"/>
      <c r="AC712" s="19" t="s">
        <v>78</v>
      </c>
      <c r="AD712" s="19" t="s">
        <v>79</v>
      </c>
      <c r="AE712" s="20" t="s">
        <v>1792</v>
      </c>
      <c r="AF712" s="19" t="s">
        <v>75</v>
      </c>
      <c r="AG712" s="19" t="s">
        <v>75</v>
      </c>
      <c r="AH712" s="16" t="s">
        <v>101</v>
      </c>
      <c r="AI712" s="18"/>
      <c r="AJ712" s="13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3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2"/>
      <c r="BK712" s="12"/>
      <c r="BL712" s="12"/>
      <c r="BM712" s="9"/>
      <c r="BN712" s="9"/>
      <c r="BO712" s="9"/>
      <c r="BP712" s="12"/>
      <c r="BQ712" s="12"/>
      <c r="BR712" s="12"/>
      <c r="BS712" s="12"/>
      <c r="BT712" s="12"/>
      <c r="BU712" s="12"/>
      <c r="BV712" s="12"/>
      <c r="BW712" s="12"/>
      <c r="BX712" s="12"/>
      <c r="BY712" s="9"/>
      <c r="BZ712" s="21"/>
      <c r="CA712" s="21"/>
      <c r="CB712" s="21"/>
      <c r="CC712" s="21"/>
      <c r="CD712" s="21"/>
      <c r="CE712" s="21"/>
      <c r="CF712" s="21"/>
      <c r="CG712" s="21"/>
      <c r="CH712" s="21"/>
      <c r="CI712" s="21"/>
      <c r="CJ712" s="21"/>
    </row>
    <row r="713" spans="1:88" ht="40.5" customHeight="1">
      <c r="A713" s="9"/>
      <c r="B713" s="12"/>
      <c r="C713" s="9" t="s">
        <v>1815</v>
      </c>
      <c r="D713" s="9" t="s">
        <v>1697</v>
      </c>
      <c r="E713" s="12">
        <v>0</v>
      </c>
      <c r="F713" s="12">
        <v>0</v>
      </c>
      <c r="G713" s="12" t="b">
        <v>0</v>
      </c>
      <c r="H713" s="9" t="s">
        <v>75</v>
      </c>
      <c r="I713" s="9" t="s">
        <v>1816</v>
      </c>
      <c r="J713" s="9" t="s">
        <v>75</v>
      </c>
      <c r="K713" s="9" t="s">
        <v>79</v>
      </c>
      <c r="L713" s="12"/>
      <c r="M713" s="12"/>
      <c r="N713" s="13"/>
      <c r="O713" s="16" t="s">
        <v>78</v>
      </c>
      <c r="P713" s="14" t="s">
        <v>79</v>
      </c>
      <c r="Q713" s="15" t="s">
        <v>1700</v>
      </c>
      <c r="R713" s="23" t="s">
        <v>82</v>
      </c>
      <c r="S713" s="14" t="s">
        <v>75</v>
      </c>
      <c r="T713" s="16" t="s">
        <v>166</v>
      </c>
      <c r="U713" s="17"/>
      <c r="V713" s="16" t="s">
        <v>78</v>
      </c>
      <c r="W713" s="16" t="s">
        <v>79</v>
      </c>
      <c r="X713" s="15" t="s">
        <v>881</v>
      </c>
      <c r="Y713" s="16" t="s">
        <v>75</v>
      </c>
      <c r="Z713" s="16" t="s">
        <v>75</v>
      </c>
      <c r="AA713" s="16" t="s">
        <v>153</v>
      </c>
      <c r="AB713" s="18"/>
      <c r="AC713" s="19" t="s">
        <v>78</v>
      </c>
      <c r="AD713" s="19" t="s">
        <v>79</v>
      </c>
      <c r="AE713" s="20" t="s">
        <v>1701</v>
      </c>
      <c r="AF713" s="19" t="s">
        <v>75</v>
      </c>
      <c r="AG713" s="19" t="s">
        <v>75</v>
      </c>
      <c r="AH713" s="16" t="s">
        <v>101</v>
      </c>
      <c r="AI713" s="18"/>
      <c r="AJ713" s="16" t="s">
        <v>78</v>
      </c>
      <c r="AK713" s="19" t="s">
        <v>79</v>
      </c>
      <c r="AL713" s="20" t="s">
        <v>1792</v>
      </c>
      <c r="AM713" s="19" t="s">
        <v>75</v>
      </c>
      <c r="AN713" s="19" t="s">
        <v>75</v>
      </c>
      <c r="AO713" s="19" t="s">
        <v>101</v>
      </c>
      <c r="AP713" s="18"/>
      <c r="AQ713" s="18"/>
      <c r="AR713" s="18"/>
      <c r="AS713" s="18"/>
      <c r="AT713" s="18"/>
      <c r="AU713" s="18"/>
      <c r="AV713" s="18"/>
      <c r="AW713" s="18"/>
      <c r="AX713" s="13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2"/>
      <c r="BK713" s="12"/>
      <c r="BL713" s="12"/>
      <c r="BM713" s="9"/>
      <c r="BN713" s="9"/>
      <c r="BO713" s="9"/>
      <c r="BP713" s="12"/>
      <c r="BQ713" s="12"/>
      <c r="BR713" s="12"/>
      <c r="BS713" s="12"/>
      <c r="BT713" s="12"/>
      <c r="BU713" s="12"/>
      <c r="BV713" s="12"/>
      <c r="BW713" s="12"/>
      <c r="BX713" s="12"/>
      <c r="BY713" s="9"/>
      <c r="BZ713" s="21"/>
      <c r="CA713" s="21"/>
      <c r="CB713" s="21"/>
      <c r="CC713" s="21"/>
      <c r="CD713" s="21"/>
      <c r="CE713" s="21"/>
      <c r="CF713" s="21"/>
      <c r="CG713" s="21"/>
      <c r="CH713" s="21"/>
      <c r="CI713" s="21"/>
      <c r="CJ713" s="21"/>
    </row>
    <row r="714" spans="1:88" ht="40.5" customHeight="1">
      <c r="A714" s="9"/>
      <c r="B714" s="12"/>
      <c r="C714" s="9" t="s">
        <v>1817</v>
      </c>
      <c r="D714" s="9" t="s">
        <v>1697</v>
      </c>
      <c r="E714" s="12">
        <v>0</v>
      </c>
      <c r="F714" s="12">
        <v>0</v>
      </c>
      <c r="G714" s="12" t="b">
        <v>0</v>
      </c>
      <c r="H714" s="9" t="s">
        <v>79</v>
      </c>
      <c r="I714" s="10" t="s">
        <v>1818</v>
      </c>
      <c r="J714" s="9" t="s">
        <v>79</v>
      </c>
      <c r="K714" s="11" t="s">
        <v>1819</v>
      </c>
      <c r="L714" s="12"/>
      <c r="M714" s="12"/>
      <c r="N714" s="13"/>
      <c r="O714" s="16" t="s">
        <v>78</v>
      </c>
      <c r="P714" s="14" t="s">
        <v>79</v>
      </c>
      <c r="Q714" s="15" t="s">
        <v>1700</v>
      </c>
      <c r="R714" s="14" t="s">
        <v>75</v>
      </c>
      <c r="S714" s="14" t="s">
        <v>75</v>
      </c>
      <c r="T714" s="16" t="s">
        <v>145</v>
      </c>
      <c r="U714" s="17"/>
      <c r="V714" s="16" t="s">
        <v>78</v>
      </c>
      <c r="W714" s="16" t="s">
        <v>79</v>
      </c>
      <c r="X714" s="15" t="s">
        <v>881</v>
      </c>
      <c r="Y714" s="16" t="s">
        <v>75</v>
      </c>
      <c r="Z714" s="16" t="s">
        <v>75</v>
      </c>
      <c r="AA714" s="16" t="s">
        <v>153</v>
      </c>
      <c r="AB714" s="18"/>
      <c r="AC714" s="19" t="s">
        <v>78</v>
      </c>
      <c r="AD714" s="19" t="s">
        <v>79</v>
      </c>
      <c r="AE714" s="20" t="s">
        <v>1701</v>
      </c>
      <c r="AF714" s="19" t="s">
        <v>75</v>
      </c>
      <c r="AG714" s="19" t="s">
        <v>75</v>
      </c>
      <c r="AH714" s="16" t="s">
        <v>101</v>
      </c>
      <c r="AI714" s="18"/>
      <c r="AJ714" s="16" t="s">
        <v>78</v>
      </c>
      <c r="AK714" s="19" t="s">
        <v>79</v>
      </c>
      <c r="AL714" s="20" t="s">
        <v>1792</v>
      </c>
      <c r="AM714" s="19" t="s">
        <v>75</v>
      </c>
      <c r="AN714" s="19" t="s">
        <v>75</v>
      </c>
      <c r="AO714" s="19" t="s">
        <v>101</v>
      </c>
      <c r="AP714" s="18"/>
      <c r="AQ714" s="18"/>
      <c r="AR714" s="18"/>
      <c r="AS714" s="18"/>
      <c r="AT714" s="18"/>
      <c r="AU714" s="18"/>
      <c r="AV714" s="18"/>
      <c r="AW714" s="18"/>
      <c r="AX714" s="13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2"/>
      <c r="BK714" s="12"/>
      <c r="BL714" s="12"/>
      <c r="BM714" s="9"/>
      <c r="BN714" s="9"/>
      <c r="BO714" s="9"/>
      <c r="BP714" s="12"/>
      <c r="BQ714" s="12"/>
      <c r="BR714" s="12"/>
      <c r="BS714" s="12"/>
      <c r="BT714" s="12"/>
      <c r="BU714" s="12"/>
      <c r="BV714" s="12"/>
      <c r="BW714" s="12"/>
      <c r="BX714" s="12"/>
      <c r="BY714" s="9"/>
      <c r="BZ714" s="21"/>
      <c r="CA714" s="21"/>
      <c r="CB714" s="21"/>
      <c r="CC714" s="21"/>
      <c r="CD714" s="21"/>
      <c r="CE714" s="21"/>
      <c r="CF714" s="21"/>
      <c r="CG714" s="21"/>
      <c r="CH714" s="21"/>
      <c r="CI714" s="21"/>
      <c r="CJ714" s="21"/>
    </row>
    <row r="715" spans="1:88" ht="40.5" customHeight="1">
      <c r="A715" s="9"/>
      <c r="B715" s="12"/>
      <c r="C715" s="9" t="s">
        <v>1820</v>
      </c>
      <c r="D715" s="9" t="s">
        <v>1697</v>
      </c>
      <c r="E715" s="12">
        <v>0</v>
      </c>
      <c r="F715" s="12">
        <v>0</v>
      </c>
      <c r="G715" s="12" t="b">
        <v>0</v>
      </c>
      <c r="H715" s="9" t="s">
        <v>75</v>
      </c>
      <c r="I715" s="9" t="s">
        <v>1821</v>
      </c>
      <c r="J715" s="9" t="s">
        <v>75</v>
      </c>
      <c r="K715" s="9" t="s">
        <v>79</v>
      </c>
      <c r="L715" s="12"/>
      <c r="M715" s="12"/>
      <c r="N715" s="13"/>
      <c r="O715" s="16" t="s">
        <v>78</v>
      </c>
      <c r="P715" s="14" t="s">
        <v>79</v>
      </c>
      <c r="Q715" s="15" t="s">
        <v>1700</v>
      </c>
      <c r="R715" s="14" t="s">
        <v>75</v>
      </c>
      <c r="S715" s="14" t="s">
        <v>75</v>
      </c>
      <c r="T715" s="16" t="s">
        <v>126</v>
      </c>
      <c r="U715" s="17"/>
      <c r="V715" s="16" t="s">
        <v>78</v>
      </c>
      <c r="W715" s="16" t="s">
        <v>79</v>
      </c>
      <c r="X715" s="15" t="s">
        <v>881</v>
      </c>
      <c r="Y715" s="16" t="s">
        <v>75</v>
      </c>
      <c r="Z715" s="16" t="s">
        <v>75</v>
      </c>
      <c r="AA715" s="16" t="s">
        <v>126</v>
      </c>
      <c r="AB715" s="18"/>
      <c r="AC715" s="19" t="s">
        <v>78</v>
      </c>
      <c r="AD715" s="19" t="s">
        <v>79</v>
      </c>
      <c r="AE715" s="20" t="s">
        <v>1701</v>
      </c>
      <c r="AF715" s="19" t="s">
        <v>75</v>
      </c>
      <c r="AG715" s="19" t="s">
        <v>75</v>
      </c>
      <c r="AH715" s="16" t="s">
        <v>4</v>
      </c>
      <c r="AI715" s="18"/>
      <c r="AJ715" s="13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3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2"/>
      <c r="BK715" s="12"/>
      <c r="BL715" s="12"/>
      <c r="BM715" s="9"/>
      <c r="BN715" s="9"/>
      <c r="BO715" s="9"/>
      <c r="BP715" s="12"/>
      <c r="BQ715" s="12"/>
      <c r="BR715" s="12"/>
      <c r="BS715" s="12"/>
      <c r="BT715" s="12"/>
      <c r="BU715" s="12"/>
      <c r="BV715" s="12"/>
      <c r="BW715" s="12"/>
      <c r="BX715" s="12"/>
      <c r="BY715" s="9"/>
      <c r="BZ715" s="21"/>
      <c r="CA715" s="21"/>
      <c r="CB715" s="21"/>
      <c r="CC715" s="21"/>
      <c r="CD715" s="21"/>
      <c r="CE715" s="21"/>
      <c r="CF715" s="21"/>
      <c r="CG715" s="21"/>
      <c r="CH715" s="21"/>
      <c r="CI715" s="21"/>
      <c r="CJ715" s="21"/>
    </row>
    <row r="716" spans="1:88" ht="40.5" customHeight="1">
      <c r="A716" s="9"/>
      <c r="B716" s="12"/>
      <c r="C716" s="9" t="s">
        <v>1822</v>
      </c>
      <c r="D716" s="9" t="s">
        <v>1697</v>
      </c>
      <c r="E716" s="12">
        <v>0</v>
      </c>
      <c r="F716" s="12">
        <v>0</v>
      </c>
      <c r="G716" s="12" t="b">
        <v>0</v>
      </c>
      <c r="H716" s="9" t="s">
        <v>75</v>
      </c>
      <c r="I716" s="9" t="s">
        <v>1823</v>
      </c>
      <c r="J716" s="9" t="s">
        <v>75</v>
      </c>
      <c r="K716" s="9" t="s">
        <v>79</v>
      </c>
      <c r="L716" s="12"/>
      <c r="M716" s="12"/>
      <c r="N716" s="13"/>
      <c r="O716" s="16" t="s">
        <v>78</v>
      </c>
      <c r="P716" s="14" t="s">
        <v>79</v>
      </c>
      <c r="Q716" s="15" t="s">
        <v>1700</v>
      </c>
      <c r="R716" s="14" t="s">
        <v>75</v>
      </c>
      <c r="S716" s="14" t="s">
        <v>75</v>
      </c>
      <c r="T716" s="16" t="s">
        <v>166</v>
      </c>
      <c r="U716" s="17"/>
      <c r="V716" s="16" t="s">
        <v>78</v>
      </c>
      <c r="W716" s="16" t="s">
        <v>79</v>
      </c>
      <c r="X716" s="15" t="s">
        <v>881</v>
      </c>
      <c r="Y716" s="16" t="s">
        <v>75</v>
      </c>
      <c r="Z716" s="16" t="s">
        <v>75</v>
      </c>
      <c r="AA716" s="16" t="s">
        <v>101</v>
      </c>
      <c r="AB716" s="18"/>
      <c r="AC716" s="19" t="s">
        <v>98</v>
      </c>
      <c r="AD716" s="19" t="s">
        <v>79</v>
      </c>
      <c r="AE716" s="20" t="s">
        <v>1824</v>
      </c>
      <c r="AF716" s="19" t="s">
        <v>75</v>
      </c>
      <c r="AG716" s="19" t="s">
        <v>75</v>
      </c>
      <c r="AH716" s="16" t="s">
        <v>86</v>
      </c>
      <c r="AI716" s="18"/>
      <c r="AJ716" s="16" t="s">
        <v>98</v>
      </c>
      <c r="AK716" s="19" t="s">
        <v>79</v>
      </c>
      <c r="AL716" s="20" t="s">
        <v>1701</v>
      </c>
      <c r="AM716" s="19" t="s">
        <v>75</v>
      </c>
      <c r="AN716" s="19" t="s">
        <v>75</v>
      </c>
      <c r="AO716" s="19" t="s">
        <v>86</v>
      </c>
      <c r="AP716" s="18"/>
      <c r="AQ716" s="19" t="s">
        <v>98</v>
      </c>
      <c r="AR716" s="19" t="s">
        <v>79</v>
      </c>
      <c r="AS716" s="20" t="s">
        <v>1792</v>
      </c>
      <c r="AT716" s="19" t="s">
        <v>75</v>
      </c>
      <c r="AU716" s="19" t="s">
        <v>75</v>
      </c>
      <c r="AV716" s="19" t="s">
        <v>86</v>
      </c>
      <c r="AW716" s="18"/>
      <c r="AX716" s="13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2"/>
      <c r="BK716" s="12"/>
      <c r="BL716" s="12"/>
      <c r="BM716" s="9"/>
      <c r="BN716" s="9"/>
      <c r="BO716" s="9"/>
      <c r="BP716" s="12"/>
      <c r="BQ716" s="12"/>
      <c r="BR716" s="12"/>
      <c r="BS716" s="12"/>
      <c r="BT716" s="12"/>
      <c r="BU716" s="12"/>
      <c r="BV716" s="12"/>
      <c r="BW716" s="12"/>
      <c r="BX716" s="12"/>
      <c r="BY716" s="9"/>
      <c r="BZ716" s="21"/>
      <c r="CA716" s="21"/>
      <c r="CB716" s="21"/>
      <c r="CC716" s="21"/>
      <c r="CD716" s="21"/>
      <c r="CE716" s="21"/>
      <c r="CF716" s="21"/>
      <c r="CG716" s="21"/>
      <c r="CH716" s="21"/>
      <c r="CI716" s="21"/>
      <c r="CJ716" s="21"/>
    </row>
    <row r="717" spans="1:88" ht="40.5" customHeight="1">
      <c r="A717" s="9"/>
      <c r="B717" s="12"/>
      <c r="C717" s="9" t="s">
        <v>1825</v>
      </c>
      <c r="D717" s="9" t="s">
        <v>1697</v>
      </c>
      <c r="E717" s="12">
        <v>0</v>
      </c>
      <c r="F717" s="12">
        <v>0</v>
      </c>
      <c r="G717" s="12" t="b">
        <v>0</v>
      </c>
      <c r="H717" s="9" t="s">
        <v>75</v>
      </c>
      <c r="I717" s="9" t="s">
        <v>1826</v>
      </c>
      <c r="J717" s="9" t="s">
        <v>75</v>
      </c>
      <c r="K717" s="11" t="s">
        <v>1827</v>
      </c>
      <c r="L717" s="12"/>
      <c r="M717" s="12"/>
      <c r="N717" s="13"/>
      <c r="O717" s="16" t="s">
        <v>78</v>
      </c>
      <c r="P717" s="14" t="s">
        <v>79</v>
      </c>
      <c r="Q717" s="15" t="s">
        <v>1700</v>
      </c>
      <c r="R717" s="14" t="s">
        <v>75</v>
      </c>
      <c r="S717" s="14" t="s">
        <v>75</v>
      </c>
      <c r="T717" s="16" t="s">
        <v>81</v>
      </c>
      <c r="U717" s="17"/>
      <c r="V717" s="16" t="s">
        <v>78</v>
      </c>
      <c r="W717" s="16" t="s">
        <v>79</v>
      </c>
      <c r="X717" s="15" t="s">
        <v>881</v>
      </c>
      <c r="Y717" s="16" t="s">
        <v>75</v>
      </c>
      <c r="Z717" s="16" t="s">
        <v>75</v>
      </c>
      <c r="AA717" s="16" t="s">
        <v>86</v>
      </c>
      <c r="AB717" s="18"/>
      <c r="AC717" s="19" t="s">
        <v>7</v>
      </c>
      <c r="AD717" s="19" t="s">
        <v>79</v>
      </c>
      <c r="AE717" s="20" t="s">
        <v>1792</v>
      </c>
      <c r="AF717" s="19" t="s">
        <v>75</v>
      </c>
      <c r="AG717" s="19" t="s">
        <v>75</v>
      </c>
      <c r="AH717" s="16" t="s">
        <v>86</v>
      </c>
      <c r="AI717" s="18"/>
      <c r="AJ717" s="13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3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2"/>
      <c r="BK717" s="12"/>
      <c r="BL717" s="12"/>
      <c r="BM717" s="9"/>
      <c r="BN717" s="9"/>
      <c r="BO717" s="9"/>
      <c r="BP717" s="12"/>
      <c r="BQ717" s="12"/>
      <c r="BR717" s="12"/>
      <c r="BS717" s="12"/>
      <c r="BT717" s="12"/>
      <c r="BU717" s="12"/>
      <c r="BV717" s="12"/>
      <c r="BW717" s="12"/>
      <c r="BX717" s="12"/>
      <c r="BY717" s="9"/>
      <c r="BZ717" s="21"/>
      <c r="CA717" s="21"/>
      <c r="CB717" s="21"/>
      <c r="CC717" s="21"/>
      <c r="CD717" s="21"/>
      <c r="CE717" s="21"/>
      <c r="CF717" s="21"/>
      <c r="CG717" s="21"/>
      <c r="CH717" s="21"/>
      <c r="CI717" s="21"/>
      <c r="CJ717" s="21"/>
    </row>
    <row r="718" spans="1:88" ht="40.5" customHeight="1">
      <c r="A718" s="9"/>
      <c r="B718" s="12"/>
      <c r="C718" s="9" t="s">
        <v>1828</v>
      </c>
      <c r="D718" s="9" t="s">
        <v>1697</v>
      </c>
      <c r="E718" s="12">
        <v>0</v>
      </c>
      <c r="F718" s="12">
        <v>0</v>
      </c>
      <c r="G718" s="12" t="b">
        <v>0</v>
      </c>
      <c r="H718" s="9" t="s">
        <v>75</v>
      </c>
      <c r="I718" s="9" t="s">
        <v>1829</v>
      </c>
      <c r="J718" s="9" t="s">
        <v>75</v>
      </c>
      <c r="K718" s="11" t="s">
        <v>1830</v>
      </c>
      <c r="L718" s="12"/>
      <c r="M718" s="12"/>
      <c r="N718" s="13"/>
      <c r="O718" s="16" t="s">
        <v>78</v>
      </c>
      <c r="P718" s="14" t="s">
        <v>79</v>
      </c>
      <c r="Q718" s="15" t="s">
        <v>1700</v>
      </c>
      <c r="R718" s="23" t="s">
        <v>228</v>
      </c>
      <c r="S718" s="14" t="s">
        <v>75</v>
      </c>
      <c r="T718" s="16" t="s">
        <v>81</v>
      </c>
      <c r="U718" s="17"/>
      <c r="V718" s="16" t="s">
        <v>78</v>
      </c>
      <c r="W718" s="16" t="s">
        <v>79</v>
      </c>
      <c r="X718" s="15" t="s">
        <v>881</v>
      </c>
      <c r="Y718" s="16" t="s">
        <v>75</v>
      </c>
      <c r="Z718" s="16" t="s">
        <v>75</v>
      </c>
      <c r="AA718" s="16" t="s">
        <v>86</v>
      </c>
      <c r="AB718" s="18"/>
      <c r="AC718" s="19" t="s">
        <v>7</v>
      </c>
      <c r="AD718" s="19" t="s">
        <v>79</v>
      </c>
      <c r="AE718" s="20" t="s">
        <v>1792</v>
      </c>
      <c r="AF718" s="19" t="s">
        <v>75</v>
      </c>
      <c r="AG718" s="19" t="s">
        <v>75</v>
      </c>
      <c r="AH718" s="16" t="s">
        <v>86</v>
      </c>
      <c r="AI718" s="18"/>
      <c r="AJ718" s="13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3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2"/>
      <c r="BK718" s="12"/>
      <c r="BL718" s="12"/>
      <c r="BM718" s="9"/>
      <c r="BN718" s="9"/>
      <c r="BO718" s="9"/>
      <c r="BP718" s="12"/>
      <c r="BQ718" s="12"/>
      <c r="BR718" s="12"/>
      <c r="BS718" s="12"/>
      <c r="BT718" s="12"/>
      <c r="BU718" s="12"/>
      <c r="BV718" s="12"/>
      <c r="BW718" s="12"/>
      <c r="BX718" s="12"/>
      <c r="BY718" s="9"/>
      <c r="BZ718" s="21"/>
      <c r="CA718" s="21"/>
      <c r="CB718" s="21"/>
      <c r="CC718" s="21"/>
      <c r="CD718" s="21"/>
      <c r="CE718" s="21"/>
      <c r="CF718" s="21"/>
      <c r="CG718" s="21"/>
      <c r="CH718" s="21"/>
      <c r="CI718" s="21"/>
      <c r="CJ718" s="21"/>
    </row>
    <row r="719" spans="1:88" ht="40.5" customHeight="1">
      <c r="A719" s="9"/>
      <c r="B719" s="12"/>
      <c r="C719" s="9" t="s">
        <v>1831</v>
      </c>
      <c r="D719" s="9" t="s">
        <v>1697</v>
      </c>
      <c r="E719" s="12">
        <v>0</v>
      </c>
      <c r="F719" s="12">
        <v>0</v>
      </c>
      <c r="G719" s="12" t="b">
        <v>0</v>
      </c>
      <c r="H719" s="9" t="s">
        <v>1832</v>
      </c>
      <c r="I719" s="10" t="s">
        <v>1833</v>
      </c>
      <c r="J719" s="9" t="s">
        <v>79</v>
      </c>
      <c r="K719" s="11" t="s">
        <v>1834</v>
      </c>
      <c r="L719" s="12"/>
      <c r="M719" s="12"/>
      <c r="N719" s="13"/>
      <c r="O719" s="16" t="s">
        <v>78</v>
      </c>
      <c r="P719" s="14" t="s">
        <v>79</v>
      </c>
      <c r="Q719" s="15" t="s">
        <v>1700</v>
      </c>
      <c r="R719" s="14" t="s">
        <v>75</v>
      </c>
      <c r="S719" s="14" t="s">
        <v>75</v>
      </c>
      <c r="T719" s="16" t="s">
        <v>145</v>
      </c>
      <c r="U719" s="17"/>
      <c r="V719" s="16" t="s">
        <v>78</v>
      </c>
      <c r="W719" s="16" t="s">
        <v>79</v>
      </c>
      <c r="X719" s="15" t="s">
        <v>1824</v>
      </c>
      <c r="Y719" s="16" t="s">
        <v>75</v>
      </c>
      <c r="Z719" s="16" t="s">
        <v>75</v>
      </c>
      <c r="AA719" s="16" t="s">
        <v>145</v>
      </c>
      <c r="AB719" s="18"/>
      <c r="AC719" s="19" t="s">
        <v>78</v>
      </c>
      <c r="AD719" s="19" t="s">
        <v>79</v>
      </c>
      <c r="AE719" s="20" t="s">
        <v>1835</v>
      </c>
      <c r="AF719" s="19" t="s">
        <v>75</v>
      </c>
      <c r="AG719" s="19" t="s">
        <v>75</v>
      </c>
      <c r="AH719" s="16" t="s">
        <v>145</v>
      </c>
      <c r="AI719" s="18"/>
      <c r="AJ719" s="16" t="s">
        <v>78</v>
      </c>
      <c r="AK719" s="19" t="s">
        <v>79</v>
      </c>
      <c r="AL719" s="20" t="s">
        <v>1792</v>
      </c>
      <c r="AM719" s="19" t="s">
        <v>75</v>
      </c>
      <c r="AN719" s="19" t="s">
        <v>75</v>
      </c>
      <c r="AO719" s="19" t="s">
        <v>145</v>
      </c>
      <c r="AP719" s="18"/>
      <c r="AQ719" s="18"/>
      <c r="AR719" s="18"/>
      <c r="AS719" s="18"/>
      <c r="AT719" s="18"/>
      <c r="AU719" s="18"/>
      <c r="AV719" s="18"/>
      <c r="AW719" s="18"/>
      <c r="AX719" s="13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2"/>
      <c r="BK719" s="12"/>
      <c r="BL719" s="12"/>
      <c r="BM719" s="9"/>
      <c r="BN719" s="9"/>
      <c r="BO719" s="9"/>
      <c r="BP719" s="12"/>
      <c r="BQ719" s="12"/>
      <c r="BR719" s="12"/>
      <c r="BS719" s="12"/>
      <c r="BT719" s="12"/>
      <c r="BU719" s="12"/>
      <c r="BV719" s="12"/>
      <c r="BW719" s="12"/>
      <c r="BX719" s="12"/>
      <c r="BY719" s="9"/>
      <c r="BZ719" s="21"/>
      <c r="CA719" s="21"/>
      <c r="CB719" s="21"/>
      <c r="CC719" s="21"/>
      <c r="CD719" s="21"/>
      <c r="CE719" s="21"/>
      <c r="CF719" s="21"/>
      <c r="CG719" s="21"/>
      <c r="CH719" s="21"/>
      <c r="CI719" s="21"/>
      <c r="CJ719" s="21"/>
    </row>
    <row r="720" spans="1:88" ht="40.5" customHeight="1">
      <c r="A720" s="9"/>
      <c r="B720" s="12"/>
      <c r="C720" s="9" t="s">
        <v>1836</v>
      </c>
      <c r="D720" s="9" t="s">
        <v>1697</v>
      </c>
      <c r="E720" s="12">
        <v>0</v>
      </c>
      <c r="F720" s="12">
        <v>0</v>
      </c>
      <c r="G720" s="12" t="b">
        <v>0</v>
      </c>
      <c r="H720" s="9" t="s">
        <v>75</v>
      </c>
      <c r="I720" s="9" t="s">
        <v>1721</v>
      </c>
      <c r="J720" s="9" t="s">
        <v>75</v>
      </c>
      <c r="K720" s="11" t="s">
        <v>1837</v>
      </c>
      <c r="L720" s="12"/>
      <c r="M720" s="12"/>
      <c r="N720" s="13"/>
      <c r="O720" s="16" t="s">
        <v>78</v>
      </c>
      <c r="P720" s="14" t="s">
        <v>79</v>
      </c>
      <c r="Q720" s="15" t="s">
        <v>1700</v>
      </c>
      <c r="R720" s="14" t="s">
        <v>75</v>
      </c>
      <c r="S720" s="14" t="s">
        <v>75</v>
      </c>
      <c r="T720" s="16" t="s">
        <v>145</v>
      </c>
      <c r="U720" s="17"/>
      <c r="V720" s="16" t="s">
        <v>78</v>
      </c>
      <c r="W720" s="16" t="s">
        <v>79</v>
      </c>
      <c r="X720" s="15" t="s">
        <v>1824</v>
      </c>
      <c r="Y720" s="16" t="s">
        <v>75</v>
      </c>
      <c r="Z720" s="16" t="s">
        <v>75</v>
      </c>
      <c r="AA720" s="16" t="s">
        <v>101</v>
      </c>
      <c r="AB720" s="18"/>
      <c r="AC720" s="19" t="s">
        <v>78</v>
      </c>
      <c r="AD720" s="19" t="s">
        <v>79</v>
      </c>
      <c r="AE720" s="20" t="s">
        <v>1835</v>
      </c>
      <c r="AF720" s="19" t="s">
        <v>75</v>
      </c>
      <c r="AG720" s="19" t="s">
        <v>75</v>
      </c>
      <c r="AH720" s="16" t="s">
        <v>4</v>
      </c>
      <c r="AI720" s="18"/>
      <c r="AJ720" s="13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3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2"/>
      <c r="BK720" s="12"/>
      <c r="BL720" s="12"/>
      <c r="BM720" s="9"/>
      <c r="BN720" s="9"/>
      <c r="BO720" s="9"/>
      <c r="BP720" s="12"/>
      <c r="BQ720" s="12"/>
      <c r="BR720" s="12"/>
      <c r="BS720" s="12"/>
      <c r="BT720" s="12"/>
      <c r="BU720" s="12"/>
      <c r="BV720" s="12"/>
      <c r="BW720" s="12"/>
      <c r="BX720" s="12"/>
      <c r="BY720" s="9"/>
      <c r="BZ720" s="21"/>
      <c r="CA720" s="21"/>
      <c r="CB720" s="21"/>
      <c r="CC720" s="21"/>
      <c r="CD720" s="21"/>
      <c r="CE720" s="21"/>
      <c r="CF720" s="21"/>
      <c r="CG720" s="21"/>
      <c r="CH720" s="21"/>
      <c r="CI720" s="21"/>
      <c r="CJ720" s="21"/>
    </row>
    <row r="721" spans="1:88" ht="40.5" customHeight="1">
      <c r="A721" s="9"/>
      <c r="B721" s="12"/>
      <c r="C721" s="9" t="s">
        <v>1838</v>
      </c>
      <c r="D721" s="9" t="s">
        <v>1697</v>
      </c>
      <c r="E721" s="12">
        <v>0</v>
      </c>
      <c r="F721" s="12">
        <v>0</v>
      </c>
      <c r="G721" s="12" t="b">
        <v>0</v>
      </c>
      <c r="H721" s="9" t="s">
        <v>75</v>
      </c>
      <c r="I721" s="9" t="s">
        <v>1839</v>
      </c>
      <c r="J721" s="9" t="s">
        <v>75</v>
      </c>
      <c r="K721" s="9" t="s">
        <v>79</v>
      </c>
      <c r="L721" s="12"/>
      <c r="M721" s="12"/>
      <c r="N721" s="13"/>
      <c r="O721" s="16" t="s">
        <v>78</v>
      </c>
      <c r="P721" s="14" t="s">
        <v>79</v>
      </c>
      <c r="Q721" s="15" t="s">
        <v>1700</v>
      </c>
      <c r="R721" s="23" t="s">
        <v>242</v>
      </c>
      <c r="S721" s="14" t="s">
        <v>75</v>
      </c>
      <c r="T721" s="16" t="s">
        <v>166</v>
      </c>
      <c r="U721" s="17"/>
      <c r="V721" s="16" t="s">
        <v>78</v>
      </c>
      <c r="W721" s="16" t="s">
        <v>79</v>
      </c>
      <c r="X721" s="15" t="s">
        <v>1824</v>
      </c>
      <c r="Y721" s="16" t="s">
        <v>75</v>
      </c>
      <c r="Z721" s="16" t="s">
        <v>75</v>
      </c>
      <c r="AA721" s="16" t="s">
        <v>101</v>
      </c>
      <c r="AB721" s="18"/>
      <c r="AC721" s="19" t="s">
        <v>78</v>
      </c>
      <c r="AD721" s="19" t="s">
        <v>79</v>
      </c>
      <c r="AE721" s="20" t="s">
        <v>1835</v>
      </c>
      <c r="AF721" s="19" t="s">
        <v>75</v>
      </c>
      <c r="AG721" s="19" t="s">
        <v>75</v>
      </c>
      <c r="AH721" s="16" t="s">
        <v>101</v>
      </c>
      <c r="AI721" s="18"/>
      <c r="AJ721" s="16" t="s">
        <v>78</v>
      </c>
      <c r="AK721" s="19" t="s">
        <v>79</v>
      </c>
      <c r="AL721" s="20" t="s">
        <v>1792</v>
      </c>
      <c r="AM721" s="19" t="s">
        <v>75</v>
      </c>
      <c r="AN721" s="19" t="s">
        <v>75</v>
      </c>
      <c r="AO721" s="19" t="s">
        <v>101</v>
      </c>
      <c r="AP721" s="18"/>
      <c r="AQ721" s="18"/>
      <c r="AR721" s="18"/>
      <c r="AS721" s="18"/>
      <c r="AT721" s="18"/>
      <c r="AU721" s="18"/>
      <c r="AV721" s="18"/>
      <c r="AW721" s="18"/>
      <c r="AX721" s="13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2"/>
      <c r="BK721" s="12"/>
      <c r="BL721" s="12"/>
      <c r="BM721" s="9"/>
      <c r="BN721" s="9"/>
      <c r="BO721" s="9"/>
      <c r="BP721" s="12"/>
      <c r="BQ721" s="12"/>
      <c r="BR721" s="12"/>
      <c r="BS721" s="12"/>
      <c r="BT721" s="12"/>
      <c r="BU721" s="12"/>
      <c r="BV721" s="12"/>
      <c r="BW721" s="12"/>
      <c r="BX721" s="12"/>
      <c r="BY721" s="9"/>
      <c r="BZ721" s="21"/>
      <c r="CA721" s="21"/>
      <c r="CB721" s="21"/>
      <c r="CC721" s="21"/>
      <c r="CD721" s="21"/>
      <c r="CE721" s="21"/>
      <c r="CF721" s="21"/>
      <c r="CG721" s="21"/>
      <c r="CH721" s="21"/>
      <c r="CI721" s="21"/>
      <c r="CJ721" s="21"/>
    </row>
    <row r="722" spans="1:88" ht="40.5" customHeight="1">
      <c r="A722" s="9"/>
      <c r="B722" s="12"/>
      <c r="C722" s="9" t="s">
        <v>1840</v>
      </c>
      <c r="D722" s="9" t="s">
        <v>1697</v>
      </c>
      <c r="E722" s="12">
        <v>0</v>
      </c>
      <c r="F722" s="12">
        <v>0</v>
      </c>
      <c r="G722" s="12" t="b">
        <v>0</v>
      </c>
      <c r="H722" s="9" t="s">
        <v>75</v>
      </c>
      <c r="I722" s="9" t="s">
        <v>1841</v>
      </c>
      <c r="J722" s="9" t="s">
        <v>75</v>
      </c>
      <c r="K722" s="11" t="s">
        <v>1842</v>
      </c>
      <c r="L722" s="12"/>
      <c r="M722" s="12"/>
      <c r="N722" s="13"/>
      <c r="O722" s="16" t="s">
        <v>78</v>
      </c>
      <c r="P722" s="14" t="s">
        <v>79</v>
      </c>
      <c r="Q722" s="15" t="s">
        <v>1700</v>
      </c>
      <c r="R722" s="14" t="s">
        <v>75</v>
      </c>
      <c r="S722" s="14" t="s">
        <v>75</v>
      </c>
      <c r="T722" s="16" t="s">
        <v>101</v>
      </c>
      <c r="U722" s="17"/>
      <c r="V722" s="16" t="s">
        <v>78</v>
      </c>
      <c r="W722" s="16" t="s">
        <v>79</v>
      </c>
      <c r="X722" s="15" t="s">
        <v>1824</v>
      </c>
      <c r="Y722" s="16" t="s">
        <v>75</v>
      </c>
      <c r="Z722" s="16" t="s">
        <v>75</v>
      </c>
      <c r="AA722" s="16" t="s">
        <v>101</v>
      </c>
      <c r="AB722" s="18"/>
      <c r="AC722" s="19" t="s">
        <v>78</v>
      </c>
      <c r="AD722" s="19" t="s">
        <v>79</v>
      </c>
      <c r="AE722" s="20" t="s">
        <v>1835</v>
      </c>
      <c r="AF722" s="19" t="s">
        <v>75</v>
      </c>
      <c r="AG722" s="19" t="s">
        <v>75</v>
      </c>
      <c r="AH722" s="16" t="s">
        <v>101</v>
      </c>
      <c r="AI722" s="18"/>
      <c r="AJ722" s="16" t="s">
        <v>98</v>
      </c>
      <c r="AK722" s="19" t="s">
        <v>79</v>
      </c>
      <c r="AL722" s="20" t="s">
        <v>1792</v>
      </c>
      <c r="AM722" s="19" t="s">
        <v>75</v>
      </c>
      <c r="AN722" s="19" t="s">
        <v>75</v>
      </c>
      <c r="AO722" s="19" t="s">
        <v>86</v>
      </c>
      <c r="AP722" s="18"/>
      <c r="AQ722" s="18"/>
      <c r="AR722" s="18"/>
      <c r="AS722" s="18"/>
      <c r="AT722" s="18"/>
      <c r="AU722" s="18"/>
      <c r="AV722" s="18"/>
      <c r="AW722" s="18"/>
      <c r="AX722" s="13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2"/>
      <c r="BK722" s="12"/>
      <c r="BL722" s="12"/>
      <c r="BM722" s="9"/>
      <c r="BN722" s="9"/>
      <c r="BO722" s="9"/>
      <c r="BP722" s="12"/>
      <c r="BQ722" s="12"/>
      <c r="BR722" s="12"/>
      <c r="BS722" s="12"/>
      <c r="BT722" s="12"/>
      <c r="BU722" s="12"/>
      <c r="BV722" s="12"/>
      <c r="BW722" s="12"/>
      <c r="BX722" s="12"/>
      <c r="BY722" s="9"/>
      <c r="BZ722" s="21"/>
      <c r="CA722" s="21"/>
      <c r="CB722" s="21"/>
      <c r="CC722" s="21"/>
      <c r="CD722" s="21"/>
      <c r="CE722" s="21"/>
      <c r="CF722" s="21"/>
      <c r="CG722" s="21"/>
      <c r="CH722" s="21"/>
      <c r="CI722" s="21"/>
      <c r="CJ722" s="21"/>
    </row>
    <row r="723" spans="1:88" ht="40.5" customHeight="1">
      <c r="A723" s="9"/>
      <c r="B723" s="12"/>
      <c r="C723" s="9" t="s">
        <v>1843</v>
      </c>
      <c r="D723" s="9" t="s">
        <v>1697</v>
      </c>
      <c r="E723" s="12">
        <v>0</v>
      </c>
      <c r="F723" s="12">
        <v>0</v>
      </c>
      <c r="G723" s="12" t="b">
        <v>0</v>
      </c>
      <c r="H723" s="9" t="s">
        <v>75</v>
      </c>
      <c r="I723" s="10" t="s">
        <v>1844</v>
      </c>
      <c r="J723" s="9" t="s">
        <v>75</v>
      </c>
      <c r="K723" s="11" t="s">
        <v>1845</v>
      </c>
      <c r="L723" s="12"/>
      <c r="M723" s="12"/>
      <c r="N723" s="13"/>
      <c r="O723" s="16" t="s">
        <v>78</v>
      </c>
      <c r="P723" s="14" t="s">
        <v>79</v>
      </c>
      <c r="Q723" s="15" t="s">
        <v>1846</v>
      </c>
      <c r="R723" s="14" t="s">
        <v>75</v>
      </c>
      <c r="S723" s="14" t="s">
        <v>75</v>
      </c>
      <c r="T723" s="16" t="s">
        <v>145</v>
      </c>
      <c r="U723" s="17"/>
      <c r="V723" s="16" t="s">
        <v>78</v>
      </c>
      <c r="W723" s="16" t="s">
        <v>79</v>
      </c>
      <c r="X723" s="15" t="s">
        <v>1824</v>
      </c>
      <c r="Y723" s="16" t="s">
        <v>75</v>
      </c>
      <c r="Z723" s="16" t="s">
        <v>75</v>
      </c>
      <c r="AA723" s="16" t="s">
        <v>145</v>
      </c>
      <c r="AB723" s="18"/>
      <c r="AC723" s="19" t="s">
        <v>78</v>
      </c>
      <c r="AD723" s="19" t="s">
        <v>79</v>
      </c>
      <c r="AE723" s="20" t="s">
        <v>1792</v>
      </c>
      <c r="AF723" s="19" t="s">
        <v>75</v>
      </c>
      <c r="AG723" s="19" t="s">
        <v>75</v>
      </c>
      <c r="AH723" s="16" t="s">
        <v>145</v>
      </c>
      <c r="AI723" s="18"/>
      <c r="AJ723" s="13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3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2"/>
      <c r="BK723" s="12"/>
      <c r="BL723" s="12"/>
      <c r="BM723" s="9"/>
      <c r="BN723" s="9"/>
      <c r="BO723" s="9"/>
      <c r="BP723" s="12"/>
      <c r="BQ723" s="12"/>
      <c r="BR723" s="12"/>
      <c r="BS723" s="12"/>
      <c r="BT723" s="12"/>
      <c r="BU723" s="12"/>
      <c r="BV723" s="12"/>
      <c r="BW723" s="12"/>
      <c r="BX723" s="12"/>
      <c r="BY723" s="9"/>
      <c r="BZ723" s="21"/>
      <c r="CA723" s="21"/>
      <c r="CB723" s="21"/>
      <c r="CC723" s="21"/>
      <c r="CD723" s="21"/>
      <c r="CE723" s="21"/>
      <c r="CF723" s="21"/>
      <c r="CG723" s="21"/>
      <c r="CH723" s="21"/>
      <c r="CI723" s="21"/>
      <c r="CJ723" s="21"/>
    </row>
    <row r="724" spans="1:88" ht="40.5" customHeight="1">
      <c r="A724" s="9"/>
      <c r="B724" s="12"/>
      <c r="C724" s="9" t="s">
        <v>1847</v>
      </c>
      <c r="D724" s="9" t="s">
        <v>1697</v>
      </c>
      <c r="E724" s="12">
        <v>0</v>
      </c>
      <c r="F724" s="12">
        <v>0</v>
      </c>
      <c r="G724" s="12" t="b">
        <v>0</v>
      </c>
      <c r="H724" s="9" t="s">
        <v>75</v>
      </c>
      <c r="I724" s="9" t="s">
        <v>1848</v>
      </c>
      <c r="J724" s="9" t="s">
        <v>75</v>
      </c>
      <c r="K724" s="11" t="s">
        <v>1849</v>
      </c>
      <c r="L724" s="12"/>
      <c r="M724" s="12"/>
      <c r="N724" s="13"/>
      <c r="O724" s="16" t="s">
        <v>78</v>
      </c>
      <c r="P724" s="14" t="s">
        <v>79</v>
      </c>
      <c r="Q724" s="15" t="s">
        <v>1846</v>
      </c>
      <c r="R724" s="14" t="s">
        <v>75</v>
      </c>
      <c r="S724" s="14" t="s">
        <v>75</v>
      </c>
      <c r="T724" s="16" t="s">
        <v>145</v>
      </c>
      <c r="U724" s="17"/>
      <c r="V724" s="16" t="s">
        <v>78</v>
      </c>
      <c r="W724" s="16" t="s">
        <v>79</v>
      </c>
      <c r="X724" s="15" t="s">
        <v>1824</v>
      </c>
      <c r="Y724" s="16" t="s">
        <v>75</v>
      </c>
      <c r="Z724" s="16" t="s">
        <v>75</v>
      </c>
      <c r="AA724" s="16" t="s">
        <v>101</v>
      </c>
      <c r="AB724" s="18"/>
      <c r="AC724" s="19" t="s">
        <v>78</v>
      </c>
      <c r="AD724" s="19" t="s">
        <v>79</v>
      </c>
      <c r="AE724" s="20" t="s">
        <v>1835</v>
      </c>
      <c r="AF724" s="19" t="s">
        <v>75</v>
      </c>
      <c r="AG724" s="19" t="s">
        <v>75</v>
      </c>
      <c r="AH724" s="16" t="s">
        <v>101</v>
      </c>
      <c r="AI724" s="18"/>
      <c r="AJ724" s="16" t="s">
        <v>78</v>
      </c>
      <c r="AK724" s="19" t="s">
        <v>79</v>
      </c>
      <c r="AL724" s="20" t="s">
        <v>1792</v>
      </c>
      <c r="AM724" s="19" t="s">
        <v>75</v>
      </c>
      <c r="AN724" s="19" t="s">
        <v>75</v>
      </c>
      <c r="AO724" s="19" t="s">
        <v>4</v>
      </c>
      <c r="AP724" s="18"/>
      <c r="AQ724" s="18"/>
      <c r="AR724" s="18"/>
      <c r="AS724" s="18"/>
      <c r="AT724" s="18"/>
      <c r="AU724" s="18"/>
      <c r="AV724" s="18"/>
      <c r="AW724" s="18"/>
      <c r="AX724" s="13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2"/>
      <c r="BK724" s="12"/>
      <c r="BL724" s="12"/>
      <c r="BM724" s="9"/>
      <c r="BN724" s="9"/>
      <c r="BO724" s="9"/>
      <c r="BP724" s="12"/>
      <c r="BQ724" s="12"/>
      <c r="BR724" s="12"/>
      <c r="BS724" s="12"/>
      <c r="BT724" s="12"/>
      <c r="BU724" s="12"/>
      <c r="BV724" s="12"/>
      <c r="BW724" s="12"/>
      <c r="BX724" s="12"/>
      <c r="BY724" s="9"/>
      <c r="BZ724" s="21"/>
      <c r="CA724" s="21"/>
      <c r="CB724" s="21"/>
      <c r="CC724" s="21"/>
      <c r="CD724" s="21"/>
      <c r="CE724" s="21"/>
      <c r="CF724" s="21"/>
      <c r="CG724" s="21"/>
      <c r="CH724" s="21"/>
      <c r="CI724" s="21"/>
      <c r="CJ724" s="21"/>
    </row>
    <row r="725" spans="1:88" ht="40.5" customHeight="1">
      <c r="A725" s="9"/>
      <c r="B725" s="12"/>
      <c r="C725" s="9" t="s">
        <v>1850</v>
      </c>
      <c r="D725" s="9" t="s">
        <v>1697</v>
      </c>
      <c r="E725" s="12">
        <v>0</v>
      </c>
      <c r="F725" s="12">
        <v>0</v>
      </c>
      <c r="G725" s="12" t="b">
        <v>0</v>
      </c>
      <c r="H725" s="9" t="s">
        <v>75</v>
      </c>
      <c r="I725" s="9" t="s">
        <v>1851</v>
      </c>
      <c r="J725" s="9" t="s">
        <v>75</v>
      </c>
      <c r="K725" s="11" t="s">
        <v>1852</v>
      </c>
      <c r="L725" s="12"/>
      <c r="M725" s="12"/>
      <c r="N725" s="13"/>
      <c r="O725" s="16" t="s">
        <v>78</v>
      </c>
      <c r="P725" s="14" t="s">
        <v>79</v>
      </c>
      <c r="Q725" s="15" t="s">
        <v>1846</v>
      </c>
      <c r="R725" s="14" t="s">
        <v>75</v>
      </c>
      <c r="S725" s="14" t="s">
        <v>75</v>
      </c>
      <c r="T725" s="16" t="s">
        <v>101</v>
      </c>
      <c r="U725" s="17"/>
      <c r="V725" s="16" t="s">
        <v>78</v>
      </c>
      <c r="W725" s="16" t="s">
        <v>79</v>
      </c>
      <c r="X725" s="15" t="s">
        <v>1824</v>
      </c>
      <c r="Y725" s="16" t="s">
        <v>75</v>
      </c>
      <c r="Z725" s="16" t="s">
        <v>75</v>
      </c>
      <c r="AA725" s="16" t="s">
        <v>101</v>
      </c>
      <c r="AB725" s="18"/>
      <c r="AC725" s="19" t="s">
        <v>78</v>
      </c>
      <c r="AD725" s="19" t="s">
        <v>79</v>
      </c>
      <c r="AE725" s="20" t="s">
        <v>1835</v>
      </c>
      <c r="AF725" s="19" t="s">
        <v>75</v>
      </c>
      <c r="AG725" s="19" t="s">
        <v>75</v>
      </c>
      <c r="AH725" s="16" t="s">
        <v>101</v>
      </c>
      <c r="AI725" s="18"/>
      <c r="AJ725" s="16" t="s">
        <v>78</v>
      </c>
      <c r="AK725" s="19" t="s">
        <v>79</v>
      </c>
      <c r="AL725" s="20" t="s">
        <v>1792</v>
      </c>
      <c r="AM725" s="19" t="s">
        <v>75</v>
      </c>
      <c r="AN725" s="19" t="s">
        <v>75</v>
      </c>
      <c r="AO725" s="19" t="s">
        <v>101</v>
      </c>
      <c r="AP725" s="18"/>
      <c r="AQ725" s="18"/>
      <c r="AR725" s="18"/>
      <c r="AS725" s="18"/>
      <c r="AT725" s="18"/>
      <c r="AU725" s="18"/>
      <c r="AV725" s="18"/>
      <c r="AW725" s="18"/>
      <c r="AX725" s="13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2"/>
      <c r="BK725" s="12"/>
      <c r="BL725" s="12"/>
      <c r="BM725" s="9"/>
      <c r="BN725" s="9"/>
      <c r="BO725" s="9"/>
      <c r="BP725" s="12"/>
      <c r="BQ725" s="12"/>
      <c r="BR725" s="12"/>
      <c r="BS725" s="12"/>
      <c r="BT725" s="12"/>
      <c r="BU725" s="12"/>
      <c r="BV725" s="12"/>
      <c r="BW725" s="12"/>
      <c r="BX725" s="12"/>
      <c r="BY725" s="9"/>
      <c r="BZ725" s="21"/>
      <c r="CA725" s="21"/>
      <c r="CB725" s="21"/>
      <c r="CC725" s="21"/>
      <c r="CD725" s="21"/>
      <c r="CE725" s="21"/>
      <c r="CF725" s="21"/>
      <c r="CG725" s="21"/>
      <c r="CH725" s="21"/>
      <c r="CI725" s="21"/>
      <c r="CJ725" s="21"/>
    </row>
    <row r="726" spans="1:88" ht="40.5" customHeight="1">
      <c r="A726" s="9"/>
      <c r="B726" s="12"/>
      <c r="C726" s="9" t="s">
        <v>1853</v>
      </c>
      <c r="D726" s="9" t="s">
        <v>1697</v>
      </c>
      <c r="E726" s="12">
        <v>0</v>
      </c>
      <c r="F726" s="12">
        <v>0</v>
      </c>
      <c r="G726" s="12" t="b">
        <v>0</v>
      </c>
      <c r="H726" s="9" t="s">
        <v>75</v>
      </c>
      <c r="I726" s="9" t="s">
        <v>1854</v>
      </c>
      <c r="J726" s="9" t="s">
        <v>75</v>
      </c>
      <c r="K726" s="9" t="s">
        <v>79</v>
      </c>
      <c r="L726" s="12"/>
      <c r="M726" s="12"/>
      <c r="N726" s="13"/>
      <c r="O726" s="16" t="s">
        <v>78</v>
      </c>
      <c r="P726" s="14" t="s">
        <v>79</v>
      </c>
      <c r="Q726" s="15" t="s">
        <v>1846</v>
      </c>
      <c r="R726" s="14" t="s">
        <v>75</v>
      </c>
      <c r="S726" s="14" t="s">
        <v>75</v>
      </c>
      <c r="T726" s="16" t="s">
        <v>4</v>
      </c>
      <c r="U726" s="17"/>
      <c r="V726" s="13"/>
      <c r="W726" s="13"/>
      <c r="X726" s="13"/>
      <c r="Y726" s="13"/>
      <c r="Z726" s="13"/>
      <c r="AA726" s="13"/>
      <c r="AB726" s="18"/>
      <c r="AC726" s="18"/>
      <c r="AD726" s="18"/>
      <c r="AE726" s="18"/>
      <c r="AF726" s="18"/>
      <c r="AG726" s="18"/>
      <c r="AH726" s="13"/>
      <c r="AI726" s="18"/>
      <c r="AJ726" s="13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3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2"/>
      <c r="BK726" s="12"/>
      <c r="BL726" s="12"/>
      <c r="BM726" s="9"/>
      <c r="BN726" s="9"/>
      <c r="BO726" s="9"/>
      <c r="BP726" s="12"/>
      <c r="BQ726" s="12"/>
      <c r="BR726" s="12"/>
      <c r="BS726" s="12"/>
      <c r="BT726" s="12"/>
      <c r="BU726" s="12"/>
      <c r="BV726" s="12"/>
      <c r="BW726" s="12"/>
      <c r="BX726" s="12"/>
      <c r="BY726" s="9"/>
      <c r="BZ726" s="21"/>
      <c r="CA726" s="21"/>
      <c r="CB726" s="21"/>
      <c r="CC726" s="21"/>
      <c r="CD726" s="21"/>
      <c r="CE726" s="21"/>
      <c r="CF726" s="21"/>
      <c r="CG726" s="21"/>
      <c r="CH726" s="21"/>
      <c r="CI726" s="21"/>
      <c r="CJ726" s="21"/>
    </row>
    <row r="727" spans="1:88" ht="40.5" customHeight="1">
      <c r="A727" s="9"/>
      <c r="B727" s="12"/>
      <c r="C727" s="9" t="s">
        <v>1855</v>
      </c>
      <c r="D727" s="9" t="s">
        <v>1697</v>
      </c>
      <c r="E727" s="12">
        <v>0</v>
      </c>
      <c r="F727" s="12">
        <v>0</v>
      </c>
      <c r="G727" s="12" t="b">
        <v>0</v>
      </c>
      <c r="H727" s="9" t="s">
        <v>75</v>
      </c>
      <c r="I727" s="9" t="s">
        <v>1856</v>
      </c>
      <c r="J727" s="9" t="s">
        <v>75</v>
      </c>
      <c r="K727" s="11" t="s">
        <v>1857</v>
      </c>
      <c r="L727" s="12"/>
      <c r="M727" s="12"/>
      <c r="N727" s="13"/>
      <c r="O727" s="16" t="s">
        <v>78</v>
      </c>
      <c r="P727" s="14" t="s">
        <v>79</v>
      </c>
      <c r="Q727" s="15" t="s">
        <v>1846</v>
      </c>
      <c r="R727" s="14" t="s">
        <v>75</v>
      </c>
      <c r="S727" s="14" t="s">
        <v>75</v>
      </c>
      <c r="T727" s="16" t="s">
        <v>145</v>
      </c>
      <c r="U727" s="17"/>
      <c r="V727" s="16" t="s">
        <v>78</v>
      </c>
      <c r="W727" s="16" t="s">
        <v>79</v>
      </c>
      <c r="X727" s="15" t="s">
        <v>1824</v>
      </c>
      <c r="Y727" s="16" t="s">
        <v>75</v>
      </c>
      <c r="Z727" s="16" t="s">
        <v>75</v>
      </c>
      <c r="AA727" s="16" t="s">
        <v>145</v>
      </c>
      <c r="AB727" s="18"/>
      <c r="AC727" s="18"/>
      <c r="AD727" s="18"/>
      <c r="AE727" s="18"/>
      <c r="AF727" s="18"/>
      <c r="AG727" s="18"/>
      <c r="AH727" s="13"/>
      <c r="AI727" s="18"/>
      <c r="AJ727" s="13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3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2"/>
      <c r="BK727" s="12"/>
      <c r="BL727" s="12"/>
      <c r="BM727" s="9"/>
      <c r="BN727" s="9"/>
      <c r="BO727" s="9"/>
      <c r="BP727" s="12"/>
      <c r="BQ727" s="12"/>
      <c r="BR727" s="12"/>
      <c r="BS727" s="12"/>
      <c r="BT727" s="12"/>
      <c r="BU727" s="12"/>
      <c r="BV727" s="12"/>
      <c r="BW727" s="12"/>
      <c r="BX727" s="12"/>
      <c r="BY727" s="9"/>
      <c r="BZ727" s="21"/>
      <c r="CA727" s="21"/>
      <c r="CB727" s="21"/>
      <c r="CC727" s="21"/>
      <c r="CD727" s="21"/>
      <c r="CE727" s="21"/>
      <c r="CF727" s="21"/>
      <c r="CG727" s="21"/>
      <c r="CH727" s="21"/>
      <c r="CI727" s="21"/>
      <c r="CJ727" s="21"/>
    </row>
    <row r="728" spans="1:88" ht="40.5" customHeight="1">
      <c r="A728" s="9"/>
      <c r="B728" s="12"/>
      <c r="C728" s="9" t="s">
        <v>1858</v>
      </c>
      <c r="D728" s="9" t="s">
        <v>1697</v>
      </c>
      <c r="E728" s="12">
        <v>0</v>
      </c>
      <c r="F728" s="12">
        <v>0</v>
      </c>
      <c r="G728" s="12" t="b">
        <v>0</v>
      </c>
      <c r="H728" s="9" t="s">
        <v>75</v>
      </c>
      <c r="I728" s="9" t="s">
        <v>1859</v>
      </c>
      <c r="J728" s="9" t="s">
        <v>75</v>
      </c>
      <c r="K728" s="11" t="s">
        <v>1860</v>
      </c>
      <c r="L728" s="12"/>
      <c r="M728" s="12"/>
      <c r="N728" s="13"/>
      <c r="O728" s="16" t="s">
        <v>78</v>
      </c>
      <c r="P728" s="14" t="s">
        <v>79</v>
      </c>
      <c r="Q728" s="15" t="s">
        <v>1846</v>
      </c>
      <c r="R728" s="14" t="s">
        <v>75</v>
      </c>
      <c r="S728" s="14" t="s">
        <v>75</v>
      </c>
      <c r="T728" s="16" t="s">
        <v>81</v>
      </c>
      <c r="U728" s="17"/>
      <c r="V728" s="16" t="s">
        <v>78</v>
      </c>
      <c r="W728" s="16" t="s">
        <v>79</v>
      </c>
      <c r="X728" s="15" t="s">
        <v>1824</v>
      </c>
      <c r="Y728" s="16" t="s">
        <v>75</v>
      </c>
      <c r="Z728" s="16" t="s">
        <v>75</v>
      </c>
      <c r="AA728" s="16" t="s">
        <v>101</v>
      </c>
      <c r="AB728" s="18"/>
      <c r="AC728" s="19" t="s">
        <v>78</v>
      </c>
      <c r="AD728" s="19" t="s">
        <v>79</v>
      </c>
      <c r="AE728" s="20" t="s">
        <v>1835</v>
      </c>
      <c r="AF728" s="19" t="s">
        <v>75</v>
      </c>
      <c r="AG728" s="19" t="s">
        <v>75</v>
      </c>
      <c r="AH728" s="16" t="s">
        <v>101</v>
      </c>
      <c r="AI728" s="18"/>
      <c r="AJ728" s="16" t="s">
        <v>78</v>
      </c>
      <c r="AK728" s="19" t="s">
        <v>79</v>
      </c>
      <c r="AL728" s="20" t="s">
        <v>1792</v>
      </c>
      <c r="AM728" s="19" t="s">
        <v>75</v>
      </c>
      <c r="AN728" s="19" t="s">
        <v>75</v>
      </c>
      <c r="AO728" s="19" t="s">
        <v>101</v>
      </c>
      <c r="AP728" s="18"/>
      <c r="AQ728" s="18"/>
      <c r="AR728" s="18"/>
      <c r="AS728" s="18"/>
      <c r="AT728" s="18"/>
      <c r="AU728" s="18"/>
      <c r="AV728" s="18"/>
      <c r="AW728" s="18"/>
      <c r="AX728" s="13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2"/>
      <c r="BK728" s="12"/>
      <c r="BL728" s="12"/>
      <c r="BM728" s="9"/>
      <c r="BN728" s="9"/>
      <c r="BO728" s="9"/>
      <c r="BP728" s="12"/>
      <c r="BQ728" s="12"/>
      <c r="BR728" s="12"/>
      <c r="BS728" s="12"/>
      <c r="BT728" s="12"/>
      <c r="BU728" s="12"/>
      <c r="BV728" s="12"/>
      <c r="BW728" s="12"/>
      <c r="BX728" s="12"/>
      <c r="BY728" s="9"/>
      <c r="BZ728" s="21"/>
      <c r="CA728" s="21"/>
      <c r="CB728" s="21"/>
      <c r="CC728" s="21"/>
      <c r="CD728" s="21"/>
      <c r="CE728" s="21"/>
      <c r="CF728" s="21"/>
      <c r="CG728" s="21"/>
      <c r="CH728" s="21"/>
      <c r="CI728" s="21"/>
      <c r="CJ728" s="21"/>
    </row>
    <row r="729" spans="1:88" ht="40.5" customHeight="1">
      <c r="A729" s="9"/>
      <c r="B729" s="12"/>
      <c r="C729" s="9" t="s">
        <v>1861</v>
      </c>
      <c r="D729" s="9" t="s">
        <v>969</v>
      </c>
      <c r="E729" s="12">
        <v>0</v>
      </c>
      <c r="F729" s="12">
        <v>0</v>
      </c>
      <c r="G729" s="12" t="b">
        <v>0</v>
      </c>
      <c r="H729" s="9" t="s">
        <v>1862</v>
      </c>
      <c r="I729" s="10" t="s">
        <v>1863</v>
      </c>
      <c r="J729" s="9" t="s">
        <v>75</v>
      </c>
      <c r="K729" s="9" t="s">
        <v>75</v>
      </c>
      <c r="L729" s="12"/>
      <c r="M729" s="12"/>
      <c r="N729" s="13"/>
      <c r="O729" s="16" t="s">
        <v>78</v>
      </c>
      <c r="P729" s="14" t="s">
        <v>79</v>
      </c>
      <c r="Q729" s="15" t="s">
        <v>1846</v>
      </c>
      <c r="R729" s="14" t="s">
        <v>75</v>
      </c>
      <c r="S729" s="14" t="s">
        <v>75</v>
      </c>
      <c r="T729" s="16" t="s">
        <v>81</v>
      </c>
      <c r="U729" s="17"/>
      <c r="V729" s="13"/>
      <c r="W729" s="13"/>
      <c r="X729" s="13"/>
      <c r="Y729" s="13"/>
      <c r="Z729" s="13"/>
      <c r="AA729" s="13"/>
      <c r="AB729" s="18"/>
      <c r="AC729" s="18"/>
      <c r="AD729" s="18"/>
      <c r="AE729" s="18"/>
      <c r="AF729" s="18"/>
      <c r="AG729" s="18"/>
      <c r="AH729" s="13"/>
      <c r="AI729" s="18"/>
      <c r="AJ729" s="13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3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2"/>
      <c r="BK729" s="12"/>
      <c r="BL729" s="12"/>
      <c r="BM729" s="9"/>
      <c r="BN729" s="9"/>
      <c r="BO729" s="9"/>
      <c r="BP729" s="12"/>
      <c r="BQ729" s="12"/>
      <c r="BR729" s="12"/>
      <c r="BS729" s="12"/>
      <c r="BT729" s="12"/>
      <c r="BU729" s="12"/>
      <c r="BV729" s="12"/>
      <c r="BW729" s="12"/>
      <c r="BX729" s="12"/>
      <c r="BY729" s="9"/>
      <c r="BZ729" s="21"/>
      <c r="CA729" s="21"/>
      <c r="CB729" s="21"/>
      <c r="CC729" s="21"/>
      <c r="CD729" s="21"/>
      <c r="CE729" s="21"/>
      <c r="CF729" s="21"/>
      <c r="CG729" s="21"/>
      <c r="CH729" s="21"/>
      <c r="CI729" s="21"/>
      <c r="CJ729" s="21"/>
    </row>
    <row r="730" spans="1:88" ht="40.5" customHeight="1">
      <c r="A730" s="9"/>
      <c r="B730" s="12"/>
      <c r="C730" s="9" t="s">
        <v>1864</v>
      </c>
      <c r="D730" s="9" t="s">
        <v>969</v>
      </c>
      <c r="E730" s="12">
        <v>0</v>
      </c>
      <c r="F730" s="12">
        <v>0</v>
      </c>
      <c r="G730" s="12" t="b">
        <v>0</v>
      </c>
      <c r="H730" s="9" t="s">
        <v>1865</v>
      </c>
      <c r="I730" s="10" t="s">
        <v>1866</v>
      </c>
      <c r="J730" s="9" t="s">
        <v>75</v>
      </c>
      <c r="K730" s="9" t="s">
        <v>79</v>
      </c>
      <c r="L730" s="12"/>
      <c r="M730" s="12"/>
      <c r="N730" s="13"/>
      <c r="O730" s="16" t="s">
        <v>78</v>
      </c>
      <c r="P730" s="14" t="s">
        <v>79</v>
      </c>
      <c r="Q730" s="15" t="s">
        <v>1846</v>
      </c>
      <c r="R730" s="14" t="s">
        <v>75</v>
      </c>
      <c r="S730" s="14" t="s">
        <v>75</v>
      </c>
      <c r="T730" s="16" t="s">
        <v>145</v>
      </c>
      <c r="U730" s="17"/>
      <c r="V730" s="13"/>
      <c r="W730" s="13"/>
      <c r="X730" s="13"/>
      <c r="Y730" s="13"/>
      <c r="Z730" s="13"/>
      <c r="AA730" s="13"/>
      <c r="AB730" s="18"/>
      <c r="AC730" s="18"/>
      <c r="AD730" s="18"/>
      <c r="AE730" s="18"/>
      <c r="AF730" s="18"/>
      <c r="AG730" s="18"/>
      <c r="AH730" s="13"/>
      <c r="AI730" s="18"/>
      <c r="AJ730" s="13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3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2"/>
      <c r="BK730" s="12"/>
      <c r="BL730" s="12"/>
      <c r="BM730" s="9"/>
      <c r="BN730" s="9"/>
      <c r="BO730" s="9"/>
      <c r="BP730" s="12"/>
      <c r="BQ730" s="12"/>
      <c r="BR730" s="12"/>
      <c r="BS730" s="12"/>
      <c r="BT730" s="12"/>
      <c r="BU730" s="12"/>
      <c r="BV730" s="12"/>
      <c r="BW730" s="12"/>
      <c r="BX730" s="12"/>
      <c r="BY730" s="9"/>
      <c r="BZ730" s="21"/>
      <c r="CA730" s="21"/>
      <c r="CB730" s="21"/>
      <c r="CC730" s="21"/>
      <c r="CD730" s="21"/>
      <c r="CE730" s="21"/>
      <c r="CF730" s="21"/>
      <c r="CG730" s="21"/>
      <c r="CH730" s="21"/>
      <c r="CI730" s="21"/>
      <c r="CJ730" s="21"/>
    </row>
    <row r="731" spans="1:88" ht="40.5" customHeight="1">
      <c r="A731" s="9"/>
      <c r="B731" s="12"/>
      <c r="C731" s="9" t="s">
        <v>1867</v>
      </c>
      <c r="D731" s="9" t="s">
        <v>969</v>
      </c>
      <c r="E731" s="12">
        <v>0</v>
      </c>
      <c r="F731" s="12">
        <v>0</v>
      </c>
      <c r="G731" s="12" t="b">
        <v>0</v>
      </c>
      <c r="H731" s="9" t="s">
        <v>1868</v>
      </c>
      <c r="I731" s="9" t="s">
        <v>1869</v>
      </c>
      <c r="J731" s="9" t="s">
        <v>75</v>
      </c>
      <c r="K731" s="9" t="s">
        <v>79</v>
      </c>
      <c r="L731" s="12"/>
      <c r="M731" s="12"/>
      <c r="N731" s="13"/>
      <c r="O731" s="16" t="s">
        <v>78</v>
      </c>
      <c r="P731" s="14" t="s">
        <v>79</v>
      </c>
      <c r="Q731" s="15" t="s">
        <v>1846</v>
      </c>
      <c r="R731" s="14" t="s">
        <v>75</v>
      </c>
      <c r="S731" s="14" t="s">
        <v>75</v>
      </c>
      <c r="T731" s="16" t="s">
        <v>145</v>
      </c>
      <c r="U731" s="17"/>
      <c r="V731" s="13"/>
      <c r="W731" s="13"/>
      <c r="X731" s="13"/>
      <c r="Y731" s="13"/>
      <c r="Z731" s="13"/>
      <c r="AA731" s="13"/>
      <c r="AB731" s="18"/>
      <c r="AC731" s="18"/>
      <c r="AD731" s="18"/>
      <c r="AE731" s="18"/>
      <c r="AF731" s="18"/>
      <c r="AG731" s="18"/>
      <c r="AH731" s="13"/>
      <c r="AI731" s="18"/>
      <c r="AJ731" s="13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3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2"/>
      <c r="BK731" s="12"/>
      <c r="BL731" s="12"/>
      <c r="BM731" s="9"/>
      <c r="BN731" s="9"/>
      <c r="BO731" s="9"/>
      <c r="BP731" s="12"/>
      <c r="BQ731" s="12"/>
      <c r="BR731" s="12"/>
      <c r="BS731" s="12"/>
      <c r="BT731" s="12"/>
      <c r="BU731" s="12"/>
      <c r="BV731" s="12"/>
      <c r="BW731" s="12"/>
      <c r="BX731" s="12"/>
      <c r="BY731" s="9"/>
      <c r="BZ731" s="21"/>
      <c r="CA731" s="21"/>
      <c r="CB731" s="21"/>
      <c r="CC731" s="21"/>
      <c r="CD731" s="21"/>
      <c r="CE731" s="21"/>
      <c r="CF731" s="21"/>
      <c r="CG731" s="21"/>
      <c r="CH731" s="21"/>
      <c r="CI731" s="21"/>
      <c r="CJ731" s="21"/>
    </row>
    <row r="732" spans="1:88" ht="40.5" customHeight="1">
      <c r="A732" s="9"/>
      <c r="B732" s="12"/>
      <c r="C732" s="9" t="s">
        <v>1870</v>
      </c>
      <c r="D732" s="9" t="s">
        <v>969</v>
      </c>
      <c r="E732" s="12">
        <v>0</v>
      </c>
      <c r="F732" s="12">
        <v>0</v>
      </c>
      <c r="G732" s="12" t="b">
        <v>0</v>
      </c>
      <c r="H732" s="9" t="s">
        <v>1871</v>
      </c>
      <c r="I732" s="10" t="s">
        <v>1872</v>
      </c>
      <c r="J732" s="10" t="s">
        <v>84</v>
      </c>
      <c r="K732" s="9" t="s">
        <v>75</v>
      </c>
      <c r="L732" s="12"/>
      <c r="M732" s="12"/>
      <c r="N732" s="13"/>
      <c r="O732" s="16" t="s">
        <v>78</v>
      </c>
      <c r="P732" s="14" t="s">
        <v>79</v>
      </c>
      <c r="Q732" s="15" t="s">
        <v>1846</v>
      </c>
      <c r="R732" s="14" t="s">
        <v>75</v>
      </c>
      <c r="S732" s="14" t="s">
        <v>75</v>
      </c>
      <c r="T732" s="16" t="s">
        <v>145</v>
      </c>
      <c r="U732" s="17"/>
      <c r="V732" s="13"/>
      <c r="W732" s="13"/>
      <c r="X732" s="13"/>
      <c r="Y732" s="13"/>
      <c r="Z732" s="13"/>
      <c r="AA732" s="13"/>
      <c r="AB732" s="18"/>
      <c r="AC732" s="18"/>
      <c r="AD732" s="18"/>
      <c r="AE732" s="18"/>
      <c r="AF732" s="18"/>
      <c r="AG732" s="18"/>
      <c r="AH732" s="13"/>
      <c r="AI732" s="18"/>
      <c r="AJ732" s="13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3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2"/>
      <c r="BK732" s="12"/>
      <c r="BL732" s="12"/>
      <c r="BM732" s="9"/>
      <c r="BN732" s="9"/>
      <c r="BO732" s="9"/>
      <c r="BP732" s="12"/>
      <c r="BQ732" s="12"/>
      <c r="BR732" s="12"/>
      <c r="BS732" s="12"/>
      <c r="BT732" s="12"/>
      <c r="BU732" s="12"/>
      <c r="BV732" s="12"/>
      <c r="BW732" s="12"/>
      <c r="BX732" s="12"/>
      <c r="BY732" s="9"/>
      <c r="BZ732" s="21"/>
      <c r="CA732" s="21"/>
      <c r="CB732" s="21"/>
      <c r="CC732" s="21"/>
      <c r="CD732" s="21"/>
      <c r="CE732" s="21"/>
      <c r="CF732" s="21"/>
      <c r="CG732" s="21"/>
      <c r="CH732" s="21"/>
      <c r="CI732" s="21"/>
      <c r="CJ732" s="21"/>
    </row>
    <row r="733" spans="1:88" ht="40.5" customHeight="1">
      <c r="A733" s="9"/>
      <c r="B733" s="12"/>
      <c r="C733" s="9" t="s">
        <v>1873</v>
      </c>
      <c r="D733" s="9" t="s">
        <v>969</v>
      </c>
      <c r="E733" s="12">
        <v>0</v>
      </c>
      <c r="F733" s="12">
        <v>0</v>
      </c>
      <c r="G733" s="12" t="b">
        <v>0</v>
      </c>
      <c r="H733" s="9" t="s">
        <v>1874</v>
      </c>
      <c r="I733" s="10" t="s">
        <v>1875</v>
      </c>
      <c r="J733" s="9" t="s">
        <v>75</v>
      </c>
      <c r="K733" s="9" t="s">
        <v>79</v>
      </c>
      <c r="L733" s="12"/>
      <c r="M733" s="12"/>
      <c r="N733" s="13"/>
      <c r="O733" s="16" t="s">
        <v>78</v>
      </c>
      <c r="P733" s="14" t="s">
        <v>79</v>
      </c>
      <c r="Q733" s="15" t="s">
        <v>1846</v>
      </c>
      <c r="R733" s="14" t="s">
        <v>75</v>
      </c>
      <c r="S733" s="14" t="s">
        <v>75</v>
      </c>
      <c r="T733" s="16" t="s">
        <v>145</v>
      </c>
      <c r="U733" s="17"/>
      <c r="V733" s="13"/>
      <c r="W733" s="13"/>
      <c r="X733" s="13"/>
      <c r="Y733" s="13"/>
      <c r="Z733" s="13"/>
      <c r="AA733" s="13"/>
      <c r="AB733" s="18"/>
      <c r="AC733" s="18"/>
      <c r="AD733" s="18"/>
      <c r="AE733" s="18"/>
      <c r="AF733" s="18"/>
      <c r="AG733" s="18"/>
      <c r="AH733" s="13"/>
      <c r="AI733" s="18"/>
      <c r="AJ733" s="13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3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2"/>
      <c r="BK733" s="12"/>
      <c r="BL733" s="12"/>
      <c r="BM733" s="9"/>
      <c r="BN733" s="9"/>
      <c r="BO733" s="9"/>
      <c r="BP733" s="12"/>
      <c r="BQ733" s="12"/>
      <c r="BR733" s="12"/>
      <c r="BS733" s="12"/>
      <c r="BT733" s="12"/>
      <c r="BU733" s="12"/>
      <c r="BV733" s="12"/>
      <c r="BW733" s="12"/>
      <c r="BX733" s="12"/>
      <c r="BY733" s="9"/>
      <c r="BZ733" s="21"/>
      <c r="CA733" s="21"/>
      <c r="CB733" s="21"/>
      <c r="CC733" s="21"/>
      <c r="CD733" s="21"/>
      <c r="CE733" s="21"/>
      <c r="CF733" s="21"/>
      <c r="CG733" s="21"/>
      <c r="CH733" s="21"/>
      <c r="CI733" s="21"/>
      <c r="CJ733" s="21"/>
    </row>
    <row r="734" spans="1:88" ht="40.5" customHeight="1">
      <c r="A734" s="9"/>
      <c r="B734" s="12"/>
      <c r="C734" s="9" t="s">
        <v>1876</v>
      </c>
      <c r="D734" s="9" t="s">
        <v>969</v>
      </c>
      <c r="E734" s="12">
        <v>0</v>
      </c>
      <c r="F734" s="12">
        <v>0</v>
      </c>
      <c r="G734" s="12" t="b">
        <v>0</v>
      </c>
      <c r="H734" s="9" t="s">
        <v>1877</v>
      </c>
      <c r="I734" s="10" t="s">
        <v>1878</v>
      </c>
      <c r="J734" s="9" t="s">
        <v>75</v>
      </c>
      <c r="K734" s="9" t="s">
        <v>79</v>
      </c>
      <c r="L734" s="12"/>
      <c r="M734" s="12"/>
      <c r="N734" s="13"/>
      <c r="O734" s="16" t="s">
        <v>78</v>
      </c>
      <c r="P734" s="14" t="s">
        <v>79</v>
      </c>
      <c r="Q734" s="15" t="s">
        <v>1846</v>
      </c>
      <c r="R734" s="14" t="s">
        <v>75</v>
      </c>
      <c r="S734" s="14" t="s">
        <v>75</v>
      </c>
      <c r="T734" s="16" t="s">
        <v>145</v>
      </c>
      <c r="U734" s="17"/>
      <c r="V734" s="13"/>
      <c r="W734" s="13"/>
      <c r="X734" s="13"/>
      <c r="Y734" s="13"/>
      <c r="Z734" s="13"/>
      <c r="AA734" s="13"/>
      <c r="AB734" s="18"/>
      <c r="AC734" s="18"/>
      <c r="AD734" s="18"/>
      <c r="AE734" s="18"/>
      <c r="AF734" s="18"/>
      <c r="AG734" s="18"/>
      <c r="AH734" s="13"/>
      <c r="AI734" s="18"/>
      <c r="AJ734" s="13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3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2"/>
      <c r="BK734" s="12"/>
      <c r="BL734" s="12"/>
      <c r="BM734" s="9"/>
      <c r="BN734" s="9"/>
      <c r="BO734" s="9"/>
      <c r="BP734" s="12"/>
      <c r="BQ734" s="12"/>
      <c r="BR734" s="12"/>
      <c r="BS734" s="12"/>
      <c r="BT734" s="12"/>
      <c r="BU734" s="12"/>
      <c r="BV734" s="12"/>
      <c r="BW734" s="12"/>
      <c r="BX734" s="12"/>
      <c r="BY734" s="9"/>
      <c r="BZ734" s="21"/>
      <c r="CA734" s="21"/>
      <c r="CB734" s="21"/>
      <c r="CC734" s="21"/>
      <c r="CD734" s="21"/>
      <c r="CE734" s="21"/>
      <c r="CF734" s="21"/>
      <c r="CG734" s="21"/>
      <c r="CH734" s="21"/>
      <c r="CI734" s="21"/>
      <c r="CJ734" s="21"/>
    </row>
    <row r="735" spans="1:88" ht="40.5" customHeight="1">
      <c r="A735" s="9"/>
      <c r="B735" s="12"/>
      <c r="C735" s="9" t="s">
        <v>1879</v>
      </c>
      <c r="D735" s="9" t="s">
        <v>1697</v>
      </c>
      <c r="E735" s="12">
        <v>0</v>
      </c>
      <c r="F735" s="12">
        <v>0</v>
      </c>
      <c r="G735" s="12" t="b">
        <v>0</v>
      </c>
      <c r="H735" s="9" t="s">
        <v>79</v>
      </c>
      <c r="I735" s="9" t="s">
        <v>1880</v>
      </c>
      <c r="J735" s="9" t="s">
        <v>79</v>
      </c>
      <c r="K735" s="11" t="s">
        <v>1881</v>
      </c>
      <c r="L735" s="12"/>
      <c r="M735" s="12"/>
      <c r="N735" s="13"/>
      <c r="O735" s="16" t="s">
        <v>78</v>
      </c>
      <c r="P735" s="14" t="s">
        <v>79</v>
      </c>
      <c r="Q735" s="15" t="s">
        <v>1846</v>
      </c>
      <c r="R735" s="14" t="s">
        <v>75</v>
      </c>
      <c r="S735" s="14" t="s">
        <v>75</v>
      </c>
      <c r="T735" s="16" t="s">
        <v>4</v>
      </c>
      <c r="U735" s="17"/>
      <c r="V735" s="13"/>
      <c r="W735" s="13"/>
      <c r="X735" s="13"/>
      <c r="Y735" s="13"/>
      <c r="Z735" s="13"/>
      <c r="AA735" s="13"/>
      <c r="AB735" s="18"/>
      <c r="AC735" s="18"/>
      <c r="AD735" s="18"/>
      <c r="AE735" s="18"/>
      <c r="AF735" s="18"/>
      <c r="AG735" s="18"/>
      <c r="AH735" s="13"/>
      <c r="AI735" s="18"/>
      <c r="AJ735" s="13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3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2"/>
      <c r="BK735" s="12"/>
      <c r="BL735" s="12"/>
      <c r="BM735" s="9"/>
      <c r="BN735" s="9"/>
      <c r="BO735" s="9"/>
      <c r="BP735" s="12"/>
      <c r="BQ735" s="12"/>
      <c r="BR735" s="12"/>
      <c r="BS735" s="12"/>
      <c r="BT735" s="12"/>
      <c r="BU735" s="12"/>
      <c r="BV735" s="12"/>
      <c r="BW735" s="12"/>
      <c r="BX735" s="12"/>
      <c r="BY735" s="9"/>
      <c r="BZ735" s="21"/>
      <c r="CA735" s="21"/>
      <c r="CB735" s="21"/>
      <c r="CC735" s="21"/>
      <c r="CD735" s="21"/>
      <c r="CE735" s="21"/>
      <c r="CF735" s="21"/>
      <c r="CG735" s="21"/>
      <c r="CH735" s="21"/>
      <c r="CI735" s="21"/>
      <c r="CJ735" s="21"/>
    </row>
    <row r="736" spans="1:88" ht="40.5" customHeight="1">
      <c r="A736" s="9"/>
      <c r="B736" s="12"/>
      <c r="C736" s="9" t="s">
        <v>1882</v>
      </c>
      <c r="D736" s="9" t="s">
        <v>1697</v>
      </c>
      <c r="E736" s="12">
        <v>0</v>
      </c>
      <c r="F736" s="12">
        <v>0</v>
      </c>
      <c r="G736" s="12" t="b">
        <v>0</v>
      </c>
      <c r="H736" s="9" t="s">
        <v>75</v>
      </c>
      <c r="I736" s="9" t="s">
        <v>1883</v>
      </c>
      <c r="J736" s="9" t="s">
        <v>75</v>
      </c>
      <c r="K736" s="11" t="s">
        <v>1884</v>
      </c>
      <c r="L736" s="12"/>
      <c r="M736" s="12"/>
      <c r="N736" s="13"/>
      <c r="O736" s="16" t="s">
        <v>78</v>
      </c>
      <c r="P736" s="14" t="s">
        <v>79</v>
      </c>
      <c r="Q736" s="15" t="s">
        <v>1846</v>
      </c>
      <c r="R736" s="14" t="s">
        <v>75</v>
      </c>
      <c r="S736" s="14" t="s">
        <v>75</v>
      </c>
      <c r="T736" s="16" t="s">
        <v>166</v>
      </c>
      <c r="U736" s="17"/>
      <c r="V736" s="16" t="s">
        <v>78</v>
      </c>
      <c r="W736" s="16" t="s">
        <v>79</v>
      </c>
      <c r="X736" s="15" t="s">
        <v>1824</v>
      </c>
      <c r="Y736" s="16" t="s">
        <v>75</v>
      </c>
      <c r="Z736" s="16" t="s">
        <v>75</v>
      </c>
      <c r="AA736" s="16" t="s">
        <v>101</v>
      </c>
      <c r="AB736" s="18"/>
      <c r="AC736" s="19" t="s">
        <v>78</v>
      </c>
      <c r="AD736" s="19" t="s">
        <v>79</v>
      </c>
      <c r="AE736" s="20" t="s">
        <v>1835</v>
      </c>
      <c r="AF736" s="19" t="s">
        <v>75</v>
      </c>
      <c r="AG736" s="19" t="s">
        <v>75</v>
      </c>
      <c r="AH736" s="16" t="s">
        <v>101</v>
      </c>
      <c r="AI736" s="18"/>
      <c r="AJ736" s="16" t="s">
        <v>78</v>
      </c>
      <c r="AK736" s="19" t="s">
        <v>79</v>
      </c>
      <c r="AL736" s="20" t="s">
        <v>1792</v>
      </c>
      <c r="AM736" s="19" t="s">
        <v>75</v>
      </c>
      <c r="AN736" s="19" t="s">
        <v>75</v>
      </c>
      <c r="AO736" s="19" t="s">
        <v>101</v>
      </c>
      <c r="AP736" s="18"/>
      <c r="AQ736" s="18"/>
      <c r="AR736" s="18"/>
      <c r="AS736" s="18"/>
      <c r="AT736" s="18"/>
      <c r="AU736" s="18"/>
      <c r="AV736" s="18"/>
      <c r="AW736" s="18"/>
      <c r="AX736" s="13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2"/>
      <c r="BK736" s="12"/>
      <c r="BL736" s="12"/>
      <c r="BM736" s="9"/>
      <c r="BN736" s="9"/>
      <c r="BO736" s="9"/>
      <c r="BP736" s="12"/>
      <c r="BQ736" s="12"/>
      <c r="BR736" s="12"/>
      <c r="BS736" s="12"/>
      <c r="BT736" s="12"/>
      <c r="BU736" s="12"/>
      <c r="BV736" s="12"/>
      <c r="BW736" s="12"/>
      <c r="BX736" s="12"/>
      <c r="BY736" s="9"/>
      <c r="BZ736" s="21"/>
      <c r="CA736" s="21"/>
      <c r="CB736" s="21"/>
      <c r="CC736" s="21"/>
      <c r="CD736" s="21"/>
      <c r="CE736" s="21"/>
      <c r="CF736" s="21"/>
      <c r="CG736" s="21"/>
      <c r="CH736" s="21"/>
      <c r="CI736" s="21"/>
      <c r="CJ736" s="21"/>
    </row>
    <row r="737" spans="1:88" ht="40.5" customHeight="1">
      <c r="A737" s="9"/>
      <c r="B737" s="12"/>
      <c r="C737" s="9" t="s">
        <v>1885</v>
      </c>
      <c r="D737" s="9" t="s">
        <v>1697</v>
      </c>
      <c r="E737" s="12">
        <v>0</v>
      </c>
      <c r="F737" s="12">
        <v>0</v>
      </c>
      <c r="G737" s="12" t="b">
        <v>0</v>
      </c>
      <c r="H737" s="9" t="s">
        <v>75</v>
      </c>
      <c r="I737" s="9" t="s">
        <v>1886</v>
      </c>
      <c r="J737" s="9" t="s">
        <v>75</v>
      </c>
      <c r="K737" s="11" t="s">
        <v>1887</v>
      </c>
      <c r="L737" s="12"/>
      <c r="M737" s="12"/>
      <c r="N737" s="13"/>
      <c r="O737" s="16" t="s">
        <v>78</v>
      </c>
      <c r="P737" s="14" t="s">
        <v>79</v>
      </c>
      <c r="Q737" s="15" t="s">
        <v>1846</v>
      </c>
      <c r="R737" s="14" t="s">
        <v>75</v>
      </c>
      <c r="S737" s="14" t="s">
        <v>75</v>
      </c>
      <c r="T737" s="16" t="s">
        <v>166</v>
      </c>
      <c r="U737" s="17"/>
      <c r="V737" s="16" t="s">
        <v>98</v>
      </c>
      <c r="W737" s="16" t="s">
        <v>79</v>
      </c>
      <c r="X737" s="15" t="s">
        <v>881</v>
      </c>
      <c r="Y737" s="16" t="s">
        <v>75</v>
      </c>
      <c r="Z737" s="16" t="s">
        <v>75</v>
      </c>
      <c r="AA737" s="16" t="s">
        <v>86</v>
      </c>
      <c r="AB737" s="18"/>
      <c r="AC737" s="19" t="s">
        <v>98</v>
      </c>
      <c r="AD737" s="19" t="s">
        <v>79</v>
      </c>
      <c r="AE737" s="20" t="s">
        <v>1824</v>
      </c>
      <c r="AF737" s="19" t="s">
        <v>75</v>
      </c>
      <c r="AG737" s="19" t="s">
        <v>75</v>
      </c>
      <c r="AH737" s="16" t="s">
        <v>86</v>
      </c>
      <c r="AI737" s="18"/>
      <c r="AJ737" s="16" t="s">
        <v>98</v>
      </c>
      <c r="AK737" s="19" t="s">
        <v>79</v>
      </c>
      <c r="AL737" s="20" t="s">
        <v>1792</v>
      </c>
      <c r="AM737" s="19" t="s">
        <v>75</v>
      </c>
      <c r="AN737" s="19" t="s">
        <v>75</v>
      </c>
      <c r="AO737" s="19" t="s">
        <v>86</v>
      </c>
      <c r="AP737" s="18"/>
      <c r="AQ737" s="18"/>
      <c r="AR737" s="18"/>
      <c r="AS737" s="18"/>
      <c r="AT737" s="18"/>
      <c r="AU737" s="18"/>
      <c r="AV737" s="18"/>
      <c r="AW737" s="18"/>
      <c r="AX737" s="13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2"/>
      <c r="BK737" s="12"/>
      <c r="BL737" s="12"/>
      <c r="BM737" s="9"/>
      <c r="BN737" s="9"/>
      <c r="BO737" s="9"/>
      <c r="BP737" s="12"/>
      <c r="BQ737" s="12"/>
      <c r="BR737" s="12"/>
      <c r="BS737" s="12"/>
      <c r="BT737" s="12"/>
      <c r="BU737" s="12"/>
      <c r="BV737" s="12"/>
      <c r="BW737" s="12"/>
      <c r="BX737" s="12"/>
      <c r="BY737" s="9"/>
      <c r="BZ737" s="21"/>
      <c r="CA737" s="21"/>
      <c r="CB737" s="21"/>
      <c r="CC737" s="21"/>
      <c r="CD737" s="21"/>
      <c r="CE737" s="21"/>
      <c r="CF737" s="21"/>
      <c r="CG737" s="21"/>
      <c r="CH737" s="21"/>
      <c r="CI737" s="21"/>
      <c r="CJ737" s="21"/>
    </row>
    <row r="738" spans="1:88" ht="40.5" customHeight="1">
      <c r="A738" s="9"/>
      <c r="B738" s="12"/>
      <c r="C738" s="9" t="s">
        <v>1888</v>
      </c>
      <c r="D738" s="9" t="s">
        <v>1697</v>
      </c>
      <c r="E738" s="12">
        <v>0</v>
      </c>
      <c r="F738" s="12">
        <v>0</v>
      </c>
      <c r="G738" s="12" t="b">
        <v>0</v>
      </c>
      <c r="H738" s="9" t="s">
        <v>75</v>
      </c>
      <c r="I738" s="9" t="s">
        <v>1889</v>
      </c>
      <c r="J738" s="9" t="s">
        <v>75</v>
      </c>
      <c r="K738" s="11" t="s">
        <v>1890</v>
      </c>
      <c r="L738" s="12"/>
      <c r="M738" s="12"/>
      <c r="N738" s="13"/>
      <c r="O738" s="16" t="s">
        <v>78</v>
      </c>
      <c r="P738" s="14" t="s">
        <v>79</v>
      </c>
      <c r="Q738" s="15" t="s">
        <v>1846</v>
      </c>
      <c r="R738" s="14" t="s">
        <v>75</v>
      </c>
      <c r="S738" s="14" t="s">
        <v>75</v>
      </c>
      <c r="T738" s="16" t="s">
        <v>101</v>
      </c>
      <c r="U738" s="17"/>
      <c r="V738" s="16" t="s">
        <v>78</v>
      </c>
      <c r="W738" s="16" t="s">
        <v>79</v>
      </c>
      <c r="X738" s="15" t="s">
        <v>1824</v>
      </c>
      <c r="Y738" s="16" t="s">
        <v>75</v>
      </c>
      <c r="Z738" s="16" t="s">
        <v>75</v>
      </c>
      <c r="AA738" s="16" t="s">
        <v>101</v>
      </c>
      <c r="AB738" s="18"/>
      <c r="AC738" s="19" t="s">
        <v>78</v>
      </c>
      <c r="AD738" s="19" t="s">
        <v>79</v>
      </c>
      <c r="AE738" s="20" t="s">
        <v>1835</v>
      </c>
      <c r="AF738" s="19" t="s">
        <v>75</v>
      </c>
      <c r="AG738" s="19" t="s">
        <v>75</v>
      </c>
      <c r="AH738" s="16" t="s">
        <v>101</v>
      </c>
      <c r="AI738" s="18"/>
      <c r="AJ738" s="16" t="s">
        <v>78</v>
      </c>
      <c r="AK738" s="19" t="s">
        <v>79</v>
      </c>
      <c r="AL738" s="20" t="s">
        <v>1792</v>
      </c>
      <c r="AM738" s="20" t="s">
        <v>228</v>
      </c>
      <c r="AN738" s="19" t="s">
        <v>75</v>
      </c>
      <c r="AO738" s="19" t="s">
        <v>190</v>
      </c>
      <c r="AP738" s="18"/>
      <c r="AQ738" s="18"/>
      <c r="AR738" s="18"/>
      <c r="AS738" s="18"/>
      <c r="AT738" s="18"/>
      <c r="AU738" s="18"/>
      <c r="AV738" s="18"/>
      <c r="AW738" s="18"/>
      <c r="AX738" s="13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2"/>
      <c r="BK738" s="12"/>
      <c r="BL738" s="12"/>
      <c r="BM738" s="9"/>
      <c r="BN738" s="9"/>
      <c r="BO738" s="9"/>
      <c r="BP738" s="12"/>
      <c r="BQ738" s="12"/>
      <c r="BR738" s="12"/>
      <c r="BS738" s="12"/>
      <c r="BT738" s="12"/>
      <c r="BU738" s="12"/>
      <c r="BV738" s="12"/>
      <c r="BW738" s="12"/>
      <c r="BX738" s="12"/>
      <c r="BY738" s="9"/>
      <c r="BZ738" s="21"/>
      <c r="CA738" s="21"/>
      <c r="CB738" s="21"/>
      <c r="CC738" s="21"/>
      <c r="CD738" s="21"/>
      <c r="CE738" s="21"/>
      <c r="CF738" s="21"/>
      <c r="CG738" s="21"/>
      <c r="CH738" s="21"/>
      <c r="CI738" s="21"/>
      <c r="CJ738" s="21"/>
    </row>
    <row r="739" spans="1:88" ht="40.5" customHeight="1">
      <c r="A739" s="9"/>
      <c r="B739" s="12"/>
      <c r="C739" s="9" t="s">
        <v>1891</v>
      </c>
      <c r="D739" s="9" t="s">
        <v>1697</v>
      </c>
      <c r="E739" s="12">
        <v>0</v>
      </c>
      <c r="F739" s="12">
        <v>0</v>
      </c>
      <c r="G739" s="12" t="b">
        <v>0</v>
      </c>
      <c r="H739" s="9" t="s">
        <v>79</v>
      </c>
      <c r="I739" s="10" t="s">
        <v>1892</v>
      </c>
      <c r="J739" s="9" t="s">
        <v>79</v>
      </c>
      <c r="K739" s="11" t="s">
        <v>1893</v>
      </c>
      <c r="L739" s="12"/>
      <c r="M739" s="12"/>
      <c r="N739" s="13"/>
      <c r="O739" s="16" t="s">
        <v>78</v>
      </c>
      <c r="P739" s="14" t="s">
        <v>79</v>
      </c>
      <c r="Q739" s="15" t="s">
        <v>1846</v>
      </c>
      <c r="R739" s="14" t="s">
        <v>75</v>
      </c>
      <c r="S739" s="14" t="s">
        <v>75</v>
      </c>
      <c r="T739" s="16" t="s">
        <v>101</v>
      </c>
      <c r="U739" s="17"/>
      <c r="V739" s="16" t="s">
        <v>78</v>
      </c>
      <c r="W739" s="16" t="s">
        <v>79</v>
      </c>
      <c r="X739" s="15" t="s">
        <v>1824</v>
      </c>
      <c r="Y739" s="16" t="s">
        <v>75</v>
      </c>
      <c r="Z739" s="16" t="s">
        <v>75</v>
      </c>
      <c r="AA739" s="16" t="s">
        <v>101</v>
      </c>
      <c r="AB739" s="18"/>
      <c r="AC739" s="19" t="s">
        <v>78</v>
      </c>
      <c r="AD739" s="19" t="s">
        <v>79</v>
      </c>
      <c r="AE739" s="20" t="s">
        <v>1835</v>
      </c>
      <c r="AF739" s="19" t="s">
        <v>75</v>
      </c>
      <c r="AG739" s="19" t="s">
        <v>75</v>
      </c>
      <c r="AH739" s="16" t="s">
        <v>101</v>
      </c>
      <c r="AI739" s="18"/>
      <c r="AJ739" s="16" t="s">
        <v>78</v>
      </c>
      <c r="AK739" s="19" t="s">
        <v>79</v>
      </c>
      <c r="AL739" s="20" t="s">
        <v>1792</v>
      </c>
      <c r="AM739" s="19" t="s">
        <v>75</v>
      </c>
      <c r="AN739" s="19" t="s">
        <v>75</v>
      </c>
      <c r="AO739" s="19" t="s">
        <v>101</v>
      </c>
      <c r="AP739" s="18"/>
      <c r="AQ739" s="18"/>
      <c r="AR739" s="18"/>
      <c r="AS739" s="18"/>
      <c r="AT739" s="18"/>
      <c r="AU739" s="18"/>
      <c r="AV739" s="18"/>
      <c r="AW739" s="18"/>
      <c r="AX739" s="13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2"/>
      <c r="BK739" s="12"/>
      <c r="BL739" s="12"/>
      <c r="BM739" s="9"/>
      <c r="BN739" s="9"/>
      <c r="BO739" s="9"/>
      <c r="BP739" s="12"/>
      <c r="BQ739" s="12"/>
      <c r="BR739" s="12"/>
      <c r="BS739" s="12"/>
      <c r="BT739" s="12"/>
      <c r="BU739" s="12"/>
      <c r="BV739" s="12"/>
      <c r="BW739" s="12"/>
      <c r="BX739" s="12"/>
      <c r="BY739" s="9"/>
      <c r="BZ739" s="21"/>
      <c r="CA739" s="21"/>
      <c r="CB739" s="21"/>
      <c r="CC739" s="21"/>
      <c r="CD739" s="21"/>
      <c r="CE739" s="21"/>
      <c r="CF739" s="21"/>
      <c r="CG739" s="21"/>
      <c r="CH739" s="21"/>
      <c r="CI739" s="21"/>
      <c r="CJ739" s="21"/>
    </row>
    <row r="740" spans="1:88" ht="40.5" customHeight="1">
      <c r="A740" s="9"/>
      <c r="B740" s="12"/>
      <c r="C740" s="9" t="s">
        <v>1894</v>
      </c>
      <c r="D740" s="9" t="s">
        <v>1697</v>
      </c>
      <c r="E740" s="12">
        <v>0</v>
      </c>
      <c r="F740" s="12">
        <v>0</v>
      </c>
      <c r="G740" s="12" t="b">
        <v>0</v>
      </c>
      <c r="H740" s="9" t="s">
        <v>75</v>
      </c>
      <c r="I740" s="9" t="s">
        <v>1895</v>
      </c>
      <c r="J740" s="9" t="s">
        <v>75</v>
      </c>
      <c r="K740" s="11" t="s">
        <v>1896</v>
      </c>
      <c r="L740" s="12"/>
      <c r="M740" s="12"/>
      <c r="N740" s="13"/>
      <c r="O740" s="16" t="s">
        <v>78</v>
      </c>
      <c r="P740" s="14" t="s">
        <v>79</v>
      </c>
      <c r="Q740" s="15" t="s">
        <v>1846</v>
      </c>
      <c r="R740" s="14" t="s">
        <v>75</v>
      </c>
      <c r="S740" s="14" t="s">
        <v>75</v>
      </c>
      <c r="T740" s="16" t="s">
        <v>145</v>
      </c>
      <c r="U740" s="17"/>
      <c r="V740" s="16" t="s">
        <v>7</v>
      </c>
      <c r="W740" s="16" t="s">
        <v>79</v>
      </c>
      <c r="X740" s="15" t="s">
        <v>1824</v>
      </c>
      <c r="Y740" s="16" t="s">
        <v>75</v>
      </c>
      <c r="Z740" s="16" t="s">
        <v>75</v>
      </c>
      <c r="AA740" s="16" t="s">
        <v>86</v>
      </c>
      <c r="AB740" s="18"/>
      <c r="AC740" s="19" t="s">
        <v>98</v>
      </c>
      <c r="AD740" s="19" t="s">
        <v>79</v>
      </c>
      <c r="AE740" s="20" t="s">
        <v>1835</v>
      </c>
      <c r="AF740" s="19" t="s">
        <v>75</v>
      </c>
      <c r="AG740" s="19" t="s">
        <v>75</v>
      </c>
      <c r="AH740" s="16" t="s">
        <v>86</v>
      </c>
      <c r="AI740" s="18"/>
      <c r="AJ740" s="16" t="s">
        <v>7</v>
      </c>
      <c r="AK740" s="19" t="s">
        <v>79</v>
      </c>
      <c r="AL740" s="20" t="s">
        <v>1792</v>
      </c>
      <c r="AM740" s="19" t="s">
        <v>75</v>
      </c>
      <c r="AN740" s="19" t="s">
        <v>75</v>
      </c>
      <c r="AO740" s="19" t="s">
        <v>86</v>
      </c>
      <c r="AP740" s="18"/>
      <c r="AQ740" s="18"/>
      <c r="AR740" s="18"/>
      <c r="AS740" s="18"/>
      <c r="AT740" s="18"/>
      <c r="AU740" s="18"/>
      <c r="AV740" s="18"/>
      <c r="AW740" s="18"/>
      <c r="AX740" s="13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2"/>
      <c r="BK740" s="12"/>
      <c r="BL740" s="12"/>
      <c r="BM740" s="9"/>
      <c r="BN740" s="9"/>
      <c r="BO740" s="9"/>
      <c r="BP740" s="12"/>
      <c r="BQ740" s="12"/>
      <c r="BR740" s="12"/>
      <c r="BS740" s="12"/>
      <c r="BT740" s="12"/>
      <c r="BU740" s="12"/>
      <c r="BV740" s="12"/>
      <c r="BW740" s="12"/>
      <c r="BX740" s="12"/>
      <c r="BY740" s="9"/>
      <c r="BZ740" s="21"/>
      <c r="CA740" s="21"/>
      <c r="CB740" s="21"/>
      <c r="CC740" s="21"/>
      <c r="CD740" s="21"/>
      <c r="CE740" s="21"/>
      <c r="CF740" s="21"/>
      <c r="CG740" s="21"/>
      <c r="CH740" s="21"/>
      <c r="CI740" s="21"/>
      <c r="CJ740" s="21"/>
    </row>
    <row r="741" spans="1:88" ht="40.5" customHeight="1">
      <c r="A741" s="9"/>
      <c r="B741" s="12"/>
      <c r="C741" s="9" t="s">
        <v>1897</v>
      </c>
      <c r="D741" s="9" t="s">
        <v>1697</v>
      </c>
      <c r="E741" s="12">
        <v>0</v>
      </c>
      <c r="F741" s="12">
        <v>0</v>
      </c>
      <c r="G741" s="12" t="b">
        <v>0</v>
      </c>
      <c r="H741" s="9" t="s">
        <v>75</v>
      </c>
      <c r="I741" s="9" t="s">
        <v>1898</v>
      </c>
      <c r="J741" s="9" t="s">
        <v>75</v>
      </c>
      <c r="K741" s="9" t="s">
        <v>79</v>
      </c>
      <c r="L741" s="12"/>
      <c r="M741" s="12"/>
      <c r="N741" s="13"/>
      <c r="O741" s="16" t="s">
        <v>78</v>
      </c>
      <c r="P741" s="14" t="s">
        <v>79</v>
      </c>
      <c r="Q741" s="15" t="s">
        <v>1846</v>
      </c>
      <c r="R741" s="14" t="s">
        <v>75</v>
      </c>
      <c r="S741" s="14" t="s">
        <v>75</v>
      </c>
      <c r="T741" s="16" t="s">
        <v>101</v>
      </c>
      <c r="U741" s="17"/>
      <c r="V741" s="16" t="s">
        <v>78</v>
      </c>
      <c r="W741" s="16" t="s">
        <v>79</v>
      </c>
      <c r="X741" s="15" t="s">
        <v>1824</v>
      </c>
      <c r="Y741" s="16" t="s">
        <v>75</v>
      </c>
      <c r="Z741" s="16" t="s">
        <v>75</v>
      </c>
      <c r="AA741" s="16" t="s">
        <v>153</v>
      </c>
      <c r="AB741" s="18"/>
      <c r="AC741" s="19" t="s">
        <v>78</v>
      </c>
      <c r="AD741" s="19" t="s">
        <v>79</v>
      </c>
      <c r="AE741" s="20" t="s">
        <v>1835</v>
      </c>
      <c r="AF741" s="19" t="s">
        <v>75</v>
      </c>
      <c r="AG741" s="19" t="s">
        <v>75</v>
      </c>
      <c r="AH741" s="16" t="s">
        <v>4</v>
      </c>
      <c r="AI741" s="18"/>
      <c r="AJ741" s="13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3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2"/>
      <c r="BK741" s="12"/>
      <c r="BL741" s="12"/>
      <c r="BM741" s="9"/>
      <c r="BN741" s="9"/>
      <c r="BO741" s="9"/>
      <c r="BP741" s="12"/>
      <c r="BQ741" s="12"/>
      <c r="BR741" s="12"/>
      <c r="BS741" s="12"/>
      <c r="BT741" s="12"/>
      <c r="BU741" s="12"/>
      <c r="BV741" s="12"/>
      <c r="BW741" s="12"/>
      <c r="BX741" s="12"/>
      <c r="BY741" s="9"/>
      <c r="BZ741" s="21"/>
      <c r="CA741" s="21"/>
      <c r="CB741" s="21"/>
      <c r="CC741" s="21"/>
      <c r="CD741" s="21"/>
      <c r="CE741" s="21"/>
      <c r="CF741" s="21"/>
      <c r="CG741" s="21"/>
      <c r="CH741" s="21"/>
      <c r="CI741" s="21"/>
      <c r="CJ741" s="21"/>
    </row>
    <row r="742" spans="1:88" ht="40.5" customHeight="1">
      <c r="A742" s="9"/>
      <c r="B742" s="12"/>
      <c r="C742" s="9" t="s">
        <v>1899</v>
      </c>
      <c r="D742" s="9" t="s">
        <v>1697</v>
      </c>
      <c r="E742" s="12">
        <v>0</v>
      </c>
      <c r="F742" s="12">
        <v>0</v>
      </c>
      <c r="G742" s="12" t="b">
        <v>0</v>
      </c>
      <c r="H742" s="9" t="s">
        <v>75</v>
      </c>
      <c r="I742" s="9" t="s">
        <v>1900</v>
      </c>
      <c r="J742" s="9" t="s">
        <v>75</v>
      </c>
      <c r="K742" s="11" t="s">
        <v>1901</v>
      </c>
      <c r="L742" s="12"/>
      <c r="M742" s="12"/>
      <c r="N742" s="13"/>
      <c r="O742" s="13"/>
      <c r="P742" s="17"/>
      <c r="Q742" s="13"/>
      <c r="R742" s="17"/>
      <c r="S742" s="17"/>
      <c r="T742" s="13"/>
      <c r="U742" s="17"/>
      <c r="V742" s="13"/>
      <c r="W742" s="13"/>
      <c r="X742" s="13"/>
      <c r="Y742" s="13"/>
      <c r="Z742" s="13"/>
      <c r="AA742" s="13"/>
      <c r="AB742" s="18"/>
      <c r="AC742" s="18"/>
      <c r="AD742" s="18"/>
      <c r="AE742" s="18"/>
      <c r="AF742" s="18"/>
      <c r="AG742" s="18"/>
      <c r="AH742" s="13"/>
      <c r="AI742" s="18"/>
      <c r="AJ742" s="13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3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2"/>
      <c r="BK742" s="12"/>
      <c r="BL742" s="12"/>
      <c r="BM742" s="9"/>
      <c r="BN742" s="9"/>
      <c r="BO742" s="9"/>
      <c r="BP742" s="12"/>
      <c r="BQ742" s="12"/>
      <c r="BR742" s="12"/>
      <c r="BS742" s="12"/>
      <c r="BT742" s="12"/>
      <c r="BU742" s="12"/>
      <c r="BV742" s="12"/>
      <c r="BW742" s="12"/>
      <c r="BX742" s="12"/>
      <c r="BY742" s="9"/>
      <c r="BZ742" s="21"/>
      <c r="CA742" s="21"/>
      <c r="CB742" s="21"/>
      <c r="CC742" s="21"/>
      <c r="CD742" s="21"/>
      <c r="CE742" s="21"/>
      <c r="CF742" s="21"/>
      <c r="CG742" s="21"/>
      <c r="CH742" s="21"/>
      <c r="CI742" s="21"/>
      <c r="CJ742" s="21"/>
    </row>
    <row r="743" spans="1:88" ht="40.5" customHeight="1">
      <c r="A743" s="9"/>
      <c r="B743" s="12"/>
      <c r="C743" s="9" t="s">
        <v>1902</v>
      </c>
      <c r="D743" s="9" t="s">
        <v>1697</v>
      </c>
      <c r="E743" s="12">
        <v>0</v>
      </c>
      <c r="F743" s="12">
        <v>0</v>
      </c>
      <c r="G743" s="12" t="b">
        <v>0</v>
      </c>
      <c r="H743" s="9" t="s">
        <v>75</v>
      </c>
      <c r="I743" s="9" t="s">
        <v>1903</v>
      </c>
      <c r="J743" s="9" t="s">
        <v>75</v>
      </c>
      <c r="K743" s="9" t="s">
        <v>79</v>
      </c>
      <c r="L743" s="12"/>
      <c r="M743" s="12"/>
      <c r="N743" s="13"/>
      <c r="O743" s="16" t="s">
        <v>78</v>
      </c>
      <c r="P743" s="14" t="s">
        <v>79</v>
      </c>
      <c r="Q743" s="15" t="s">
        <v>1846</v>
      </c>
      <c r="R743" s="14" t="s">
        <v>75</v>
      </c>
      <c r="S743" s="14" t="s">
        <v>75</v>
      </c>
      <c r="T743" s="16" t="s">
        <v>101</v>
      </c>
      <c r="U743" s="17"/>
      <c r="V743" s="16" t="s">
        <v>78</v>
      </c>
      <c r="W743" s="16" t="s">
        <v>79</v>
      </c>
      <c r="X743" s="15" t="s">
        <v>1824</v>
      </c>
      <c r="Y743" s="16" t="s">
        <v>75</v>
      </c>
      <c r="Z743" s="16" t="s">
        <v>75</v>
      </c>
      <c r="AA743" s="16" t="s">
        <v>101</v>
      </c>
      <c r="AB743" s="18"/>
      <c r="AC743" s="19" t="s">
        <v>78</v>
      </c>
      <c r="AD743" s="19" t="s">
        <v>79</v>
      </c>
      <c r="AE743" s="20" t="s">
        <v>1835</v>
      </c>
      <c r="AF743" s="19" t="s">
        <v>75</v>
      </c>
      <c r="AG743" s="19" t="s">
        <v>75</v>
      </c>
      <c r="AH743" s="16" t="s">
        <v>101</v>
      </c>
      <c r="AI743" s="18"/>
      <c r="AJ743" s="16" t="s">
        <v>78</v>
      </c>
      <c r="AK743" s="19" t="s">
        <v>79</v>
      </c>
      <c r="AL743" s="20" t="s">
        <v>1792</v>
      </c>
      <c r="AM743" s="19" t="s">
        <v>75</v>
      </c>
      <c r="AN743" s="19" t="s">
        <v>75</v>
      </c>
      <c r="AO743" s="19" t="s">
        <v>101</v>
      </c>
      <c r="AP743" s="18"/>
      <c r="AQ743" s="18"/>
      <c r="AR743" s="18"/>
      <c r="AS743" s="18"/>
      <c r="AT743" s="18"/>
      <c r="AU743" s="18"/>
      <c r="AV743" s="18"/>
      <c r="AW743" s="18"/>
      <c r="AX743" s="13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2"/>
      <c r="BK743" s="12"/>
      <c r="BL743" s="12"/>
      <c r="BM743" s="9"/>
      <c r="BN743" s="9"/>
      <c r="BO743" s="9"/>
      <c r="BP743" s="12"/>
      <c r="BQ743" s="12"/>
      <c r="BR743" s="12"/>
      <c r="BS743" s="12"/>
      <c r="BT743" s="12"/>
      <c r="BU743" s="12"/>
      <c r="BV743" s="12"/>
      <c r="BW743" s="12"/>
      <c r="BX743" s="12"/>
      <c r="BY743" s="9"/>
      <c r="BZ743" s="21"/>
      <c r="CA743" s="21"/>
      <c r="CB743" s="21"/>
      <c r="CC743" s="21"/>
      <c r="CD743" s="21"/>
      <c r="CE743" s="21"/>
      <c r="CF743" s="21"/>
      <c r="CG743" s="21"/>
      <c r="CH743" s="21"/>
      <c r="CI743" s="21"/>
      <c r="CJ743" s="21"/>
    </row>
    <row r="744" spans="1:88" ht="40.5" customHeight="1">
      <c r="A744" s="9"/>
      <c r="B744" s="12"/>
      <c r="C744" s="9" t="s">
        <v>1904</v>
      </c>
      <c r="D744" s="9" t="s">
        <v>1697</v>
      </c>
      <c r="E744" s="12">
        <v>0</v>
      </c>
      <c r="F744" s="12">
        <v>0</v>
      </c>
      <c r="G744" s="12" t="b">
        <v>0</v>
      </c>
      <c r="H744" s="9" t="s">
        <v>75</v>
      </c>
      <c r="I744" s="9" t="s">
        <v>1905</v>
      </c>
      <c r="J744" s="9" t="s">
        <v>75</v>
      </c>
      <c r="K744" s="11" t="s">
        <v>1906</v>
      </c>
      <c r="L744" s="12"/>
      <c r="M744" s="12"/>
      <c r="N744" s="13"/>
      <c r="O744" s="16" t="s">
        <v>78</v>
      </c>
      <c r="P744" s="14" t="s">
        <v>79</v>
      </c>
      <c r="Q744" s="15" t="s">
        <v>1846</v>
      </c>
      <c r="R744" s="23" t="s">
        <v>93</v>
      </c>
      <c r="S744" s="14" t="s">
        <v>75</v>
      </c>
      <c r="T744" s="16" t="s">
        <v>81</v>
      </c>
      <c r="U744" s="17"/>
      <c r="V744" s="16" t="s">
        <v>78</v>
      </c>
      <c r="W744" s="16" t="s">
        <v>79</v>
      </c>
      <c r="X744" s="15" t="s">
        <v>1824</v>
      </c>
      <c r="Y744" s="16" t="s">
        <v>75</v>
      </c>
      <c r="Z744" s="16" t="s">
        <v>75</v>
      </c>
      <c r="AA744" s="16" t="s">
        <v>4</v>
      </c>
      <c r="AB744" s="18"/>
      <c r="AC744" s="18"/>
      <c r="AD744" s="18"/>
      <c r="AE744" s="18"/>
      <c r="AF744" s="18"/>
      <c r="AG744" s="18"/>
      <c r="AH744" s="13"/>
      <c r="AI744" s="18"/>
      <c r="AJ744" s="13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3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2"/>
      <c r="BK744" s="12"/>
      <c r="BL744" s="12"/>
      <c r="BM744" s="9"/>
      <c r="BN744" s="9"/>
      <c r="BO744" s="9"/>
      <c r="BP744" s="12"/>
      <c r="BQ744" s="12"/>
      <c r="BR744" s="12"/>
      <c r="BS744" s="12"/>
      <c r="BT744" s="12"/>
      <c r="BU744" s="12"/>
      <c r="BV744" s="12"/>
      <c r="BW744" s="12"/>
      <c r="BX744" s="12"/>
      <c r="BY744" s="9"/>
      <c r="BZ744" s="21"/>
      <c r="CA744" s="21"/>
      <c r="CB744" s="21"/>
      <c r="CC744" s="21"/>
      <c r="CD744" s="21"/>
      <c r="CE744" s="21"/>
      <c r="CF744" s="21"/>
      <c r="CG744" s="21"/>
      <c r="CH744" s="21"/>
      <c r="CI744" s="21"/>
      <c r="CJ744" s="21"/>
    </row>
    <row r="745" spans="1:88" ht="40.5" customHeight="1">
      <c r="A745" s="9"/>
      <c r="B745" s="12"/>
      <c r="C745" s="9" t="s">
        <v>1907</v>
      </c>
      <c r="D745" s="9" t="s">
        <v>1697</v>
      </c>
      <c r="E745" s="12">
        <v>0</v>
      </c>
      <c r="F745" s="12">
        <v>0</v>
      </c>
      <c r="G745" s="12" t="b">
        <v>0</v>
      </c>
      <c r="H745" s="9" t="s">
        <v>1908</v>
      </c>
      <c r="I745" s="10" t="s">
        <v>1909</v>
      </c>
      <c r="J745" s="9" t="s">
        <v>79</v>
      </c>
      <c r="K745" s="11" t="s">
        <v>1910</v>
      </c>
      <c r="L745" s="12"/>
      <c r="M745" s="12"/>
      <c r="N745" s="13"/>
      <c r="O745" s="16" t="s">
        <v>78</v>
      </c>
      <c r="P745" s="14" t="s">
        <v>79</v>
      </c>
      <c r="Q745" s="15" t="s">
        <v>1846</v>
      </c>
      <c r="R745" s="14" t="s">
        <v>75</v>
      </c>
      <c r="S745" s="14" t="s">
        <v>75</v>
      </c>
      <c r="T745" s="16" t="s">
        <v>145</v>
      </c>
      <c r="U745" s="17"/>
      <c r="V745" s="16" t="s">
        <v>78</v>
      </c>
      <c r="W745" s="16" t="s">
        <v>79</v>
      </c>
      <c r="X745" s="15" t="s">
        <v>1824</v>
      </c>
      <c r="Y745" s="16" t="s">
        <v>75</v>
      </c>
      <c r="Z745" s="16" t="s">
        <v>75</v>
      </c>
      <c r="AA745" s="16" t="s">
        <v>145</v>
      </c>
      <c r="AB745" s="18"/>
      <c r="AC745" s="19" t="s">
        <v>78</v>
      </c>
      <c r="AD745" s="19" t="s">
        <v>79</v>
      </c>
      <c r="AE745" s="20" t="s">
        <v>1835</v>
      </c>
      <c r="AF745" s="19" t="s">
        <v>75</v>
      </c>
      <c r="AG745" s="19" t="s">
        <v>75</v>
      </c>
      <c r="AH745" s="16" t="s">
        <v>145</v>
      </c>
      <c r="AI745" s="18"/>
      <c r="AJ745" s="16" t="s">
        <v>7</v>
      </c>
      <c r="AK745" s="19" t="s">
        <v>79</v>
      </c>
      <c r="AL745" s="20" t="s">
        <v>1792</v>
      </c>
      <c r="AM745" s="19" t="s">
        <v>75</v>
      </c>
      <c r="AN745" s="19" t="s">
        <v>75</v>
      </c>
      <c r="AO745" s="19" t="s">
        <v>86</v>
      </c>
      <c r="AP745" s="18"/>
      <c r="AQ745" s="18"/>
      <c r="AR745" s="18"/>
      <c r="AS745" s="18"/>
      <c r="AT745" s="18"/>
      <c r="AU745" s="18"/>
      <c r="AV745" s="18"/>
      <c r="AW745" s="18"/>
      <c r="AX745" s="13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2"/>
      <c r="BK745" s="12"/>
      <c r="BL745" s="12"/>
      <c r="BM745" s="9"/>
      <c r="BN745" s="9"/>
      <c r="BO745" s="9"/>
      <c r="BP745" s="12"/>
      <c r="BQ745" s="12"/>
      <c r="BR745" s="12"/>
      <c r="BS745" s="12"/>
      <c r="BT745" s="12"/>
      <c r="BU745" s="12"/>
      <c r="BV745" s="12"/>
      <c r="BW745" s="12"/>
      <c r="BX745" s="12"/>
      <c r="BY745" s="9"/>
      <c r="BZ745" s="21"/>
      <c r="CA745" s="21"/>
      <c r="CB745" s="21"/>
      <c r="CC745" s="21"/>
      <c r="CD745" s="21"/>
      <c r="CE745" s="21"/>
      <c r="CF745" s="21"/>
      <c r="CG745" s="21"/>
      <c r="CH745" s="21"/>
      <c r="CI745" s="21"/>
      <c r="CJ745" s="21"/>
    </row>
    <row r="746" spans="1:88" ht="40.5" customHeight="1">
      <c r="A746" s="9"/>
      <c r="B746" s="12"/>
      <c r="C746" s="9" t="s">
        <v>1911</v>
      </c>
      <c r="D746" s="9" t="s">
        <v>1697</v>
      </c>
      <c r="E746" s="12">
        <v>0</v>
      </c>
      <c r="F746" s="12">
        <v>0</v>
      </c>
      <c r="G746" s="12" t="b">
        <v>0</v>
      </c>
      <c r="H746" s="9" t="s">
        <v>75</v>
      </c>
      <c r="I746" s="9" t="s">
        <v>1912</v>
      </c>
      <c r="J746" s="9" t="s">
        <v>75</v>
      </c>
      <c r="K746" s="11" t="s">
        <v>1913</v>
      </c>
      <c r="L746" s="12"/>
      <c r="M746" s="12"/>
      <c r="N746" s="13"/>
      <c r="O746" s="16" t="s">
        <v>78</v>
      </c>
      <c r="P746" s="14" t="s">
        <v>79</v>
      </c>
      <c r="Q746" s="15" t="s">
        <v>1846</v>
      </c>
      <c r="R746" s="14" t="s">
        <v>75</v>
      </c>
      <c r="S746" s="14" t="s">
        <v>75</v>
      </c>
      <c r="T746" s="16" t="s">
        <v>101</v>
      </c>
      <c r="U746" s="17"/>
      <c r="V746" s="16" t="s">
        <v>78</v>
      </c>
      <c r="W746" s="16" t="s">
        <v>79</v>
      </c>
      <c r="X746" s="15" t="s">
        <v>1824</v>
      </c>
      <c r="Y746" s="16" t="s">
        <v>75</v>
      </c>
      <c r="Z746" s="15" t="s">
        <v>84</v>
      </c>
      <c r="AA746" s="16" t="s">
        <v>86</v>
      </c>
      <c r="AB746" s="18"/>
      <c r="AC746" s="19" t="s">
        <v>98</v>
      </c>
      <c r="AD746" s="19" t="s">
        <v>79</v>
      </c>
      <c r="AE746" s="20" t="s">
        <v>1835</v>
      </c>
      <c r="AF746" s="19" t="s">
        <v>75</v>
      </c>
      <c r="AG746" s="19" t="s">
        <v>75</v>
      </c>
      <c r="AH746" s="16" t="s">
        <v>86</v>
      </c>
      <c r="AI746" s="18"/>
      <c r="AJ746" s="16" t="s">
        <v>78</v>
      </c>
      <c r="AK746" s="19" t="s">
        <v>79</v>
      </c>
      <c r="AL746" s="20" t="s">
        <v>1792</v>
      </c>
      <c r="AM746" s="19" t="s">
        <v>75</v>
      </c>
      <c r="AN746" s="19" t="s">
        <v>75</v>
      </c>
      <c r="AO746" s="19" t="s">
        <v>190</v>
      </c>
      <c r="AP746" s="18"/>
      <c r="AQ746" s="18"/>
      <c r="AR746" s="18"/>
      <c r="AS746" s="18"/>
      <c r="AT746" s="18"/>
      <c r="AU746" s="18"/>
      <c r="AV746" s="18"/>
      <c r="AW746" s="18"/>
      <c r="AX746" s="13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2"/>
      <c r="BK746" s="12"/>
      <c r="BL746" s="12"/>
      <c r="BM746" s="9"/>
      <c r="BN746" s="9"/>
      <c r="BO746" s="9"/>
      <c r="BP746" s="12"/>
      <c r="BQ746" s="12"/>
      <c r="BR746" s="12"/>
      <c r="BS746" s="12"/>
      <c r="BT746" s="12"/>
      <c r="BU746" s="12"/>
      <c r="BV746" s="12"/>
      <c r="BW746" s="12"/>
      <c r="BX746" s="12"/>
      <c r="BY746" s="9"/>
      <c r="BZ746" s="21"/>
      <c r="CA746" s="21"/>
      <c r="CB746" s="21"/>
      <c r="CC746" s="21"/>
      <c r="CD746" s="21"/>
      <c r="CE746" s="21"/>
      <c r="CF746" s="21"/>
      <c r="CG746" s="21"/>
      <c r="CH746" s="21"/>
      <c r="CI746" s="21"/>
      <c r="CJ746" s="21"/>
    </row>
    <row r="747" spans="1:88" ht="40.5" customHeight="1">
      <c r="A747" s="9"/>
      <c r="B747" s="12"/>
      <c r="C747" s="9" t="s">
        <v>1914</v>
      </c>
      <c r="D747" s="9" t="s">
        <v>1697</v>
      </c>
      <c r="E747" s="12">
        <v>0</v>
      </c>
      <c r="F747" s="12">
        <v>0</v>
      </c>
      <c r="G747" s="12" t="b">
        <v>0</v>
      </c>
      <c r="H747" s="9" t="s">
        <v>75</v>
      </c>
      <c r="I747" s="9" t="s">
        <v>1915</v>
      </c>
      <c r="J747" s="9" t="s">
        <v>75</v>
      </c>
      <c r="K747" s="11" t="s">
        <v>1916</v>
      </c>
      <c r="L747" s="12"/>
      <c r="M747" s="12"/>
      <c r="N747" s="13"/>
      <c r="O747" s="16" t="s">
        <v>78</v>
      </c>
      <c r="P747" s="14" t="s">
        <v>79</v>
      </c>
      <c r="Q747" s="15" t="s">
        <v>1846</v>
      </c>
      <c r="R747" s="14" t="s">
        <v>75</v>
      </c>
      <c r="S747" s="14" t="s">
        <v>75</v>
      </c>
      <c r="T747" s="16" t="s">
        <v>101</v>
      </c>
      <c r="U747" s="17"/>
      <c r="V747" s="16" t="s">
        <v>78</v>
      </c>
      <c r="W747" s="16" t="s">
        <v>79</v>
      </c>
      <c r="X747" s="15" t="s">
        <v>1824</v>
      </c>
      <c r="Y747" s="16" t="s">
        <v>75</v>
      </c>
      <c r="Z747" s="15" t="s">
        <v>84</v>
      </c>
      <c r="AA747" s="16" t="s">
        <v>86</v>
      </c>
      <c r="AB747" s="18"/>
      <c r="AC747" s="19" t="s">
        <v>78</v>
      </c>
      <c r="AD747" s="19" t="s">
        <v>79</v>
      </c>
      <c r="AE747" s="20" t="s">
        <v>1835</v>
      </c>
      <c r="AF747" s="19" t="s">
        <v>75</v>
      </c>
      <c r="AG747" s="19" t="s">
        <v>75</v>
      </c>
      <c r="AH747" s="16" t="s">
        <v>86</v>
      </c>
      <c r="AI747" s="18"/>
      <c r="AJ747" s="16" t="s">
        <v>78</v>
      </c>
      <c r="AK747" s="19" t="s">
        <v>79</v>
      </c>
      <c r="AL747" s="20" t="s">
        <v>1792</v>
      </c>
      <c r="AM747" s="19" t="s">
        <v>75</v>
      </c>
      <c r="AN747" s="19" t="s">
        <v>75</v>
      </c>
      <c r="AO747" s="19" t="s">
        <v>101</v>
      </c>
      <c r="AP747" s="18"/>
      <c r="AQ747" s="18"/>
      <c r="AR747" s="18"/>
      <c r="AS747" s="18"/>
      <c r="AT747" s="18"/>
      <c r="AU747" s="18"/>
      <c r="AV747" s="18"/>
      <c r="AW747" s="18"/>
      <c r="AX747" s="13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2"/>
      <c r="BK747" s="12"/>
      <c r="BL747" s="12"/>
      <c r="BM747" s="9"/>
      <c r="BN747" s="9"/>
      <c r="BO747" s="9"/>
      <c r="BP747" s="12"/>
      <c r="BQ747" s="12"/>
      <c r="BR747" s="12"/>
      <c r="BS747" s="12"/>
      <c r="BT747" s="12"/>
      <c r="BU747" s="12"/>
      <c r="BV747" s="12"/>
      <c r="BW747" s="12"/>
      <c r="BX747" s="12"/>
      <c r="BY747" s="9"/>
      <c r="BZ747" s="21"/>
      <c r="CA747" s="21"/>
      <c r="CB747" s="21"/>
      <c r="CC747" s="21"/>
      <c r="CD747" s="21"/>
      <c r="CE747" s="21"/>
      <c r="CF747" s="21"/>
      <c r="CG747" s="21"/>
      <c r="CH747" s="21"/>
      <c r="CI747" s="21"/>
      <c r="CJ747" s="21"/>
    </row>
    <row r="748" spans="1:88" ht="40.5" customHeight="1">
      <c r="A748" s="9"/>
      <c r="B748" s="12"/>
      <c r="C748" s="9" t="s">
        <v>1917</v>
      </c>
      <c r="D748" s="9" t="s">
        <v>1697</v>
      </c>
      <c r="E748" s="12">
        <v>0</v>
      </c>
      <c r="F748" s="12">
        <v>0</v>
      </c>
      <c r="G748" s="12" t="b">
        <v>0</v>
      </c>
      <c r="H748" s="9" t="s">
        <v>75</v>
      </c>
      <c r="I748" s="9" t="s">
        <v>1918</v>
      </c>
      <c r="J748" s="9" t="s">
        <v>75</v>
      </c>
      <c r="K748" s="11" t="s">
        <v>1919</v>
      </c>
      <c r="L748" s="12"/>
      <c r="M748" s="12"/>
      <c r="N748" s="13"/>
      <c r="O748" s="16" t="s">
        <v>78</v>
      </c>
      <c r="P748" s="14" t="s">
        <v>79</v>
      </c>
      <c r="Q748" s="15" t="s">
        <v>1846</v>
      </c>
      <c r="R748" s="14" t="s">
        <v>75</v>
      </c>
      <c r="S748" s="14" t="s">
        <v>75</v>
      </c>
      <c r="T748" s="16" t="s">
        <v>101</v>
      </c>
      <c r="U748" s="17"/>
      <c r="V748" s="16" t="s">
        <v>78</v>
      </c>
      <c r="W748" s="16" t="s">
        <v>79</v>
      </c>
      <c r="X748" s="15" t="s">
        <v>1824</v>
      </c>
      <c r="Y748" s="16" t="s">
        <v>75</v>
      </c>
      <c r="Z748" s="16" t="s">
        <v>75</v>
      </c>
      <c r="AA748" s="16" t="s">
        <v>101</v>
      </c>
      <c r="AB748" s="18"/>
      <c r="AC748" s="19" t="s">
        <v>78</v>
      </c>
      <c r="AD748" s="19" t="s">
        <v>79</v>
      </c>
      <c r="AE748" s="20" t="s">
        <v>1835</v>
      </c>
      <c r="AF748" s="19" t="s">
        <v>75</v>
      </c>
      <c r="AG748" s="19" t="s">
        <v>75</v>
      </c>
      <c r="AH748" s="16" t="s">
        <v>101</v>
      </c>
      <c r="AI748" s="18"/>
      <c r="AJ748" s="16" t="s">
        <v>98</v>
      </c>
      <c r="AK748" s="19" t="s">
        <v>79</v>
      </c>
      <c r="AL748" s="20" t="s">
        <v>1792</v>
      </c>
      <c r="AM748" s="19" t="s">
        <v>75</v>
      </c>
      <c r="AN748" s="19" t="s">
        <v>75</v>
      </c>
      <c r="AO748" s="19" t="s">
        <v>86</v>
      </c>
      <c r="AP748" s="18"/>
      <c r="AQ748" s="18"/>
      <c r="AR748" s="18"/>
      <c r="AS748" s="18"/>
      <c r="AT748" s="18"/>
      <c r="AU748" s="18"/>
      <c r="AV748" s="18"/>
      <c r="AW748" s="18"/>
      <c r="AX748" s="13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2"/>
      <c r="BK748" s="12"/>
      <c r="BL748" s="12"/>
      <c r="BM748" s="9"/>
      <c r="BN748" s="9"/>
      <c r="BO748" s="9"/>
      <c r="BP748" s="12"/>
      <c r="BQ748" s="12"/>
      <c r="BR748" s="12"/>
      <c r="BS748" s="12"/>
      <c r="BT748" s="12"/>
      <c r="BU748" s="12"/>
      <c r="BV748" s="12"/>
      <c r="BW748" s="12"/>
      <c r="BX748" s="12"/>
      <c r="BY748" s="9"/>
      <c r="BZ748" s="21"/>
      <c r="CA748" s="21"/>
      <c r="CB748" s="21"/>
      <c r="CC748" s="21"/>
      <c r="CD748" s="21"/>
      <c r="CE748" s="21"/>
      <c r="CF748" s="21"/>
      <c r="CG748" s="21"/>
      <c r="CH748" s="21"/>
      <c r="CI748" s="21"/>
      <c r="CJ748" s="21"/>
    </row>
    <row r="749" spans="1:88" ht="40.5" customHeight="1">
      <c r="A749" s="9"/>
      <c r="B749" s="12"/>
      <c r="C749" s="9" t="s">
        <v>1920</v>
      </c>
      <c r="D749" s="9" t="s">
        <v>1697</v>
      </c>
      <c r="E749" s="12">
        <v>0</v>
      </c>
      <c r="F749" s="12">
        <v>0</v>
      </c>
      <c r="G749" s="12" t="b">
        <v>0</v>
      </c>
      <c r="H749" s="9" t="s">
        <v>75</v>
      </c>
      <c r="I749" s="9" t="s">
        <v>1921</v>
      </c>
      <c r="J749" s="9" t="s">
        <v>75</v>
      </c>
      <c r="K749" s="11" t="s">
        <v>1922</v>
      </c>
      <c r="L749" s="12"/>
      <c r="M749" s="12"/>
      <c r="N749" s="13"/>
      <c r="O749" s="16" t="s">
        <v>78</v>
      </c>
      <c r="P749" s="14" t="s">
        <v>79</v>
      </c>
      <c r="Q749" s="15" t="s">
        <v>132</v>
      </c>
      <c r="R749" s="14" t="s">
        <v>75</v>
      </c>
      <c r="S749" s="23" t="s">
        <v>84</v>
      </c>
      <c r="T749" s="16" t="s">
        <v>166</v>
      </c>
      <c r="U749" s="17"/>
      <c r="V749" s="16" t="s">
        <v>78</v>
      </c>
      <c r="W749" s="16" t="s">
        <v>79</v>
      </c>
      <c r="X749" s="15" t="s">
        <v>1824</v>
      </c>
      <c r="Y749" s="16" t="s">
        <v>75</v>
      </c>
      <c r="Z749" s="16" t="s">
        <v>75</v>
      </c>
      <c r="AA749" s="16" t="s">
        <v>153</v>
      </c>
      <c r="AB749" s="18"/>
      <c r="AC749" s="19" t="s">
        <v>78</v>
      </c>
      <c r="AD749" s="19" t="s">
        <v>79</v>
      </c>
      <c r="AE749" s="20" t="s">
        <v>1835</v>
      </c>
      <c r="AF749" s="19" t="s">
        <v>75</v>
      </c>
      <c r="AG749" s="19" t="s">
        <v>75</v>
      </c>
      <c r="AH749" s="16" t="s">
        <v>101</v>
      </c>
      <c r="AI749" s="18"/>
      <c r="AJ749" s="16" t="s">
        <v>78</v>
      </c>
      <c r="AK749" s="19" t="s">
        <v>79</v>
      </c>
      <c r="AL749" s="20" t="s">
        <v>1792</v>
      </c>
      <c r="AM749" s="19" t="s">
        <v>75</v>
      </c>
      <c r="AN749" s="19" t="s">
        <v>75</v>
      </c>
      <c r="AO749" s="19" t="s">
        <v>101</v>
      </c>
      <c r="AP749" s="18"/>
      <c r="AQ749" s="18"/>
      <c r="AR749" s="18"/>
      <c r="AS749" s="18"/>
      <c r="AT749" s="18"/>
      <c r="AU749" s="18"/>
      <c r="AV749" s="18"/>
      <c r="AW749" s="18"/>
      <c r="AX749" s="13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2"/>
      <c r="BK749" s="12"/>
      <c r="BL749" s="12"/>
      <c r="BM749" s="9"/>
      <c r="BN749" s="9"/>
      <c r="BO749" s="9"/>
      <c r="BP749" s="12"/>
      <c r="BQ749" s="12"/>
      <c r="BR749" s="12"/>
      <c r="BS749" s="12"/>
      <c r="BT749" s="12"/>
      <c r="BU749" s="12"/>
      <c r="BV749" s="12"/>
      <c r="BW749" s="12"/>
      <c r="BX749" s="12"/>
      <c r="BY749" s="9"/>
      <c r="BZ749" s="21"/>
      <c r="CA749" s="21"/>
      <c r="CB749" s="21"/>
      <c r="CC749" s="21"/>
      <c r="CD749" s="21"/>
      <c r="CE749" s="21"/>
      <c r="CF749" s="21"/>
      <c r="CG749" s="21"/>
      <c r="CH749" s="21"/>
      <c r="CI749" s="21"/>
      <c r="CJ749" s="21"/>
    </row>
    <row r="750" spans="1:88" ht="40.5" customHeight="1">
      <c r="A750" s="9"/>
      <c r="B750" s="12"/>
      <c r="C750" s="9" t="s">
        <v>1923</v>
      </c>
      <c r="D750" s="9" t="s">
        <v>1697</v>
      </c>
      <c r="E750" s="12">
        <v>0</v>
      </c>
      <c r="F750" s="12">
        <v>0</v>
      </c>
      <c r="G750" s="12" t="b">
        <v>0</v>
      </c>
      <c r="H750" s="9" t="s">
        <v>75</v>
      </c>
      <c r="I750" s="9" t="s">
        <v>1924</v>
      </c>
      <c r="J750" s="9" t="s">
        <v>75</v>
      </c>
      <c r="K750" s="9" t="s">
        <v>79</v>
      </c>
      <c r="L750" s="12"/>
      <c r="M750" s="12"/>
      <c r="N750" s="13"/>
      <c r="O750" s="16" t="s">
        <v>78</v>
      </c>
      <c r="P750" s="14" t="s">
        <v>79</v>
      </c>
      <c r="Q750" s="15" t="s">
        <v>132</v>
      </c>
      <c r="R750" s="14" t="s">
        <v>75</v>
      </c>
      <c r="S750" s="14" t="s">
        <v>75</v>
      </c>
      <c r="T750" s="16" t="s">
        <v>101</v>
      </c>
      <c r="U750" s="17"/>
      <c r="V750" s="16" t="s">
        <v>78</v>
      </c>
      <c r="W750" s="16" t="s">
        <v>79</v>
      </c>
      <c r="X750" s="15" t="s">
        <v>1824</v>
      </c>
      <c r="Y750" s="16" t="s">
        <v>75</v>
      </c>
      <c r="Z750" s="16" t="s">
        <v>75</v>
      </c>
      <c r="AA750" s="16" t="s">
        <v>101</v>
      </c>
      <c r="AB750" s="18"/>
      <c r="AC750" s="19" t="s">
        <v>78</v>
      </c>
      <c r="AD750" s="19" t="s">
        <v>79</v>
      </c>
      <c r="AE750" s="20" t="s">
        <v>1835</v>
      </c>
      <c r="AF750" s="19" t="s">
        <v>75</v>
      </c>
      <c r="AG750" s="19" t="s">
        <v>75</v>
      </c>
      <c r="AH750" s="16" t="s">
        <v>101</v>
      </c>
      <c r="AI750" s="18"/>
      <c r="AJ750" s="13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3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2"/>
      <c r="BK750" s="12"/>
      <c r="BL750" s="12"/>
      <c r="BM750" s="9"/>
      <c r="BN750" s="9"/>
      <c r="BO750" s="9"/>
      <c r="BP750" s="12"/>
      <c r="BQ750" s="12"/>
      <c r="BR750" s="12"/>
      <c r="BS750" s="12"/>
      <c r="BT750" s="12"/>
      <c r="BU750" s="12"/>
      <c r="BV750" s="12"/>
      <c r="BW750" s="12"/>
      <c r="BX750" s="12"/>
      <c r="BY750" s="9"/>
      <c r="BZ750" s="21"/>
      <c r="CA750" s="21"/>
      <c r="CB750" s="21"/>
      <c r="CC750" s="21"/>
      <c r="CD750" s="21"/>
      <c r="CE750" s="21"/>
      <c r="CF750" s="21"/>
      <c r="CG750" s="21"/>
      <c r="CH750" s="21"/>
      <c r="CI750" s="21"/>
      <c r="CJ750" s="21"/>
    </row>
    <row r="751" spans="1:88" ht="40.5" customHeight="1">
      <c r="A751" s="9"/>
      <c r="B751" s="12"/>
      <c r="C751" s="9" t="s">
        <v>1925</v>
      </c>
      <c r="D751" s="9" t="s">
        <v>1697</v>
      </c>
      <c r="E751" s="12">
        <v>0</v>
      </c>
      <c r="F751" s="12">
        <v>0</v>
      </c>
      <c r="G751" s="12" t="b">
        <v>0</v>
      </c>
      <c r="H751" s="9" t="s">
        <v>75</v>
      </c>
      <c r="I751" s="9" t="s">
        <v>1926</v>
      </c>
      <c r="J751" s="9" t="s">
        <v>75</v>
      </c>
      <c r="K751" s="11" t="s">
        <v>1927</v>
      </c>
      <c r="L751" s="12"/>
      <c r="M751" s="12"/>
      <c r="N751" s="13"/>
      <c r="O751" s="16" t="s">
        <v>78</v>
      </c>
      <c r="P751" s="14" t="s">
        <v>79</v>
      </c>
      <c r="Q751" s="15" t="s">
        <v>132</v>
      </c>
      <c r="R751" s="14" t="s">
        <v>75</v>
      </c>
      <c r="S751" s="14" t="s">
        <v>75</v>
      </c>
      <c r="T751" s="16" t="s">
        <v>166</v>
      </c>
      <c r="U751" s="17"/>
      <c r="V751" s="16" t="s">
        <v>78</v>
      </c>
      <c r="W751" s="16" t="s">
        <v>79</v>
      </c>
      <c r="X751" s="15" t="s">
        <v>1824</v>
      </c>
      <c r="Y751" s="16" t="s">
        <v>75</v>
      </c>
      <c r="Z751" s="16" t="s">
        <v>75</v>
      </c>
      <c r="AA751" s="16" t="s">
        <v>153</v>
      </c>
      <c r="AB751" s="18"/>
      <c r="AC751" s="19" t="s">
        <v>78</v>
      </c>
      <c r="AD751" s="19" t="s">
        <v>79</v>
      </c>
      <c r="AE751" s="20" t="s">
        <v>1835</v>
      </c>
      <c r="AF751" s="19" t="s">
        <v>75</v>
      </c>
      <c r="AG751" s="19" t="s">
        <v>75</v>
      </c>
      <c r="AH751" s="16" t="s">
        <v>101</v>
      </c>
      <c r="AI751" s="18"/>
      <c r="AJ751" s="16" t="s">
        <v>78</v>
      </c>
      <c r="AK751" s="19" t="s">
        <v>79</v>
      </c>
      <c r="AL751" s="20" t="s">
        <v>1792</v>
      </c>
      <c r="AM751" s="19" t="s">
        <v>75</v>
      </c>
      <c r="AN751" s="19" t="s">
        <v>75</v>
      </c>
      <c r="AO751" s="19" t="s">
        <v>4</v>
      </c>
      <c r="AP751" s="18"/>
      <c r="AQ751" s="18"/>
      <c r="AR751" s="18"/>
      <c r="AS751" s="18"/>
      <c r="AT751" s="18"/>
      <c r="AU751" s="18"/>
      <c r="AV751" s="18"/>
      <c r="AW751" s="18"/>
      <c r="AX751" s="13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2"/>
      <c r="BK751" s="12"/>
      <c r="BL751" s="12"/>
      <c r="BM751" s="9"/>
      <c r="BN751" s="9"/>
      <c r="BO751" s="9"/>
      <c r="BP751" s="12"/>
      <c r="BQ751" s="12"/>
      <c r="BR751" s="12"/>
      <c r="BS751" s="12"/>
      <c r="BT751" s="12"/>
      <c r="BU751" s="12"/>
      <c r="BV751" s="12"/>
      <c r="BW751" s="12"/>
      <c r="BX751" s="12"/>
      <c r="BY751" s="9"/>
      <c r="BZ751" s="21"/>
      <c r="CA751" s="21"/>
      <c r="CB751" s="21"/>
      <c r="CC751" s="21"/>
      <c r="CD751" s="21"/>
      <c r="CE751" s="21"/>
      <c r="CF751" s="21"/>
      <c r="CG751" s="21"/>
      <c r="CH751" s="21"/>
      <c r="CI751" s="21"/>
      <c r="CJ751" s="21"/>
    </row>
    <row r="752" spans="1:88" ht="40.5" customHeight="1">
      <c r="A752" s="9"/>
      <c r="B752" s="12"/>
      <c r="C752" s="9" t="s">
        <v>1928</v>
      </c>
      <c r="D752" s="9" t="s">
        <v>1697</v>
      </c>
      <c r="E752" s="12">
        <v>0</v>
      </c>
      <c r="F752" s="12">
        <v>0</v>
      </c>
      <c r="G752" s="12" t="b">
        <v>0</v>
      </c>
      <c r="H752" s="9" t="s">
        <v>75</v>
      </c>
      <c r="I752" s="9" t="s">
        <v>1929</v>
      </c>
      <c r="J752" s="9" t="s">
        <v>75</v>
      </c>
      <c r="K752" s="11" t="s">
        <v>1930</v>
      </c>
      <c r="L752" s="12"/>
      <c r="M752" s="12"/>
      <c r="N752" s="13"/>
      <c r="O752" s="16" t="s">
        <v>78</v>
      </c>
      <c r="P752" s="14" t="s">
        <v>79</v>
      </c>
      <c r="Q752" s="15" t="s">
        <v>132</v>
      </c>
      <c r="R752" s="23" t="s">
        <v>242</v>
      </c>
      <c r="S752" s="14" t="s">
        <v>75</v>
      </c>
      <c r="T752" s="16" t="s">
        <v>166</v>
      </c>
      <c r="U752" s="17"/>
      <c r="V752" s="16" t="s">
        <v>78</v>
      </c>
      <c r="W752" s="16" t="s">
        <v>79</v>
      </c>
      <c r="X752" s="15" t="s">
        <v>1824</v>
      </c>
      <c r="Y752" s="16" t="s">
        <v>75</v>
      </c>
      <c r="Z752" s="16" t="s">
        <v>75</v>
      </c>
      <c r="AA752" s="16" t="s">
        <v>153</v>
      </c>
      <c r="AB752" s="18"/>
      <c r="AC752" s="19" t="s">
        <v>78</v>
      </c>
      <c r="AD752" s="19" t="s">
        <v>79</v>
      </c>
      <c r="AE752" s="20" t="s">
        <v>1835</v>
      </c>
      <c r="AF752" s="19" t="s">
        <v>75</v>
      </c>
      <c r="AG752" s="19" t="s">
        <v>75</v>
      </c>
      <c r="AH752" s="16" t="s">
        <v>4</v>
      </c>
      <c r="AI752" s="18"/>
      <c r="AJ752" s="13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3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2"/>
      <c r="BK752" s="12"/>
      <c r="BL752" s="12"/>
      <c r="BM752" s="9"/>
      <c r="BN752" s="9"/>
      <c r="BO752" s="9"/>
      <c r="BP752" s="12"/>
      <c r="BQ752" s="12"/>
      <c r="BR752" s="12"/>
      <c r="BS752" s="12"/>
      <c r="BT752" s="12"/>
      <c r="BU752" s="12"/>
      <c r="BV752" s="12"/>
      <c r="BW752" s="12"/>
      <c r="BX752" s="12"/>
      <c r="BY752" s="9"/>
      <c r="BZ752" s="21"/>
      <c r="CA752" s="21"/>
      <c r="CB752" s="21"/>
      <c r="CC752" s="21"/>
      <c r="CD752" s="21"/>
      <c r="CE752" s="21"/>
      <c r="CF752" s="21"/>
      <c r="CG752" s="21"/>
      <c r="CH752" s="21"/>
      <c r="CI752" s="21"/>
      <c r="CJ752" s="21"/>
    </row>
    <row r="753" spans="1:88" ht="40.5" customHeight="1">
      <c r="A753" s="9"/>
      <c r="B753" s="12"/>
      <c r="C753" s="9" t="s">
        <v>1931</v>
      </c>
      <c r="D753" s="9" t="s">
        <v>1697</v>
      </c>
      <c r="E753" s="12">
        <v>0</v>
      </c>
      <c r="F753" s="12">
        <v>0</v>
      </c>
      <c r="G753" s="12" t="b">
        <v>0</v>
      </c>
      <c r="H753" s="9" t="s">
        <v>75</v>
      </c>
      <c r="I753" s="9" t="s">
        <v>1932</v>
      </c>
      <c r="J753" s="9" t="s">
        <v>75</v>
      </c>
      <c r="K753" s="11" t="s">
        <v>1933</v>
      </c>
      <c r="L753" s="12"/>
      <c r="M753" s="12"/>
      <c r="N753" s="13"/>
      <c r="O753" s="16" t="s">
        <v>78</v>
      </c>
      <c r="P753" s="14" t="s">
        <v>79</v>
      </c>
      <c r="Q753" s="15" t="s">
        <v>132</v>
      </c>
      <c r="R753" s="14" t="s">
        <v>75</v>
      </c>
      <c r="S753" s="14" t="s">
        <v>75</v>
      </c>
      <c r="T753" s="16" t="s">
        <v>145</v>
      </c>
      <c r="U753" s="17"/>
      <c r="V753" s="16" t="s">
        <v>78</v>
      </c>
      <c r="W753" s="16" t="s">
        <v>79</v>
      </c>
      <c r="X753" s="15" t="s">
        <v>1824</v>
      </c>
      <c r="Y753" s="16" t="s">
        <v>75</v>
      </c>
      <c r="Z753" s="16" t="s">
        <v>75</v>
      </c>
      <c r="AA753" s="16" t="s">
        <v>145</v>
      </c>
      <c r="AB753" s="18"/>
      <c r="AC753" s="19" t="s">
        <v>78</v>
      </c>
      <c r="AD753" s="19" t="s">
        <v>79</v>
      </c>
      <c r="AE753" s="20" t="s">
        <v>1835</v>
      </c>
      <c r="AF753" s="19" t="s">
        <v>75</v>
      </c>
      <c r="AG753" s="19" t="s">
        <v>75</v>
      </c>
      <c r="AH753" s="16" t="s">
        <v>166</v>
      </c>
      <c r="AI753" s="18"/>
      <c r="AJ753" s="16" t="s">
        <v>78</v>
      </c>
      <c r="AK753" s="19" t="s">
        <v>79</v>
      </c>
      <c r="AL753" s="20" t="s">
        <v>1792</v>
      </c>
      <c r="AM753" s="19" t="s">
        <v>75</v>
      </c>
      <c r="AN753" s="19" t="s">
        <v>75</v>
      </c>
      <c r="AO753" s="19" t="s">
        <v>101</v>
      </c>
      <c r="AP753" s="18"/>
      <c r="AQ753" s="18"/>
      <c r="AR753" s="18"/>
      <c r="AS753" s="18"/>
      <c r="AT753" s="18"/>
      <c r="AU753" s="18"/>
      <c r="AV753" s="18"/>
      <c r="AW753" s="18"/>
      <c r="AX753" s="13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2"/>
      <c r="BK753" s="12"/>
      <c r="BL753" s="12"/>
      <c r="BM753" s="9"/>
      <c r="BN753" s="9"/>
      <c r="BO753" s="9"/>
      <c r="BP753" s="12"/>
      <c r="BQ753" s="12"/>
      <c r="BR753" s="12"/>
      <c r="BS753" s="12"/>
      <c r="BT753" s="12"/>
      <c r="BU753" s="12"/>
      <c r="BV753" s="12"/>
      <c r="BW753" s="12"/>
      <c r="BX753" s="12"/>
      <c r="BY753" s="9"/>
      <c r="BZ753" s="21"/>
      <c r="CA753" s="21"/>
      <c r="CB753" s="21"/>
      <c r="CC753" s="21"/>
      <c r="CD753" s="21"/>
      <c r="CE753" s="21"/>
      <c r="CF753" s="21"/>
      <c r="CG753" s="21"/>
      <c r="CH753" s="21"/>
      <c r="CI753" s="21"/>
      <c r="CJ753" s="21"/>
    </row>
    <row r="754" spans="1:88" ht="40.5" customHeight="1">
      <c r="A754" s="9"/>
      <c r="B754" s="12"/>
      <c r="C754" s="9" t="s">
        <v>1934</v>
      </c>
      <c r="D754" s="9" t="s">
        <v>1697</v>
      </c>
      <c r="E754" s="12">
        <v>0</v>
      </c>
      <c r="F754" s="12">
        <v>0</v>
      </c>
      <c r="G754" s="12" t="b">
        <v>0</v>
      </c>
      <c r="H754" s="9" t="s">
        <v>75</v>
      </c>
      <c r="I754" s="9" t="s">
        <v>1935</v>
      </c>
      <c r="J754" s="9" t="s">
        <v>75</v>
      </c>
      <c r="K754" s="11" t="s">
        <v>1936</v>
      </c>
      <c r="L754" s="12"/>
      <c r="M754" s="12"/>
      <c r="N754" s="13"/>
      <c r="O754" s="16" t="s">
        <v>78</v>
      </c>
      <c r="P754" s="14" t="s">
        <v>79</v>
      </c>
      <c r="Q754" s="15" t="s">
        <v>1824</v>
      </c>
      <c r="R754" s="14" t="s">
        <v>75</v>
      </c>
      <c r="S754" s="14" t="s">
        <v>75</v>
      </c>
      <c r="T754" s="16" t="s">
        <v>101</v>
      </c>
      <c r="U754" s="17"/>
      <c r="V754" s="16" t="s">
        <v>78</v>
      </c>
      <c r="W754" s="16" t="s">
        <v>79</v>
      </c>
      <c r="X754" s="15" t="s">
        <v>1835</v>
      </c>
      <c r="Y754" s="16" t="s">
        <v>75</v>
      </c>
      <c r="Z754" s="16" t="s">
        <v>75</v>
      </c>
      <c r="AA754" s="16" t="s">
        <v>101</v>
      </c>
      <c r="AB754" s="18"/>
      <c r="AC754" s="19" t="s">
        <v>98</v>
      </c>
      <c r="AD754" s="19" t="s">
        <v>79</v>
      </c>
      <c r="AE754" s="20" t="s">
        <v>1792</v>
      </c>
      <c r="AF754" s="19" t="s">
        <v>75</v>
      </c>
      <c r="AG754" s="19" t="s">
        <v>75</v>
      </c>
      <c r="AH754" s="16" t="s">
        <v>86</v>
      </c>
      <c r="AI754" s="18"/>
      <c r="AJ754" s="13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3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2"/>
      <c r="BK754" s="12"/>
      <c r="BL754" s="12"/>
      <c r="BM754" s="9"/>
      <c r="BN754" s="9"/>
      <c r="BO754" s="9"/>
      <c r="BP754" s="12"/>
      <c r="BQ754" s="12"/>
      <c r="BR754" s="12"/>
      <c r="BS754" s="12"/>
      <c r="BT754" s="12"/>
      <c r="BU754" s="12"/>
      <c r="BV754" s="12"/>
      <c r="BW754" s="12"/>
      <c r="BX754" s="12"/>
      <c r="BY754" s="9"/>
      <c r="BZ754" s="21"/>
      <c r="CA754" s="21"/>
      <c r="CB754" s="21"/>
      <c r="CC754" s="21"/>
      <c r="CD754" s="21"/>
      <c r="CE754" s="21"/>
      <c r="CF754" s="21"/>
      <c r="CG754" s="21"/>
      <c r="CH754" s="21"/>
      <c r="CI754" s="21"/>
      <c r="CJ754" s="21"/>
    </row>
    <row r="755" spans="1:88" ht="40.5" customHeight="1">
      <c r="A755" s="9"/>
      <c r="B755" s="12"/>
      <c r="C755" s="9" t="s">
        <v>1937</v>
      </c>
      <c r="D755" s="9" t="s">
        <v>1697</v>
      </c>
      <c r="E755" s="12">
        <v>0</v>
      </c>
      <c r="F755" s="12">
        <v>0</v>
      </c>
      <c r="G755" s="12" t="b">
        <v>0</v>
      </c>
      <c r="H755" s="9" t="s">
        <v>75</v>
      </c>
      <c r="I755" s="9" t="s">
        <v>1938</v>
      </c>
      <c r="J755" s="9" t="s">
        <v>75</v>
      </c>
      <c r="K755" s="11" t="s">
        <v>1939</v>
      </c>
      <c r="L755" s="12"/>
      <c r="M755" s="12"/>
      <c r="N755" s="13"/>
      <c r="O755" s="16" t="s">
        <v>78</v>
      </c>
      <c r="P755" s="14" t="s">
        <v>79</v>
      </c>
      <c r="Q755" s="15" t="s">
        <v>132</v>
      </c>
      <c r="R755" s="14" t="s">
        <v>75</v>
      </c>
      <c r="S755" s="14" t="s">
        <v>75</v>
      </c>
      <c r="T755" s="16" t="s">
        <v>166</v>
      </c>
      <c r="U755" s="17"/>
      <c r="V755" s="16" t="s">
        <v>78</v>
      </c>
      <c r="W755" s="16" t="s">
        <v>79</v>
      </c>
      <c r="X755" s="15" t="s">
        <v>1824</v>
      </c>
      <c r="Y755" s="16" t="s">
        <v>75</v>
      </c>
      <c r="Z755" s="16" t="s">
        <v>75</v>
      </c>
      <c r="AA755" s="16" t="s">
        <v>86</v>
      </c>
      <c r="AB755" s="18"/>
      <c r="AC755" s="19" t="s">
        <v>98</v>
      </c>
      <c r="AD755" s="19" t="s">
        <v>79</v>
      </c>
      <c r="AE755" s="20" t="s">
        <v>1792</v>
      </c>
      <c r="AF755" s="19" t="s">
        <v>75</v>
      </c>
      <c r="AG755" s="19" t="s">
        <v>75</v>
      </c>
      <c r="AH755" s="16" t="s">
        <v>86</v>
      </c>
      <c r="AI755" s="18"/>
      <c r="AJ755" s="13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3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2"/>
      <c r="BK755" s="12"/>
      <c r="BL755" s="12"/>
      <c r="BM755" s="9"/>
      <c r="BN755" s="9"/>
      <c r="BO755" s="9"/>
      <c r="BP755" s="12"/>
      <c r="BQ755" s="12"/>
      <c r="BR755" s="12"/>
      <c r="BS755" s="12"/>
      <c r="BT755" s="12"/>
      <c r="BU755" s="12"/>
      <c r="BV755" s="12"/>
      <c r="BW755" s="12"/>
      <c r="BX755" s="12"/>
      <c r="BY755" s="9"/>
      <c r="BZ755" s="21"/>
      <c r="CA755" s="21"/>
      <c r="CB755" s="21"/>
      <c r="CC755" s="21"/>
      <c r="CD755" s="21"/>
      <c r="CE755" s="21"/>
      <c r="CF755" s="21"/>
      <c r="CG755" s="21"/>
      <c r="CH755" s="21"/>
      <c r="CI755" s="21"/>
      <c r="CJ755" s="21"/>
    </row>
    <row r="756" spans="1:88" ht="40.5" customHeight="1">
      <c r="A756" s="9"/>
      <c r="B756" s="12"/>
      <c r="C756" s="9" t="s">
        <v>1940</v>
      </c>
      <c r="D756" s="9" t="s">
        <v>1697</v>
      </c>
      <c r="E756" s="12">
        <v>0</v>
      </c>
      <c r="F756" s="12">
        <v>0</v>
      </c>
      <c r="G756" s="12" t="b">
        <v>0</v>
      </c>
      <c r="H756" s="9" t="s">
        <v>75</v>
      </c>
      <c r="I756" s="9" t="s">
        <v>1941</v>
      </c>
      <c r="J756" s="9" t="s">
        <v>75</v>
      </c>
      <c r="K756" s="11" t="s">
        <v>1942</v>
      </c>
      <c r="L756" s="12"/>
      <c r="M756" s="12"/>
      <c r="N756" s="13"/>
      <c r="O756" s="16" t="s">
        <v>78</v>
      </c>
      <c r="P756" s="14" t="s">
        <v>79</v>
      </c>
      <c r="Q756" s="15" t="s">
        <v>132</v>
      </c>
      <c r="R756" s="14" t="s">
        <v>75</v>
      </c>
      <c r="S756" s="14" t="s">
        <v>75</v>
      </c>
      <c r="T756" s="16" t="s">
        <v>101</v>
      </c>
      <c r="U756" s="17"/>
      <c r="V756" s="16" t="s">
        <v>78</v>
      </c>
      <c r="W756" s="16" t="s">
        <v>79</v>
      </c>
      <c r="X756" s="15" t="s">
        <v>1824</v>
      </c>
      <c r="Y756" s="16" t="s">
        <v>75</v>
      </c>
      <c r="Z756" s="16" t="s">
        <v>75</v>
      </c>
      <c r="AA756" s="16" t="s">
        <v>4</v>
      </c>
      <c r="AB756" s="18"/>
      <c r="AC756" s="18"/>
      <c r="AD756" s="18"/>
      <c r="AE756" s="18"/>
      <c r="AF756" s="18"/>
      <c r="AG756" s="18"/>
      <c r="AH756" s="13"/>
      <c r="AI756" s="18"/>
      <c r="AJ756" s="13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3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2"/>
      <c r="BK756" s="12"/>
      <c r="BL756" s="12"/>
      <c r="BM756" s="9"/>
      <c r="BN756" s="9"/>
      <c r="BO756" s="9"/>
      <c r="BP756" s="12"/>
      <c r="BQ756" s="12"/>
      <c r="BR756" s="12"/>
      <c r="BS756" s="12"/>
      <c r="BT756" s="12"/>
      <c r="BU756" s="12"/>
      <c r="BV756" s="12"/>
      <c r="BW756" s="12"/>
      <c r="BX756" s="12"/>
      <c r="BY756" s="9"/>
      <c r="BZ756" s="21"/>
      <c r="CA756" s="21"/>
      <c r="CB756" s="21"/>
      <c r="CC756" s="21"/>
      <c r="CD756" s="21"/>
      <c r="CE756" s="21"/>
      <c r="CF756" s="21"/>
      <c r="CG756" s="21"/>
      <c r="CH756" s="21"/>
      <c r="CI756" s="21"/>
      <c r="CJ756" s="21"/>
    </row>
    <row r="757" spans="1:88" ht="40.5" customHeight="1">
      <c r="A757" s="9"/>
      <c r="B757" s="12"/>
      <c r="C757" s="9" t="s">
        <v>1943</v>
      </c>
      <c r="D757" s="9" t="s">
        <v>1697</v>
      </c>
      <c r="E757" s="12">
        <v>0</v>
      </c>
      <c r="F757" s="12">
        <v>0</v>
      </c>
      <c r="G757" s="12" t="b">
        <v>0</v>
      </c>
      <c r="H757" s="9" t="s">
        <v>75</v>
      </c>
      <c r="I757" s="9" t="s">
        <v>1944</v>
      </c>
      <c r="J757" s="9" t="s">
        <v>75</v>
      </c>
      <c r="K757" s="11" t="s">
        <v>1849</v>
      </c>
      <c r="L757" s="12"/>
      <c r="M757" s="12"/>
      <c r="N757" s="13"/>
      <c r="O757" s="16" t="s">
        <v>78</v>
      </c>
      <c r="P757" s="14" t="s">
        <v>79</v>
      </c>
      <c r="Q757" s="15" t="s">
        <v>132</v>
      </c>
      <c r="R757" s="14" t="s">
        <v>75</v>
      </c>
      <c r="S757" s="14" t="s">
        <v>75</v>
      </c>
      <c r="T757" s="16" t="s">
        <v>101</v>
      </c>
      <c r="U757" s="17"/>
      <c r="V757" s="16" t="s">
        <v>78</v>
      </c>
      <c r="W757" s="16" t="s">
        <v>79</v>
      </c>
      <c r="X757" s="15" t="s">
        <v>1824</v>
      </c>
      <c r="Y757" s="16" t="s">
        <v>75</v>
      </c>
      <c r="Z757" s="16" t="s">
        <v>75</v>
      </c>
      <c r="AA757" s="16" t="s">
        <v>101</v>
      </c>
      <c r="AB757" s="18"/>
      <c r="AC757" s="19" t="s">
        <v>78</v>
      </c>
      <c r="AD757" s="19" t="s">
        <v>79</v>
      </c>
      <c r="AE757" s="20" t="s">
        <v>1835</v>
      </c>
      <c r="AF757" s="19" t="s">
        <v>75</v>
      </c>
      <c r="AG757" s="19" t="s">
        <v>75</v>
      </c>
      <c r="AH757" s="16" t="s">
        <v>101</v>
      </c>
      <c r="AI757" s="18"/>
      <c r="AJ757" s="16" t="s">
        <v>78</v>
      </c>
      <c r="AK757" s="19" t="s">
        <v>79</v>
      </c>
      <c r="AL757" s="20" t="s">
        <v>1792</v>
      </c>
      <c r="AM757" s="19" t="s">
        <v>75</v>
      </c>
      <c r="AN757" s="19" t="s">
        <v>75</v>
      </c>
      <c r="AO757" s="19" t="s">
        <v>101</v>
      </c>
      <c r="AP757" s="18"/>
      <c r="AQ757" s="18"/>
      <c r="AR757" s="18"/>
      <c r="AS757" s="18"/>
      <c r="AT757" s="18"/>
      <c r="AU757" s="18"/>
      <c r="AV757" s="18"/>
      <c r="AW757" s="18"/>
      <c r="AX757" s="13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2"/>
      <c r="BK757" s="12"/>
      <c r="BL757" s="12"/>
      <c r="BM757" s="9"/>
      <c r="BN757" s="9"/>
      <c r="BO757" s="9"/>
      <c r="BP757" s="12"/>
      <c r="BQ757" s="12"/>
      <c r="BR757" s="12"/>
      <c r="BS757" s="12"/>
      <c r="BT757" s="12"/>
      <c r="BU757" s="12"/>
      <c r="BV757" s="12"/>
      <c r="BW757" s="12"/>
      <c r="BX757" s="12"/>
      <c r="BY757" s="9"/>
      <c r="BZ757" s="21"/>
      <c r="CA757" s="21"/>
      <c r="CB757" s="21"/>
      <c r="CC757" s="21"/>
      <c r="CD757" s="21"/>
      <c r="CE757" s="21"/>
      <c r="CF757" s="21"/>
      <c r="CG757" s="21"/>
      <c r="CH757" s="21"/>
      <c r="CI757" s="21"/>
      <c r="CJ757" s="21"/>
    </row>
    <row r="758" spans="1:88" ht="40.5" customHeight="1">
      <c r="A758" s="9"/>
      <c r="B758" s="12"/>
      <c r="C758" s="9" t="s">
        <v>1945</v>
      </c>
      <c r="D758" s="9" t="s">
        <v>1697</v>
      </c>
      <c r="E758" s="12">
        <v>0</v>
      </c>
      <c r="F758" s="12">
        <v>0</v>
      </c>
      <c r="G758" s="12" t="b">
        <v>0</v>
      </c>
      <c r="H758" s="9" t="s">
        <v>75</v>
      </c>
      <c r="I758" s="9" t="s">
        <v>1946</v>
      </c>
      <c r="J758" s="9" t="s">
        <v>75</v>
      </c>
      <c r="K758" s="11" t="s">
        <v>1947</v>
      </c>
      <c r="L758" s="12"/>
      <c r="M758" s="12"/>
      <c r="N758" s="13"/>
      <c r="O758" s="16" t="s">
        <v>78</v>
      </c>
      <c r="P758" s="14" t="s">
        <v>79</v>
      </c>
      <c r="Q758" s="15" t="s">
        <v>132</v>
      </c>
      <c r="R758" s="14" t="s">
        <v>75</v>
      </c>
      <c r="S758" s="14" t="s">
        <v>75</v>
      </c>
      <c r="T758" s="16" t="s">
        <v>101</v>
      </c>
      <c r="U758" s="17"/>
      <c r="V758" s="16" t="s">
        <v>78</v>
      </c>
      <c r="W758" s="16" t="s">
        <v>79</v>
      </c>
      <c r="X758" s="15" t="s">
        <v>1824</v>
      </c>
      <c r="Y758" s="16" t="s">
        <v>75</v>
      </c>
      <c r="Z758" s="16" t="s">
        <v>75</v>
      </c>
      <c r="AA758" s="16" t="s">
        <v>101</v>
      </c>
      <c r="AB758" s="18"/>
      <c r="AC758" s="19" t="s">
        <v>78</v>
      </c>
      <c r="AD758" s="19" t="s">
        <v>79</v>
      </c>
      <c r="AE758" s="20" t="s">
        <v>1835</v>
      </c>
      <c r="AF758" s="19" t="s">
        <v>75</v>
      </c>
      <c r="AG758" s="19" t="s">
        <v>75</v>
      </c>
      <c r="AH758" s="16" t="s">
        <v>101</v>
      </c>
      <c r="AI758" s="18"/>
      <c r="AJ758" s="16" t="s">
        <v>98</v>
      </c>
      <c r="AK758" s="19" t="s">
        <v>79</v>
      </c>
      <c r="AL758" s="20" t="s">
        <v>1792</v>
      </c>
      <c r="AM758" s="19" t="s">
        <v>75</v>
      </c>
      <c r="AN758" s="19" t="s">
        <v>75</v>
      </c>
      <c r="AO758" s="19" t="s">
        <v>86</v>
      </c>
      <c r="AP758" s="18"/>
      <c r="AQ758" s="18"/>
      <c r="AR758" s="18"/>
      <c r="AS758" s="18"/>
      <c r="AT758" s="18"/>
      <c r="AU758" s="18"/>
      <c r="AV758" s="18"/>
      <c r="AW758" s="18"/>
      <c r="AX758" s="13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2"/>
      <c r="BK758" s="12"/>
      <c r="BL758" s="12"/>
      <c r="BM758" s="9"/>
      <c r="BN758" s="9"/>
      <c r="BO758" s="9"/>
      <c r="BP758" s="12"/>
      <c r="BQ758" s="12"/>
      <c r="BR758" s="12"/>
      <c r="BS758" s="12"/>
      <c r="BT758" s="12"/>
      <c r="BU758" s="12"/>
      <c r="BV758" s="12"/>
      <c r="BW758" s="12"/>
      <c r="BX758" s="12"/>
      <c r="BY758" s="9"/>
      <c r="BZ758" s="21"/>
      <c r="CA758" s="21"/>
      <c r="CB758" s="21"/>
      <c r="CC758" s="21"/>
      <c r="CD758" s="21"/>
      <c r="CE758" s="21"/>
      <c r="CF758" s="21"/>
      <c r="CG758" s="21"/>
      <c r="CH758" s="21"/>
      <c r="CI758" s="21"/>
      <c r="CJ758" s="21"/>
    </row>
    <row r="759" spans="1:88" ht="40.5" customHeight="1">
      <c r="A759" s="9"/>
      <c r="B759" s="12"/>
      <c r="C759" s="9" t="s">
        <v>1948</v>
      </c>
      <c r="D759" s="9" t="s">
        <v>1697</v>
      </c>
      <c r="E759" s="12">
        <v>0</v>
      </c>
      <c r="F759" s="12">
        <v>0</v>
      </c>
      <c r="G759" s="12" t="b">
        <v>0</v>
      </c>
      <c r="H759" s="9" t="s">
        <v>75</v>
      </c>
      <c r="I759" s="10" t="s">
        <v>1949</v>
      </c>
      <c r="J759" s="9" t="s">
        <v>75</v>
      </c>
      <c r="K759" s="11" t="s">
        <v>1950</v>
      </c>
      <c r="L759" s="12"/>
      <c r="M759" s="12"/>
      <c r="N759" s="13"/>
      <c r="O759" s="16" t="s">
        <v>78</v>
      </c>
      <c r="P759" s="14" t="s">
        <v>79</v>
      </c>
      <c r="Q759" s="15" t="s">
        <v>132</v>
      </c>
      <c r="R759" s="14" t="s">
        <v>75</v>
      </c>
      <c r="S759" s="14" t="s">
        <v>75</v>
      </c>
      <c r="T759" s="16" t="s">
        <v>166</v>
      </c>
      <c r="U759" s="17"/>
      <c r="V759" s="16" t="s">
        <v>78</v>
      </c>
      <c r="W759" s="16" t="s">
        <v>79</v>
      </c>
      <c r="X759" s="15" t="s">
        <v>1824</v>
      </c>
      <c r="Y759" s="16" t="s">
        <v>75</v>
      </c>
      <c r="Z759" s="16" t="s">
        <v>75</v>
      </c>
      <c r="AA759" s="16" t="s">
        <v>86</v>
      </c>
      <c r="AB759" s="18"/>
      <c r="AC759" s="19" t="s">
        <v>78</v>
      </c>
      <c r="AD759" s="19" t="s">
        <v>79</v>
      </c>
      <c r="AE759" s="20" t="s">
        <v>1835</v>
      </c>
      <c r="AF759" s="19" t="s">
        <v>75</v>
      </c>
      <c r="AG759" s="19" t="s">
        <v>75</v>
      </c>
      <c r="AH759" s="16" t="s">
        <v>101</v>
      </c>
      <c r="AI759" s="18"/>
      <c r="AJ759" s="16" t="s">
        <v>78</v>
      </c>
      <c r="AK759" s="19" t="s">
        <v>79</v>
      </c>
      <c r="AL759" s="20" t="s">
        <v>1792</v>
      </c>
      <c r="AM759" s="19" t="s">
        <v>75</v>
      </c>
      <c r="AN759" s="19" t="s">
        <v>75</v>
      </c>
      <c r="AO759" s="19" t="s">
        <v>86</v>
      </c>
      <c r="AP759" s="18"/>
      <c r="AQ759" s="18"/>
      <c r="AR759" s="18"/>
      <c r="AS759" s="18"/>
      <c r="AT759" s="18"/>
      <c r="AU759" s="18"/>
      <c r="AV759" s="18"/>
      <c r="AW759" s="18"/>
      <c r="AX759" s="13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2"/>
      <c r="BK759" s="12"/>
      <c r="BL759" s="12"/>
      <c r="BM759" s="9"/>
      <c r="BN759" s="9"/>
      <c r="BO759" s="9"/>
      <c r="BP759" s="12"/>
      <c r="BQ759" s="12"/>
      <c r="BR759" s="12"/>
      <c r="BS759" s="12"/>
      <c r="BT759" s="12"/>
      <c r="BU759" s="12"/>
      <c r="BV759" s="12"/>
      <c r="BW759" s="12"/>
      <c r="BX759" s="12"/>
      <c r="BY759" s="9"/>
      <c r="BZ759" s="21"/>
      <c r="CA759" s="21"/>
      <c r="CB759" s="21"/>
      <c r="CC759" s="21"/>
      <c r="CD759" s="21"/>
      <c r="CE759" s="21"/>
      <c r="CF759" s="21"/>
      <c r="CG759" s="21"/>
      <c r="CH759" s="21"/>
      <c r="CI759" s="21"/>
      <c r="CJ759" s="21"/>
    </row>
    <row r="760" spans="1:88" ht="40.5" customHeight="1">
      <c r="A760" s="9"/>
      <c r="B760" s="12"/>
      <c r="C760" s="9" t="s">
        <v>1951</v>
      </c>
      <c r="D760" s="9" t="s">
        <v>1697</v>
      </c>
      <c r="E760" s="12">
        <v>0</v>
      </c>
      <c r="F760" s="12">
        <v>0</v>
      </c>
      <c r="G760" s="12" t="b">
        <v>0</v>
      </c>
      <c r="H760" s="9" t="s">
        <v>75</v>
      </c>
      <c r="I760" s="9" t="s">
        <v>1952</v>
      </c>
      <c r="J760" s="9" t="s">
        <v>75</v>
      </c>
      <c r="K760" s="11" t="s">
        <v>1953</v>
      </c>
      <c r="L760" s="12"/>
      <c r="M760" s="12"/>
      <c r="N760" s="13"/>
      <c r="O760" s="16" t="s">
        <v>78</v>
      </c>
      <c r="P760" s="14" t="s">
        <v>79</v>
      </c>
      <c r="Q760" s="15" t="s">
        <v>132</v>
      </c>
      <c r="R760" s="14" t="s">
        <v>75</v>
      </c>
      <c r="S760" s="14" t="s">
        <v>75</v>
      </c>
      <c r="T760" s="16" t="s">
        <v>81</v>
      </c>
      <c r="U760" s="17"/>
      <c r="V760" s="16" t="s">
        <v>7</v>
      </c>
      <c r="W760" s="16" t="s">
        <v>79</v>
      </c>
      <c r="X760" s="15" t="s">
        <v>1824</v>
      </c>
      <c r="Y760" s="16" t="s">
        <v>75</v>
      </c>
      <c r="Z760" s="16" t="s">
        <v>75</v>
      </c>
      <c r="AA760" s="16" t="s">
        <v>86</v>
      </c>
      <c r="AB760" s="18"/>
      <c r="AC760" s="18"/>
      <c r="AD760" s="18"/>
      <c r="AE760" s="18"/>
      <c r="AF760" s="18"/>
      <c r="AG760" s="18"/>
      <c r="AH760" s="13"/>
      <c r="AI760" s="18"/>
      <c r="AJ760" s="13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3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2"/>
      <c r="BK760" s="12"/>
      <c r="BL760" s="12"/>
      <c r="BM760" s="9"/>
      <c r="BN760" s="9"/>
      <c r="BO760" s="9"/>
      <c r="BP760" s="12"/>
      <c r="BQ760" s="12"/>
      <c r="BR760" s="12"/>
      <c r="BS760" s="12"/>
      <c r="BT760" s="12"/>
      <c r="BU760" s="12"/>
      <c r="BV760" s="12"/>
      <c r="BW760" s="12"/>
      <c r="BX760" s="12"/>
      <c r="BY760" s="9"/>
      <c r="BZ760" s="21"/>
      <c r="CA760" s="21"/>
      <c r="CB760" s="21"/>
      <c r="CC760" s="21"/>
      <c r="CD760" s="21"/>
      <c r="CE760" s="21"/>
      <c r="CF760" s="21"/>
      <c r="CG760" s="21"/>
      <c r="CH760" s="21"/>
      <c r="CI760" s="21"/>
      <c r="CJ760" s="21"/>
    </row>
    <row r="761" spans="1:88" ht="40.5" customHeight="1">
      <c r="A761" s="9"/>
      <c r="B761" s="12"/>
      <c r="C761" s="9" t="s">
        <v>1954</v>
      </c>
      <c r="D761" s="9" t="s">
        <v>1697</v>
      </c>
      <c r="E761" s="12">
        <v>0</v>
      </c>
      <c r="F761" s="12">
        <v>0</v>
      </c>
      <c r="G761" s="12" t="b">
        <v>0</v>
      </c>
      <c r="H761" s="9" t="s">
        <v>75</v>
      </c>
      <c r="I761" s="9" t="s">
        <v>1955</v>
      </c>
      <c r="J761" s="9" t="s">
        <v>75</v>
      </c>
      <c r="K761" s="11" t="s">
        <v>1956</v>
      </c>
      <c r="L761" s="12"/>
      <c r="M761" s="12"/>
      <c r="N761" s="13"/>
      <c r="O761" s="16" t="s">
        <v>78</v>
      </c>
      <c r="P761" s="14" t="s">
        <v>79</v>
      </c>
      <c r="Q761" s="15" t="s">
        <v>132</v>
      </c>
      <c r="R761" s="14" t="s">
        <v>75</v>
      </c>
      <c r="S761" s="14" t="s">
        <v>75</v>
      </c>
      <c r="T761" s="16" t="s">
        <v>166</v>
      </c>
      <c r="U761" s="17"/>
      <c r="V761" s="16" t="s">
        <v>78</v>
      </c>
      <c r="W761" s="16" t="s">
        <v>79</v>
      </c>
      <c r="X761" s="15" t="s">
        <v>1824</v>
      </c>
      <c r="Y761" s="16" t="s">
        <v>75</v>
      </c>
      <c r="Z761" s="16" t="s">
        <v>75</v>
      </c>
      <c r="AA761" s="16" t="s">
        <v>86</v>
      </c>
      <c r="AB761" s="18"/>
      <c r="AC761" s="19" t="s">
        <v>78</v>
      </c>
      <c r="AD761" s="19" t="s">
        <v>79</v>
      </c>
      <c r="AE761" s="20" t="s">
        <v>1835</v>
      </c>
      <c r="AF761" s="19" t="s">
        <v>75</v>
      </c>
      <c r="AG761" s="19" t="s">
        <v>75</v>
      </c>
      <c r="AH761" s="16" t="s">
        <v>101</v>
      </c>
      <c r="AI761" s="18"/>
      <c r="AJ761" s="13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3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2"/>
      <c r="BK761" s="12"/>
      <c r="BL761" s="12"/>
      <c r="BM761" s="9"/>
      <c r="BN761" s="9"/>
      <c r="BO761" s="9"/>
      <c r="BP761" s="12"/>
      <c r="BQ761" s="12"/>
      <c r="BR761" s="12"/>
      <c r="BS761" s="12"/>
      <c r="BT761" s="12"/>
      <c r="BU761" s="12"/>
      <c r="BV761" s="12"/>
      <c r="BW761" s="12"/>
      <c r="BX761" s="12"/>
      <c r="BY761" s="9"/>
      <c r="BZ761" s="21"/>
      <c r="CA761" s="21"/>
      <c r="CB761" s="21"/>
      <c r="CC761" s="21"/>
      <c r="CD761" s="21"/>
      <c r="CE761" s="21"/>
      <c r="CF761" s="21"/>
      <c r="CG761" s="21"/>
      <c r="CH761" s="21"/>
      <c r="CI761" s="21"/>
      <c r="CJ761" s="21"/>
    </row>
    <row r="762" spans="1:88" ht="40.5" customHeight="1">
      <c r="A762" s="9"/>
      <c r="B762" s="12"/>
      <c r="C762" s="9" t="s">
        <v>1957</v>
      </c>
      <c r="D762" s="9" t="s">
        <v>1697</v>
      </c>
      <c r="E762" s="12">
        <v>0</v>
      </c>
      <c r="F762" s="12">
        <v>0</v>
      </c>
      <c r="G762" s="12" t="b">
        <v>0</v>
      </c>
      <c r="H762" s="9" t="s">
        <v>75</v>
      </c>
      <c r="I762" s="9" t="s">
        <v>1958</v>
      </c>
      <c r="J762" s="9" t="s">
        <v>75</v>
      </c>
      <c r="K762" s="11" t="s">
        <v>1959</v>
      </c>
      <c r="L762" s="12"/>
      <c r="M762" s="12"/>
      <c r="N762" s="13"/>
      <c r="O762" s="16" t="s">
        <v>78</v>
      </c>
      <c r="P762" s="14" t="s">
        <v>79</v>
      </c>
      <c r="Q762" s="15" t="s">
        <v>132</v>
      </c>
      <c r="R762" s="14" t="s">
        <v>75</v>
      </c>
      <c r="S762" s="14" t="s">
        <v>75</v>
      </c>
      <c r="T762" s="16" t="s">
        <v>126</v>
      </c>
      <c r="U762" s="17"/>
      <c r="V762" s="16" t="s">
        <v>78</v>
      </c>
      <c r="W762" s="16" t="s">
        <v>79</v>
      </c>
      <c r="X762" s="15" t="s">
        <v>1824</v>
      </c>
      <c r="Y762" s="16" t="s">
        <v>75</v>
      </c>
      <c r="Z762" s="16" t="s">
        <v>75</v>
      </c>
      <c r="AA762" s="16" t="s">
        <v>101</v>
      </c>
      <c r="AB762" s="18"/>
      <c r="AC762" s="19" t="s">
        <v>78</v>
      </c>
      <c r="AD762" s="19" t="s">
        <v>79</v>
      </c>
      <c r="AE762" s="20" t="s">
        <v>1835</v>
      </c>
      <c r="AF762" s="19" t="s">
        <v>75</v>
      </c>
      <c r="AG762" s="19" t="s">
        <v>75</v>
      </c>
      <c r="AH762" s="16" t="s">
        <v>101</v>
      </c>
      <c r="AI762" s="18"/>
      <c r="AJ762" s="16" t="s">
        <v>78</v>
      </c>
      <c r="AK762" s="19" t="s">
        <v>79</v>
      </c>
      <c r="AL762" s="20" t="s">
        <v>1792</v>
      </c>
      <c r="AM762" s="19" t="s">
        <v>75</v>
      </c>
      <c r="AN762" s="19" t="s">
        <v>75</v>
      </c>
      <c r="AO762" s="19" t="s">
        <v>101</v>
      </c>
      <c r="AP762" s="18"/>
      <c r="AQ762" s="18"/>
      <c r="AR762" s="18"/>
      <c r="AS762" s="18"/>
      <c r="AT762" s="18"/>
      <c r="AU762" s="18"/>
      <c r="AV762" s="18"/>
      <c r="AW762" s="18"/>
      <c r="AX762" s="13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2"/>
      <c r="BK762" s="12"/>
      <c r="BL762" s="12"/>
      <c r="BM762" s="9"/>
      <c r="BN762" s="9"/>
      <c r="BO762" s="9"/>
      <c r="BP762" s="12"/>
      <c r="BQ762" s="12"/>
      <c r="BR762" s="12"/>
      <c r="BS762" s="12"/>
      <c r="BT762" s="12"/>
      <c r="BU762" s="12"/>
      <c r="BV762" s="12"/>
      <c r="BW762" s="12"/>
      <c r="BX762" s="12"/>
      <c r="BY762" s="9"/>
      <c r="BZ762" s="21"/>
      <c r="CA762" s="21"/>
      <c r="CB762" s="21"/>
      <c r="CC762" s="21"/>
      <c r="CD762" s="21"/>
      <c r="CE762" s="21"/>
      <c r="CF762" s="21"/>
      <c r="CG762" s="21"/>
      <c r="CH762" s="21"/>
      <c r="CI762" s="21"/>
      <c r="CJ762" s="21"/>
    </row>
    <row r="763" spans="1:88" ht="40.5" customHeight="1">
      <c r="A763" s="9"/>
      <c r="B763" s="12"/>
      <c r="C763" s="9" t="s">
        <v>1960</v>
      </c>
      <c r="D763" s="9" t="s">
        <v>1697</v>
      </c>
      <c r="E763" s="12">
        <v>0</v>
      </c>
      <c r="F763" s="12">
        <v>0</v>
      </c>
      <c r="G763" s="12" t="b">
        <v>0</v>
      </c>
      <c r="H763" s="9" t="s">
        <v>75</v>
      </c>
      <c r="I763" s="9" t="s">
        <v>1961</v>
      </c>
      <c r="J763" s="9" t="s">
        <v>75</v>
      </c>
      <c r="K763" s="11" t="s">
        <v>1962</v>
      </c>
      <c r="L763" s="12"/>
      <c r="M763" s="12"/>
      <c r="N763" s="13"/>
      <c r="O763" s="16" t="s">
        <v>78</v>
      </c>
      <c r="P763" s="14" t="s">
        <v>79</v>
      </c>
      <c r="Q763" s="15" t="s">
        <v>132</v>
      </c>
      <c r="R763" s="14" t="s">
        <v>75</v>
      </c>
      <c r="S763" s="14" t="s">
        <v>75</v>
      </c>
      <c r="T763" s="16" t="s">
        <v>101</v>
      </c>
      <c r="U763" s="17"/>
      <c r="V763" s="16" t="s">
        <v>98</v>
      </c>
      <c r="W763" s="16" t="s">
        <v>79</v>
      </c>
      <c r="X763" s="15" t="s">
        <v>1824</v>
      </c>
      <c r="Y763" s="16" t="s">
        <v>75</v>
      </c>
      <c r="Z763" s="16" t="s">
        <v>75</v>
      </c>
      <c r="AA763" s="16" t="s">
        <v>86</v>
      </c>
      <c r="AB763" s="18"/>
      <c r="AC763" s="19" t="s">
        <v>98</v>
      </c>
      <c r="AD763" s="19" t="s">
        <v>79</v>
      </c>
      <c r="AE763" s="20" t="s">
        <v>1835</v>
      </c>
      <c r="AF763" s="19" t="s">
        <v>75</v>
      </c>
      <c r="AG763" s="20" t="s">
        <v>84</v>
      </c>
      <c r="AH763" s="16" t="s">
        <v>4</v>
      </c>
      <c r="AI763" s="18"/>
      <c r="AJ763" s="13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3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2"/>
      <c r="BK763" s="12"/>
      <c r="BL763" s="12"/>
      <c r="BM763" s="9"/>
      <c r="BN763" s="9"/>
      <c r="BO763" s="9"/>
      <c r="BP763" s="12"/>
      <c r="BQ763" s="12"/>
      <c r="BR763" s="12"/>
      <c r="BS763" s="12"/>
      <c r="BT763" s="12"/>
      <c r="BU763" s="12"/>
      <c r="BV763" s="12"/>
      <c r="BW763" s="12"/>
      <c r="BX763" s="12"/>
      <c r="BY763" s="9"/>
      <c r="BZ763" s="21"/>
      <c r="CA763" s="21"/>
      <c r="CB763" s="21"/>
      <c r="CC763" s="21"/>
      <c r="CD763" s="21"/>
      <c r="CE763" s="21"/>
      <c r="CF763" s="21"/>
      <c r="CG763" s="21"/>
      <c r="CH763" s="21"/>
      <c r="CI763" s="21"/>
      <c r="CJ763" s="21"/>
    </row>
    <row r="764" spans="1:88" ht="40.5" customHeight="1">
      <c r="A764" s="9"/>
      <c r="B764" s="12"/>
      <c r="C764" s="9" t="s">
        <v>1963</v>
      </c>
      <c r="D764" s="9" t="s">
        <v>1697</v>
      </c>
      <c r="E764" s="12">
        <v>0</v>
      </c>
      <c r="F764" s="12">
        <v>0</v>
      </c>
      <c r="G764" s="12" t="b">
        <v>0</v>
      </c>
      <c r="H764" s="9" t="s">
        <v>75</v>
      </c>
      <c r="I764" s="9" t="s">
        <v>1964</v>
      </c>
      <c r="J764" s="9" t="s">
        <v>75</v>
      </c>
      <c r="K764" s="11" t="s">
        <v>1965</v>
      </c>
      <c r="L764" s="12"/>
      <c r="M764" s="12"/>
      <c r="N764" s="13"/>
      <c r="O764" s="16" t="s">
        <v>78</v>
      </c>
      <c r="P764" s="14" t="s">
        <v>79</v>
      </c>
      <c r="Q764" s="15" t="s">
        <v>132</v>
      </c>
      <c r="R764" s="14" t="s">
        <v>75</v>
      </c>
      <c r="S764" s="14" t="s">
        <v>75</v>
      </c>
      <c r="T764" s="16" t="s">
        <v>101</v>
      </c>
      <c r="U764" s="17"/>
      <c r="V764" s="16" t="s">
        <v>78</v>
      </c>
      <c r="W764" s="16" t="s">
        <v>79</v>
      </c>
      <c r="X764" s="15" t="s">
        <v>1824</v>
      </c>
      <c r="Y764" s="16" t="s">
        <v>75</v>
      </c>
      <c r="Z764" s="16" t="s">
        <v>75</v>
      </c>
      <c r="AA764" s="16" t="s">
        <v>101</v>
      </c>
      <c r="AB764" s="18"/>
      <c r="AC764" s="19" t="s">
        <v>78</v>
      </c>
      <c r="AD764" s="19" t="s">
        <v>79</v>
      </c>
      <c r="AE764" s="20" t="s">
        <v>1835</v>
      </c>
      <c r="AF764" s="19" t="s">
        <v>75</v>
      </c>
      <c r="AG764" s="19" t="s">
        <v>75</v>
      </c>
      <c r="AH764" s="16" t="s">
        <v>101</v>
      </c>
      <c r="AI764" s="18"/>
      <c r="AJ764" s="16" t="s">
        <v>98</v>
      </c>
      <c r="AK764" s="19" t="s">
        <v>79</v>
      </c>
      <c r="AL764" s="20" t="s">
        <v>1792</v>
      </c>
      <c r="AM764" s="19" t="s">
        <v>75</v>
      </c>
      <c r="AN764" s="19" t="s">
        <v>75</v>
      </c>
      <c r="AO764" s="19" t="s">
        <v>86</v>
      </c>
      <c r="AP764" s="18"/>
      <c r="AQ764" s="18"/>
      <c r="AR764" s="18"/>
      <c r="AS764" s="18"/>
      <c r="AT764" s="18"/>
      <c r="AU764" s="18"/>
      <c r="AV764" s="18"/>
      <c r="AW764" s="18"/>
      <c r="AX764" s="13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2"/>
      <c r="BK764" s="12"/>
      <c r="BL764" s="12"/>
      <c r="BM764" s="9"/>
      <c r="BN764" s="9"/>
      <c r="BO764" s="9"/>
      <c r="BP764" s="12"/>
      <c r="BQ764" s="12"/>
      <c r="BR764" s="12"/>
      <c r="BS764" s="12"/>
      <c r="BT764" s="12"/>
      <c r="BU764" s="12"/>
      <c r="BV764" s="12"/>
      <c r="BW764" s="12"/>
      <c r="BX764" s="12"/>
      <c r="BY764" s="9"/>
      <c r="BZ764" s="21"/>
      <c r="CA764" s="21"/>
      <c r="CB764" s="21"/>
      <c r="CC764" s="21"/>
      <c r="CD764" s="21"/>
      <c r="CE764" s="21"/>
      <c r="CF764" s="21"/>
      <c r="CG764" s="21"/>
      <c r="CH764" s="21"/>
      <c r="CI764" s="21"/>
      <c r="CJ764" s="21"/>
    </row>
    <row r="765" spans="1:88" ht="40.5" customHeight="1">
      <c r="A765" s="9"/>
      <c r="B765" s="12"/>
      <c r="C765" s="9" t="s">
        <v>1966</v>
      </c>
      <c r="D765" s="9" t="s">
        <v>1697</v>
      </c>
      <c r="E765" s="12">
        <v>0</v>
      </c>
      <c r="F765" s="12">
        <v>0</v>
      </c>
      <c r="G765" s="12" t="b">
        <v>0</v>
      </c>
      <c r="H765" s="9" t="s">
        <v>75</v>
      </c>
      <c r="I765" s="9" t="s">
        <v>1967</v>
      </c>
      <c r="J765" s="9" t="s">
        <v>75</v>
      </c>
      <c r="K765" s="11" t="s">
        <v>1968</v>
      </c>
      <c r="L765" s="12"/>
      <c r="M765" s="12"/>
      <c r="N765" s="13"/>
      <c r="O765" s="16" t="s">
        <v>78</v>
      </c>
      <c r="P765" s="14" t="s">
        <v>79</v>
      </c>
      <c r="Q765" s="15" t="s">
        <v>1824</v>
      </c>
      <c r="R765" s="14" t="s">
        <v>75</v>
      </c>
      <c r="S765" s="14" t="s">
        <v>75</v>
      </c>
      <c r="T765" s="16" t="s">
        <v>153</v>
      </c>
      <c r="U765" s="17"/>
      <c r="V765" s="16" t="s">
        <v>78</v>
      </c>
      <c r="W765" s="16" t="s">
        <v>79</v>
      </c>
      <c r="X765" s="15" t="s">
        <v>1835</v>
      </c>
      <c r="Y765" s="16" t="s">
        <v>75</v>
      </c>
      <c r="Z765" s="16" t="s">
        <v>75</v>
      </c>
      <c r="AA765" s="16" t="s">
        <v>4</v>
      </c>
      <c r="AB765" s="18"/>
      <c r="AC765" s="18"/>
      <c r="AD765" s="18"/>
      <c r="AE765" s="18"/>
      <c r="AF765" s="18"/>
      <c r="AG765" s="18"/>
      <c r="AH765" s="13"/>
      <c r="AI765" s="18"/>
      <c r="AJ765" s="13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3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2"/>
      <c r="BK765" s="12"/>
      <c r="BL765" s="12"/>
      <c r="BM765" s="9"/>
      <c r="BN765" s="9"/>
      <c r="BO765" s="9"/>
      <c r="BP765" s="12"/>
      <c r="BQ765" s="12"/>
      <c r="BR765" s="12"/>
      <c r="BS765" s="12"/>
      <c r="BT765" s="12"/>
      <c r="BU765" s="12"/>
      <c r="BV765" s="12"/>
      <c r="BW765" s="12"/>
      <c r="BX765" s="12"/>
      <c r="BY765" s="9"/>
      <c r="BZ765" s="21"/>
      <c r="CA765" s="21"/>
      <c r="CB765" s="21"/>
      <c r="CC765" s="21"/>
      <c r="CD765" s="21"/>
      <c r="CE765" s="21"/>
      <c r="CF765" s="21"/>
      <c r="CG765" s="21"/>
      <c r="CH765" s="21"/>
      <c r="CI765" s="21"/>
      <c r="CJ765" s="21"/>
    </row>
    <row r="766" spans="1:88" ht="40.5" customHeight="1">
      <c r="A766" s="9"/>
      <c r="B766" s="12"/>
      <c r="C766" s="9" t="s">
        <v>1969</v>
      </c>
      <c r="D766" s="9" t="s">
        <v>1697</v>
      </c>
      <c r="E766" s="12">
        <v>0</v>
      </c>
      <c r="F766" s="12">
        <v>0</v>
      </c>
      <c r="G766" s="12" t="b">
        <v>0</v>
      </c>
      <c r="H766" s="9" t="s">
        <v>75</v>
      </c>
      <c r="I766" s="9" t="s">
        <v>1970</v>
      </c>
      <c r="J766" s="9" t="s">
        <v>75</v>
      </c>
      <c r="K766" s="11" t="s">
        <v>1971</v>
      </c>
      <c r="L766" s="12"/>
      <c r="M766" s="12"/>
      <c r="N766" s="13"/>
      <c r="O766" s="16" t="s">
        <v>78</v>
      </c>
      <c r="P766" s="14" t="s">
        <v>79</v>
      </c>
      <c r="Q766" s="15" t="s">
        <v>132</v>
      </c>
      <c r="R766" s="14" t="s">
        <v>75</v>
      </c>
      <c r="S766" s="14" t="s">
        <v>75</v>
      </c>
      <c r="T766" s="16" t="s">
        <v>101</v>
      </c>
      <c r="U766" s="17"/>
      <c r="V766" s="16" t="s">
        <v>78</v>
      </c>
      <c r="W766" s="16" t="s">
        <v>79</v>
      </c>
      <c r="X766" s="15" t="s">
        <v>1824</v>
      </c>
      <c r="Y766" s="16" t="s">
        <v>75</v>
      </c>
      <c r="Z766" s="16" t="s">
        <v>75</v>
      </c>
      <c r="AA766" s="16" t="s">
        <v>101</v>
      </c>
      <c r="AB766" s="18"/>
      <c r="AC766" s="19" t="s">
        <v>78</v>
      </c>
      <c r="AD766" s="19" t="s">
        <v>79</v>
      </c>
      <c r="AE766" s="20" t="s">
        <v>1835</v>
      </c>
      <c r="AF766" s="19" t="s">
        <v>75</v>
      </c>
      <c r="AG766" s="19" t="s">
        <v>75</v>
      </c>
      <c r="AH766" s="16" t="s">
        <v>101</v>
      </c>
      <c r="AI766" s="18"/>
      <c r="AJ766" s="16" t="s">
        <v>78</v>
      </c>
      <c r="AK766" s="19" t="s">
        <v>79</v>
      </c>
      <c r="AL766" s="20" t="s">
        <v>1792</v>
      </c>
      <c r="AM766" s="19" t="s">
        <v>75</v>
      </c>
      <c r="AN766" s="19" t="s">
        <v>75</v>
      </c>
      <c r="AO766" s="19" t="s">
        <v>101</v>
      </c>
      <c r="AP766" s="18"/>
      <c r="AQ766" s="18"/>
      <c r="AR766" s="18"/>
      <c r="AS766" s="18"/>
      <c r="AT766" s="18"/>
      <c r="AU766" s="18"/>
      <c r="AV766" s="18"/>
      <c r="AW766" s="18"/>
      <c r="AX766" s="13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2"/>
      <c r="BK766" s="12"/>
      <c r="BL766" s="12"/>
      <c r="BM766" s="9"/>
      <c r="BN766" s="9"/>
      <c r="BO766" s="9"/>
      <c r="BP766" s="12"/>
      <c r="BQ766" s="12"/>
      <c r="BR766" s="12"/>
      <c r="BS766" s="12"/>
      <c r="BT766" s="12"/>
      <c r="BU766" s="12"/>
      <c r="BV766" s="12"/>
      <c r="BW766" s="12"/>
      <c r="BX766" s="12"/>
      <c r="BY766" s="9"/>
      <c r="BZ766" s="21"/>
      <c r="CA766" s="21"/>
      <c r="CB766" s="21"/>
      <c r="CC766" s="21"/>
      <c r="CD766" s="21"/>
      <c r="CE766" s="21"/>
      <c r="CF766" s="21"/>
      <c r="CG766" s="21"/>
      <c r="CH766" s="21"/>
      <c r="CI766" s="21"/>
      <c r="CJ766" s="21"/>
    </row>
    <row r="767" spans="1:88" ht="40.5" customHeight="1">
      <c r="A767" s="9"/>
      <c r="B767" s="12"/>
      <c r="C767" s="9" t="s">
        <v>1972</v>
      </c>
      <c r="D767" s="9" t="s">
        <v>1697</v>
      </c>
      <c r="E767" s="12">
        <v>0</v>
      </c>
      <c r="F767" s="12">
        <v>0</v>
      </c>
      <c r="G767" s="12" t="b">
        <v>0</v>
      </c>
      <c r="H767" s="9" t="s">
        <v>75</v>
      </c>
      <c r="I767" s="9" t="s">
        <v>1973</v>
      </c>
      <c r="J767" s="9" t="s">
        <v>75</v>
      </c>
      <c r="K767" s="11" t="s">
        <v>1974</v>
      </c>
      <c r="L767" s="12"/>
      <c r="M767" s="12"/>
      <c r="N767" s="13"/>
      <c r="O767" s="16" t="s">
        <v>78</v>
      </c>
      <c r="P767" s="14" t="s">
        <v>79</v>
      </c>
      <c r="Q767" s="15" t="s">
        <v>132</v>
      </c>
      <c r="R767" s="14" t="s">
        <v>75</v>
      </c>
      <c r="S767" s="14" t="s">
        <v>75</v>
      </c>
      <c r="T767" s="16" t="s">
        <v>166</v>
      </c>
      <c r="U767" s="17"/>
      <c r="V767" s="16" t="s">
        <v>78</v>
      </c>
      <c r="W767" s="16" t="s">
        <v>79</v>
      </c>
      <c r="X767" s="15" t="s">
        <v>1824</v>
      </c>
      <c r="Y767" s="16" t="s">
        <v>75</v>
      </c>
      <c r="Z767" s="16" t="s">
        <v>75</v>
      </c>
      <c r="AA767" s="16" t="s">
        <v>101</v>
      </c>
      <c r="AB767" s="18"/>
      <c r="AC767" s="19" t="s">
        <v>78</v>
      </c>
      <c r="AD767" s="19" t="s">
        <v>79</v>
      </c>
      <c r="AE767" s="20" t="s">
        <v>1835</v>
      </c>
      <c r="AF767" s="19" t="s">
        <v>75</v>
      </c>
      <c r="AG767" s="19" t="s">
        <v>75</v>
      </c>
      <c r="AH767" s="16" t="s">
        <v>101</v>
      </c>
      <c r="AI767" s="18"/>
      <c r="AJ767" s="16" t="s">
        <v>98</v>
      </c>
      <c r="AK767" s="19" t="s">
        <v>79</v>
      </c>
      <c r="AL767" s="20" t="s">
        <v>1792</v>
      </c>
      <c r="AM767" s="19" t="s">
        <v>75</v>
      </c>
      <c r="AN767" s="19" t="s">
        <v>75</v>
      </c>
      <c r="AO767" s="19" t="s">
        <v>86</v>
      </c>
      <c r="AP767" s="18"/>
      <c r="AQ767" s="18"/>
      <c r="AR767" s="18"/>
      <c r="AS767" s="18"/>
      <c r="AT767" s="18"/>
      <c r="AU767" s="18"/>
      <c r="AV767" s="18"/>
      <c r="AW767" s="18"/>
      <c r="AX767" s="13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2"/>
      <c r="BK767" s="12"/>
      <c r="BL767" s="12"/>
      <c r="BM767" s="9"/>
      <c r="BN767" s="9"/>
      <c r="BO767" s="9"/>
      <c r="BP767" s="12"/>
      <c r="BQ767" s="12"/>
      <c r="BR767" s="12"/>
      <c r="BS767" s="12"/>
      <c r="BT767" s="12"/>
      <c r="BU767" s="12"/>
      <c r="BV767" s="12"/>
      <c r="BW767" s="12"/>
      <c r="BX767" s="12"/>
      <c r="BY767" s="9"/>
      <c r="BZ767" s="21"/>
      <c r="CA767" s="21"/>
      <c r="CB767" s="21"/>
      <c r="CC767" s="21"/>
      <c r="CD767" s="21"/>
      <c r="CE767" s="21"/>
      <c r="CF767" s="21"/>
      <c r="CG767" s="21"/>
      <c r="CH767" s="21"/>
      <c r="CI767" s="21"/>
      <c r="CJ767" s="21"/>
    </row>
    <row r="768" spans="1:88" ht="40.5" customHeight="1">
      <c r="A768" s="9"/>
      <c r="B768" s="12"/>
      <c r="C768" s="9" t="s">
        <v>1975</v>
      </c>
      <c r="D768" s="9" t="s">
        <v>1697</v>
      </c>
      <c r="E768" s="12">
        <v>0</v>
      </c>
      <c r="F768" s="12">
        <v>0</v>
      </c>
      <c r="G768" s="12" t="b">
        <v>0</v>
      </c>
      <c r="H768" s="9" t="s">
        <v>75</v>
      </c>
      <c r="I768" s="9" t="s">
        <v>1976</v>
      </c>
      <c r="J768" s="9" t="s">
        <v>75</v>
      </c>
      <c r="K768" s="11" t="s">
        <v>1857</v>
      </c>
      <c r="L768" s="12"/>
      <c r="M768" s="12"/>
      <c r="N768" s="13"/>
      <c r="O768" s="16" t="s">
        <v>78</v>
      </c>
      <c r="P768" s="14" t="s">
        <v>79</v>
      </c>
      <c r="Q768" s="15" t="s">
        <v>132</v>
      </c>
      <c r="R768" s="14" t="s">
        <v>75</v>
      </c>
      <c r="S768" s="14" t="s">
        <v>75</v>
      </c>
      <c r="T768" s="16" t="s">
        <v>126</v>
      </c>
      <c r="U768" s="17"/>
      <c r="V768" s="16" t="s">
        <v>78</v>
      </c>
      <c r="W768" s="16" t="s">
        <v>79</v>
      </c>
      <c r="X768" s="15" t="s">
        <v>1977</v>
      </c>
      <c r="Y768" s="16" t="s">
        <v>75</v>
      </c>
      <c r="Z768" s="16" t="s">
        <v>75</v>
      </c>
      <c r="AA768" s="16" t="s">
        <v>145</v>
      </c>
      <c r="AB768" s="18"/>
      <c r="AC768" s="19" t="s">
        <v>7</v>
      </c>
      <c r="AD768" s="19" t="s">
        <v>79</v>
      </c>
      <c r="AE768" s="20" t="s">
        <v>1824</v>
      </c>
      <c r="AF768" s="19" t="s">
        <v>75</v>
      </c>
      <c r="AG768" s="19" t="s">
        <v>75</v>
      </c>
      <c r="AH768" s="16" t="s">
        <v>86</v>
      </c>
      <c r="AI768" s="18"/>
      <c r="AJ768" s="13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3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2"/>
      <c r="BK768" s="12"/>
      <c r="BL768" s="12"/>
      <c r="BM768" s="9"/>
      <c r="BN768" s="9"/>
      <c r="BO768" s="9"/>
      <c r="BP768" s="12"/>
      <c r="BQ768" s="12"/>
      <c r="BR768" s="12"/>
      <c r="BS768" s="12"/>
      <c r="BT768" s="12"/>
      <c r="BU768" s="12"/>
      <c r="BV768" s="12"/>
      <c r="BW768" s="12"/>
      <c r="BX768" s="12"/>
      <c r="BY768" s="9"/>
      <c r="BZ768" s="21"/>
      <c r="CA768" s="21"/>
      <c r="CB768" s="21"/>
      <c r="CC768" s="21"/>
      <c r="CD768" s="21"/>
      <c r="CE768" s="21"/>
      <c r="CF768" s="21"/>
      <c r="CG768" s="21"/>
      <c r="CH768" s="21"/>
      <c r="CI768" s="21"/>
      <c r="CJ768" s="21"/>
    </row>
    <row r="769" spans="1:88" ht="40.5" customHeight="1">
      <c r="A769" s="9"/>
      <c r="B769" s="12"/>
      <c r="C769" s="9" t="s">
        <v>1978</v>
      </c>
      <c r="D769" s="9" t="s">
        <v>1697</v>
      </c>
      <c r="E769" s="12">
        <v>0</v>
      </c>
      <c r="F769" s="12">
        <v>0</v>
      </c>
      <c r="G769" s="12" t="b">
        <v>0</v>
      </c>
      <c r="H769" s="9" t="s">
        <v>75</v>
      </c>
      <c r="I769" s="9" t="s">
        <v>1979</v>
      </c>
      <c r="J769" s="9" t="s">
        <v>75</v>
      </c>
      <c r="K769" s="11" t="s">
        <v>1980</v>
      </c>
      <c r="L769" s="12"/>
      <c r="M769" s="12"/>
      <c r="N769" s="13"/>
      <c r="O769" s="16" t="s">
        <v>78</v>
      </c>
      <c r="P769" s="14" t="s">
        <v>79</v>
      </c>
      <c r="Q769" s="15" t="s">
        <v>1977</v>
      </c>
      <c r="R769" s="14" t="s">
        <v>75</v>
      </c>
      <c r="S769" s="14" t="s">
        <v>75</v>
      </c>
      <c r="T769" s="16" t="s">
        <v>101</v>
      </c>
      <c r="U769" s="17"/>
      <c r="V769" s="16" t="s">
        <v>78</v>
      </c>
      <c r="W769" s="16" t="s">
        <v>79</v>
      </c>
      <c r="X769" s="15" t="s">
        <v>1824</v>
      </c>
      <c r="Y769" s="16" t="s">
        <v>75</v>
      </c>
      <c r="Z769" s="16" t="s">
        <v>75</v>
      </c>
      <c r="AA769" s="16" t="s">
        <v>101</v>
      </c>
      <c r="AB769" s="18"/>
      <c r="AC769" s="19" t="s">
        <v>98</v>
      </c>
      <c r="AD769" s="19" t="s">
        <v>79</v>
      </c>
      <c r="AE769" s="20" t="s">
        <v>1792</v>
      </c>
      <c r="AF769" s="19" t="s">
        <v>75</v>
      </c>
      <c r="AG769" s="19" t="s">
        <v>75</v>
      </c>
      <c r="AH769" s="16" t="s">
        <v>86</v>
      </c>
      <c r="AI769" s="18"/>
      <c r="AJ769" s="13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3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2"/>
      <c r="BK769" s="12"/>
      <c r="BL769" s="12"/>
      <c r="BM769" s="9"/>
      <c r="BN769" s="9"/>
      <c r="BO769" s="9"/>
      <c r="BP769" s="12"/>
      <c r="BQ769" s="12"/>
      <c r="BR769" s="12"/>
      <c r="BS769" s="12"/>
      <c r="BT769" s="12"/>
      <c r="BU769" s="12"/>
      <c r="BV769" s="12"/>
      <c r="BW769" s="12"/>
      <c r="BX769" s="12"/>
      <c r="BY769" s="9"/>
      <c r="BZ769" s="21"/>
      <c r="CA769" s="21"/>
      <c r="CB769" s="21"/>
      <c r="CC769" s="21"/>
      <c r="CD769" s="21"/>
      <c r="CE769" s="21"/>
      <c r="CF769" s="21"/>
      <c r="CG769" s="21"/>
      <c r="CH769" s="21"/>
      <c r="CI769" s="21"/>
      <c r="CJ769" s="21"/>
    </row>
    <row r="770" spans="1:88" ht="40.5" customHeight="1">
      <c r="A770" s="9"/>
      <c r="B770" s="12"/>
      <c r="C770" s="9" t="s">
        <v>1981</v>
      </c>
      <c r="D770" s="9" t="s">
        <v>1697</v>
      </c>
      <c r="E770" s="12">
        <v>0</v>
      </c>
      <c r="F770" s="12">
        <v>0</v>
      </c>
      <c r="G770" s="12" t="b">
        <v>0</v>
      </c>
      <c r="H770" s="9" t="s">
        <v>75</v>
      </c>
      <c r="I770" s="9" t="s">
        <v>1982</v>
      </c>
      <c r="J770" s="9" t="s">
        <v>75</v>
      </c>
      <c r="K770" s="11" t="s">
        <v>1983</v>
      </c>
      <c r="L770" s="12"/>
      <c r="M770" s="12"/>
      <c r="N770" s="13"/>
      <c r="O770" s="16" t="s">
        <v>78</v>
      </c>
      <c r="P770" s="14" t="s">
        <v>79</v>
      </c>
      <c r="Q770" s="15" t="s">
        <v>1977</v>
      </c>
      <c r="R770" s="14" t="s">
        <v>75</v>
      </c>
      <c r="S770" s="14" t="s">
        <v>75</v>
      </c>
      <c r="T770" s="16" t="s">
        <v>145</v>
      </c>
      <c r="U770" s="17"/>
      <c r="V770" s="16" t="s">
        <v>78</v>
      </c>
      <c r="W770" s="16" t="s">
        <v>79</v>
      </c>
      <c r="X770" s="15" t="s">
        <v>1824</v>
      </c>
      <c r="Y770" s="16" t="s">
        <v>75</v>
      </c>
      <c r="Z770" s="16" t="s">
        <v>75</v>
      </c>
      <c r="AA770" s="16" t="s">
        <v>145</v>
      </c>
      <c r="AB770" s="18"/>
      <c r="AC770" s="19" t="s">
        <v>7</v>
      </c>
      <c r="AD770" s="19" t="s">
        <v>79</v>
      </c>
      <c r="AE770" s="20" t="s">
        <v>1835</v>
      </c>
      <c r="AF770" s="19" t="s">
        <v>75</v>
      </c>
      <c r="AG770" s="19" t="s">
        <v>75</v>
      </c>
      <c r="AH770" s="16" t="s">
        <v>86</v>
      </c>
      <c r="AI770" s="18"/>
      <c r="AJ770" s="13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3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2"/>
      <c r="BK770" s="12"/>
      <c r="BL770" s="12"/>
      <c r="BM770" s="9"/>
      <c r="BN770" s="9"/>
      <c r="BO770" s="9"/>
      <c r="BP770" s="12"/>
      <c r="BQ770" s="12"/>
      <c r="BR770" s="12"/>
      <c r="BS770" s="12"/>
      <c r="BT770" s="12"/>
      <c r="BU770" s="12"/>
      <c r="BV770" s="12"/>
      <c r="BW770" s="12"/>
      <c r="BX770" s="12"/>
      <c r="BY770" s="9"/>
      <c r="BZ770" s="21"/>
      <c r="CA770" s="21"/>
      <c r="CB770" s="21"/>
      <c r="CC770" s="21"/>
      <c r="CD770" s="21"/>
      <c r="CE770" s="21"/>
      <c r="CF770" s="21"/>
      <c r="CG770" s="21"/>
      <c r="CH770" s="21"/>
      <c r="CI770" s="21"/>
      <c r="CJ770" s="21"/>
    </row>
    <row r="771" spans="1:88" ht="40.5" customHeight="1">
      <c r="A771" s="9"/>
      <c r="B771" s="12"/>
      <c r="C771" s="9" t="s">
        <v>1984</v>
      </c>
      <c r="D771" s="9" t="s">
        <v>1697</v>
      </c>
      <c r="E771" s="12">
        <v>0</v>
      </c>
      <c r="F771" s="12">
        <v>0</v>
      </c>
      <c r="G771" s="12" t="b">
        <v>0</v>
      </c>
      <c r="H771" s="9" t="s">
        <v>75</v>
      </c>
      <c r="I771" s="9" t="s">
        <v>1985</v>
      </c>
      <c r="J771" s="9" t="s">
        <v>75</v>
      </c>
      <c r="K771" s="11" t="s">
        <v>1986</v>
      </c>
      <c r="L771" s="12"/>
      <c r="M771" s="12"/>
      <c r="N771" s="13"/>
      <c r="O771" s="16" t="s">
        <v>78</v>
      </c>
      <c r="P771" s="14" t="s">
        <v>79</v>
      </c>
      <c r="Q771" s="15" t="s">
        <v>1977</v>
      </c>
      <c r="R771" s="23" t="s">
        <v>228</v>
      </c>
      <c r="S771" s="23" t="s">
        <v>84</v>
      </c>
      <c r="T771" s="16" t="s">
        <v>81</v>
      </c>
      <c r="U771" s="17"/>
      <c r="V771" s="16" t="s">
        <v>78</v>
      </c>
      <c r="W771" s="16" t="s">
        <v>79</v>
      </c>
      <c r="X771" s="15" t="s">
        <v>1824</v>
      </c>
      <c r="Y771" s="16" t="s">
        <v>75</v>
      </c>
      <c r="Z771" s="16" t="s">
        <v>75</v>
      </c>
      <c r="AA771" s="16" t="s">
        <v>101</v>
      </c>
      <c r="AB771" s="18"/>
      <c r="AC771" s="19" t="s">
        <v>98</v>
      </c>
      <c r="AD771" s="19" t="s">
        <v>79</v>
      </c>
      <c r="AE771" s="20" t="s">
        <v>1792</v>
      </c>
      <c r="AF771" s="19" t="s">
        <v>75</v>
      </c>
      <c r="AG771" s="19" t="s">
        <v>75</v>
      </c>
      <c r="AH771" s="16" t="s">
        <v>86</v>
      </c>
      <c r="AI771" s="18"/>
      <c r="AJ771" s="13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3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2"/>
      <c r="BK771" s="12"/>
      <c r="BL771" s="12"/>
      <c r="BM771" s="9"/>
      <c r="BN771" s="9"/>
      <c r="BO771" s="9"/>
      <c r="BP771" s="12"/>
      <c r="BQ771" s="12"/>
      <c r="BR771" s="12"/>
      <c r="BS771" s="12"/>
      <c r="BT771" s="12"/>
      <c r="BU771" s="12"/>
      <c r="BV771" s="12"/>
      <c r="BW771" s="12"/>
      <c r="BX771" s="12"/>
      <c r="BY771" s="9"/>
      <c r="BZ771" s="21"/>
      <c r="CA771" s="21"/>
      <c r="CB771" s="21"/>
      <c r="CC771" s="21"/>
      <c r="CD771" s="21"/>
      <c r="CE771" s="21"/>
      <c r="CF771" s="21"/>
      <c r="CG771" s="21"/>
      <c r="CH771" s="21"/>
      <c r="CI771" s="21"/>
      <c r="CJ771" s="21"/>
    </row>
    <row r="772" spans="1:88" ht="40.5" customHeight="1">
      <c r="A772" s="9"/>
      <c r="B772" s="12"/>
      <c r="C772" s="9" t="s">
        <v>1987</v>
      </c>
      <c r="D772" s="9" t="s">
        <v>1697</v>
      </c>
      <c r="E772" s="12">
        <v>0</v>
      </c>
      <c r="F772" s="12">
        <v>0</v>
      </c>
      <c r="G772" s="12" t="b">
        <v>0</v>
      </c>
      <c r="H772" s="9" t="s">
        <v>75</v>
      </c>
      <c r="I772" s="9" t="s">
        <v>1988</v>
      </c>
      <c r="J772" s="9" t="s">
        <v>75</v>
      </c>
      <c r="K772" s="11" t="s">
        <v>1989</v>
      </c>
      <c r="L772" s="12"/>
      <c r="M772" s="12"/>
      <c r="N772" s="13"/>
      <c r="O772" s="16" t="s">
        <v>78</v>
      </c>
      <c r="P772" s="14" t="s">
        <v>79</v>
      </c>
      <c r="Q772" s="15" t="s">
        <v>1977</v>
      </c>
      <c r="R772" s="14" t="s">
        <v>75</v>
      </c>
      <c r="S772" s="14" t="s">
        <v>75</v>
      </c>
      <c r="T772" s="16" t="s">
        <v>166</v>
      </c>
      <c r="U772" s="17"/>
      <c r="V772" s="16" t="s">
        <v>78</v>
      </c>
      <c r="W772" s="16" t="s">
        <v>79</v>
      </c>
      <c r="X772" s="15" t="s">
        <v>1824</v>
      </c>
      <c r="Y772" s="16" t="s">
        <v>75</v>
      </c>
      <c r="Z772" s="16" t="s">
        <v>75</v>
      </c>
      <c r="AA772" s="16" t="s">
        <v>86</v>
      </c>
      <c r="AB772" s="18"/>
      <c r="AC772" s="19" t="s">
        <v>98</v>
      </c>
      <c r="AD772" s="19" t="s">
        <v>79</v>
      </c>
      <c r="AE772" s="20" t="s">
        <v>1792</v>
      </c>
      <c r="AF772" s="19" t="s">
        <v>75</v>
      </c>
      <c r="AG772" s="19" t="s">
        <v>75</v>
      </c>
      <c r="AH772" s="16" t="s">
        <v>86</v>
      </c>
      <c r="AI772" s="18"/>
      <c r="AJ772" s="13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3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2"/>
      <c r="BK772" s="12"/>
      <c r="BL772" s="12"/>
      <c r="BM772" s="9"/>
      <c r="BN772" s="9"/>
      <c r="BO772" s="9"/>
      <c r="BP772" s="12"/>
      <c r="BQ772" s="12"/>
      <c r="BR772" s="12"/>
      <c r="BS772" s="12"/>
      <c r="BT772" s="12"/>
      <c r="BU772" s="12"/>
      <c r="BV772" s="12"/>
      <c r="BW772" s="12"/>
      <c r="BX772" s="12"/>
      <c r="BY772" s="9"/>
      <c r="BZ772" s="21"/>
      <c r="CA772" s="21"/>
      <c r="CB772" s="21"/>
      <c r="CC772" s="21"/>
      <c r="CD772" s="21"/>
      <c r="CE772" s="21"/>
      <c r="CF772" s="21"/>
      <c r="CG772" s="21"/>
      <c r="CH772" s="21"/>
      <c r="CI772" s="21"/>
      <c r="CJ772" s="21"/>
    </row>
    <row r="773" spans="1:88" ht="40.5" customHeight="1">
      <c r="A773" s="9"/>
      <c r="B773" s="12"/>
      <c r="C773" s="9" t="s">
        <v>1990</v>
      </c>
      <c r="D773" s="9" t="s">
        <v>1697</v>
      </c>
      <c r="E773" s="12">
        <v>0</v>
      </c>
      <c r="F773" s="12">
        <v>0</v>
      </c>
      <c r="G773" s="12" t="b">
        <v>0</v>
      </c>
      <c r="H773" s="9" t="s">
        <v>75</v>
      </c>
      <c r="I773" s="9" t="s">
        <v>1991</v>
      </c>
      <c r="J773" s="9" t="s">
        <v>75</v>
      </c>
      <c r="K773" s="11" t="s">
        <v>1992</v>
      </c>
      <c r="L773" s="12"/>
      <c r="M773" s="12"/>
      <c r="N773" s="13"/>
      <c r="O773" s="16" t="s">
        <v>78</v>
      </c>
      <c r="P773" s="14" t="s">
        <v>79</v>
      </c>
      <c r="Q773" s="15" t="s">
        <v>1977</v>
      </c>
      <c r="R773" s="14" t="s">
        <v>75</v>
      </c>
      <c r="S773" s="23" t="s">
        <v>84</v>
      </c>
      <c r="T773" s="16" t="s">
        <v>126</v>
      </c>
      <c r="U773" s="17"/>
      <c r="V773" s="16" t="s">
        <v>78</v>
      </c>
      <c r="W773" s="16" t="s">
        <v>79</v>
      </c>
      <c r="X773" s="15" t="s">
        <v>1824</v>
      </c>
      <c r="Y773" s="16" t="s">
        <v>75</v>
      </c>
      <c r="Z773" s="16" t="s">
        <v>75</v>
      </c>
      <c r="AA773" s="16" t="s">
        <v>81</v>
      </c>
      <c r="AB773" s="18"/>
      <c r="AC773" s="19" t="s">
        <v>78</v>
      </c>
      <c r="AD773" s="19" t="s">
        <v>79</v>
      </c>
      <c r="AE773" s="20" t="s">
        <v>1993</v>
      </c>
      <c r="AF773" s="19" t="s">
        <v>75</v>
      </c>
      <c r="AG773" s="19" t="s">
        <v>75</v>
      </c>
      <c r="AH773" s="16" t="s">
        <v>86</v>
      </c>
      <c r="AI773" s="18"/>
      <c r="AJ773" s="13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3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2"/>
      <c r="BK773" s="12"/>
      <c r="BL773" s="12"/>
      <c r="BM773" s="9"/>
      <c r="BN773" s="9"/>
      <c r="BO773" s="9"/>
      <c r="BP773" s="12"/>
      <c r="BQ773" s="12"/>
      <c r="BR773" s="12"/>
      <c r="BS773" s="12"/>
      <c r="BT773" s="12"/>
      <c r="BU773" s="12"/>
      <c r="BV773" s="12"/>
      <c r="BW773" s="12"/>
      <c r="BX773" s="12"/>
      <c r="BY773" s="9"/>
      <c r="BZ773" s="21"/>
      <c r="CA773" s="21"/>
      <c r="CB773" s="21"/>
      <c r="CC773" s="21"/>
      <c r="CD773" s="21"/>
      <c r="CE773" s="21"/>
      <c r="CF773" s="21"/>
      <c r="CG773" s="21"/>
      <c r="CH773" s="21"/>
      <c r="CI773" s="21"/>
      <c r="CJ773" s="21"/>
    </row>
    <row r="774" spans="1:88" ht="40.5" customHeight="1">
      <c r="A774" s="9"/>
      <c r="B774" s="12"/>
      <c r="C774" s="9" t="s">
        <v>1994</v>
      </c>
      <c r="D774" s="9" t="s">
        <v>1697</v>
      </c>
      <c r="E774" s="12">
        <v>0</v>
      </c>
      <c r="F774" s="12">
        <v>0</v>
      </c>
      <c r="G774" s="12" t="b">
        <v>0</v>
      </c>
      <c r="H774" s="9" t="s">
        <v>75</v>
      </c>
      <c r="I774" s="9" t="s">
        <v>1995</v>
      </c>
      <c r="J774" s="9" t="s">
        <v>75</v>
      </c>
      <c r="K774" s="11" t="s">
        <v>1996</v>
      </c>
      <c r="L774" s="12"/>
      <c r="M774" s="12"/>
      <c r="N774" s="13"/>
      <c r="O774" s="16" t="s">
        <v>78</v>
      </c>
      <c r="P774" s="14" t="s">
        <v>79</v>
      </c>
      <c r="Q774" s="15" t="s">
        <v>1977</v>
      </c>
      <c r="R774" s="14" t="s">
        <v>75</v>
      </c>
      <c r="S774" s="23" t="s">
        <v>84</v>
      </c>
      <c r="T774" s="16" t="s">
        <v>145</v>
      </c>
      <c r="U774" s="17"/>
      <c r="V774" s="16" t="s">
        <v>7</v>
      </c>
      <c r="W774" s="16" t="s">
        <v>79</v>
      </c>
      <c r="X774" s="15" t="s">
        <v>1824</v>
      </c>
      <c r="Y774" s="16" t="s">
        <v>75</v>
      </c>
      <c r="Z774" s="16" t="s">
        <v>75</v>
      </c>
      <c r="AA774" s="16" t="s">
        <v>86</v>
      </c>
      <c r="AB774" s="18"/>
      <c r="AC774" s="19" t="s">
        <v>7</v>
      </c>
      <c r="AD774" s="19" t="s">
        <v>79</v>
      </c>
      <c r="AE774" s="20" t="s">
        <v>1993</v>
      </c>
      <c r="AF774" s="19" t="s">
        <v>75</v>
      </c>
      <c r="AG774" s="19" t="s">
        <v>75</v>
      </c>
      <c r="AH774" s="16" t="s">
        <v>86</v>
      </c>
      <c r="AI774" s="18"/>
      <c r="AJ774" s="13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3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2"/>
      <c r="BK774" s="12"/>
      <c r="BL774" s="12"/>
      <c r="BM774" s="9"/>
      <c r="BN774" s="9"/>
      <c r="BO774" s="9"/>
      <c r="BP774" s="12"/>
      <c r="BQ774" s="12"/>
      <c r="BR774" s="12"/>
      <c r="BS774" s="12"/>
      <c r="BT774" s="12"/>
      <c r="BU774" s="12"/>
      <c r="BV774" s="12"/>
      <c r="BW774" s="12"/>
      <c r="BX774" s="12"/>
      <c r="BY774" s="9"/>
      <c r="BZ774" s="21"/>
      <c r="CA774" s="21"/>
      <c r="CB774" s="21"/>
      <c r="CC774" s="21"/>
      <c r="CD774" s="21"/>
      <c r="CE774" s="21"/>
      <c r="CF774" s="21"/>
      <c r="CG774" s="21"/>
      <c r="CH774" s="21"/>
      <c r="CI774" s="21"/>
      <c r="CJ774" s="21"/>
    </row>
    <row r="775" spans="1:88" ht="40.5" customHeight="1">
      <c r="A775" s="9"/>
      <c r="B775" s="12"/>
      <c r="C775" s="9" t="s">
        <v>1997</v>
      </c>
      <c r="D775" s="9" t="s">
        <v>1697</v>
      </c>
      <c r="E775" s="12">
        <v>0</v>
      </c>
      <c r="F775" s="12">
        <v>0</v>
      </c>
      <c r="G775" s="12" t="b">
        <v>0</v>
      </c>
      <c r="H775" s="9" t="s">
        <v>75</v>
      </c>
      <c r="I775" s="9" t="s">
        <v>1998</v>
      </c>
      <c r="J775" s="9" t="s">
        <v>75</v>
      </c>
      <c r="K775" s="11" t="s">
        <v>1999</v>
      </c>
      <c r="L775" s="12"/>
      <c r="M775" s="12"/>
      <c r="N775" s="13"/>
      <c r="O775" s="16" t="s">
        <v>78</v>
      </c>
      <c r="P775" s="14" t="s">
        <v>79</v>
      </c>
      <c r="Q775" s="15" t="s">
        <v>1977</v>
      </c>
      <c r="R775" s="14" t="s">
        <v>75</v>
      </c>
      <c r="S775" s="14" t="s">
        <v>75</v>
      </c>
      <c r="T775" s="16" t="s">
        <v>101</v>
      </c>
      <c r="U775" s="17"/>
      <c r="V775" s="16" t="s">
        <v>78</v>
      </c>
      <c r="W775" s="16" t="s">
        <v>79</v>
      </c>
      <c r="X775" s="15" t="s">
        <v>1824</v>
      </c>
      <c r="Y775" s="16" t="s">
        <v>75</v>
      </c>
      <c r="Z775" s="16" t="s">
        <v>75</v>
      </c>
      <c r="AA775" s="16" t="s">
        <v>101</v>
      </c>
      <c r="AB775" s="18"/>
      <c r="AC775" s="19" t="s">
        <v>78</v>
      </c>
      <c r="AD775" s="19" t="s">
        <v>79</v>
      </c>
      <c r="AE775" s="20" t="s">
        <v>1993</v>
      </c>
      <c r="AF775" s="19" t="s">
        <v>75</v>
      </c>
      <c r="AG775" s="19" t="s">
        <v>75</v>
      </c>
      <c r="AH775" s="16" t="s">
        <v>101</v>
      </c>
      <c r="AI775" s="18"/>
      <c r="AJ775" s="13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3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2"/>
      <c r="BK775" s="12"/>
      <c r="BL775" s="12"/>
      <c r="BM775" s="9"/>
      <c r="BN775" s="9"/>
      <c r="BO775" s="9"/>
      <c r="BP775" s="12"/>
      <c r="BQ775" s="12"/>
      <c r="BR775" s="12"/>
      <c r="BS775" s="12"/>
      <c r="BT775" s="12"/>
      <c r="BU775" s="12"/>
      <c r="BV775" s="12"/>
      <c r="BW775" s="12"/>
      <c r="BX775" s="12"/>
      <c r="BY775" s="9"/>
      <c r="BZ775" s="21"/>
      <c r="CA775" s="21"/>
      <c r="CB775" s="21"/>
      <c r="CC775" s="21"/>
      <c r="CD775" s="21"/>
      <c r="CE775" s="21"/>
      <c r="CF775" s="21"/>
      <c r="CG775" s="21"/>
      <c r="CH775" s="21"/>
      <c r="CI775" s="21"/>
      <c r="CJ775" s="21"/>
    </row>
    <row r="776" spans="1:88" ht="40.5" customHeight="1">
      <c r="A776" s="9"/>
      <c r="B776" s="12"/>
      <c r="C776" s="9" t="s">
        <v>2000</v>
      </c>
      <c r="D776" s="9" t="s">
        <v>1697</v>
      </c>
      <c r="E776" s="12">
        <v>0</v>
      </c>
      <c r="F776" s="12">
        <v>0</v>
      </c>
      <c r="G776" s="12" t="b">
        <v>0</v>
      </c>
      <c r="H776" s="9" t="s">
        <v>75</v>
      </c>
      <c r="I776" s="9" t="s">
        <v>2001</v>
      </c>
      <c r="J776" s="9" t="s">
        <v>75</v>
      </c>
      <c r="K776" s="11" t="s">
        <v>2002</v>
      </c>
      <c r="L776" s="12"/>
      <c r="M776" s="12"/>
      <c r="N776" s="13"/>
      <c r="O776" s="16" t="s">
        <v>78</v>
      </c>
      <c r="P776" s="14" t="s">
        <v>79</v>
      </c>
      <c r="Q776" s="15" t="s">
        <v>1977</v>
      </c>
      <c r="R776" s="14" t="s">
        <v>75</v>
      </c>
      <c r="S776" s="14" t="s">
        <v>75</v>
      </c>
      <c r="T776" s="16" t="s">
        <v>101</v>
      </c>
      <c r="U776" s="17"/>
      <c r="V776" s="16" t="s">
        <v>78</v>
      </c>
      <c r="W776" s="16" t="s">
        <v>79</v>
      </c>
      <c r="X776" s="15" t="s">
        <v>1824</v>
      </c>
      <c r="Y776" s="16" t="s">
        <v>75</v>
      </c>
      <c r="Z776" s="16" t="s">
        <v>75</v>
      </c>
      <c r="AA776" s="16" t="s">
        <v>101</v>
      </c>
      <c r="AB776" s="18"/>
      <c r="AC776" s="19" t="s">
        <v>78</v>
      </c>
      <c r="AD776" s="19" t="s">
        <v>79</v>
      </c>
      <c r="AE776" s="20" t="s">
        <v>1993</v>
      </c>
      <c r="AF776" s="19" t="s">
        <v>75</v>
      </c>
      <c r="AG776" s="19" t="s">
        <v>75</v>
      </c>
      <c r="AH776" s="16" t="s">
        <v>101</v>
      </c>
      <c r="AI776" s="18"/>
      <c r="AJ776" s="13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3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2"/>
      <c r="BK776" s="12"/>
      <c r="BL776" s="12"/>
      <c r="BM776" s="9"/>
      <c r="BN776" s="9"/>
      <c r="BO776" s="9"/>
      <c r="BP776" s="12"/>
      <c r="BQ776" s="12"/>
      <c r="BR776" s="12"/>
      <c r="BS776" s="12"/>
      <c r="BT776" s="12"/>
      <c r="BU776" s="12"/>
      <c r="BV776" s="12"/>
      <c r="BW776" s="12"/>
      <c r="BX776" s="12"/>
      <c r="BY776" s="9"/>
      <c r="BZ776" s="21"/>
      <c r="CA776" s="21"/>
      <c r="CB776" s="21"/>
      <c r="CC776" s="21"/>
      <c r="CD776" s="21"/>
      <c r="CE776" s="21"/>
      <c r="CF776" s="21"/>
      <c r="CG776" s="21"/>
      <c r="CH776" s="21"/>
      <c r="CI776" s="21"/>
      <c r="CJ776" s="21"/>
    </row>
    <row r="777" spans="1:88" ht="40.5" customHeight="1">
      <c r="A777" s="9"/>
      <c r="B777" s="12"/>
      <c r="C777" s="9" t="s">
        <v>2003</v>
      </c>
      <c r="D777" s="9" t="s">
        <v>1697</v>
      </c>
      <c r="E777" s="12">
        <v>0</v>
      </c>
      <c r="F777" s="12">
        <v>0</v>
      </c>
      <c r="G777" s="12" t="b">
        <v>0</v>
      </c>
      <c r="H777" s="9" t="s">
        <v>75</v>
      </c>
      <c r="I777" s="9" t="s">
        <v>2004</v>
      </c>
      <c r="J777" s="9" t="s">
        <v>75</v>
      </c>
      <c r="K777" s="11" t="s">
        <v>2005</v>
      </c>
      <c r="L777" s="12"/>
      <c r="M777" s="12"/>
      <c r="N777" s="13"/>
      <c r="O777" s="16" t="s">
        <v>78</v>
      </c>
      <c r="P777" s="14" t="s">
        <v>79</v>
      </c>
      <c r="Q777" s="15" t="s">
        <v>1977</v>
      </c>
      <c r="R777" s="14" t="s">
        <v>75</v>
      </c>
      <c r="S777" s="14" t="s">
        <v>75</v>
      </c>
      <c r="T777" s="16" t="s">
        <v>145</v>
      </c>
      <c r="U777" s="17"/>
      <c r="V777" s="16" t="s">
        <v>78</v>
      </c>
      <c r="W777" s="16" t="s">
        <v>79</v>
      </c>
      <c r="X777" s="15" t="s">
        <v>1824</v>
      </c>
      <c r="Y777" s="16" t="s">
        <v>75</v>
      </c>
      <c r="Z777" s="16" t="s">
        <v>75</v>
      </c>
      <c r="AA777" s="16" t="s">
        <v>86</v>
      </c>
      <c r="AB777" s="18"/>
      <c r="AC777" s="19" t="s">
        <v>78</v>
      </c>
      <c r="AD777" s="19" t="s">
        <v>79</v>
      </c>
      <c r="AE777" s="20" t="s">
        <v>1993</v>
      </c>
      <c r="AF777" s="19" t="s">
        <v>75</v>
      </c>
      <c r="AG777" s="19" t="s">
        <v>75</v>
      </c>
      <c r="AH777" s="16" t="s">
        <v>86</v>
      </c>
      <c r="AI777" s="18"/>
      <c r="AJ777" s="13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3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2"/>
      <c r="BK777" s="12"/>
      <c r="BL777" s="12"/>
      <c r="BM777" s="9"/>
      <c r="BN777" s="9"/>
      <c r="BO777" s="9"/>
      <c r="BP777" s="12"/>
      <c r="BQ777" s="12"/>
      <c r="BR777" s="12"/>
      <c r="BS777" s="12"/>
      <c r="BT777" s="12"/>
      <c r="BU777" s="12"/>
      <c r="BV777" s="12"/>
      <c r="BW777" s="12"/>
      <c r="BX777" s="12"/>
      <c r="BY777" s="9"/>
      <c r="BZ777" s="21"/>
      <c r="CA777" s="21"/>
      <c r="CB777" s="21"/>
      <c r="CC777" s="21"/>
      <c r="CD777" s="21"/>
      <c r="CE777" s="21"/>
      <c r="CF777" s="21"/>
      <c r="CG777" s="21"/>
      <c r="CH777" s="21"/>
      <c r="CI777" s="21"/>
      <c r="CJ777" s="21"/>
    </row>
    <row r="778" spans="1:88" ht="40.5" customHeight="1">
      <c r="A778" s="9"/>
      <c r="B778" s="12"/>
      <c r="C778" s="9" t="s">
        <v>2006</v>
      </c>
      <c r="D778" s="9" t="s">
        <v>1697</v>
      </c>
      <c r="E778" s="12">
        <v>0</v>
      </c>
      <c r="F778" s="12">
        <v>0</v>
      </c>
      <c r="G778" s="12" t="b">
        <v>0</v>
      </c>
      <c r="H778" s="9" t="s">
        <v>75</v>
      </c>
      <c r="I778" s="9" t="s">
        <v>2007</v>
      </c>
      <c r="J778" s="9" t="s">
        <v>75</v>
      </c>
      <c r="K778" s="11" t="s">
        <v>2008</v>
      </c>
      <c r="L778" s="12"/>
      <c r="M778" s="12"/>
      <c r="N778" s="13"/>
      <c r="O778" s="16" t="s">
        <v>78</v>
      </c>
      <c r="P778" s="14" t="s">
        <v>79</v>
      </c>
      <c r="Q778" s="15" t="s">
        <v>1977</v>
      </c>
      <c r="R778" s="14" t="s">
        <v>75</v>
      </c>
      <c r="S778" s="14" t="s">
        <v>75</v>
      </c>
      <c r="T778" s="16" t="s">
        <v>190</v>
      </c>
      <c r="U778" s="17"/>
      <c r="V778" s="16" t="s">
        <v>78</v>
      </c>
      <c r="W778" s="16" t="s">
        <v>79</v>
      </c>
      <c r="X778" s="15" t="s">
        <v>1824</v>
      </c>
      <c r="Y778" s="16" t="s">
        <v>75</v>
      </c>
      <c r="Z778" s="16" t="s">
        <v>75</v>
      </c>
      <c r="AA778" s="16" t="s">
        <v>190</v>
      </c>
      <c r="AB778" s="18"/>
      <c r="AC778" s="19" t="s">
        <v>78</v>
      </c>
      <c r="AD778" s="19" t="s">
        <v>79</v>
      </c>
      <c r="AE778" s="20" t="s">
        <v>1993</v>
      </c>
      <c r="AF778" s="19" t="s">
        <v>75</v>
      </c>
      <c r="AG778" s="19" t="s">
        <v>75</v>
      </c>
      <c r="AH778" s="16" t="s">
        <v>86</v>
      </c>
      <c r="AI778" s="18"/>
      <c r="AJ778" s="13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3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2"/>
      <c r="BK778" s="12"/>
      <c r="BL778" s="12"/>
      <c r="BM778" s="9"/>
      <c r="BN778" s="9"/>
      <c r="BO778" s="9"/>
      <c r="BP778" s="12"/>
      <c r="BQ778" s="12"/>
      <c r="BR778" s="12"/>
      <c r="BS778" s="12"/>
      <c r="BT778" s="12"/>
      <c r="BU778" s="12"/>
      <c r="BV778" s="12"/>
      <c r="BW778" s="12"/>
      <c r="BX778" s="12"/>
      <c r="BY778" s="9"/>
      <c r="BZ778" s="21"/>
      <c r="CA778" s="21"/>
      <c r="CB778" s="21"/>
      <c r="CC778" s="21"/>
      <c r="CD778" s="21"/>
      <c r="CE778" s="21"/>
      <c r="CF778" s="21"/>
      <c r="CG778" s="21"/>
      <c r="CH778" s="21"/>
      <c r="CI778" s="21"/>
      <c r="CJ778" s="21"/>
    </row>
    <row r="779" spans="1:88" ht="40.5" customHeight="1">
      <c r="A779" s="9"/>
      <c r="B779" s="12"/>
      <c r="C779" s="9" t="s">
        <v>2009</v>
      </c>
      <c r="D779" s="9" t="s">
        <v>1697</v>
      </c>
      <c r="E779" s="12">
        <v>0</v>
      </c>
      <c r="F779" s="12">
        <v>0</v>
      </c>
      <c r="G779" s="12" t="b">
        <v>0</v>
      </c>
      <c r="H779" s="9" t="s">
        <v>2010</v>
      </c>
      <c r="I779" s="10" t="s">
        <v>2011</v>
      </c>
      <c r="J779" s="9" t="s">
        <v>79</v>
      </c>
      <c r="K779" s="11" t="s">
        <v>2012</v>
      </c>
      <c r="L779" s="12"/>
      <c r="M779" s="12"/>
      <c r="N779" s="13"/>
      <c r="O779" s="16" t="s">
        <v>78</v>
      </c>
      <c r="P779" s="14" t="s">
        <v>79</v>
      </c>
      <c r="Q779" s="15" t="s">
        <v>1977</v>
      </c>
      <c r="R779" s="14" t="s">
        <v>75</v>
      </c>
      <c r="S779" s="14" t="s">
        <v>75</v>
      </c>
      <c r="T779" s="16" t="s">
        <v>101</v>
      </c>
      <c r="U779" s="17"/>
      <c r="V779" s="16" t="s">
        <v>78</v>
      </c>
      <c r="W779" s="16" t="s">
        <v>79</v>
      </c>
      <c r="X779" s="15" t="s">
        <v>1824</v>
      </c>
      <c r="Y779" s="16" t="s">
        <v>75</v>
      </c>
      <c r="Z779" s="16" t="s">
        <v>75</v>
      </c>
      <c r="AA779" s="16" t="s">
        <v>101</v>
      </c>
      <c r="AB779" s="18"/>
      <c r="AC779" s="19" t="s">
        <v>78</v>
      </c>
      <c r="AD779" s="19" t="s">
        <v>79</v>
      </c>
      <c r="AE779" s="20" t="s">
        <v>1993</v>
      </c>
      <c r="AF779" s="19" t="s">
        <v>75</v>
      </c>
      <c r="AG779" s="19" t="s">
        <v>75</v>
      </c>
      <c r="AH779" s="16" t="s">
        <v>86</v>
      </c>
      <c r="AI779" s="18"/>
      <c r="AJ779" s="13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3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2"/>
      <c r="BK779" s="12"/>
      <c r="BL779" s="12"/>
      <c r="BM779" s="9"/>
      <c r="BN779" s="9"/>
      <c r="BO779" s="9"/>
      <c r="BP779" s="12"/>
      <c r="BQ779" s="12"/>
      <c r="BR779" s="12"/>
      <c r="BS779" s="12"/>
      <c r="BT779" s="12"/>
      <c r="BU779" s="12"/>
      <c r="BV779" s="12"/>
      <c r="BW779" s="12"/>
      <c r="BX779" s="12"/>
      <c r="BY779" s="9"/>
      <c r="BZ779" s="21"/>
      <c r="CA779" s="21"/>
      <c r="CB779" s="21"/>
      <c r="CC779" s="21"/>
      <c r="CD779" s="21"/>
      <c r="CE779" s="21"/>
      <c r="CF779" s="21"/>
      <c r="CG779" s="21"/>
      <c r="CH779" s="21"/>
      <c r="CI779" s="21"/>
      <c r="CJ779" s="21"/>
    </row>
    <row r="780" spans="1:88" ht="40.5" customHeight="1">
      <c r="A780" s="9"/>
      <c r="B780" s="12"/>
      <c r="C780" s="9" t="s">
        <v>2013</v>
      </c>
      <c r="D780" s="9" t="s">
        <v>1697</v>
      </c>
      <c r="E780" s="12">
        <v>0</v>
      </c>
      <c r="F780" s="12">
        <v>0</v>
      </c>
      <c r="G780" s="12" t="b">
        <v>0</v>
      </c>
      <c r="H780" s="9" t="s">
        <v>75</v>
      </c>
      <c r="I780" s="9" t="s">
        <v>2014</v>
      </c>
      <c r="J780" s="9" t="s">
        <v>75</v>
      </c>
      <c r="K780" s="9" t="s">
        <v>79</v>
      </c>
      <c r="L780" s="12"/>
      <c r="M780" s="12"/>
      <c r="N780" s="13"/>
      <c r="O780" s="16" t="s">
        <v>78</v>
      </c>
      <c r="P780" s="14" t="s">
        <v>79</v>
      </c>
      <c r="Q780" s="15" t="s">
        <v>1977</v>
      </c>
      <c r="R780" s="14" t="s">
        <v>75</v>
      </c>
      <c r="S780" s="14" t="s">
        <v>75</v>
      </c>
      <c r="T780" s="16" t="s">
        <v>101</v>
      </c>
      <c r="U780" s="17"/>
      <c r="V780" s="16" t="s">
        <v>78</v>
      </c>
      <c r="W780" s="16" t="s">
        <v>79</v>
      </c>
      <c r="X780" s="15" t="s">
        <v>1824</v>
      </c>
      <c r="Y780" s="16" t="s">
        <v>75</v>
      </c>
      <c r="Z780" s="16" t="s">
        <v>75</v>
      </c>
      <c r="AA780" s="16" t="s">
        <v>101</v>
      </c>
      <c r="AB780" s="18"/>
      <c r="AC780" s="19" t="s">
        <v>78</v>
      </c>
      <c r="AD780" s="19" t="s">
        <v>79</v>
      </c>
      <c r="AE780" s="20" t="s">
        <v>1993</v>
      </c>
      <c r="AF780" s="19" t="s">
        <v>75</v>
      </c>
      <c r="AG780" s="19" t="s">
        <v>75</v>
      </c>
      <c r="AH780" s="16" t="s">
        <v>101</v>
      </c>
      <c r="AI780" s="18"/>
      <c r="AJ780" s="13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3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2"/>
      <c r="BK780" s="12"/>
      <c r="BL780" s="12"/>
      <c r="BM780" s="9"/>
      <c r="BN780" s="9"/>
      <c r="BO780" s="9"/>
      <c r="BP780" s="12"/>
      <c r="BQ780" s="12"/>
      <c r="BR780" s="12"/>
      <c r="BS780" s="12"/>
      <c r="BT780" s="12"/>
      <c r="BU780" s="12"/>
      <c r="BV780" s="12"/>
      <c r="BW780" s="12"/>
      <c r="BX780" s="12"/>
      <c r="BY780" s="9"/>
      <c r="BZ780" s="21"/>
      <c r="CA780" s="21"/>
      <c r="CB780" s="21"/>
      <c r="CC780" s="21"/>
      <c r="CD780" s="21"/>
      <c r="CE780" s="21"/>
      <c r="CF780" s="21"/>
      <c r="CG780" s="21"/>
      <c r="CH780" s="21"/>
      <c r="CI780" s="21"/>
      <c r="CJ780" s="21"/>
    </row>
    <row r="781" spans="1:88" ht="40.5" customHeight="1">
      <c r="A781" s="9"/>
      <c r="B781" s="12"/>
      <c r="C781" s="9" t="s">
        <v>2015</v>
      </c>
      <c r="D781" s="9" t="s">
        <v>1697</v>
      </c>
      <c r="E781" s="12">
        <v>0</v>
      </c>
      <c r="F781" s="12">
        <v>0</v>
      </c>
      <c r="G781" s="12" t="b">
        <v>0</v>
      </c>
      <c r="H781" s="9" t="s">
        <v>75</v>
      </c>
      <c r="I781" s="9" t="s">
        <v>2016</v>
      </c>
      <c r="J781" s="9" t="s">
        <v>75</v>
      </c>
      <c r="K781" s="11" t="s">
        <v>2017</v>
      </c>
      <c r="L781" s="12"/>
      <c r="M781" s="12"/>
      <c r="N781" s="13"/>
      <c r="O781" s="16" t="s">
        <v>78</v>
      </c>
      <c r="P781" s="14" t="s">
        <v>79</v>
      </c>
      <c r="Q781" s="15" t="s">
        <v>1977</v>
      </c>
      <c r="R781" s="14" t="s">
        <v>75</v>
      </c>
      <c r="S781" s="14" t="s">
        <v>75</v>
      </c>
      <c r="T781" s="16" t="s">
        <v>166</v>
      </c>
      <c r="U781" s="17"/>
      <c r="V781" s="16" t="s">
        <v>78</v>
      </c>
      <c r="W781" s="16" t="s">
        <v>79</v>
      </c>
      <c r="X781" s="15" t="s">
        <v>1824</v>
      </c>
      <c r="Y781" s="16" t="s">
        <v>75</v>
      </c>
      <c r="Z781" s="16" t="s">
        <v>75</v>
      </c>
      <c r="AA781" s="16" t="s">
        <v>81</v>
      </c>
      <c r="AB781" s="18"/>
      <c r="AC781" s="19" t="s">
        <v>78</v>
      </c>
      <c r="AD781" s="19" t="s">
        <v>79</v>
      </c>
      <c r="AE781" s="20" t="s">
        <v>1993</v>
      </c>
      <c r="AF781" s="19" t="s">
        <v>75</v>
      </c>
      <c r="AG781" s="19" t="s">
        <v>75</v>
      </c>
      <c r="AH781" s="16" t="s">
        <v>86</v>
      </c>
      <c r="AI781" s="18"/>
      <c r="AJ781" s="13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3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2"/>
      <c r="BK781" s="12"/>
      <c r="BL781" s="12"/>
      <c r="BM781" s="9"/>
      <c r="BN781" s="9"/>
      <c r="BO781" s="9"/>
      <c r="BP781" s="12"/>
      <c r="BQ781" s="12"/>
      <c r="BR781" s="12"/>
      <c r="BS781" s="12"/>
      <c r="BT781" s="12"/>
      <c r="BU781" s="12"/>
      <c r="BV781" s="12"/>
      <c r="BW781" s="12"/>
      <c r="BX781" s="12"/>
      <c r="BY781" s="9"/>
      <c r="BZ781" s="21"/>
      <c r="CA781" s="21"/>
      <c r="CB781" s="21"/>
      <c r="CC781" s="21"/>
      <c r="CD781" s="21"/>
      <c r="CE781" s="21"/>
      <c r="CF781" s="21"/>
      <c r="CG781" s="21"/>
      <c r="CH781" s="21"/>
      <c r="CI781" s="21"/>
      <c r="CJ781" s="21"/>
    </row>
    <row r="782" spans="1:88" ht="40.5" customHeight="1">
      <c r="A782" s="9"/>
      <c r="B782" s="12"/>
      <c r="C782" s="9" t="s">
        <v>2018</v>
      </c>
      <c r="D782" s="9" t="s">
        <v>1697</v>
      </c>
      <c r="E782" s="12">
        <v>0</v>
      </c>
      <c r="F782" s="12">
        <v>0</v>
      </c>
      <c r="G782" s="12" t="b">
        <v>0</v>
      </c>
      <c r="H782" s="9" t="s">
        <v>75</v>
      </c>
      <c r="I782" s="9" t="s">
        <v>2019</v>
      </c>
      <c r="J782" s="9" t="s">
        <v>75</v>
      </c>
      <c r="K782" s="11" t="s">
        <v>2020</v>
      </c>
      <c r="L782" s="12"/>
      <c r="M782" s="12"/>
      <c r="N782" s="13"/>
      <c r="O782" s="16" t="s">
        <v>78</v>
      </c>
      <c r="P782" s="14" t="s">
        <v>79</v>
      </c>
      <c r="Q782" s="15" t="s">
        <v>1977</v>
      </c>
      <c r="R782" s="14" t="s">
        <v>75</v>
      </c>
      <c r="S782" s="14" t="s">
        <v>75</v>
      </c>
      <c r="T782" s="16" t="s">
        <v>4</v>
      </c>
      <c r="U782" s="17"/>
      <c r="V782" s="13"/>
      <c r="W782" s="13"/>
      <c r="X782" s="13"/>
      <c r="Y782" s="13"/>
      <c r="Z782" s="13"/>
      <c r="AA782" s="13"/>
      <c r="AB782" s="18"/>
      <c r="AC782" s="18"/>
      <c r="AD782" s="18"/>
      <c r="AE782" s="18"/>
      <c r="AF782" s="18"/>
      <c r="AG782" s="18"/>
      <c r="AH782" s="13"/>
      <c r="AI782" s="18"/>
      <c r="AJ782" s="13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3"/>
      <c r="AY782" s="1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  <c r="BJ782" s="12"/>
      <c r="BK782" s="12"/>
      <c r="BL782" s="12"/>
      <c r="BM782" s="9"/>
      <c r="BN782" s="9"/>
      <c r="BO782" s="9"/>
      <c r="BP782" s="12"/>
      <c r="BQ782" s="12"/>
      <c r="BR782" s="12"/>
      <c r="BS782" s="12"/>
      <c r="BT782" s="12"/>
      <c r="BU782" s="12"/>
      <c r="BV782" s="12"/>
      <c r="BW782" s="12"/>
      <c r="BX782" s="12"/>
      <c r="BY782" s="9"/>
      <c r="BZ782" s="21"/>
      <c r="CA782" s="21"/>
      <c r="CB782" s="21"/>
      <c r="CC782" s="21"/>
      <c r="CD782" s="21"/>
      <c r="CE782" s="21"/>
      <c r="CF782" s="21"/>
      <c r="CG782" s="21"/>
      <c r="CH782" s="21"/>
      <c r="CI782" s="21"/>
      <c r="CJ782" s="21"/>
    </row>
    <row r="783" spans="1:88" ht="40.5" customHeight="1">
      <c r="A783" s="9"/>
      <c r="B783" s="12"/>
      <c r="C783" s="9" t="s">
        <v>2021</v>
      </c>
      <c r="D783" s="9" t="s">
        <v>1697</v>
      </c>
      <c r="E783" s="12">
        <v>0</v>
      </c>
      <c r="F783" s="12">
        <v>0</v>
      </c>
      <c r="G783" s="12" t="b">
        <v>0</v>
      </c>
      <c r="H783" s="9" t="s">
        <v>75</v>
      </c>
      <c r="I783" s="9" t="s">
        <v>2022</v>
      </c>
      <c r="J783" s="9" t="s">
        <v>75</v>
      </c>
      <c r="K783" s="11" t="s">
        <v>2023</v>
      </c>
      <c r="L783" s="12"/>
      <c r="M783" s="12"/>
      <c r="N783" s="13"/>
      <c r="O783" s="16" t="s">
        <v>78</v>
      </c>
      <c r="P783" s="14" t="s">
        <v>79</v>
      </c>
      <c r="Q783" s="15" t="s">
        <v>1977</v>
      </c>
      <c r="R783" s="14" t="s">
        <v>75</v>
      </c>
      <c r="S783" s="14" t="s">
        <v>75</v>
      </c>
      <c r="T783" s="16" t="s">
        <v>166</v>
      </c>
      <c r="U783" s="17"/>
      <c r="V783" s="16" t="s">
        <v>78</v>
      </c>
      <c r="W783" s="16" t="s">
        <v>79</v>
      </c>
      <c r="X783" s="15" t="s">
        <v>1824</v>
      </c>
      <c r="Y783" s="16" t="s">
        <v>75</v>
      </c>
      <c r="Z783" s="16" t="s">
        <v>75</v>
      </c>
      <c r="AA783" s="16" t="s">
        <v>101</v>
      </c>
      <c r="AB783" s="18"/>
      <c r="AC783" s="19" t="s">
        <v>78</v>
      </c>
      <c r="AD783" s="19" t="s">
        <v>79</v>
      </c>
      <c r="AE783" s="20" t="s">
        <v>1993</v>
      </c>
      <c r="AF783" s="19" t="s">
        <v>75</v>
      </c>
      <c r="AG783" s="19" t="s">
        <v>75</v>
      </c>
      <c r="AH783" s="16" t="s">
        <v>4</v>
      </c>
      <c r="AI783" s="18"/>
      <c r="AJ783" s="13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3"/>
      <c r="AY783" s="1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  <c r="BJ783" s="12"/>
      <c r="BK783" s="12"/>
      <c r="BL783" s="12"/>
      <c r="BM783" s="9"/>
      <c r="BN783" s="9"/>
      <c r="BO783" s="9"/>
      <c r="BP783" s="12"/>
      <c r="BQ783" s="12"/>
      <c r="BR783" s="12"/>
      <c r="BS783" s="12"/>
      <c r="BT783" s="12"/>
      <c r="BU783" s="12"/>
      <c r="BV783" s="12"/>
      <c r="BW783" s="12"/>
      <c r="BX783" s="12"/>
      <c r="BY783" s="9"/>
      <c r="BZ783" s="21"/>
      <c r="CA783" s="21"/>
      <c r="CB783" s="21"/>
      <c r="CC783" s="21"/>
      <c r="CD783" s="21"/>
      <c r="CE783" s="21"/>
      <c r="CF783" s="21"/>
      <c r="CG783" s="21"/>
      <c r="CH783" s="21"/>
      <c r="CI783" s="21"/>
      <c r="CJ783" s="21"/>
    </row>
    <row r="784" spans="1:88" ht="40.5" customHeight="1">
      <c r="A784" s="9"/>
      <c r="B784" s="12"/>
      <c r="C784" s="9" t="s">
        <v>2024</v>
      </c>
      <c r="D784" s="9" t="s">
        <v>1697</v>
      </c>
      <c r="E784" s="12">
        <v>0</v>
      </c>
      <c r="F784" s="12">
        <v>0</v>
      </c>
      <c r="G784" s="12" t="b">
        <v>0</v>
      </c>
      <c r="H784" s="9" t="s">
        <v>75</v>
      </c>
      <c r="I784" s="9" t="s">
        <v>2025</v>
      </c>
      <c r="J784" s="10" t="s">
        <v>84</v>
      </c>
      <c r="K784" s="11" t="s">
        <v>1849</v>
      </c>
      <c r="L784" s="12"/>
      <c r="M784" s="12"/>
      <c r="N784" s="13"/>
      <c r="O784" s="16" t="s">
        <v>78</v>
      </c>
      <c r="P784" s="14" t="s">
        <v>79</v>
      </c>
      <c r="Q784" s="15" t="s">
        <v>1977</v>
      </c>
      <c r="R784" s="14" t="s">
        <v>75</v>
      </c>
      <c r="S784" s="14" t="s">
        <v>75</v>
      </c>
      <c r="T784" s="16" t="s">
        <v>101</v>
      </c>
      <c r="U784" s="17"/>
      <c r="V784" s="16" t="s">
        <v>78</v>
      </c>
      <c r="W784" s="16" t="s">
        <v>79</v>
      </c>
      <c r="X784" s="15" t="s">
        <v>1824</v>
      </c>
      <c r="Y784" s="16" t="s">
        <v>75</v>
      </c>
      <c r="Z784" s="16" t="s">
        <v>75</v>
      </c>
      <c r="AA784" s="16" t="s">
        <v>86</v>
      </c>
      <c r="AB784" s="18"/>
      <c r="AC784" s="19" t="s">
        <v>78</v>
      </c>
      <c r="AD784" s="19" t="s">
        <v>79</v>
      </c>
      <c r="AE784" s="20" t="s">
        <v>1993</v>
      </c>
      <c r="AF784" s="19" t="s">
        <v>75</v>
      </c>
      <c r="AG784" s="19" t="s">
        <v>75</v>
      </c>
      <c r="AH784" s="16" t="s">
        <v>101</v>
      </c>
      <c r="AI784" s="18"/>
      <c r="AJ784" s="13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3"/>
      <c r="AY784" s="1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  <c r="BJ784" s="12"/>
      <c r="BK784" s="12"/>
      <c r="BL784" s="12"/>
      <c r="BM784" s="9"/>
      <c r="BN784" s="9"/>
      <c r="BO784" s="9"/>
      <c r="BP784" s="12"/>
      <c r="BQ784" s="12"/>
      <c r="BR784" s="12"/>
      <c r="BS784" s="12"/>
      <c r="BT784" s="12"/>
      <c r="BU784" s="12"/>
      <c r="BV784" s="12"/>
      <c r="BW784" s="12"/>
      <c r="BX784" s="12"/>
      <c r="BY784" s="9"/>
      <c r="BZ784" s="21"/>
      <c r="CA784" s="21"/>
      <c r="CB784" s="21"/>
      <c r="CC784" s="21"/>
      <c r="CD784" s="21"/>
      <c r="CE784" s="21"/>
      <c r="CF784" s="21"/>
      <c r="CG784" s="21"/>
      <c r="CH784" s="21"/>
      <c r="CI784" s="21"/>
      <c r="CJ784" s="21"/>
    </row>
    <row r="785" spans="1:88" ht="40.5" customHeight="1">
      <c r="A785" s="9"/>
      <c r="B785" s="12"/>
      <c r="C785" s="9" t="s">
        <v>2026</v>
      </c>
      <c r="D785" s="9" t="s">
        <v>1697</v>
      </c>
      <c r="E785" s="12">
        <v>0</v>
      </c>
      <c r="F785" s="12">
        <v>0</v>
      </c>
      <c r="G785" s="12" t="b">
        <v>0</v>
      </c>
      <c r="H785" s="9" t="s">
        <v>75</v>
      </c>
      <c r="I785" s="9" t="s">
        <v>2027</v>
      </c>
      <c r="J785" s="9" t="s">
        <v>75</v>
      </c>
      <c r="K785" s="11" t="s">
        <v>2028</v>
      </c>
      <c r="L785" s="12"/>
      <c r="M785" s="12"/>
      <c r="N785" s="13"/>
      <c r="O785" s="16" t="s">
        <v>78</v>
      </c>
      <c r="P785" s="14" t="s">
        <v>79</v>
      </c>
      <c r="Q785" s="15" t="s">
        <v>1977</v>
      </c>
      <c r="R785" s="14" t="s">
        <v>75</v>
      </c>
      <c r="S785" s="14" t="s">
        <v>75</v>
      </c>
      <c r="T785" s="16" t="s">
        <v>101</v>
      </c>
      <c r="U785" s="17"/>
      <c r="V785" s="16" t="s">
        <v>78</v>
      </c>
      <c r="W785" s="16" t="s">
        <v>79</v>
      </c>
      <c r="X785" s="15" t="s">
        <v>1824</v>
      </c>
      <c r="Y785" s="16" t="s">
        <v>75</v>
      </c>
      <c r="Z785" s="16" t="s">
        <v>75</v>
      </c>
      <c r="AA785" s="16" t="s">
        <v>86</v>
      </c>
      <c r="AB785" s="18"/>
      <c r="AC785" s="19" t="s">
        <v>78</v>
      </c>
      <c r="AD785" s="19" t="s">
        <v>79</v>
      </c>
      <c r="AE785" s="20" t="s">
        <v>1993</v>
      </c>
      <c r="AF785" s="19" t="s">
        <v>75</v>
      </c>
      <c r="AG785" s="19" t="s">
        <v>75</v>
      </c>
      <c r="AH785" s="16" t="s">
        <v>101</v>
      </c>
      <c r="AI785" s="18"/>
      <c r="AJ785" s="13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3"/>
      <c r="AY785" s="1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  <c r="BJ785" s="12"/>
      <c r="BK785" s="12"/>
      <c r="BL785" s="12"/>
      <c r="BM785" s="9"/>
      <c r="BN785" s="9"/>
      <c r="BO785" s="9"/>
      <c r="BP785" s="12"/>
      <c r="BQ785" s="12"/>
      <c r="BR785" s="12"/>
      <c r="BS785" s="12"/>
      <c r="BT785" s="12"/>
      <c r="BU785" s="12"/>
      <c r="BV785" s="12"/>
      <c r="BW785" s="12"/>
      <c r="BX785" s="12"/>
      <c r="BY785" s="9"/>
      <c r="BZ785" s="21"/>
      <c r="CA785" s="21"/>
      <c r="CB785" s="21"/>
      <c r="CC785" s="21"/>
      <c r="CD785" s="21"/>
      <c r="CE785" s="21"/>
      <c r="CF785" s="21"/>
      <c r="CG785" s="21"/>
      <c r="CH785" s="21"/>
      <c r="CI785" s="21"/>
      <c r="CJ785" s="21"/>
    </row>
    <row r="786" spans="1:88" ht="40.5" customHeight="1">
      <c r="A786" s="9"/>
      <c r="B786" s="12"/>
      <c r="C786" s="9" t="s">
        <v>2029</v>
      </c>
      <c r="D786" s="9" t="s">
        <v>1697</v>
      </c>
      <c r="E786" s="12">
        <v>0</v>
      </c>
      <c r="F786" s="12">
        <v>0</v>
      </c>
      <c r="G786" s="12" t="b">
        <v>0</v>
      </c>
      <c r="H786" s="9" t="s">
        <v>75</v>
      </c>
      <c r="I786" s="9" t="s">
        <v>2030</v>
      </c>
      <c r="J786" s="9" t="s">
        <v>75</v>
      </c>
      <c r="K786" s="11" t="s">
        <v>1942</v>
      </c>
      <c r="L786" s="12"/>
      <c r="M786" s="12"/>
      <c r="N786" s="13"/>
      <c r="O786" s="16" t="s">
        <v>78</v>
      </c>
      <c r="P786" s="14" t="s">
        <v>79</v>
      </c>
      <c r="Q786" s="15" t="s">
        <v>1977</v>
      </c>
      <c r="R786" s="14" t="s">
        <v>75</v>
      </c>
      <c r="S786" s="23" t="s">
        <v>84</v>
      </c>
      <c r="T786" s="16" t="s">
        <v>4</v>
      </c>
      <c r="U786" s="17"/>
      <c r="V786" s="13"/>
      <c r="W786" s="13"/>
      <c r="X786" s="13"/>
      <c r="Y786" s="13"/>
      <c r="Z786" s="13"/>
      <c r="AA786" s="13"/>
      <c r="AB786" s="18"/>
      <c r="AC786" s="18"/>
      <c r="AD786" s="18"/>
      <c r="AE786" s="18"/>
      <c r="AF786" s="18"/>
      <c r="AG786" s="18"/>
      <c r="AH786" s="13"/>
      <c r="AI786" s="18"/>
      <c r="AJ786" s="13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3"/>
      <c r="AY786" s="1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  <c r="BJ786" s="12"/>
      <c r="BK786" s="12"/>
      <c r="BL786" s="12"/>
      <c r="BM786" s="9"/>
      <c r="BN786" s="9"/>
      <c r="BO786" s="9"/>
      <c r="BP786" s="12"/>
      <c r="BQ786" s="12"/>
      <c r="BR786" s="12"/>
      <c r="BS786" s="12"/>
      <c r="BT786" s="12"/>
      <c r="BU786" s="12"/>
      <c r="BV786" s="12"/>
      <c r="BW786" s="12"/>
      <c r="BX786" s="12"/>
      <c r="BY786" s="9"/>
      <c r="BZ786" s="21"/>
      <c r="CA786" s="21"/>
      <c r="CB786" s="21"/>
      <c r="CC786" s="21"/>
      <c r="CD786" s="21"/>
      <c r="CE786" s="21"/>
      <c r="CF786" s="21"/>
      <c r="CG786" s="21"/>
      <c r="CH786" s="21"/>
      <c r="CI786" s="21"/>
      <c r="CJ786" s="21"/>
    </row>
    <row r="787" spans="1:88" ht="40.5" customHeight="1">
      <c r="A787" s="9"/>
      <c r="B787" s="12"/>
      <c r="C787" s="9" t="s">
        <v>2031</v>
      </c>
      <c r="D787" s="9" t="s">
        <v>1697</v>
      </c>
      <c r="E787" s="12">
        <v>0</v>
      </c>
      <c r="F787" s="12">
        <v>0</v>
      </c>
      <c r="G787" s="12" t="b">
        <v>0</v>
      </c>
      <c r="H787" s="9" t="s">
        <v>75</v>
      </c>
      <c r="I787" s="9" t="s">
        <v>2032</v>
      </c>
      <c r="J787" s="9" t="s">
        <v>75</v>
      </c>
      <c r="K787" s="11" t="s">
        <v>2033</v>
      </c>
      <c r="L787" s="12"/>
      <c r="M787" s="12"/>
      <c r="N787" s="13"/>
      <c r="O787" s="16" t="s">
        <v>78</v>
      </c>
      <c r="P787" s="14" t="s">
        <v>79</v>
      </c>
      <c r="Q787" s="15" t="s">
        <v>1977</v>
      </c>
      <c r="R787" s="14" t="s">
        <v>75</v>
      </c>
      <c r="S787" s="14" t="s">
        <v>75</v>
      </c>
      <c r="T787" s="16" t="s">
        <v>101</v>
      </c>
      <c r="U787" s="17"/>
      <c r="V787" s="16" t="s">
        <v>78</v>
      </c>
      <c r="W787" s="16" t="s">
        <v>79</v>
      </c>
      <c r="X787" s="15" t="s">
        <v>1824</v>
      </c>
      <c r="Y787" s="16" t="s">
        <v>75</v>
      </c>
      <c r="Z787" s="16" t="s">
        <v>75</v>
      </c>
      <c r="AA787" s="16" t="s">
        <v>86</v>
      </c>
      <c r="AB787" s="18"/>
      <c r="AC787" s="19" t="s">
        <v>78</v>
      </c>
      <c r="AD787" s="19" t="s">
        <v>79</v>
      </c>
      <c r="AE787" s="20" t="s">
        <v>1993</v>
      </c>
      <c r="AF787" s="19" t="s">
        <v>75</v>
      </c>
      <c r="AG787" s="20" t="s">
        <v>84</v>
      </c>
      <c r="AH787" s="16" t="s">
        <v>4</v>
      </c>
      <c r="AI787" s="18"/>
      <c r="AJ787" s="13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3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2"/>
      <c r="BK787" s="12"/>
      <c r="BL787" s="12"/>
      <c r="BM787" s="9"/>
      <c r="BN787" s="9"/>
      <c r="BO787" s="9"/>
      <c r="BP787" s="12"/>
      <c r="BQ787" s="12"/>
      <c r="BR787" s="12"/>
      <c r="BS787" s="12"/>
      <c r="BT787" s="12"/>
      <c r="BU787" s="12"/>
      <c r="BV787" s="12"/>
      <c r="BW787" s="12"/>
      <c r="BX787" s="12"/>
      <c r="BY787" s="9"/>
      <c r="BZ787" s="21"/>
      <c r="CA787" s="21"/>
      <c r="CB787" s="21"/>
      <c r="CC787" s="21"/>
      <c r="CD787" s="21"/>
      <c r="CE787" s="21"/>
      <c r="CF787" s="21"/>
      <c r="CG787" s="21"/>
      <c r="CH787" s="21"/>
      <c r="CI787" s="21"/>
      <c r="CJ787" s="21"/>
    </row>
    <row r="788" spans="1:88" ht="40.5" customHeight="1">
      <c r="A788" s="9"/>
      <c r="B788" s="12"/>
      <c r="C788" s="9" t="s">
        <v>2034</v>
      </c>
      <c r="D788" s="9" t="s">
        <v>1697</v>
      </c>
      <c r="E788" s="12">
        <v>0</v>
      </c>
      <c r="F788" s="12">
        <v>0</v>
      </c>
      <c r="G788" s="12" t="b">
        <v>0</v>
      </c>
      <c r="H788" s="9" t="s">
        <v>79</v>
      </c>
      <c r="I788" s="10" t="s">
        <v>2035</v>
      </c>
      <c r="J788" s="9" t="s">
        <v>79</v>
      </c>
      <c r="K788" s="9" t="s">
        <v>75</v>
      </c>
      <c r="L788" s="12"/>
      <c r="M788" s="12"/>
      <c r="N788" s="13"/>
      <c r="O788" s="16" t="s">
        <v>78</v>
      </c>
      <c r="P788" s="14" t="s">
        <v>79</v>
      </c>
      <c r="Q788" s="15" t="s">
        <v>1977</v>
      </c>
      <c r="R788" s="14" t="s">
        <v>75</v>
      </c>
      <c r="S788" s="14" t="s">
        <v>75</v>
      </c>
      <c r="T788" s="16" t="s">
        <v>4</v>
      </c>
      <c r="U788" s="17"/>
      <c r="V788" s="13"/>
      <c r="W788" s="13"/>
      <c r="X788" s="13"/>
      <c r="Y788" s="13"/>
      <c r="Z788" s="13"/>
      <c r="AA788" s="13"/>
      <c r="AB788" s="18"/>
      <c r="AC788" s="18"/>
      <c r="AD788" s="18"/>
      <c r="AE788" s="18"/>
      <c r="AF788" s="18"/>
      <c r="AG788" s="18"/>
      <c r="AH788" s="13"/>
      <c r="AI788" s="18"/>
      <c r="AJ788" s="13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3"/>
      <c r="AY788" s="1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  <c r="BJ788" s="12"/>
      <c r="BK788" s="12"/>
      <c r="BL788" s="12"/>
      <c r="BM788" s="9"/>
      <c r="BN788" s="9"/>
      <c r="BO788" s="9"/>
      <c r="BP788" s="12"/>
      <c r="BQ788" s="12"/>
      <c r="BR788" s="12"/>
      <c r="BS788" s="12"/>
      <c r="BT788" s="12"/>
      <c r="BU788" s="12"/>
      <c r="BV788" s="12"/>
      <c r="BW788" s="12"/>
      <c r="BX788" s="12"/>
      <c r="BY788" s="9"/>
      <c r="BZ788" s="21"/>
      <c r="CA788" s="21"/>
      <c r="CB788" s="21"/>
      <c r="CC788" s="21"/>
      <c r="CD788" s="21"/>
      <c r="CE788" s="21"/>
      <c r="CF788" s="21"/>
      <c r="CG788" s="21"/>
      <c r="CH788" s="21"/>
      <c r="CI788" s="21"/>
      <c r="CJ788" s="21"/>
    </row>
    <row r="789" spans="1:88" ht="40.5" customHeight="1">
      <c r="A789" s="9"/>
      <c r="B789" s="12"/>
      <c r="C789" s="9" t="s">
        <v>2036</v>
      </c>
      <c r="D789" s="9" t="s">
        <v>1697</v>
      </c>
      <c r="E789" s="12">
        <v>0</v>
      </c>
      <c r="F789" s="12">
        <v>0</v>
      </c>
      <c r="G789" s="12" t="b">
        <v>0</v>
      </c>
      <c r="H789" s="9" t="s">
        <v>75</v>
      </c>
      <c r="I789" s="9" t="s">
        <v>2037</v>
      </c>
      <c r="J789" s="9" t="s">
        <v>75</v>
      </c>
      <c r="K789" s="11" t="s">
        <v>2038</v>
      </c>
      <c r="L789" s="12"/>
      <c r="M789" s="12"/>
      <c r="N789" s="13"/>
      <c r="O789" s="16" t="s">
        <v>78</v>
      </c>
      <c r="P789" s="14" t="s">
        <v>79</v>
      </c>
      <c r="Q789" s="15" t="s">
        <v>1977</v>
      </c>
      <c r="R789" s="14" t="s">
        <v>75</v>
      </c>
      <c r="S789" s="14" t="s">
        <v>75</v>
      </c>
      <c r="T789" s="16" t="s">
        <v>145</v>
      </c>
      <c r="U789" s="17"/>
      <c r="V789" s="16" t="s">
        <v>78</v>
      </c>
      <c r="W789" s="16" t="s">
        <v>79</v>
      </c>
      <c r="X789" s="15" t="s">
        <v>1824</v>
      </c>
      <c r="Y789" s="16" t="s">
        <v>75</v>
      </c>
      <c r="Z789" s="16" t="s">
        <v>75</v>
      </c>
      <c r="AA789" s="16" t="s">
        <v>145</v>
      </c>
      <c r="AB789" s="18"/>
      <c r="AC789" s="19" t="s">
        <v>78</v>
      </c>
      <c r="AD789" s="19" t="s">
        <v>79</v>
      </c>
      <c r="AE789" s="20" t="s">
        <v>1993</v>
      </c>
      <c r="AF789" s="19" t="s">
        <v>75</v>
      </c>
      <c r="AG789" s="19" t="s">
        <v>75</v>
      </c>
      <c r="AH789" s="16" t="s">
        <v>145</v>
      </c>
      <c r="AI789" s="18"/>
      <c r="AJ789" s="13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3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2"/>
      <c r="BK789" s="12"/>
      <c r="BL789" s="12"/>
      <c r="BM789" s="9"/>
      <c r="BN789" s="9"/>
      <c r="BO789" s="9"/>
      <c r="BP789" s="12"/>
      <c r="BQ789" s="12"/>
      <c r="BR789" s="12"/>
      <c r="BS789" s="12"/>
      <c r="BT789" s="12"/>
      <c r="BU789" s="12"/>
      <c r="BV789" s="12"/>
      <c r="BW789" s="12"/>
      <c r="BX789" s="12"/>
      <c r="BY789" s="9"/>
      <c r="BZ789" s="21"/>
      <c r="CA789" s="21"/>
      <c r="CB789" s="21"/>
      <c r="CC789" s="21"/>
      <c r="CD789" s="21"/>
      <c r="CE789" s="21"/>
      <c r="CF789" s="21"/>
      <c r="CG789" s="21"/>
      <c r="CH789" s="21"/>
      <c r="CI789" s="21"/>
      <c r="CJ789" s="21"/>
    </row>
    <row r="790" spans="1:88" ht="40.5" customHeight="1">
      <c r="A790" s="9"/>
      <c r="B790" s="12"/>
      <c r="C790" s="9" t="s">
        <v>2039</v>
      </c>
      <c r="D790" s="9" t="s">
        <v>1697</v>
      </c>
      <c r="E790" s="12">
        <v>0</v>
      </c>
      <c r="F790" s="12">
        <v>0</v>
      </c>
      <c r="G790" s="12" t="b">
        <v>0</v>
      </c>
      <c r="H790" s="9" t="s">
        <v>75</v>
      </c>
      <c r="I790" s="9" t="s">
        <v>2040</v>
      </c>
      <c r="J790" s="9" t="s">
        <v>75</v>
      </c>
      <c r="K790" s="11" t="s">
        <v>2041</v>
      </c>
      <c r="L790" s="12"/>
      <c r="M790" s="12"/>
      <c r="N790" s="13"/>
      <c r="O790" s="16" t="s">
        <v>78</v>
      </c>
      <c r="P790" s="14" t="s">
        <v>79</v>
      </c>
      <c r="Q790" s="15" t="s">
        <v>1977</v>
      </c>
      <c r="R790" s="14" t="s">
        <v>75</v>
      </c>
      <c r="S790" s="14" t="s">
        <v>75</v>
      </c>
      <c r="T790" s="16" t="s">
        <v>101</v>
      </c>
      <c r="U790" s="17"/>
      <c r="V790" s="16" t="s">
        <v>78</v>
      </c>
      <c r="W790" s="16" t="s">
        <v>79</v>
      </c>
      <c r="X790" s="15" t="s">
        <v>1824</v>
      </c>
      <c r="Y790" s="16" t="s">
        <v>75</v>
      </c>
      <c r="Z790" s="16" t="s">
        <v>75</v>
      </c>
      <c r="AA790" s="16" t="s">
        <v>101</v>
      </c>
      <c r="AB790" s="18"/>
      <c r="AC790" s="19" t="s">
        <v>98</v>
      </c>
      <c r="AD790" s="19" t="s">
        <v>79</v>
      </c>
      <c r="AE790" s="20" t="s">
        <v>1993</v>
      </c>
      <c r="AF790" s="19" t="s">
        <v>75</v>
      </c>
      <c r="AG790" s="19" t="s">
        <v>75</v>
      </c>
      <c r="AH790" s="16" t="s">
        <v>86</v>
      </c>
      <c r="AI790" s="18"/>
      <c r="AJ790" s="13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3"/>
      <c r="AY790" s="1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  <c r="BJ790" s="12"/>
      <c r="BK790" s="12"/>
      <c r="BL790" s="12"/>
      <c r="BM790" s="9"/>
      <c r="BN790" s="9"/>
      <c r="BO790" s="9"/>
      <c r="BP790" s="12"/>
      <c r="BQ790" s="12"/>
      <c r="BR790" s="12"/>
      <c r="BS790" s="12"/>
      <c r="BT790" s="12"/>
      <c r="BU790" s="12"/>
      <c r="BV790" s="12"/>
      <c r="BW790" s="12"/>
      <c r="BX790" s="12"/>
      <c r="BY790" s="9"/>
      <c r="BZ790" s="21"/>
      <c r="CA790" s="21"/>
      <c r="CB790" s="21"/>
      <c r="CC790" s="21"/>
      <c r="CD790" s="21"/>
      <c r="CE790" s="21"/>
      <c r="CF790" s="21"/>
      <c r="CG790" s="21"/>
      <c r="CH790" s="21"/>
      <c r="CI790" s="21"/>
      <c r="CJ790" s="21"/>
    </row>
    <row r="791" spans="1:88" ht="40.5" customHeight="1">
      <c r="A791" s="9"/>
      <c r="B791" s="12"/>
      <c r="C791" s="9" t="s">
        <v>2042</v>
      </c>
      <c r="D791" s="9" t="s">
        <v>1697</v>
      </c>
      <c r="E791" s="12">
        <v>0</v>
      </c>
      <c r="F791" s="12">
        <v>0</v>
      </c>
      <c r="G791" s="12" t="b">
        <v>0</v>
      </c>
      <c r="H791" s="9" t="s">
        <v>75</v>
      </c>
      <c r="I791" s="9" t="s">
        <v>2043</v>
      </c>
      <c r="J791" s="9" t="s">
        <v>75</v>
      </c>
      <c r="K791" s="9" t="s">
        <v>79</v>
      </c>
      <c r="L791" s="12"/>
      <c r="M791" s="12"/>
      <c r="N791" s="13"/>
      <c r="O791" s="16" t="s">
        <v>78</v>
      </c>
      <c r="P791" s="14" t="s">
        <v>79</v>
      </c>
      <c r="Q791" s="15" t="s">
        <v>1977</v>
      </c>
      <c r="R791" s="14" t="s">
        <v>75</v>
      </c>
      <c r="S791" s="14" t="s">
        <v>75</v>
      </c>
      <c r="T791" s="16" t="s">
        <v>101</v>
      </c>
      <c r="U791" s="17"/>
      <c r="V791" s="16" t="s">
        <v>78</v>
      </c>
      <c r="W791" s="16" t="s">
        <v>79</v>
      </c>
      <c r="X791" s="15" t="s">
        <v>1824</v>
      </c>
      <c r="Y791" s="16" t="s">
        <v>75</v>
      </c>
      <c r="Z791" s="16" t="s">
        <v>75</v>
      </c>
      <c r="AA791" s="16" t="s">
        <v>101</v>
      </c>
      <c r="AB791" s="18"/>
      <c r="AC791" s="19" t="s">
        <v>78</v>
      </c>
      <c r="AD791" s="19" t="s">
        <v>79</v>
      </c>
      <c r="AE791" s="20" t="s">
        <v>1993</v>
      </c>
      <c r="AF791" s="19" t="s">
        <v>75</v>
      </c>
      <c r="AG791" s="19" t="s">
        <v>75</v>
      </c>
      <c r="AH791" s="16" t="s">
        <v>101</v>
      </c>
      <c r="AI791" s="18"/>
      <c r="AJ791" s="13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3"/>
      <c r="AY791" s="1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  <c r="BJ791" s="12"/>
      <c r="BK791" s="12"/>
      <c r="BL791" s="12"/>
      <c r="BM791" s="9"/>
      <c r="BN791" s="9"/>
      <c r="BO791" s="9"/>
      <c r="BP791" s="12"/>
      <c r="BQ791" s="12"/>
      <c r="BR791" s="12"/>
      <c r="BS791" s="12"/>
      <c r="BT791" s="12"/>
      <c r="BU791" s="12"/>
      <c r="BV791" s="12"/>
      <c r="BW791" s="12"/>
      <c r="BX791" s="12"/>
      <c r="BY791" s="9"/>
      <c r="BZ791" s="21"/>
      <c r="CA791" s="21"/>
      <c r="CB791" s="21"/>
      <c r="CC791" s="21"/>
      <c r="CD791" s="21"/>
      <c r="CE791" s="21"/>
      <c r="CF791" s="21"/>
      <c r="CG791" s="21"/>
      <c r="CH791" s="21"/>
      <c r="CI791" s="21"/>
      <c r="CJ791" s="21"/>
    </row>
    <row r="792" spans="1:88" ht="40.5" customHeight="1">
      <c r="A792" s="9"/>
      <c r="B792" s="12"/>
      <c r="C792" s="9" t="s">
        <v>2044</v>
      </c>
      <c r="D792" s="9" t="s">
        <v>1697</v>
      </c>
      <c r="E792" s="12">
        <v>0</v>
      </c>
      <c r="F792" s="12">
        <v>0</v>
      </c>
      <c r="G792" s="12" t="b">
        <v>0</v>
      </c>
      <c r="H792" s="9" t="s">
        <v>75</v>
      </c>
      <c r="I792" s="9" t="s">
        <v>2045</v>
      </c>
      <c r="J792" s="9" t="s">
        <v>75</v>
      </c>
      <c r="K792" s="11" t="s">
        <v>2046</v>
      </c>
      <c r="L792" s="12"/>
      <c r="M792" s="12"/>
      <c r="N792" s="13"/>
      <c r="O792" s="16" t="s">
        <v>78</v>
      </c>
      <c r="P792" s="14" t="s">
        <v>79</v>
      </c>
      <c r="Q792" s="15" t="s">
        <v>1977</v>
      </c>
      <c r="R792" s="14" t="s">
        <v>75</v>
      </c>
      <c r="S792" s="14" t="s">
        <v>75</v>
      </c>
      <c r="T792" s="16" t="s">
        <v>101</v>
      </c>
      <c r="U792" s="17"/>
      <c r="V792" s="16" t="s">
        <v>78</v>
      </c>
      <c r="W792" s="16" t="s">
        <v>79</v>
      </c>
      <c r="X792" s="15" t="s">
        <v>1824</v>
      </c>
      <c r="Y792" s="16" t="s">
        <v>75</v>
      </c>
      <c r="Z792" s="16" t="s">
        <v>75</v>
      </c>
      <c r="AA792" s="16" t="s">
        <v>101</v>
      </c>
      <c r="AB792" s="18"/>
      <c r="AC792" s="19" t="s">
        <v>78</v>
      </c>
      <c r="AD792" s="19" t="s">
        <v>79</v>
      </c>
      <c r="AE792" s="20" t="s">
        <v>1993</v>
      </c>
      <c r="AF792" s="19" t="s">
        <v>75</v>
      </c>
      <c r="AG792" s="20" t="s">
        <v>84</v>
      </c>
      <c r="AH792" s="16" t="s">
        <v>86</v>
      </c>
      <c r="AI792" s="18"/>
      <c r="AJ792" s="13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3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2"/>
      <c r="BK792" s="12"/>
      <c r="BL792" s="12"/>
      <c r="BM792" s="9"/>
      <c r="BN792" s="9"/>
      <c r="BO792" s="9"/>
      <c r="BP792" s="12"/>
      <c r="BQ792" s="12"/>
      <c r="BR792" s="12"/>
      <c r="BS792" s="12"/>
      <c r="BT792" s="12"/>
      <c r="BU792" s="12"/>
      <c r="BV792" s="12"/>
      <c r="BW792" s="12"/>
      <c r="BX792" s="12"/>
      <c r="BY792" s="9"/>
      <c r="BZ792" s="21"/>
      <c r="CA792" s="21"/>
      <c r="CB792" s="21"/>
      <c r="CC792" s="21"/>
      <c r="CD792" s="21"/>
      <c r="CE792" s="21"/>
      <c r="CF792" s="21"/>
      <c r="CG792" s="21"/>
      <c r="CH792" s="21"/>
      <c r="CI792" s="21"/>
      <c r="CJ792" s="21"/>
    </row>
    <row r="793" spans="1:88" ht="40.5" customHeight="1">
      <c r="A793" s="9"/>
      <c r="B793" s="12"/>
      <c r="C793" s="9" t="s">
        <v>2047</v>
      </c>
      <c r="D793" s="9" t="s">
        <v>1697</v>
      </c>
      <c r="E793" s="12">
        <v>0</v>
      </c>
      <c r="F793" s="12">
        <v>0</v>
      </c>
      <c r="G793" s="12" t="b">
        <v>0</v>
      </c>
      <c r="H793" s="9" t="s">
        <v>75</v>
      </c>
      <c r="I793" s="9" t="s">
        <v>2048</v>
      </c>
      <c r="J793" s="9" t="s">
        <v>75</v>
      </c>
      <c r="K793" s="11" t="s">
        <v>2049</v>
      </c>
      <c r="L793" s="12"/>
      <c r="M793" s="12"/>
      <c r="N793" s="13"/>
      <c r="O793" s="16" t="s">
        <v>78</v>
      </c>
      <c r="P793" s="14" t="s">
        <v>79</v>
      </c>
      <c r="Q793" s="15" t="s">
        <v>668</v>
      </c>
      <c r="R793" s="14" t="s">
        <v>75</v>
      </c>
      <c r="S793" s="14" t="s">
        <v>75</v>
      </c>
      <c r="T793" s="16" t="s">
        <v>4</v>
      </c>
      <c r="U793" s="17"/>
      <c r="V793" s="13"/>
      <c r="W793" s="13"/>
      <c r="X793" s="13"/>
      <c r="Y793" s="13"/>
      <c r="Z793" s="13"/>
      <c r="AA793" s="13"/>
      <c r="AB793" s="18"/>
      <c r="AC793" s="18"/>
      <c r="AD793" s="18"/>
      <c r="AE793" s="18"/>
      <c r="AF793" s="18"/>
      <c r="AG793" s="18"/>
      <c r="AH793" s="13"/>
      <c r="AI793" s="18"/>
      <c r="AJ793" s="13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3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2"/>
      <c r="BK793" s="12"/>
      <c r="BL793" s="12"/>
      <c r="BM793" s="9"/>
      <c r="BN793" s="9"/>
      <c r="BO793" s="9"/>
      <c r="BP793" s="12"/>
      <c r="BQ793" s="12"/>
      <c r="BR793" s="12"/>
      <c r="BS793" s="12"/>
      <c r="BT793" s="12"/>
      <c r="BU793" s="12"/>
      <c r="BV793" s="12"/>
      <c r="BW793" s="12"/>
      <c r="BX793" s="12"/>
      <c r="BY793" s="9"/>
      <c r="BZ793" s="21"/>
      <c r="CA793" s="21"/>
      <c r="CB793" s="21"/>
      <c r="CC793" s="21"/>
      <c r="CD793" s="21"/>
      <c r="CE793" s="21"/>
      <c r="CF793" s="21"/>
      <c r="CG793" s="21"/>
      <c r="CH793" s="21"/>
      <c r="CI793" s="21"/>
      <c r="CJ793" s="21"/>
    </row>
    <row r="794" spans="1:88" ht="40.5" customHeight="1">
      <c r="A794" s="9"/>
      <c r="B794" s="12"/>
      <c r="C794" s="9" t="s">
        <v>2050</v>
      </c>
      <c r="D794" s="9" t="s">
        <v>1697</v>
      </c>
      <c r="E794" s="12">
        <v>0</v>
      </c>
      <c r="F794" s="12">
        <v>0</v>
      </c>
      <c r="G794" s="12" t="b">
        <v>0</v>
      </c>
      <c r="H794" s="9" t="s">
        <v>75</v>
      </c>
      <c r="I794" s="9" t="s">
        <v>2051</v>
      </c>
      <c r="J794" s="9" t="s">
        <v>75</v>
      </c>
      <c r="K794" s="11" t="s">
        <v>2052</v>
      </c>
      <c r="L794" s="12"/>
      <c r="M794" s="12"/>
      <c r="N794" s="13"/>
      <c r="O794" s="16" t="s">
        <v>78</v>
      </c>
      <c r="P794" s="14" t="s">
        <v>79</v>
      </c>
      <c r="Q794" s="15" t="s">
        <v>1977</v>
      </c>
      <c r="R794" s="14" t="s">
        <v>75</v>
      </c>
      <c r="S794" s="14" t="s">
        <v>75</v>
      </c>
      <c r="T794" s="16" t="s">
        <v>4</v>
      </c>
      <c r="U794" s="17"/>
      <c r="V794" s="13"/>
      <c r="W794" s="13"/>
      <c r="X794" s="13"/>
      <c r="Y794" s="13"/>
      <c r="Z794" s="13"/>
      <c r="AA794" s="13"/>
      <c r="AB794" s="18"/>
      <c r="AC794" s="18"/>
      <c r="AD794" s="18"/>
      <c r="AE794" s="18"/>
      <c r="AF794" s="18"/>
      <c r="AG794" s="18"/>
      <c r="AH794" s="13"/>
      <c r="AI794" s="18"/>
      <c r="AJ794" s="13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3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2"/>
      <c r="BK794" s="12"/>
      <c r="BL794" s="12"/>
      <c r="BM794" s="9"/>
      <c r="BN794" s="9"/>
      <c r="BO794" s="9"/>
      <c r="BP794" s="12"/>
      <c r="BQ794" s="12"/>
      <c r="BR794" s="12"/>
      <c r="BS794" s="12"/>
      <c r="BT794" s="12"/>
      <c r="BU794" s="12"/>
      <c r="BV794" s="12"/>
      <c r="BW794" s="12"/>
      <c r="BX794" s="12"/>
      <c r="BY794" s="9"/>
      <c r="BZ794" s="21"/>
      <c r="CA794" s="21"/>
      <c r="CB794" s="21"/>
      <c r="CC794" s="21"/>
      <c r="CD794" s="21"/>
      <c r="CE794" s="21"/>
      <c r="CF794" s="21"/>
      <c r="CG794" s="21"/>
      <c r="CH794" s="21"/>
      <c r="CI794" s="21"/>
      <c r="CJ794" s="21"/>
    </row>
    <row r="795" spans="1:88" ht="40.5" customHeight="1">
      <c r="A795" s="9"/>
      <c r="B795" s="12"/>
      <c r="C795" s="9" t="s">
        <v>2053</v>
      </c>
      <c r="D795" s="9" t="s">
        <v>1697</v>
      </c>
      <c r="E795" s="12">
        <v>0</v>
      </c>
      <c r="F795" s="12">
        <v>0</v>
      </c>
      <c r="G795" s="12" t="b">
        <v>0</v>
      </c>
      <c r="H795" s="9" t="s">
        <v>75</v>
      </c>
      <c r="I795" s="9" t="s">
        <v>2054</v>
      </c>
      <c r="J795" s="9" t="s">
        <v>75</v>
      </c>
      <c r="K795" s="11" t="s">
        <v>2055</v>
      </c>
      <c r="L795" s="12"/>
      <c r="M795" s="12"/>
      <c r="N795" s="13"/>
      <c r="O795" s="16" t="s">
        <v>78</v>
      </c>
      <c r="P795" s="14" t="s">
        <v>79</v>
      </c>
      <c r="Q795" s="15" t="s">
        <v>1977</v>
      </c>
      <c r="R795" s="14" t="s">
        <v>75</v>
      </c>
      <c r="S795" s="14" t="s">
        <v>75</v>
      </c>
      <c r="T795" s="16" t="s">
        <v>101</v>
      </c>
      <c r="U795" s="17"/>
      <c r="V795" s="16" t="s">
        <v>78</v>
      </c>
      <c r="W795" s="16" t="s">
        <v>79</v>
      </c>
      <c r="X795" s="15" t="s">
        <v>668</v>
      </c>
      <c r="Y795" s="16" t="s">
        <v>75</v>
      </c>
      <c r="Z795" s="16" t="s">
        <v>75</v>
      </c>
      <c r="AA795" s="16" t="s">
        <v>101</v>
      </c>
      <c r="AB795" s="18"/>
      <c r="AC795" s="18"/>
      <c r="AD795" s="18"/>
      <c r="AE795" s="18"/>
      <c r="AF795" s="18"/>
      <c r="AG795" s="18"/>
      <c r="AH795" s="13"/>
      <c r="AI795" s="18"/>
      <c r="AJ795" s="13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3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2"/>
      <c r="BK795" s="12"/>
      <c r="BL795" s="12"/>
      <c r="BM795" s="9"/>
      <c r="BN795" s="9"/>
      <c r="BO795" s="9"/>
      <c r="BP795" s="12"/>
      <c r="BQ795" s="12"/>
      <c r="BR795" s="12"/>
      <c r="BS795" s="12"/>
      <c r="BT795" s="12"/>
      <c r="BU795" s="12"/>
      <c r="BV795" s="12"/>
      <c r="BW795" s="12"/>
      <c r="BX795" s="12"/>
      <c r="BY795" s="9"/>
      <c r="BZ795" s="21"/>
      <c r="CA795" s="21"/>
      <c r="CB795" s="21"/>
      <c r="CC795" s="21"/>
      <c r="CD795" s="21"/>
      <c r="CE795" s="21"/>
      <c r="CF795" s="21"/>
      <c r="CG795" s="21"/>
      <c r="CH795" s="21"/>
      <c r="CI795" s="21"/>
      <c r="CJ795" s="21"/>
    </row>
    <row r="796" spans="1:88" ht="40.5" customHeight="1">
      <c r="A796" s="9"/>
      <c r="B796" s="12"/>
      <c r="C796" s="9" t="s">
        <v>2056</v>
      </c>
      <c r="D796" s="9" t="s">
        <v>1697</v>
      </c>
      <c r="E796" s="12">
        <v>0</v>
      </c>
      <c r="F796" s="12">
        <v>0</v>
      </c>
      <c r="G796" s="12" t="b">
        <v>0</v>
      </c>
      <c r="H796" s="9" t="s">
        <v>75</v>
      </c>
      <c r="I796" s="9" t="s">
        <v>2057</v>
      </c>
      <c r="J796" s="9" t="s">
        <v>75</v>
      </c>
      <c r="K796" s="9" t="s">
        <v>79</v>
      </c>
      <c r="L796" s="12"/>
      <c r="M796" s="12"/>
      <c r="N796" s="13"/>
      <c r="O796" s="16" t="s">
        <v>78</v>
      </c>
      <c r="P796" s="14" t="s">
        <v>79</v>
      </c>
      <c r="Q796" s="15" t="s">
        <v>1977</v>
      </c>
      <c r="R796" s="14" t="s">
        <v>75</v>
      </c>
      <c r="S796" s="14" t="s">
        <v>75</v>
      </c>
      <c r="T796" s="16" t="s">
        <v>101</v>
      </c>
      <c r="U796" s="17"/>
      <c r="V796" s="16" t="s">
        <v>78</v>
      </c>
      <c r="W796" s="16" t="s">
        <v>79</v>
      </c>
      <c r="X796" s="15" t="s">
        <v>668</v>
      </c>
      <c r="Y796" s="16" t="s">
        <v>75</v>
      </c>
      <c r="Z796" s="16" t="s">
        <v>75</v>
      </c>
      <c r="AA796" s="16" t="s">
        <v>101</v>
      </c>
      <c r="AB796" s="18"/>
      <c r="AC796" s="19" t="s">
        <v>78</v>
      </c>
      <c r="AD796" s="19" t="s">
        <v>79</v>
      </c>
      <c r="AE796" s="20" t="s">
        <v>1993</v>
      </c>
      <c r="AF796" s="19" t="s">
        <v>75</v>
      </c>
      <c r="AG796" s="19" t="s">
        <v>75</v>
      </c>
      <c r="AH796" s="16" t="s">
        <v>86</v>
      </c>
      <c r="AI796" s="18"/>
      <c r="AJ796" s="13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3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2"/>
      <c r="BK796" s="12"/>
      <c r="BL796" s="12"/>
      <c r="BM796" s="9"/>
      <c r="BN796" s="9"/>
      <c r="BO796" s="9"/>
      <c r="BP796" s="12"/>
      <c r="BQ796" s="12"/>
      <c r="BR796" s="12"/>
      <c r="BS796" s="12"/>
      <c r="BT796" s="12"/>
      <c r="BU796" s="12"/>
      <c r="BV796" s="12"/>
      <c r="BW796" s="12"/>
      <c r="BX796" s="12"/>
      <c r="BY796" s="9"/>
      <c r="BZ796" s="21"/>
      <c r="CA796" s="21"/>
      <c r="CB796" s="21"/>
      <c r="CC796" s="21"/>
      <c r="CD796" s="21"/>
      <c r="CE796" s="21"/>
      <c r="CF796" s="21"/>
      <c r="CG796" s="21"/>
      <c r="CH796" s="21"/>
      <c r="CI796" s="21"/>
      <c r="CJ796" s="21"/>
    </row>
    <row r="797" spans="1:88" ht="40.5" customHeight="1">
      <c r="A797" s="9"/>
      <c r="B797" s="12"/>
      <c r="C797" s="9" t="s">
        <v>2058</v>
      </c>
      <c r="D797" s="9" t="s">
        <v>1697</v>
      </c>
      <c r="E797" s="12">
        <v>0</v>
      </c>
      <c r="F797" s="12">
        <v>0</v>
      </c>
      <c r="G797" s="12" t="b">
        <v>0</v>
      </c>
      <c r="H797" s="9" t="s">
        <v>75</v>
      </c>
      <c r="I797" s="9" t="s">
        <v>2059</v>
      </c>
      <c r="J797" s="9" t="s">
        <v>75</v>
      </c>
      <c r="K797" s="11" t="s">
        <v>2060</v>
      </c>
      <c r="L797" s="12"/>
      <c r="M797" s="12"/>
      <c r="N797" s="13"/>
      <c r="O797" s="16" t="s">
        <v>78</v>
      </c>
      <c r="P797" s="14" t="s">
        <v>79</v>
      </c>
      <c r="Q797" s="15" t="s">
        <v>1977</v>
      </c>
      <c r="R797" s="14" t="s">
        <v>75</v>
      </c>
      <c r="S797" s="14" t="s">
        <v>75</v>
      </c>
      <c r="T797" s="16" t="s">
        <v>101</v>
      </c>
      <c r="U797" s="17"/>
      <c r="V797" s="16" t="s">
        <v>78</v>
      </c>
      <c r="W797" s="16" t="s">
        <v>79</v>
      </c>
      <c r="X797" s="15" t="s">
        <v>668</v>
      </c>
      <c r="Y797" s="16" t="s">
        <v>75</v>
      </c>
      <c r="Z797" s="16" t="s">
        <v>75</v>
      </c>
      <c r="AA797" s="16" t="s">
        <v>101</v>
      </c>
      <c r="AB797" s="18"/>
      <c r="AC797" s="19" t="s">
        <v>78</v>
      </c>
      <c r="AD797" s="19" t="s">
        <v>79</v>
      </c>
      <c r="AE797" s="20" t="s">
        <v>1993</v>
      </c>
      <c r="AF797" s="19" t="s">
        <v>75</v>
      </c>
      <c r="AG797" s="19" t="s">
        <v>75</v>
      </c>
      <c r="AH797" s="16" t="s">
        <v>101</v>
      </c>
      <c r="AI797" s="18"/>
      <c r="AJ797" s="13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3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2"/>
      <c r="BK797" s="12"/>
      <c r="BL797" s="12"/>
      <c r="BM797" s="9"/>
      <c r="BN797" s="9"/>
      <c r="BO797" s="9"/>
      <c r="BP797" s="12"/>
      <c r="BQ797" s="12"/>
      <c r="BR797" s="12"/>
      <c r="BS797" s="12"/>
      <c r="BT797" s="12"/>
      <c r="BU797" s="12"/>
      <c r="BV797" s="12"/>
      <c r="BW797" s="12"/>
      <c r="BX797" s="12"/>
      <c r="BY797" s="9"/>
      <c r="BZ797" s="21"/>
      <c r="CA797" s="21"/>
      <c r="CB797" s="21"/>
      <c r="CC797" s="21"/>
      <c r="CD797" s="21"/>
      <c r="CE797" s="21"/>
      <c r="CF797" s="21"/>
      <c r="CG797" s="21"/>
      <c r="CH797" s="21"/>
      <c r="CI797" s="21"/>
      <c r="CJ797" s="21"/>
    </row>
    <row r="798" spans="1:88" ht="40.5" customHeight="1">
      <c r="A798" s="9"/>
      <c r="B798" s="12"/>
      <c r="C798" s="9" t="s">
        <v>2061</v>
      </c>
      <c r="D798" s="9" t="s">
        <v>1697</v>
      </c>
      <c r="E798" s="12">
        <v>0</v>
      </c>
      <c r="F798" s="12">
        <v>0</v>
      </c>
      <c r="G798" s="12" t="b">
        <v>0</v>
      </c>
      <c r="H798" s="9" t="s">
        <v>75</v>
      </c>
      <c r="I798" s="9" t="s">
        <v>2062</v>
      </c>
      <c r="J798" s="9" t="s">
        <v>75</v>
      </c>
      <c r="K798" s="9" t="s">
        <v>79</v>
      </c>
      <c r="L798" s="12"/>
      <c r="M798" s="12"/>
      <c r="N798" s="13"/>
      <c r="O798" s="16" t="s">
        <v>78</v>
      </c>
      <c r="P798" s="14" t="s">
        <v>79</v>
      </c>
      <c r="Q798" s="15" t="s">
        <v>1977</v>
      </c>
      <c r="R798" s="14" t="s">
        <v>75</v>
      </c>
      <c r="S798" s="14" t="s">
        <v>75</v>
      </c>
      <c r="T798" s="16" t="s">
        <v>101</v>
      </c>
      <c r="U798" s="17"/>
      <c r="V798" s="16" t="s">
        <v>78</v>
      </c>
      <c r="W798" s="16" t="s">
        <v>79</v>
      </c>
      <c r="X798" s="15" t="s">
        <v>668</v>
      </c>
      <c r="Y798" s="16" t="s">
        <v>75</v>
      </c>
      <c r="Z798" s="16" t="s">
        <v>75</v>
      </c>
      <c r="AA798" s="16" t="s">
        <v>101</v>
      </c>
      <c r="AB798" s="18"/>
      <c r="AC798" s="19" t="s">
        <v>78</v>
      </c>
      <c r="AD798" s="19" t="s">
        <v>79</v>
      </c>
      <c r="AE798" s="20" t="s">
        <v>1993</v>
      </c>
      <c r="AF798" s="19" t="s">
        <v>75</v>
      </c>
      <c r="AG798" s="19" t="s">
        <v>75</v>
      </c>
      <c r="AH798" s="16" t="s">
        <v>101</v>
      </c>
      <c r="AI798" s="18"/>
      <c r="AJ798" s="13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3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2"/>
      <c r="BK798" s="12"/>
      <c r="BL798" s="12"/>
      <c r="BM798" s="9"/>
      <c r="BN798" s="9"/>
      <c r="BO798" s="9"/>
      <c r="BP798" s="12"/>
      <c r="BQ798" s="12"/>
      <c r="BR798" s="12"/>
      <c r="BS798" s="12"/>
      <c r="BT798" s="12"/>
      <c r="BU798" s="12"/>
      <c r="BV798" s="12"/>
      <c r="BW798" s="12"/>
      <c r="BX798" s="12"/>
      <c r="BY798" s="9"/>
      <c r="BZ798" s="21"/>
      <c r="CA798" s="21"/>
      <c r="CB798" s="21"/>
      <c r="CC798" s="21"/>
      <c r="CD798" s="21"/>
      <c r="CE798" s="21"/>
      <c r="CF798" s="21"/>
      <c r="CG798" s="21"/>
      <c r="CH798" s="21"/>
      <c r="CI798" s="21"/>
      <c r="CJ798" s="21"/>
    </row>
    <row r="799" spans="1:88" ht="40.5" customHeight="1">
      <c r="A799" s="9"/>
      <c r="B799" s="12"/>
      <c r="C799" s="9" t="s">
        <v>2063</v>
      </c>
      <c r="D799" s="9" t="s">
        <v>1697</v>
      </c>
      <c r="E799" s="12">
        <v>0</v>
      </c>
      <c r="F799" s="12">
        <v>0</v>
      </c>
      <c r="G799" s="12" t="b">
        <v>0</v>
      </c>
      <c r="H799" s="9" t="s">
        <v>75</v>
      </c>
      <c r="I799" s="9" t="s">
        <v>2064</v>
      </c>
      <c r="J799" s="9" t="s">
        <v>75</v>
      </c>
      <c r="K799" s="11" t="s">
        <v>2065</v>
      </c>
      <c r="L799" s="12"/>
      <c r="M799" s="12"/>
      <c r="N799" s="13"/>
      <c r="O799" s="16" t="s">
        <v>78</v>
      </c>
      <c r="P799" s="14" t="s">
        <v>79</v>
      </c>
      <c r="Q799" s="15" t="s">
        <v>1977</v>
      </c>
      <c r="R799" s="14" t="s">
        <v>75</v>
      </c>
      <c r="S799" s="14" t="s">
        <v>75</v>
      </c>
      <c r="T799" s="16" t="s">
        <v>101</v>
      </c>
      <c r="U799" s="17"/>
      <c r="V799" s="16" t="s">
        <v>78</v>
      </c>
      <c r="W799" s="16" t="s">
        <v>79</v>
      </c>
      <c r="X799" s="15" t="s">
        <v>668</v>
      </c>
      <c r="Y799" s="16" t="s">
        <v>75</v>
      </c>
      <c r="Z799" s="16" t="s">
        <v>75</v>
      </c>
      <c r="AA799" s="16" t="s">
        <v>86</v>
      </c>
      <c r="AB799" s="18"/>
      <c r="AC799" s="19" t="s">
        <v>78</v>
      </c>
      <c r="AD799" s="19" t="s">
        <v>79</v>
      </c>
      <c r="AE799" s="20" t="s">
        <v>1993</v>
      </c>
      <c r="AF799" s="19" t="s">
        <v>75</v>
      </c>
      <c r="AG799" s="19" t="s">
        <v>75</v>
      </c>
      <c r="AH799" s="16" t="s">
        <v>86</v>
      </c>
      <c r="AI799" s="18"/>
      <c r="AJ799" s="13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3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2"/>
      <c r="BK799" s="12"/>
      <c r="BL799" s="12"/>
      <c r="BM799" s="9"/>
      <c r="BN799" s="9"/>
      <c r="BO799" s="9"/>
      <c r="BP799" s="12"/>
      <c r="BQ799" s="12"/>
      <c r="BR799" s="12"/>
      <c r="BS799" s="12"/>
      <c r="BT799" s="12"/>
      <c r="BU799" s="12"/>
      <c r="BV799" s="12"/>
      <c r="BW799" s="12"/>
      <c r="BX799" s="12"/>
      <c r="BY799" s="9"/>
      <c r="BZ799" s="21"/>
      <c r="CA799" s="21"/>
      <c r="CB799" s="21"/>
      <c r="CC799" s="21"/>
      <c r="CD799" s="21"/>
      <c r="CE799" s="21"/>
      <c r="CF799" s="21"/>
      <c r="CG799" s="21"/>
      <c r="CH799" s="21"/>
      <c r="CI799" s="21"/>
      <c r="CJ799" s="21"/>
    </row>
    <row r="800" spans="1:88" ht="40.5" customHeight="1">
      <c r="A800" s="9"/>
      <c r="B800" s="12"/>
      <c r="C800" s="9" t="s">
        <v>2066</v>
      </c>
      <c r="D800" s="9" t="s">
        <v>1697</v>
      </c>
      <c r="E800" s="12">
        <v>0</v>
      </c>
      <c r="F800" s="12">
        <v>0</v>
      </c>
      <c r="G800" s="12" t="b">
        <v>0</v>
      </c>
      <c r="H800" s="9" t="s">
        <v>75</v>
      </c>
      <c r="I800" s="9" t="s">
        <v>2067</v>
      </c>
      <c r="J800" s="9" t="s">
        <v>75</v>
      </c>
      <c r="K800" s="11" t="s">
        <v>2068</v>
      </c>
      <c r="L800" s="12"/>
      <c r="M800" s="12"/>
      <c r="N800" s="13"/>
      <c r="O800" s="16" t="s">
        <v>78</v>
      </c>
      <c r="P800" s="14" t="s">
        <v>79</v>
      </c>
      <c r="Q800" s="15" t="s">
        <v>1977</v>
      </c>
      <c r="R800" s="14" t="s">
        <v>75</v>
      </c>
      <c r="S800" s="14" t="s">
        <v>75</v>
      </c>
      <c r="T800" s="16" t="s">
        <v>101</v>
      </c>
      <c r="U800" s="17"/>
      <c r="V800" s="16" t="s">
        <v>78</v>
      </c>
      <c r="W800" s="16" t="s">
        <v>79</v>
      </c>
      <c r="X800" s="15" t="s">
        <v>1993</v>
      </c>
      <c r="Y800" s="16" t="s">
        <v>75</v>
      </c>
      <c r="Z800" s="16" t="s">
        <v>75</v>
      </c>
      <c r="AA800" s="16" t="s">
        <v>101</v>
      </c>
      <c r="AB800" s="18"/>
      <c r="AC800" s="19" t="s">
        <v>78</v>
      </c>
      <c r="AD800" s="19" t="s">
        <v>79</v>
      </c>
      <c r="AE800" s="20" t="s">
        <v>668</v>
      </c>
      <c r="AF800" s="19" t="s">
        <v>75</v>
      </c>
      <c r="AG800" s="19" t="s">
        <v>75</v>
      </c>
      <c r="AH800" s="16" t="s">
        <v>101</v>
      </c>
      <c r="AI800" s="18"/>
      <c r="AJ800" s="13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3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2"/>
      <c r="BK800" s="12"/>
      <c r="BL800" s="12"/>
      <c r="BM800" s="9"/>
      <c r="BN800" s="9"/>
      <c r="BO800" s="9"/>
      <c r="BP800" s="12"/>
      <c r="BQ800" s="12"/>
      <c r="BR800" s="12"/>
      <c r="BS800" s="12"/>
      <c r="BT800" s="12"/>
      <c r="BU800" s="12"/>
      <c r="BV800" s="12"/>
      <c r="BW800" s="12"/>
      <c r="BX800" s="12"/>
      <c r="BY800" s="9"/>
      <c r="BZ800" s="21"/>
      <c r="CA800" s="21"/>
      <c r="CB800" s="21"/>
      <c r="CC800" s="21"/>
      <c r="CD800" s="21"/>
      <c r="CE800" s="21"/>
      <c r="CF800" s="21"/>
      <c r="CG800" s="21"/>
      <c r="CH800" s="21"/>
      <c r="CI800" s="21"/>
      <c r="CJ800" s="21"/>
    </row>
    <row r="801" spans="1:88" ht="40.5" customHeight="1">
      <c r="A801" s="9"/>
      <c r="B801" s="12"/>
      <c r="C801" s="9" t="s">
        <v>2069</v>
      </c>
      <c r="D801" s="9" t="s">
        <v>1697</v>
      </c>
      <c r="E801" s="12">
        <v>0</v>
      </c>
      <c r="F801" s="12">
        <v>0</v>
      </c>
      <c r="G801" s="12" t="b">
        <v>0</v>
      </c>
      <c r="H801" s="9" t="s">
        <v>75</v>
      </c>
      <c r="I801" s="9" t="s">
        <v>2022</v>
      </c>
      <c r="J801" s="9" t="s">
        <v>75</v>
      </c>
      <c r="K801" s="11" t="s">
        <v>2052</v>
      </c>
      <c r="L801" s="12"/>
      <c r="M801" s="12"/>
      <c r="N801" s="13"/>
      <c r="O801" s="16" t="s">
        <v>78</v>
      </c>
      <c r="P801" s="14" t="s">
        <v>79</v>
      </c>
      <c r="Q801" s="15" t="s">
        <v>1977</v>
      </c>
      <c r="R801" s="14" t="s">
        <v>75</v>
      </c>
      <c r="S801" s="14" t="s">
        <v>75</v>
      </c>
      <c r="T801" s="16" t="s">
        <v>4</v>
      </c>
      <c r="U801" s="17"/>
      <c r="V801" s="13"/>
      <c r="W801" s="13"/>
      <c r="X801" s="13"/>
      <c r="Y801" s="13"/>
      <c r="Z801" s="13"/>
      <c r="AA801" s="13"/>
      <c r="AB801" s="18"/>
      <c r="AC801" s="18"/>
      <c r="AD801" s="18"/>
      <c r="AE801" s="18"/>
      <c r="AF801" s="18"/>
      <c r="AG801" s="18"/>
      <c r="AH801" s="13"/>
      <c r="AI801" s="18"/>
      <c r="AJ801" s="13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3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2"/>
      <c r="BK801" s="12"/>
      <c r="BL801" s="12"/>
      <c r="BM801" s="9"/>
      <c r="BN801" s="9"/>
      <c r="BO801" s="9"/>
      <c r="BP801" s="12"/>
      <c r="BQ801" s="12"/>
      <c r="BR801" s="12"/>
      <c r="BS801" s="12"/>
      <c r="BT801" s="12"/>
      <c r="BU801" s="12"/>
      <c r="BV801" s="12"/>
      <c r="BW801" s="12"/>
      <c r="BX801" s="12"/>
      <c r="BY801" s="9"/>
      <c r="BZ801" s="21"/>
      <c r="CA801" s="21"/>
      <c r="CB801" s="21"/>
      <c r="CC801" s="21"/>
      <c r="CD801" s="21"/>
      <c r="CE801" s="21"/>
      <c r="CF801" s="21"/>
      <c r="CG801" s="21"/>
      <c r="CH801" s="21"/>
      <c r="CI801" s="21"/>
      <c r="CJ801" s="21"/>
    </row>
    <row r="802" spans="1:88" ht="40.5" customHeight="1">
      <c r="A802" s="9"/>
      <c r="B802" s="12"/>
      <c r="C802" s="9" t="s">
        <v>2070</v>
      </c>
      <c r="D802" s="9" t="s">
        <v>1697</v>
      </c>
      <c r="E802" s="12">
        <v>0</v>
      </c>
      <c r="F802" s="12">
        <v>0</v>
      </c>
      <c r="G802" s="12" t="b">
        <v>0</v>
      </c>
      <c r="H802" s="9" t="s">
        <v>75</v>
      </c>
      <c r="I802" s="9" t="s">
        <v>2071</v>
      </c>
      <c r="J802" s="9" t="s">
        <v>75</v>
      </c>
      <c r="K802" s="11" t="s">
        <v>2072</v>
      </c>
      <c r="L802" s="12"/>
      <c r="M802" s="12"/>
      <c r="N802" s="13"/>
      <c r="O802" s="16" t="s">
        <v>78</v>
      </c>
      <c r="P802" s="14" t="s">
        <v>79</v>
      </c>
      <c r="Q802" s="15" t="s">
        <v>1977</v>
      </c>
      <c r="R802" s="14" t="s">
        <v>75</v>
      </c>
      <c r="S802" s="14" t="s">
        <v>75</v>
      </c>
      <c r="T802" s="16" t="s">
        <v>166</v>
      </c>
      <c r="U802" s="17"/>
      <c r="V802" s="16" t="s">
        <v>78</v>
      </c>
      <c r="W802" s="16" t="s">
        <v>79</v>
      </c>
      <c r="X802" s="15" t="s">
        <v>668</v>
      </c>
      <c r="Y802" s="16" t="s">
        <v>75</v>
      </c>
      <c r="Z802" s="16" t="s">
        <v>75</v>
      </c>
      <c r="AA802" s="16" t="s">
        <v>86</v>
      </c>
      <c r="AB802" s="18"/>
      <c r="AC802" s="19" t="s">
        <v>78</v>
      </c>
      <c r="AD802" s="19" t="s">
        <v>79</v>
      </c>
      <c r="AE802" s="20" t="s">
        <v>1993</v>
      </c>
      <c r="AF802" s="19" t="s">
        <v>75</v>
      </c>
      <c r="AG802" s="19" t="s">
        <v>75</v>
      </c>
      <c r="AH802" s="16" t="s">
        <v>86</v>
      </c>
      <c r="AI802" s="18"/>
      <c r="AJ802" s="13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3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2"/>
      <c r="BK802" s="12"/>
      <c r="BL802" s="12"/>
      <c r="BM802" s="9"/>
      <c r="BN802" s="9"/>
      <c r="BO802" s="9"/>
      <c r="BP802" s="12"/>
      <c r="BQ802" s="12"/>
      <c r="BR802" s="12"/>
      <c r="BS802" s="12"/>
      <c r="BT802" s="12"/>
      <c r="BU802" s="12"/>
      <c r="BV802" s="12"/>
      <c r="BW802" s="12"/>
      <c r="BX802" s="12"/>
      <c r="BY802" s="9"/>
      <c r="BZ802" s="21"/>
      <c r="CA802" s="21"/>
      <c r="CB802" s="21"/>
      <c r="CC802" s="21"/>
      <c r="CD802" s="21"/>
      <c r="CE802" s="21"/>
      <c r="CF802" s="21"/>
      <c r="CG802" s="21"/>
      <c r="CH802" s="21"/>
      <c r="CI802" s="21"/>
      <c r="CJ802" s="21"/>
    </row>
    <row r="803" spans="1:88" ht="40.5" customHeight="1">
      <c r="A803" s="9"/>
      <c r="B803" s="12"/>
      <c r="C803" s="9" t="s">
        <v>2073</v>
      </c>
      <c r="D803" s="9" t="s">
        <v>1697</v>
      </c>
      <c r="E803" s="12">
        <v>0</v>
      </c>
      <c r="F803" s="12">
        <v>0</v>
      </c>
      <c r="G803" s="12" t="b">
        <v>0</v>
      </c>
      <c r="H803" s="9" t="s">
        <v>75</v>
      </c>
      <c r="I803" s="9" t="s">
        <v>2074</v>
      </c>
      <c r="J803" s="9" t="s">
        <v>75</v>
      </c>
      <c r="K803" s="11" t="s">
        <v>2075</v>
      </c>
      <c r="L803" s="12"/>
      <c r="M803" s="12"/>
      <c r="N803" s="13"/>
      <c r="O803" s="16" t="s">
        <v>78</v>
      </c>
      <c r="P803" s="14" t="s">
        <v>79</v>
      </c>
      <c r="Q803" s="15" t="s">
        <v>1977</v>
      </c>
      <c r="R803" s="23" t="s">
        <v>82</v>
      </c>
      <c r="S803" s="14" t="s">
        <v>75</v>
      </c>
      <c r="T803" s="16" t="s">
        <v>166</v>
      </c>
      <c r="U803" s="17"/>
      <c r="V803" s="16" t="s">
        <v>78</v>
      </c>
      <c r="W803" s="16" t="s">
        <v>79</v>
      </c>
      <c r="X803" s="15" t="s">
        <v>668</v>
      </c>
      <c r="Y803" s="16" t="s">
        <v>75</v>
      </c>
      <c r="Z803" s="16" t="s">
        <v>75</v>
      </c>
      <c r="AA803" s="16" t="s">
        <v>86</v>
      </c>
      <c r="AB803" s="18"/>
      <c r="AC803" s="19" t="s">
        <v>78</v>
      </c>
      <c r="AD803" s="19" t="s">
        <v>79</v>
      </c>
      <c r="AE803" s="20" t="s">
        <v>1993</v>
      </c>
      <c r="AF803" s="19" t="s">
        <v>75</v>
      </c>
      <c r="AG803" s="19" t="s">
        <v>75</v>
      </c>
      <c r="AH803" s="16" t="s">
        <v>101</v>
      </c>
      <c r="AI803" s="18"/>
      <c r="AJ803" s="13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3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2"/>
      <c r="BK803" s="12"/>
      <c r="BL803" s="12"/>
      <c r="BM803" s="9"/>
      <c r="BN803" s="9"/>
      <c r="BO803" s="9"/>
      <c r="BP803" s="12"/>
      <c r="BQ803" s="12"/>
      <c r="BR803" s="12"/>
      <c r="BS803" s="12"/>
      <c r="BT803" s="12"/>
      <c r="BU803" s="12"/>
      <c r="BV803" s="12"/>
      <c r="BW803" s="12"/>
      <c r="BX803" s="12"/>
      <c r="BY803" s="9"/>
      <c r="BZ803" s="21"/>
      <c r="CA803" s="21"/>
      <c r="CB803" s="21"/>
      <c r="CC803" s="21"/>
      <c r="CD803" s="21"/>
      <c r="CE803" s="21"/>
      <c r="CF803" s="21"/>
      <c r="CG803" s="21"/>
      <c r="CH803" s="21"/>
      <c r="CI803" s="21"/>
      <c r="CJ803" s="21"/>
    </row>
    <row r="804" spans="1:88" ht="40.5" customHeight="1">
      <c r="A804" s="9"/>
      <c r="B804" s="12"/>
      <c r="C804" s="9" t="s">
        <v>2076</v>
      </c>
      <c r="D804" s="9" t="s">
        <v>1697</v>
      </c>
      <c r="E804" s="12">
        <v>0</v>
      </c>
      <c r="F804" s="12">
        <v>0</v>
      </c>
      <c r="G804" s="12" t="b">
        <v>0</v>
      </c>
      <c r="H804" s="9" t="s">
        <v>75</v>
      </c>
      <c r="I804" s="9" t="s">
        <v>2077</v>
      </c>
      <c r="J804" s="9" t="s">
        <v>75</v>
      </c>
      <c r="K804" s="11" t="s">
        <v>2078</v>
      </c>
      <c r="L804" s="12"/>
      <c r="M804" s="12"/>
      <c r="N804" s="13"/>
      <c r="O804" s="16" t="s">
        <v>78</v>
      </c>
      <c r="P804" s="14" t="s">
        <v>79</v>
      </c>
      <c r="Q804" s="15" t="s">
        <v>1977</v>
      </c>
      <c r="R804" s="14" t="s">
        <v>75</v>
      </c>
      <c r="S804" s="23" t="s">
        <v>84</v>
      </c>
      <c r="T804" s="16" t="s">
        <v>126</v>
      </c>
      <c r="U804" s="17"/>
      <c r="V804" s="16" t="s">
        <v>78</v>
      </c>
      <c r="W804" s="16" t="s">
        <v>79</v>
      </c>
      <c r="X804" s="15" t="s">
        <v>668</v>
      </c>
      <c r="Y804" s="16" t="s">
        <v>75</v>
      </c>
      <c r="Z804" s="16" t="s">
        <v>75</v>
      </c>
      <c r="AA804" s="16" t="s">
        <v>126</v>
      </c>
      <c r="AB804" s="18"/>
      <c r="AC804" s="19" t="s">
        <v>78</v>
      </c>
      <c r="AD804" s="19" t="s">
        <v>79</v>
      </c>
      <c r="AE804" s="20" t="s">
        <v>1993</v>
      </c>
      <c r="AF804" s="19" t="s">
        <v>75</v>
      </c>
      <c r="AG804" s="19" t="s">
        <v>75</v>
      </c>
      <c r="AH804" s="16" t="s">
        <v>4</v>
      </c>
      <c r="AI804" s="18"/>
      <c r="AJ804" s="13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3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2"/>
      <c r="BK804" s="12"/>
      <c r="BL804" s="12"/>
      <c r="BM804" s="9"/>
      <c r="BN804" s="9"/>
      <c r="BO804" s="9"/>
      <c r="BP804" s="12"/>
      <c r="BQ804" s="12"/>
      <c r="BR804" s="12"/>
      <c r="BS804" s="12"/>
      <c r="BT804" s="12"/>
      <c r="BU804" s="12"/>
      <c r="BV804" s="12"/>
      <c r="BW804" s="12"/>
      <c r="BX804" s="12"/>
      <c r="BY804" s="9"/>
      <c r="BZ804" s="21"/>
      <c r="CA804" s="21"/>
      <c r="CB804" s="21"/>
      <c r="CC804" s="21"/>
      <c r="CD804" s="21"/>
      <c r="CE804" s="21"/>
      <c r="CF804" s="21"/>
      <c r="CG804" s="21"/>
      <c r="CH804" s="21"/>
      <c r="CI804" s="21"/>
      <c r="CJ804" s="21"/>
    </row>
    <row r="805" spans="1:88" ht="40.5" customHeight="1">
      <c r="A805" s="9"/>
      <c r="B805" s="12"/>
      <c r="C805" s="9" t="s">
        <v>2079</v>
      </c>
      <c r="D805" s="9" t="s">
        <v>1697</v>
      </c>
      <c r="E805" s="12">
        <v>0</v>
      </c>
      <c r="F805" s="12">
        <v>0</v>
      </c>
      <c r="G805" s="12" t="b">
        <v>0</v>
      </c>
      <c r="H805" s="9" t="s">
        <v>75</v>
      </c>
      <c r="I805" s="9" t="s">
        <v>2080</v>
      </c>
      <c r="J805" s="9" t="s">
        <v>75</v>
      </c>
      <c r="K805" s="11" t="s">
        <v>2081</v>
      </c>
      <c r="L805" s="12"/>
      <c r="M805" s="12"/>
      <c r="N805" s="13"/>
      <c r="O805" s="16" t="s">
        <v>78</v>
      </c>
      <c r="P805" s="14" t="s">
        <v>79</v>
      </c>
      <c r="Q805" s="15" t="s">
        <v>1977</v>
      </c>
      <c r="R805" s="14" t="s">
        <v>75</v>
      </c>
      <c r="S805" s="14" t="s">
        <v>75</v>
      </c>
      <c r="T805" s="16" t="s">
        <v>81</v>
      </c>
      <c r="U805" s="17"/>
      <c r="V805" s="16" t="s">
        <v>78</v>
      </c>
      <c r="W805" s="16" t="s">
        <v>79</v>
      </c>
      <c r="X805" s="15" t="s">
        <v>629</v>
      </c>
      <c r="Y805" s="16" t="s">
        <v>75</v>
      </c>
      <c r="Z805" s="16" t="s">
        <v>75</v>
      </c>
      <c r="AA805" s="16" t="s">
        <v>101</v>
      </c>
      <c r="AB805" s="18"/>
      <c r="AC805" s="19" t="s">
        <v>78</v>
      </c>
      <c r="AD805" s="19" t="s">
        <v>79</v>
      </c>
      <c r="AE805" s="20" t="s">
        <v>1993</v>
      </c>
      <c r="AF805" s="19" t="s">
        <v>75</v>
      </c>
      <c r="AG805" s="19" t="s">
        <v>75</v>
      </c>
      <c r="AH805" s="16" t="s">
        <v>101</v>
      </c>
      <c r="AI805" s="18"/>
      <c r="AJ805" s="13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3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2"/>
      <c r="BK805" s="12"/>
      <c r="BL805" s="12"/>
      <c r="BM805" s="9"/>
      <c r="BN805" s="9"/>
      <c r="BO805" s="9"/>
      <c r="BP805" s="12"/>
      <c r="BQ805" s="12"/>
      <c r="BR805" s="12"/>
      <c r="BS805" s="12"/>
      <c r="BT805" s="12"/>
      <c r="BU805" s="12"/>
      <c r="BV805" s="12"/>
      <c r="BW805" s="12"/>
      <c r="BX805" s="12"/>
      <c r="BY805" s="9"/>
      <c r="BZ805" s="21"/>
      <c r="CA805" s="21"/>
      <c r="CB805" s="21"/>
      <c r="CC805" s="21"/>
      <c r="CD805" s="21"/>
      <c r="CE805" s="21"/>
      <c r="CF805" s="21"/>
      <c r="CG805" s="21"/>
      <c r="CH805" s="21"/>
      <c r="CI805" s="21"/>
      <c r="CJ805" s="21"/>
    </row>
    <row r="806" spans="1:88" ht="40.5" customHeight="1">
      <c r="A806" s="9"/>
      <c r="B806" s="12"/>
      <c r="C806" s="9" t="s">
        <v>2082</v>
      </c>
      <c r="D806" s="9" t="s">
        <v>1697</v>
      </c>
      <c r="E806" s="12">
        <v>0</v>
      </c>
      <c r="F806" s="12">
        <v>0</v>
      </c>
      <c r="G806" s="12" t="b">
        <v>0</v>
      </c>
      <c r="H806" s="9" t="s">
        <v>75</v>
      </c>
      <c r="I806" s="9" t="s">
        <v>2083</v>
      </c>
      <c r="J806" s="9" t="s">
        <v>75</v>
      </c>
      <c r="K806" s="11" t="s">
        <v>2084</v>
      </c>
      <c r="L806" s="12"/>
      <c r="M806" s="12"/>
      <c r="N806" s="13"/>
      <c r="O806" s="16" t="s">
        <v>78</v>
      </c>
      <c r="P806" s="14" t="s">
        <v>79</v>
      </c>
      <c r="Q806" s="15" t="s">
        <v>1977</v>
      </c>
      <c r="R806" s="14" t="s">
        <v>75</v>
      </c>
      <c r="S806" s="14" t="s">
        <v>75</v>
      </c>
      <c r="T806" s="16" t="s">
        <v>101</v>
      </c>
      <c r="U806" s="17"/>
      <c r="V806" s="16" t="s">
        <v>78</v>
      </c>
      <c r="W806" s="16" t="s">
        <v>79</v>
      </c>
      <c r="X806" s="15" t="s">
        <v>629</v>
      </c>
      <c r="Y806" s="16" t="s">
        <v>75</v>
      </c>
      <c r="Z806" s="16" t="s">
        <v>75</v>
      </c>
      <c r="AA806" s="16" t="s">
        <v>101</v>
      </c>
      <c r="AB806" s="18"/>
      <c r="AC806" s="19" t="s">
        <v>78</v>
      </c>
      <c r="AD806" s="19" t="s">
        <v>79</v>
      </c>
      <c r="AE806" s="20" t="s">
        <v>1993</v>
      </c>
      <c r="AF806" s="19" t="s">
        <v>75</v>
      </c>
      <c r="AG806" s="19" t="s">
        <v>75</v>
      </c>
      <c r="AH806" s="16" t="s">
        <v>4</v>
      </c>
      <c r="AI806" s="18"/>
      <c r="AJ806" s="13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3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2"/>
      <c r="BK806" s="12"/>
      <c r="BL806" s="12"/>
      <c r="BM806" s="9"/>
      <c r="BN806" s="9"/>
      <c r="BO806" s="9"/>
      <c r="BP806" s="12"/>
      <c r="BQ806" s="12"/>
      <c r="BR806" s="12"/>
      <c r="BS806" s="12"/>
      <c r="BT806" s="12"/>
      <c r="BU806" s="12"/>
      <c r="BV806" s="12"/>
      <c r="BW806" s="12"/>
      <c r="BX806" s="12"/>
      <c r="BY806" s="9"/>
      <c r="BZ806" s="21"/>
      <c r="CA806" s="21"/>
      <c r="CB806" s="21"/>
      <c r="CC806" s="21"/>
      <c r="CD806" s="21"/>
      <c r="CE806" s="21"/>
      <c r="CF806" s="21"/>
      <c r="CG806" s="21"/>
      <c r="CH806" s="21"/>
      <c r="CI806" s="21"/>
      <c r="CJ806" s="21"/>
    </row>
    <row r="807" spans="1:88" ht="40.5" customHeight="1">
      <c r="A807" s="9"/>
      <c r="B807" s="12"/>
      <c r="C807" s="9" t="s">
        <v>2085</v>
      </c>
      <c r="D807" s="9" t="s">
        <v>1697</v>
      </c>
      <c r="E807" s="12">
        <v>0</v>
      </c>
      <c r="F807" s="12">
        <v>0</v>
      </c>
      <c r="G807" s="12" t="b">
        <v>0</v>
      </c>
      <c r="H807" s="9" t="s">
        <v>75</v>
      </c>
      <c r="I807" s="9" t="s">
        <v>2086</v>
      </c>
      <c r="J807" s="9" t="s">
        <v>75</v>
      </c>
      <c r="K807" s="11" t="s">
        <v>2087</v>
      </c>
      <c r="L807" s="12"/>
      <c r="M807" s="12"/>
      <c r="N807" s="13"/>
      <c r="O807" s="16" t="s">
        <v>78</v>
      </c>
      <c r="P807" s="14" t="s">
        <v>79</v>
      </c>
      <c r="Q807" s="15" t="s">
        <v>1977</v>
      </c>
      <c r="R807" s="14" t="s">
        <v>75</v>
      </c>
      <c r="S807" s="14" t="s">
        <v>75</v>
      </c>
      <c r="T807" s="16" t="s">
        <v>81</v>
      </c>
      <c r="U807" s="17"/>
      <c r="V807" s="16" t="s">
        <v>78</v>
      </c>
      <c r="W807" s="16" t="s">
        <v>79</v>
      </c>
      <c r="X807" s="15" t="s">
        <v>629</v>
      </c>
      <c r="Y807" s="16" t="s">
        <v>75</v>
      </c>
      <c r="Z807" s="15" t="s">
        <v>84</v>
      </c>
      <c r="AA807" s="16" t="s">
        <v>153</v>
      </c>
      <c r="AB807" s="18"/>
      <c r="AC807" s="19" t="s">
        <v>7</v>
      </c>
      <c r="AD807" s="19" t="s">
        <v>79</v>
      </c>
      <c r="AE807" s="20" t="s">
        <v>1993</v>
      </c>
      <c r="AF807" s="19" t="s">
        <v>75</v>
      </c>
      <c r="AG807" s="19" t="s">
        <v>75</v>
      </c>
      <c r="AH807" s="16" t="s">
        <v>86</v>
      </c>
      <c r="AI807" s="18"/>
      <c r="AJ807" s="13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3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2"/>
      <c r="BK807" s="12"/>
      <c r="BL807" s="12"/>
      <c r="BM807" s="9"/>
      <c r="BN807" s="9"/>
      <c r="BO807" s="9"/>
      <c r="BP807" s="12"/>
      <c r="BQ807" s="12"/>
      <c r="BR807" s="12"/>
      <c r="BS807" s="12"/>
      <c r="BT807" s="12"/>
      <c r="BU807" s="12"/>
      <c r="BV807" s="12"/>
      <c r="BW807" s="12"/>
      <c r="BX807" s="12"/>
      <c r="BY807" s="9"/>
      <c r="BZ807" s="21"/>
      <c r="CA807" s="21"/>
      <c r="CB807" s="21"/>
      <c r="CC807" s="21"/>
      <c r="CD807" s="21"/>
      <c r="CE807" s="21"/>
      <c r="CF807" s="21"/>
      <c r="CG807" s="21"/>
      <c r="CH807" s="21"/>
      <c r="CI807" s="21"/>
      <c r="CJ807" s="21"/>
    </row>
    <row r="808" spans="1:88" ht="40.5" customHeight="1">
      <c r="A808" s="9"/>
      <c r="B808" s="12"/>
      <c r="C808" s="9" t="s">
        <v>2088</v>
      </c>
      <c r="D808" s="9" t="s">
        <v>1697</v>
      </c>
      <c r="E808" s="12">
        <v>0</v>
      </c>
      <c r="F808" s="12">
        <v>0</v>
      </c>
      <c r="G808" s="12" t="b">
        <v>0</v>
      </c>
      <c r="H808" s="9" t="s">
        <v>75</v>
      </c>
      <c r="I808" s="9" t="s">
        <v>2089</v>
      </c>
      <c r="J808" s="9" t="s">
        <v>75</v>
      </c>
      <c r="K808" s="11" t="s">
        <v>2090</v>
      </c>
      <c r="L808" s="12"/>
      <c r="M808" s="12"/>
      <c r="N808" s="13"/>
      <c r="O808" s="16" t="s">
        <v>78</v>
      </c>
      <c r="P808" s="14" t="s">
        <v>79</v>
      </c>
      <c r="Q808" s="15" t="s">
        <v>1977</v>
      </c>
      <c r="R808" s="14" t="s">
        <v>75</v>
      </c>
      <c r="S808" s="14" t="s">
        <v>75</v>
      </c>
      <c r="T808" s="16" t="s">
        <v>101</v>
      </c>
      <c r="U808" s="17"/>
      <c r="V808" s="16" t="s">
        <v>78</v>
      </c>
      <c r="W808" s="16" t="s">
        <v>79</v>
      </c>
      <c r="X808" s="15" t="s">
        <v>629</v>
      </c>
      <c r="Y808" s="16" t="s">
        <v>75</v>
      </c>
      <c r="Z808" s="15" t="s">
        <v>84</v>
      </c>
      <c r="AA808" s="16" t="s">
        <v>101</v>
      </c>
      <c r="AB808" s="18"/>
      <c r="AC808" s="18"/>
      <c r="AD808" s="18"/>
      <c r="AE808" s="18"/>
      <c r="AF808" s="18"/>
      <c r="AG808" s="18"/>
      <c r="AH808" s="13"/>
      <c r="AI808" s="18"/>
      <c r="AJ808" s="13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3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2"/>
      <c r="BK808" s="12"/>
      <c r="BL808" s="12"/>
      <c r="BM808" s="9"/>
      <c r="BN808" s="9"/>
      <c r="BO808" s="9"/>
      <c r="BP808" s="12"/>
      <c r="BQ808" s="12"/>
      <c r="BR808" s="12"/>
      <c r="BS808" s="12"/>
      <c r="BT808" s="12"/>
      <c r="BU808" s="12"/>
      <c r="BV808" s="12"/>
      <c r="BW808" s="12"/>
      <c r="BX808" s="12"/>
      <c r="BY808" s="9"/>
      <c r="BZ808" s="21"/>
      <c r="CA808" s="21"/>
      <c r="CB808" s="21"/>
      <c r="CC808" s="21"/>
      <c r="CD808" s="21"/>
      <c r="CE808" s="21"/>
      <c r="CF808" s="21"/>
      <c r="CG808" s="21"/>
      <c r="CH808" s="21"/>
      <c r="CI808" s="21"/>
      <c r="CJ808" s="21"/>
    </row>
    <row r="809" spans="1:88" ht="40.5" customHeight="1">
      <c r="A809" s="9"/>
      <c r="B809" s="12"/>
      <c r="C809" s="9" t="s">
        <v>2091</v>
      </c>
      <c r="D809" s="9" t="s">
        <v>1697</v>
      </c>
      <c r="E809" s="12">
        <v>0</v>
      </c>
      <c r="F809" s="12">
        <v>0</v>
      </c>
      <c r="G809" s="12" t="b">
        <v>0</v>
      </c>
      <c r="H809" s="9" t="s">
        <v>75</v>
      </c>
      <c r="I809" s="9" t="s">
        <v>2092</v>
      </c>
      <c r="J809" s="9" t="s">
        <v>75</v>
      </c>
      <c r="K809" s="11" t="s">
        <v>2093</v>
      </c>
      <c r="L809" s="12"/>
      <c r="M809" s="12"/>
      <c r="N809" s="13"/>
      <c r="O809" s="16" t="s">
        <v>78</v>
      </c>
      <c r="P809" s="14" t="s">
        <v>79</v>
      </c>
      <c r="Q809" s="15" t="s">
        <v>1977</v>
      </c>
      <c r="R809" s="14" t="s">
        <v>75</v>
      </c>
      <c r="S809" s="14" t="s">
        <v>75</v>
      </c>
      <c r="T809" s="16" t="s">
        <v>101</v>
      </c>
      <c r="U809" s="17"/>
      <c r="V809" s="16" t="s">
        <v>78</v>
      </c>
      <c r="W809" s="16" t="s">
        <v>79</v>
      </c>
      <c r="X809" s="15" t="s">
        <v>629</v>
      </c>
      <c r="Y809" s="16" t="s">
        <v>75</v>
      </c>
      <c r="Z809" s="16" t="s">
        <v>75</v>
      </c>
      <c r="AA809" s="16" t="s">
        <v>4</v>
      </c>
      <c r="AB809" s="18"/>
      <c r="AC809" s="18"/>
      <c r="AD809" s="18"/>
      <c r="AE809" s="18"/>
      <c r="AF809" s="18"/>
      <c r="AG809" s="18"/>
      <c r="AH809" s="13"/>
      <c r="AI809" s="18"/>
      <c r="AJ809" s="13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3"/>
      <c r="AY809" s="1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  <c r="BJ809" s="12"/>
      <c r="BK809" s="12"/>
      <c r="BL809" s="12"/>
      <c r="BM809" s="9"/>
      <c r="BN809" s="9"/>
      <c r="BO809" s="9"/>
      <c r="BP809" s="12"/>
      <c r="BQ809" s="12"/>
      <c r="BR809" s="12"/>
      <c r="BS809" s="12"/>
      <c r="BT809" s="12"/>
      <c r="BU809" s="12"/>
      <c r="BV809" s="12"/>
      <c r="BW809" s="12"/>
      <c r="BX809" s="12"/>
      <c r="BY809" s="9"/>
      <c r="BZ809" s="21"/>
      <c r="CA809" s="21"/>
      <c r="CB809" s="21"/>
      <c r="CC809" s="21"/>
      <c r="CD809" s="21"/>
      <c r="CE809" s="21"/>
      <c r="CF809" s="21"/>
      <c r="CG809" s="21"/>
      <c r="CH809" s="21"/>
      <c r="CI809" s="21"/>
      <c r="CJ809" s="21"/>
    </row>
    <row r="810" spans="1:88" ht="40.5" customHeight="1">
      <c r="A810" s="9"/>
      <c r="B810" s="12"/>
      <c r="C810" s="9" t="s">
        <v>2053</v>
      </c>
      <c r="D810" s="9" t="s">
        <v>1697</v>
      </c>
      <c r="E810" s="12">
        <v>0</v>
      </c>
      <c r="F810" s="12">
        <v>0</v>
      </c>
      <c r="G810" s="12" t="b">
        <v>0</v>
      </c>
      <c r="H810" s="9" t="s">
        <v>75</v>
      </c>
      <c r="I810" s="9" t="s">
        <v>2094</v>
      </c>
      <c r="J810" s="9" t="s">
        <v>75</v>
      </c>
      <c r="K810" s="11" t="s">
        <v>2095</v>
      </c>
      <c r="L810" s="12"/>
      <c r="M810" s="12"/>
      <c r="N810" s="13"/>
      <c r="O810" s="16" t="s">
        <v>78</v>
      </c>
      <c r="P810" s="14" t="s">
        <v>79</v>
      </c>
      <c r="Q810" s="15" t="s">
        <v>1977</v>
      </c>
      <c r="R810" s="14" t="s">
        <v>75</v>
      </c>
      <c r="S810" s="14" t="s">
        <v>75</v>
      </c>
      <c r="T810" s="16" t="s">
        <v>166</v>
      </c>
      <c r="U810" s="17"/>
      <c r="V810" s="16" t="s">
        <v>78</v>
      </c>
      <c r="W810" s="16" t="s">
        <v>79</v>
      </c>
      <c r="X810" s="15" t="s">
        <v>629</v>
      </c>
      <c r="Y810" s="16" t="s">
        <v>75</v>
      </c>
      <c r="Z810" s="16" t="s">
        <v>75</v>
      </c>
      <c r="AA810" s="16" t="s">
        <v>101</v>
      </c>
      <c r="AB810" s="18"/>
      <c r="AC810" s="19" t="s">
        <v>78</v>
      </c>
      <c r="AD810" s="19" t="s">
        <v>79</v>
      </c>
      <c r="AE810" s="20" t="s">
        <v>1993</v>
      </c>
      <c r="AF810" s="19" t="s">
        <v>75</v>
      </c>
      <c r="AG810" s="19" t="s">
        <v>75</v>
      </c>
      <c r="AH810" s="16" t="s">
        <v>101</v>
      </c>
      <c r="AI810" s="18"/>
      <c r="AJ810" s="13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3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2"/>
      <c r="BK810" s="12"/>
      <c r="BL810" s="12"/>
      <c r="BM810" s="9"/>
      <c r="BN810" s="9"/>
      <c r="BO810" s="9"/>
      <c r="BP810" s="12"/>
      <c r="BQ810" s="12"/>
      <c r="BR810" s="12"/>
      <c r="BS810" s="12"/>
      <c r="BT810" s="12"/>
      <c r="BU810" s="12"/>
      <c r="BV810" s="12"/>
      <c r="BW810" s="12"/>
      <c r="BX810" s="12"/>
      <c r="BY810" s="9"/>
      <c r="BZ810" s="21"/>
      <c r="CA810" s="21"/>
      <c r="CB810" s="21"/>
      <c r="CC810" s="21"/>
      <c r="CD810" s="21"/>
      <c r="CE810" s="21"/>
      <c r="CF810" s="21"/>
      <c r="CG810" s="21"/>
      <c r="CH810" s="21"/>
      <c r="CI810" s="21"/>
      <c r="CJ810" s="21"/>
    </row>
    <row r="811" spans="1:88" ht="40.5" customHeight="1">
      <c r="A811" s="9"/>
      <c r="B811" s="12"/>
      <c r="C811" s="9" t="s">
        <v>2096</v>
      </c>
      <c r="D811" s="9" t="s">
        <v>1697</v>
      </c>
      <c r="E811" s="12">
        <v>0</v>
      </c>
      <c r="F811" s="12">
        <v>0</v>
      </c>
      <c r="G811" s="12" t="b">
        <v>0</v>
      </c>
      <c r="H811" s="9" t="s">
        <v>75</v>
      </c>
      <c r="I811" s="9" t="s">
        <v>2051</v>
      </c>
      <c r="J811" s="9" t="s">
        <v>75</v>
      </c>
      <c r="K811" s="11" t="s">
        <v>2052</v>
      </c>
      <c r="L811" s="12"/>
      <c r="M811" s="12"/>
      <c r="N811" s="13"/>
      <c r="O811" s="16" t="s">
        <v>78</v>
      </c>
      <c r="P811" s="14" t="s">
        <v>79</v>
      </c>
      <c r="Q811" s="15" t="s">
        <v>1977</v>
      </c>
      <c r="R811" s="14" t="s">
        <v>75</v>
      </c>
      <c r="S811" s="14" t="s">
        <v>75</v>
      </c>
      <c r="T811" s="16" t="s">
        <v>4</v>
      </c>
      <c r="U811" s="17"/>
      <c r="V811" s="13"/>
      <c r="W811" s="13"/>
      <c r="X811" s="13"/>
      <c r="Y811" s="13"/>
      <c r="Z811" s="13"/>
      <c r="AA811" s="13"/>
      <c r="AB811" s="18"/>
      <c r="AC811" s="18"/>
      <c r="AD811" s="18"/>
      <c r="AE811" s="18"/>
      <c r="AF811" s="18"/>
      <c r="AG811" s="18"/>
      <c r="AH811" s="13"/>
      <c r="AI811" s="18"/>
      <c r="AJ811" s="13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3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2"/>
      <c r="BK811" s="12"/>
      <c r="BL811" s="12"/>
      <c r="BM811" s="9"/>
      <c r="BN811" s="9"/>
      <c r="BO811" s="9"/>
      <c r="BP811" s="12"/>
      <c r="BQ811" s="12"/>
      <c r="BR811" s="12"/>
      <c r="BS811" s="12"/>
      <c r="BT811" s="12"/>
      <c r="BU811" s="12"/>
      <c r="BV811" s="12"/>
      <c r="BW811" s="12"/>
      <c r="BX811" s="12"/>
      <c r="BY811" s="9"/>
      <c r="BZ811" s="21"/>
      <c r="CA811" s="21"/>
      <c r="CB811" s="21"/>
      <c r="CC811" s="21"/>
      <c r="CD811" s="21"/>
      <c r="CE811" s="21"/>
      <c r="CF811" s="21"/>
      <c r="CG811" s="21"/>
      <c r="CH811" s="21"/>
      <c r="CI811" s="21"/>
      <c r="CJ811" s="21"/>
    </row>
    <row r="812" spans="1:88" ht="40.5" customHeight="1">
      <c r="A812" s="9"/>
      <c r="B812" s="12"/>
      <c r="C812" s="9" t="s">
        <v>2097</v>
      </c>
      <c r="D812" s="9" t="s">
        <v>1697</v>
      </c>
      <c r="E812" s="12">
        <v>0</v>
      </c>
      <c r="F812" s="12">
        <v>0</v>
      </c>
      <c r="G812" s="12" t="b">
        <v>0</v>
      </c>
      <c r="H812" s="9" t="s">
        <v>75</v>
      </c>
      <c r="I812" s="9" t="s">
        <v>2098</v>
      </c>
      <c r="J812" s="9" t="s">
        <v>75</v>
      </c>
      <c r="K812" s="11" t="s">
        <v>1942</v>
      </c>
      <c r="L812" s="12"/>
      <c r="M812" s="12"/>
      <c r="N812" s="13"/>
      <c r="O812" s="16" t="s">
        <v>78</v>
      </c>
      <c r="P812" s="14" t="s">
        <v>79</v>
      </c>
      <c r="Q812" s="15" t="s">
        <v>1977</v>
      </c>
      <c r="R812" s="14" t="s">
        <v>75</v>
      </c>
      <c r="S812" s="14" t="s">
        <v>75</v>
      </c>
      <c r="T812" s="16" t="s">
        <v>166</v>
      </c>
      <c r="U812" s="17"/>
      <c r="V812" s="16" t="s">
        <v>78</v>
      </c>
      <c r="W812" s="16" t="s">
        <v>79</v>
      </c>
      <c r="X812" s="15" t="s">
        <v>629</v>
      </c>
      <c r="Y812" s="16" t="s">
        <v>75</v>
      </c>
      <c r="Z812" s="16" t="s">
        <v>75</v>
      </c>
      <c r="AA812" s="16" t="s">
        <v>101</v>
      </c>
      <c r="AB812" s="18"/>
      <c r="AC812" s="19" t="s">
        <v>78</v>
      </c>
      <c r="AD812" s="19" t="s">
        <v>79</v>
      </c>
      <c r="AE812" s="20" t="s">
        <v>2099</v>
      </c>
      <c r="AF812" s="19" t="s">
        <v>75</v>
      </c>
      <c r="AG812" s="19" t="s">
        <v>75</v>
      </c>
      <c r="AH812" s="16" t="s">
        <v>86</v>
      </c>
      <c r="AI812" s="18"/>
      <c r="AJ812" s="13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3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2"/>
      <c r="BK812" s="12"/>
      <c r="BL812" s="12"/>
      <c r="BM812" s="9"/>
      <c r="BN812" s="9"/>
      <c r="BO812" s="9"/>
      <c r="BP812" s="12"/>
      <c r="BQ812" s="12"/>
      <c r="BR812" s="12"/>
      <c r="BS812" s="12"/>
      <c r="BT812" s="12"/>
      <c r="BU812" s="12"/>
      <c r="BV812" s="12"/>
      <c r="BW812" s="12"/>
      <c r="BX812" s="12"/>
      <c r="BY812" s="9"/>
      <c r="BZ812" s="21"/>
      <c r="CA812" s="21"/>
      <c r="CB812" s="21"/>
      <c r="CC812" s="21"/>
      <c r="CD812" s="21"/>
      <c r="CE812" s="21"/>
      <c r="CF812" s="21"/>
      <c r="CG812" s="21"/>
      <c r="CH812" s="21"/>
      <c r="CI812" s="21"/>
      <c r="CJ812" s="21"/>
    </row>
    <row r="813" spans="1:88" ht="40.5" customHeight="1">
      <c r="A813" s="9"/>
      <c r="B813" s="12"/>
      <c r="C813" s="9" t="s">
        <v>2100</v>
      </c>
      <c r="D813" s="9" t="s">
        <v>1697</v>
      </c>
      <c r="E813" s="12">
        <v>0</v>
      </c>
      <c r="F813" s="12">
        <v>0</v>
      </c>
      <c r="G813" s="12" t="b">
        <v>0</v>
      </c>
      <c r="H813" s="9" t="s">
        <v>75</v>
      </c>
      <c r="I813" s="9" t="s">
        <v>2101</v>
      </c>
      <c r="J813" s="9" t="s">
        <v>75</v>
      </c>
      <c r="K813" s="11" t="s">
        <v>2028</v>
      </c>
      <c r="L813" s="12"/>
      <c r="M813" s="12"/>
      <c r="N813" s="13"/>
      <c r="O813" s="16" t="s">
        <v>78</v>
      </c>
      <c r="P813" s="14" t="s">
        <v>79</v>
      </c>
      <c r="Q813" s="15" t="s">
        <v>1977</v>
      </c>
      <c r="R813" s="14" t="s">
        <v>75</v>
      </c>
      <c r="S813" s="14" t="s">
        <v>75</v>
      </c>
      <c r="T813" s="16" t="s">
        <v>166</v>
      </c>
      <c r="U813" s="17"/>
      <c r="V813" s="16" t="s">
        <v>78</v>
      </c>
      <c r="W813" s="16" t="s">
        <v>79</v>
      </c>
      <c r="X813" s="15" t="s">
        <v>629</v>
      </c>
      <c r="Y813" s="16" t="s">
        <v>75</v>
      </c>
      <c r="Z813" s="16" t="s">
        <v>75</v>
      </c>
      <c r="AA813" s="16" t="s">
        <v>101</v>
      </c>
      <c r="AB813" s="18"/>
      <c r="AC813" s="19" t="s">
        <v>78</v>
      </c>
      <c r="AD813" s="19" t="s">
        <v>79</v>
      </c>
      <c r="AE813" s="20" t="s">
        <v>2099</v>
      </c>
      <c r="AF813" s="19" t="s">
        <v>75</v>
      </c>
      <c r="AG813" s="19" t="s">
        <v>75</v>
      </c>
      <c r="AH813" s="16" t="s">
        <v>4</v>
      </c>
      <c r="AI813" s="18"/>
      <c r="AJ813" s="13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3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2"/>
      <c r="BK813" s="12"/>
      <c r="BL813" s="12"/>
      <c r="BM813" s="9"/>
      <c r="BN813" s="9"/>
      <c r="BO813" s="9"/>
      <c r="BP813" s="12"/>
      <c r="BQ813" s="12"/>
      <c r="BR813" s="12"/>
      <c r="BS813" s="12"/>
      <c r="BT813" s="12"/>
      <c r="BU813" s="12"/>
      <c r="BV813" s="12"/>
      <c r="BW813" s="12"/>
      <c r="BX813" s="12"/>
      <c r="BY813" s="9"/>
      <c r="BZ813" s="21"/>
      <c r="CA813" s="21"/>
      <c r="CB813" s="21"/>
      <c r="CC813" s="21"/>
      <c r="CD813" s="21"/>
      <c r="CE813" s="21"/>
      <c r="CF813" s="21"/>
      <c r="CG813" s="21"/>
      <c r="CH813" s="21"/>
      <c r="CI813" s="21"/>
      <c r="CJ813" s="21"/>
    </row>
    <row r="814" spans="1:88" ht="40.5" customHeight="1">
      <c r="A814" s="9"/>
      <c r="B814" s="12"/>
      <c r="C814" s="9" t="s">
        <v>2102</v>
      </c>
      <c r="D814" s="9" t="s">
        <v>1697</v>
      </c>
      <c r="E814" s="12">
        <v>0</v>
      </c>
      <c r="F814" s="12">
        <v>0</v>
      </c>
      <c r="G814" s="12" t="b">
        <v>0</v>
      </c>
      <c r="H814" s="9" t="s">
        <v>75</v>
      </c>
      <c r="I814" s="9" t="s">
        <v>2103</v>
      </c>
      <c r="J814" s="9" t="s">
        <v>75</v>
      </c>
      <c r="K814" s="9" t="s">
        <v>79</v>
      </c>
      <c r="L814" s="12"/>
      <c r="M814" s="12"/>
      <c r="N814" s="13"/>
      <c r="O814" s="16" t="s">
        <v>78</v>
      </c>
      <c r="P814" s="14" t="s">
        <v>79</v>
      </c>
      <c r="Q814" s="15" t="s">
        <v>1977</v>
      </c>
      <c r="R814" s="14" t="s">
        <v>75</v>
      </c>
      <c r="S814" s="14" t="s">
        <v>75</v>
      </c>
      <c r="T814" s="16" t="s">
        <v>101</v>
      </c>
      <c r="U814" s="17"/>
      <c r="V814" s="16" t="s">
        <v>78</v>
      </c>
      <c r="W814" s="16" t="s">
        <v>79</v>
      </c>
      <c r="X814" s="15" t="s">
        <v>629</v>
      </c>
      <c r="Y814" s="16" t="s">
        <v>75</v>
      </c>
      <c r="Z814" s="16" t="s">
        <v>75</v>
      </c>
      <c r="AA814" s="16" t="s">
        <v>101</v>
      </c>
      <c r="AB814" s="18"/>
      <c r="AC814" s="19" t="s">
        <v>78</v>
      </c>
      <c r="AD814" s="19" t="s">
        <v>79</v>
      </c>
      <c r="AE814" s="20" t="s">
        <v>2099</v>
      </c>
      <c r="AF814" s="19" t="s">
        <v>75</v>
      </c>
      <c r="AG814" s="19" t="s">
        <v>75</v>
      </c>
      <c r="AH814" s="16" t="s">
        <v>101</v>
      </c>
      <c r="AI814" s="18"/>
      <c r="AJ814" s="13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3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2"/>
      <c r="BK814" s="12"/>
      <c r="BL814" s="12"/>
      <c r="BM814" s="9"/>
      <c r="BN814" s="9"/>
      <c r="BO814" s="9"/>
      <c r="BP814" s="12"/>
      <c r="BQ814" s="12"/>
      <c r="BR814" s="12"/>
      <c r="BS814" s="12"/>
      <c r="BT814" s="12"/>
      <c r="BU814" s="12"/>
      <c r="BV814" s="12"/>
      <c r="BW814" s="12"/>
      <c r="BX814" s="12"/>
      <c r="BY814" s="9"/>
      <c r="BZ814" s="21"/>
      <c r="CA814" s="21"/>
      <c r="CB814" s="21"/>
      <c r="CC814" s="21"/>
      <c r="CD814" s="21"/>
      <c r="CE814" s="21"/>
      <c r="CF814" s="21"/>
      <c r="CG814" s="21"/>
      <c r="CH814" s="21"/>
      <c r="CI814" s="21"/>
      <c r="CJ814" s="21"/>
    </row>
    <row r="815" spans="1:88" ht="40.5" customHeight="1">
      <c r="A815" s="9"/>
      <c r="B815" s="12"/>
      <c r="C815" s="9" t="s">
        <v>2104</v>
      </c>
      <c r="D815" s="9" t="s">
        <v>1697</v>
      </c>
      <c r="E815" s="12">
        <v>0</v>
      </c>
      <c r="F815" s="12">
        <v>0</v>
      </c>
      <c r="G815" s="12" t="b">
        <v>0</v>
      </c>
      <c r="H815" s="9" t="s">
        <v>75</v>
      </c>
      <c r="I815" s="9" t="s">
        <v>2105</v>
      </c>
      <c r="J815" s="9" t="s">
        <v>75</v>
      </c>
      <c r="K815" s="11" t="s">
        <v>2106</v>
      </c>
      <c r="L815" s="12"/>
      <c r="M815" s="12"/>
      <c r="N815" s="13"/>
      <c r="O815" s="16" t="s">
        <v>78</v>
      </c>
      <c r="P815" s="14" t="s">
        <v>79</v>
      </c>
      <c r="Q815" s="15" t="s">
        <v>1977</v>
      </c>
      <c r="R815" s="14" t="s">
        <v>75</v>
      </c>
      <c r="S815" s="14" t="s">
        <v>75</v>
      </c>
      <c r="T815" s="16" t="s">
        <v>166</v>
      </c>
      <c r="U815" s="17"/>
      <c r="V815" s="16" t="s">
        <v>78</v>
      </c>
      <c r="W815" s="16" t="s">
        <v>79</v>
      </c>
      <c r="X815" s="15" t="s">
        <v>629</v>
      </c>
      <c r="Y815" s="16" t="s">
        <v>75</v>
      </c>
      <c r="Z815" s="16" t="s">
        <v>75</v>
      </c>
      <c r="AA815" s="16" t="s">
        <v>101</v>
      </c>
      <c r="AB815" s="18"/>
      <c r="AC815" s="19" t="s">
        <v>78</v>
      </c>
      <c r="AD815" s="19" t="s">
        <v>79</v>
      </c>
      <c r="AE815" s="20" t="s">
        <v>2099</v>
      </c>
      <c r="AF815" s="19" t="s">
        <v>75</v>
      </c>
      <c r="AG815" s="19" t="s">
        <v>75</v>
      </c>
      <c r="AH815" s="16" t="s">
        <v>86</v>
      </c>
      <c r="AI815" s="18"/>
      <c r="AJ815" s="13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3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2"/>
      <c r="BK815" s="12"/>
      <c r="BL815" s="12"/>
      <c r="BM815" s="9"/>
      <c r="BN815" s="9"/>
      <c r="BO815" s="9"/>
      <c r="BP815" s="12"/>
      <c r="BQ815" s="12"/>
      <c r="BR815" s="12"/>
      <c r="BS815" s="12"/>
      <c r="BT815" s="12"/>
      <c r="BU815" s="12"/>
      <c r="BV815" s="12"/>
      <c r="BW815" s="12"/>
      <c r="BX815" s="12"/>
      <c r="BY815" s="9"/>
      <c r="BZ815" s="21"/>
      <c r="CA815" s="21"/>
      <c r="CB815" s="21"/>
      <c r="CC815" s="21"/>
      <c r="CD815" s="21"/>
      <c r="CE815" s="21"/>
      <c r="CF815" s="21"/>
      <c r="CG815" s="21"/>
      <c r="CH815" s="21"/>
      <c r="CI815" s="21"/>
      <c r="CJ815" s="21"/>
    </row>
    <row r="816" spans="1:88" ht="40.5" customHeight="1">
      <c r="A816" s="9"/>
      <c r="B816" s="12"/>
      <c r="C816" s="9" t="s">
        <v>2073</v>
      </c>
      <c r="D816" s="9" t="s">
        <v>1697</v>
      </c>
      <c r="E816" s="12">
        <v>0</v>
      </c>
      <c r="F816" s="12">
        <v>0</v>
      </c>
      <c r="G816" s="12" t="b">
        <v>0</v>
      </c>
      <c r="H816" s="9" t="s">
        <v>75</v>
      </c>
      <c r="I816" s="9" t="s">
        <v>2107</v>
      </c>
      <c r="J816" s="9" t="s">
        <v>75</v>
      </c>
      <c r="K816" s="11" t="s">
        <v>2075</v>
      </c>
      <c r="L816" s="12"/>
      <c r="M816" s="12"/>
      <c r="N816" s="13"/>
      <c r="O816" s="16" t="s">
        <v>78</v>
      </c>
      <c r="P816" s="14" t="s">
        <v>79</v>
      </c>
      <c r="Q816" s="15" t="s">
        <v>1977</v>
      </c>
      <c r="R816" s="14" t="s">
        <v>75</v>
      </c>
      <c r="S816" s="14" t="s">
        <v>75</v>
      </c>
      <c r="T816" s="16" t="s">
        <v>4</v>
      </c>
      <c r="U816" s="17"/>
      <c r="V816" s="13"/>
      <c r="W816" s="13"/>
      <c r="X816" s="13"/>
      <c r="Y816" s="13"/>
      <c r="Z816" s="13"/>
      <c r="AA816" s="13"/>
      <c r="AB816" s="18"/>
      <c r="AC816" s="18"/>
      <c r="AD816" s="18"/>
      <c r="AE816" s="18"/>
      <c r="AF816" s="18"/>
      <c r="AG816" s="18"/>
      <c r="AH816" s="13"/>
      <c r="AI816" s="18"/>
      <c r="AJ816" s="13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3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2"/>
      <c r="BK816" s="12"/>
      <c r="BL816" s="12"/>
      <c r="BM816" s="9"/>
      <c r="BN816" s="9"/>
      <c r="BO816" s="9"/>
      <c r="BP816" s="12"/>
      <c r="BQ816" s="12"/>
      <c r="BR816" s="12"/>
      <c r="BS816" s="12"/>
      <c r="BT816" s="12"/>
      <c r="BU816" s="12"/>
      <c r="BV816" s="12"/>
      <c r="BW816" s="12"/>
      <c r="BX816" s="12"/>
      <c r="BY816" s="9"/>
      <c r="BZ816" s="21"/>
      <c r="CA816" s="21"/>
      <c r="CB816" s="21"/>
      <c r="CC816" s="21"/>
      <c r="CD816" s="21"/>
      <c r="CE816" s="21"/>
      <c r="CF816" s="21"/>
      <c r="CG816" s="21"/>
      <c r="CH816" s="21"/>
      <c r="CI816" s="21"/>
      <c r="CJ816" s="21"/>
    </row>
    <row r="817" spans="1:88" ht="40.5" customHeight="1">
      <c r="A817" s="9"/>
      <c r="B817" s="12"/>
      <c r="C817" s="9" t="s">
        <v>2076</v>
      </c>
      <c r="D817" s="9" t="s">
        <v>1697</v>
      </c>
      <c r="E817" s="12">
        <v>0</v>
      </c>
      <c r="F817" s="12">
        <v>0</v>
      </c>
      <c r="G817" s="12" t="b">
        <v>0</v>
      </c>
      <c r="H817" s="9" t="s">
        <v>75</v>
      </c>
      <c r="I817" s="9" t="s">
        <v>2077</v>
      </c>
      <c r="J817" s="9" t="s">
        <v>75</v>
      </c>
      <c r="K817" s="11" t="s">
        <v>2078</v>
      </c>
      <c r="L817" s="12"/>
      <c r="M817" s="12"/>
      <c r="N817" s="13"/>
      <c r="O817" s="16" t="s">
        <v>78</v>
      </c>
      <c r="P817" s="14" t="s">
        <v>79</v>
      </c>
      <c r="Q817" s="15" t="s">
        <v>221</v>
      </c>
      <c r="R817" s="14" t="s">
        <v>75</v>
      </c>
      <c r="S817" s="14" t="s">
        <v>75</v>
      </c>
      <c r="T817" s="16" t="s">
        <v>4</v>
      </c>
      <c r="U817" s="17"/>
      <c r="V817" s="13"/>
      <c r="W817" s="13"/>
      <c r="X817" s="13"/>
      <c r="Y817" s="13"/>
      <c r="Z817" s="13"/>
      <c r="AA817" s="13"/>
      <c r="AB817" s="18"/>
      <c r="AC817" s="18"/>
      <c r="AD817" s="18"/>
      <c r="AE817" s="18"/>
      <c r="AF817" s="18"/>
      <c r="AG817" s="18"/>
      <c r="AH817" s="13"/>
      <c r="AI817" s="18"/>
      <c r="AJ817" s="13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3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2"/>
      <c r="BK817" s="12"/>
      <c r="BL817" s="12"/>
      <c r="BM817" s="9"/>
      <c r="BN817" s="9"/>
      <c r="BO817" s="9"/>
      <c r="BP817" s="12"/>
      <c r="BQ817" s="12"/>
      <c r="BR817" s="12"/>
      <c r="BS817" s="12"/>
      <c r="BT817" s="12"/>
      <c r="BU817" s="12"/>
      <c r="BV817" s="12"/>
      <c r="BW817" s="12"/>
      <c r="BX817" s="12"/>
      <c r="BY817" s="9"/>
      <c r="BZ817" s="21"/>
      <c r="CA817" s="21"/>
      <c r="CB817" s="21"/>
      <c r="CC817" s="21"/>
      <c r="CD817" s="21"/>
      <c r="CE817" s="21"/>
      <c r="CF817" s="21"/>
      <c r="CG817" s="21"/>
      <c r="CH817" s="21"/>
      <c r="CI817" s="21"/>
      <c r="CJ817" s="21"/>
    </row>
    <row r="818" spans="1:88" ht="40.5" customHeight="1">
      <c r="A818" s="9"/>
      <c r="B818" s="12"/>
      <c r="C818" s="9" t="s">
        <v>2079</v>
      </c>
      <c r="D818" s="9" t="s">
        <v>1697</v>
      </c>
      <c r="E818" s="12">
        <v>0</v>
      </c>
      <c r="F818" s="12">
        <v>0</v>
      </c>
      <c r="G818" s="12" t="b">
        <v>0</v>
      </c>
      <c r="H818" s="9" t="s">
        <v>75</v>
      </c>
      <c r="I818" s="9" t="s">
        <v>2080</v>
      </c>
      <c r="J818" s="9" t="s">
        <v>75</v>
      </c>
      <c r="K818" s="11" t="s">
        <v>2081</v>
      </c>
      <c r="L818" s="12"/>
      <c r="M818" s="12"/>
      <c r="N818" s="13"/>
      <c r="O818" s="16" t="s">
        <v>78</v>
      </c>
      <c r="P818" s="14" t="s">
        <v>79</v>
      </c>
      <c r="Q818" s="15" t="s">
        <v>221</v>
      </c>
      <c r="R818" s="14" t="s">
        <v>75</v>
      </c>
      <c r="S818" s="14" t="s">
        <v>75</v>
      </c>
      <c r="T818" s="16" t="s">
        <v>166</v>
      </c>
      <c r="U818" s="17"/>
      <c r="V818" s="16" t="s">
        <v>78</v>
      </c>
      <c r="W818" s="16" t="s">
        <v>79</v>
      </c>
      <c r="X818" s="15" t="s">
        <v>629</v>
      </c>
      <c r="Y818" s="16" t="s">
        <v>75</v>
      </c>
      <c r="Z818" s="16" t="s">
        <v>75</v>
      </c>
      <c r="AA818" s="16" t="s">
        <v>4</v>
      </c>
      <c r="AB818" s="18"/>
      <c r="AC818" s="18"/>
      <c r="AD818" s="18"/>
      <c r="AE818" s="18"/>
      <c r="AF818" s="18"/>
      <c r="AG818" s="18"/>
      <c r="AH818" s="13"/>
      <c r="AI818" s="18"/>
      <c r="AJ818" s="13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3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2"/>
      <c r="BK818" s="12"/>
      <c r="BL818" s="12"/>
      <c r="BM818" s="9"/>
      <c r="BN818" s="9"/>
      <c r="BO818" s="9"/>
      <c r="BP818" s="12"/>
      <c r="BQ818" s="12"/>
      <c r="BR818" s="12"/>
      <c r="BS818" s="12"/>
      <c r="BT818" s="12"/>
      <c r="BU818" s="12"/>
      <c r="BV818" s="12"/>
      <c r="BW818" s="12"/>
      <c r="BX818" s="12"/>
      <c r="BY818" s="9"/>
      <c r="BZ818" s="21"/>
      <c r="CA818" s="21"/>
      <c r="CB818" s="21"/>
      <c r="CC818" s="21"/>
      <c r="CD818" s="21"/>
      <c r="CE818" s="21"/>
      <c r="CF818" s="21"/>
      <c r="CG818" s="21"/>
      <c r="CH818" s="21"/>
      <c r="CI818" s="21"/>
      <c r="CJ818" s="21"/>
    </row>
    <row r="819" spans="1:88" ht="40.5" customHeight="1">
      <c r="A819" s="9"/>
      <c r="B819" s="12"/>
      <c r="C819" s="9" t="s">
        <v>2108</v>
      </c>
      <c r="D819" s="9" t="s">
        <v>1697</v>
      </c>
      <c r="E819" s="12">
        <v>0</v>
      </c>
      <c r="F819" s="12">
        <v>0</v>
      </c>
      <c r="G819" s="12" t="b">
        <v>0</v>
      </c>
      <c r="H819" s="9" t="s">
        <v>75</v>
      </c>
      <c r="I819" s="10" t="s">
        <v>2109</v>
      </c>
      <c r="J819" s="9" t="s">
        <v>75</v>
      </c>
      <c r="K819" s="11" t="s">
        <v>2110</v>
      </c>
      <c r="L819" s="12"/>
      <c r="M819" s="12"/>
      <c r="N819" s="13"/>
      <c r="O819" s="16" t="s">
        <v>98</v>
      </c>
      <c r="P819" s="14" t="s">
        <v>79</v>
      </c>
      <c r="Q819" s="15" t="s">
        <v>629</v>
      </c>
      <c r="R819" s="14" t="s">
        <v>75</v>
      </c>
      <c r="S819" s="14" t="s">
        <v>75</v>
      </c>
      <c r="T819" s="16" t="s">
        <v>101</v>
      </c>
      <c r="U819" s="17"/>
      <c r="V819" s="16" t="s">
        <v>78</v>
      </c>
      <c r="W819" s="16" t="s">
        <v>79</v>
      </c>
      <c r="X819" s="15" t="s">
        <v>2099</v>
      </c>
      <c r="Y819" s="16" t="s">
        <v>75</v>
      </c>
      <c r="Z819" s="16" t="s">
        <v>75</v>
      </c>
      <c r="AA819" s="16" t="s">
        <v>86</v>
      </c>
      <c r="AB819" s="18"/>
      <c r="AC819" s="18"/>
      <c r="AD819" s="18"/>
      <c r="AE819" s="18"/>
      <c r="AF819" s="18"/>
      <c r="AG819" s="18"/>
      <c r="AH819" s="13"/>
      <c r="AI819" s="18"/>
      <c r="AJ819" s="13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3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2"/>
      <c r="BK819" s="12"/>
      <c r="BL819" s="12"/>
      <c r="BM819" s="9"/>
      <c r="BN819" s="9"/>
      <c r="BO819" s="9"/>
      <c r="BP819" s="12"/>
      <c r="BQ819" s="12"/>
      <c r="BR819" s="12"/>
      <c r="BS819" s="12"/>
      <c r="BT819" s="12"/>
      <c r="BU819" s="12"/>
      <c r="BV819" s="12"/>
      <c r="BW819" s="12"/>
      <c r="BX819" s="12"/>
      <c r="BY819" s="9"/>
      <c r="BZ819" s="21"/>
      <c r="CA819" s="21"/>
      <c r="CB819" s="21"/>
      <c r="CC819" s="21"/>
      <c r="CD819" s="21"/>
      <c r="CE819" s="21"/>
      <c r="CF819" s="21"/>
      <c r="CG819" s="21"/>
      <c r="CH819" s="21"/>
      <c r="CI819" s="21"/>
      <c r="CJ819" s="21"/>
    </row>
    <row r="820" spans="1:88" ht="40.5" customHeight="1">
      <c r="A820" s="9"/>
      <c r="B820" s="12"/>
      <c r="C820" s="9" t="s">
        <v>2111</v>
      </c>
      <c r="D820" s="9" t="s">
        <v>1697</v>
      </c>
      <c r="E820" s="12">
        <v>0</v>
      </c>
      <c r="F820" s="12">
        <v>0</v>
      </c>
      <c r="G820" s="12" t="b">
        <v>0</v>
      </c>
      <c r="H820" s="9" t="s">
        <v>75</v>
      </c>
      <c r="I820" s="9" t="s">
        <v>2112</v>
      </c>
      <c r="J820" s="9" t="s">
        <v>75</v>
      </c>
      <c r="K820" s="11" t="s">
        <v>2113</v>
      </c>
      <c r="L820" s="12"/>
      <c r="M820" s="12"/>
      <c r="N820" s="13"/>
      <c r="O820" s="16" t="s">
        <v>78</v>
      </c>
      <c r="P820" s="14" t="s">
        <v>79</v>
      </c>
      <c r="Q820" s="15" t="s">
        <v>629</v>
      </c>
      <c r="R820" s="14" t="s">
        <v>75</v>
      </c>
      <c r="S820" s="14" t="s">
        <v>75</v>
      </c>
      <c r="T820" s="16" t="s">
        <v>101</v>
      </c>
      <c r="U820" s="17"/>
      <c r="V820" s="16" t="s">
        <v>78</v>
      </c>
      <c r="W820" s="16" t="s">
        <v>79</v>
      </c>
      <c r="X820" s="15" t="s">
        <v>2099</v>
      </c>
      <c r="Y820" s="16" t="s">
        <v>75</v>
      </c>
      <c r="Z820" s="16" t="s">
        <v>75</v>
      </c>
      <c r="AA820" s="16" t="s">
        <v>101</v>
      </c>
      <c r="AB820" s="18"/>
      <c r="AC820" s="18"/>
      <c r="AD820" s="18"/>
      <c r="AE820" s="18"/>
      <c r="AF820" s="18"/>
      <c r="AG820" s="18"/>
      <c r="AH820" s="13"/>
      <c r="AI820" s="18"/>
      <c r="AJ820" s="13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3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2"/>
      <c r="BK820" s="12"/>
      <c r="BL820" s="12"/>
      <c r="BM820" s="9"/>
      <c r="BN820" s="9"/>
      <c r="BO820" s="9"/>
      <c r="BP820" s="12"/>
      <c r="BQ820" s="12"/>
      <c r="BR820" s="12"/>
      <c r="BS820" s="12"/>
      <c r="BT820" s="12"/>
      <c r="BU820" s="12"/>
      <c r="BV820" s="12"/>
      <c r="BW820" s="12"/>
      <c r="BX820" s="12"/>
      <c r="BY820" s="9"/>
      <c r="BZ820" s="21"/>
      <c r="CA820" s="21"/>
      <c r="CB820" s="21"/>
      <c r="CC820" s="21"/>
      <c r="CD820" s="21"/>
      <c r="CE820" s="21"/>
      <c r="CF820" s="21"/>
      <c r="CG820" s="21"/>
      <c r="CH820" s="21"/>
      <c r="CI820" s="21"/>
      <c r="CJ820" s="21"/>
    </row>
    <row r="821" spans="1:88" ht="40.5" customHeight="1">
      <c r="A821" s="9"/>
      <c r="B821" s="12"/>
      <c r="C821" s="9" t="s">
        <v>2114</v>
      </c>
      <c r="D821" s="9" t="s">
        <v>1697</v>
      </c>
      <c r="E821" s="12">
        <v>0</v>
      </c>
      <c r="F821" s="12">
        <v>0</v>
      </c>
      <c r="G821" s="12" t="b">
        <v>0</v>
      </c>
      <c r="H821" s="9" t="s">
        <v>75</v>
      </c>
      <c r="I821" s="9" t="s">
        <v>2115</v>
      </c>
      <c r="J821" s="9" t="s">
        <v>75</v>
      </c>
      <c r="K821" s="9" t="s">
        <v>79</v>
      </c>
      <c r="L821" s="12"/>
      <c r="M821" s="12"/>
      <c r="N821" s="13"/>
      <c r="O821" s="16" t="s">
        <v>78</v>
      </c>
      <c r="P821" s="14" t="s">
        <v>79</v>
      </c>
      <c r="Q821" s="15" t="s">
        <v>629</v>
      </c>
      <c r="R821" s="14" t="s">
        <v>75</v>
      </c>
      <c r="S821" s="14" t="s">
        <v>75</v>
      </c>
      <c r="T821" s="16" t="s">
        <v>153</v>
      </c>
      <c r="U821" s="17"/>
      <c r="V821" s="16" t="s">
        <v>78</v>
      </c>
      <c r="W821" s="16" t="s">
        <v>79</v>
      </c>
      <c r="X821" s="15" t="s">
        <v>2099</v>
      </c>
      <c r="Y821" s="16" t="s">
        <v>75</v>
      </c>
      <c r="Z821" s="16" t="s">
        <v>75</v>
      </c>
      <c r="AA821" s="16" t="s">
        <v>86</v>
      </c>
      <c r="AB821" s="18"/>
      <c r="AC821" s="18"/>
      <c r="AD821" s="18"/>
      <c r="AE821" s="18"/>
      <c r="AF821" s="18"/>
      <c r="AG821" s="18"/>
      <c r="AH821" s="13"/>
      <c r="AI821" s="18"/>
      <c r="AJ821" s="13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3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2"/>
      <c r="BK821" s="12"/>
      <c r="BL821" s="12"/>
      <c r="BM821" s="9"/>
      <c r="BN821" s="9"/>
      <c r="BO821" s="9"/>
      <c r="BP821" s="12"/>
      <c r="BQ821" s="12"/>
      <c r="BR821" s="12"/>
      <c r="BS821" s="12"/>
      <c r="BT821" s="12"/>
      <c r="BU821" s="12"/>
      <c r="BV821" s="12"/>
      <c r="BW821" s="12"/>
      <c r="BX821" s="12"/>
      <c r="BY821" s="9"/>
      <c r="BZ821" s="21"/>
      <c r="CA821" s="21"/>
      <c r="CB821" s="21"/>
      <c r="CC821" s="21"/>
      <c r="CD821" s="21"/>
      <c r="CE821" s="21"/>
      <c r="CF821" s="21"/>
      <c r="CG821" s="21"/>
      <c r="CH821" s="21"/>
      <c r="CI821" s="21"/>
      <c r="CJ821" s="21"/>
    </row>
    <row r="822" spans="1:88" ht="40.5" customHeight="1">
      <c r="A822" s="9"/>
      <c r="B822" s="12"/>
      <c r="C822" s="9" t="s">
        <v>2116</v>
      </c>
      <c r="D822" s="9" t="s">
        <v>1697</v>
      </c>
      <c r="E822" s="12">
        <v>0</v>
      </c>
      <c r="F822" s="12">
        <v>0</v>
      </c>
      <c r="G822" s="12" t="b">
        <v>0</v>
      </c>
      <c r="H822" s="9" t="s">
        <v>75</v>
      </c>
      <c r="I822" s="9" t="s">
        <v>2117</v>
      </c>
      <c r="J822" s="9" t="s">
        <v>75</v>
      </c>
      <c r="K822" s="11" t="s">
        <v>2118</v>
      </c>
      <c r="L822" s="12"/>
      <c r="M822" s="12"/>
      <c r="N822" s="13"/>
      <c r="O822" s="16" t="s">
        <v>78</v>
      </c>
      <c r="P822" s="14" t="s">
        <v>79</v>
      </c>
      <c r="Q822" s="15" t="s">
        <v>629</v>
      </c>
      <c r="R822" s="14" t="s">
        <v>75</v>
      </c>
      <c r="S822" s="14" t="s">
        <v>75</v>
      </c>
      <c r="T822" s="16" t="s">
        <v>101</v>
      </c>
      <c r="U822" s="17"/>
      <c r="V822" s="16" t="s">
        <v>78</v>
      </c>
      <c r="W822" s="16" t="s">
        <v>79</v>
      </c>
      <c r="X822" s="15" t="s">
        <v>2099</v>
      </c>
      <c r="Y822" s="16" t="s">
        <v>75</v>
      </c>
      <c r="Z822" s="16" t="s">
        <v>75</v>
      </c>
      <c r="AA822" s="16" t="s">
        <v>101</v>
      </c>
      <c r="AB822" s="18"/>
      <c r="AC822" s="18"/>
      <c r="AD822" s="18"/>
      <c r="AE822" s="18"/>
      <c r="AF822" s="18"/>
      <c r="AG822" s="18"/>
      <c r="AH822" s="13"/>
      <c r="AI822" s="18"/>
      <c r="AJ822" s="13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3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2"/>
      <c r="BK822" s="12"/>
      <c r="BL822" s="12"/>
      <c r="BM822" s="9"/>
      <c r="BN822" s="9"/>
      <c r="BO822" s="9"/>
      <c r="BP822" s="12"/>
      <c r="BQ822" s="12"/>
      <c r="BR822" s="12"/>
      <c r="BS822" s="12"/>
      <c r="BT822" s="12"/>
      <c r="BU822" s="12"/>
      <c r="BV822" s="12"/>
      <c r="BW822" s="12"/>
      <c r="BX822" s="12"/>
      <c r="BY822" s="9"/>
      <c r="BZ822" s="21"/>
      <c r="CA822" s="21"/>
      <c r="CB822" s="21"/>
      <c r="CC822" s="21"/>
      <c r="CD822" s="21"/>
      <c r="CE822" s="21"/>
      <c r="CF822" s="21"/>
      <c r="CG822" s="21"/>
      <c r="CH822" s="21"/>
      <c r="CI822" s="21"/>
      <c r="CJ822" s="21"/>
    </row>
    <row r="823" spans="1:88" ht="40.5" customHeight="1">
      <c r="A823" s="9"/>
      <c r="B823" s="12"/>
      <c r="C823" s="9" t="s">
        <v>2119</v>
      </c>
      <c r="D823" s="9" t="s">
        <v>1697</v>
      </c>
      <c r="E823" s="12">
        <v>0</v>
      </c>
      <c r="F823" s="12">
        <v>0</v>
      </c>
      <c r="G823" s="12" t="b">
        <v>0</v>
      </c>
      <c r="H823" s="9" t="s">
        <v>75</v>
      </c>
      <c r="I823" s="9" t="s">
        <v>2120</v>
      </c>
      <c r="J823" s="9" t="s">
        <v>75</v>
      </c>
      <c r="K823" s="11" t="s">
        <v>2121</v>
      </c>
      <c r="L823" s="12"/>
      <c r="M823" s="12"/>
      <c r="N823" s="13"/>
      <c r="O823" s="16" t="s">
        <v>78</v>
      </c>
      <c r="P823" s="14" t="s">
        <v>79</v>
      </c>
      <c r="Q823" s="15" t="s">
        <v>629</v>
      </c>
      <c r="R823" s="14" t="s">
        <v>75</v>
      </c>
      <c r="S823" s="14" t="s">
        <v>75</v>
      </c>
      <c r="T823" s="16" t="s">
        <v>101</v>
      </c>
      <c r="U823" s="17"/>
      <c r="V823" s="16" t="s">
        <v>78</v>
      </c>
      <c r="W823" s="16" t="s">
        <v>79</v>
      </c>
      <c r="X823" s="15" t="s">
        <v>2099</v>
      </c>
      <c r="Y823" s="16" t="s">
        <v>75</v>
      </c>
      <c r="Z823" s="16" t="s">
        <v>75</v>
      </c>
      <c r="AA823" s="16" t="s">
        <v>4</v>
      </c>
      <c r="AB823" s="18"/>
      <c r="AC823" s="18"/>
      <c r="AD823" s="18"/>
      <c r="AE823" s="18"/>
      <c r="AF823" s="18"/>
      <c r="AG823" s="18"/>
      <c r="AH823" s="13"/>
      <c r="AI823" s="18"/>
      <c r="AJ823" s="13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3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2"/>
      <c r="BK823" s="12"/>
      <c r="BL823" s="12"/>
      <c r="BM823" s="9"/>
      <c r="BN823" s="9"/>
      <c r="BO823" s="9"/>
      <c r="BP823" s="12"/>
      <c r="BQ823" s="12"/>
      <c r="BR823" s="12"/>
      <c r="BS823" s="12"/>
      <c r="BT823" s="12"/>
      <c r="BU823" s="12"/>
      <c r="BV823" s="12"/>
      <c r="BW823" s="12"/>
      <c r="BX823" s="12"/>
      <c r="BY823" s="9"/>
      <c r="BZ823" s="21"/>
      <c r="CA823" s="21"/>
      <c r="CB823" s="21"/>
      <c r="CC823" s="21"/>
      <c r="CD823" s="21"/>
      <c r="CE823" s="21"/>
      <c r="CF823" s="21"/>
      <c r="CG823" s="21"/>
      <c r="CH823" s="21"/>
      <c r="CI823" s="21"/>
      <c r="CJ823" s="21"/>
    </row>
    <row r="824" spans="1:88" ht="40.5" customHeight="1">
      <c r="A824" s="9"/>
      <c r="B824" s="12"/>
      <c r="C824" s="9" t="s">
        <v>2122</v>
      </c>
      <c r="D824" s="9" t="s">
        <v>1697</v>
      </c>
      <c r="E824" s="12">
        <v>0</v>
      </c>
      <c r="F824" s="12">
        <v>0</v>
      </c>
      <c r="G824" s="12" t="b">
        <v>0</v>
      </c>
      <c r="H824" s="11" t="s">
        <v>2123</v>
      </c>
      <c r="I824" s="9" t="s">
        <v>2124</v>
      </c>
      <c r="J824" s="9" t="s">
        <v>75</v>
      </c>
      <c r="K824" s="9" t="s">
        <v>79</v>
      </c>
      <c r="L824" s="12"/>
      <c r="M824" s="12"/>
      <c r="N824" s="13"/>
      <c r="O824" s="16" t="s">
        <v>78</v>
      </c>
      <c r="P824" s="14" t="s">
        <v>79</v>
      </c>
      <c r="Q824" s="15" t="s">
        <v>629</v>
      </c>
      <c r="R824" s="14" t="s">
        <v>75</v>
      </c>
      <c r="S824" s="14" t="s">
        <v>75</v>
      </c>
      <c r="T824" s="16" t="s">
        <v>101</v>
      </c>
      <c r="U824" s="17"/>
      <c r="V824" s="16" t="s">
        <v>78</v>
      </c>
      <c r="W824" s="16" t="s">
        <v>79</v>
      </c>
      <c r="X824" s="15" t="s">
        <v>2099</v>
      </c>
      <c r="Y824" s="16" t="s">
        <v>75</v>
      </c>
      <c r="Z824" s="16" t="s">
        <v>75</v>
      </c>
      <c r="AA824" s="16" t="s">
        <v>101</v>
      </c>
      <c r="AB824" s="18"/>
      <c r="AC824" s="18"/>
      <c r="AD824" s="18"/>
      <c r="AE824" s="18"/>
      <c r="AF824" s="18"/>
      <c r="AG824" s="18"/>
      <c r="AH824" s="13"/>
      <c r="AI824" s="18"/>
      <c r="AJ824" s="13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3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2"/>
      <c r="BK824" s="12"/>
      <c r="BL824" s="12"/>
      <c r="BM824" s="9"/>
      <c r="BN824" s="9"/>
      <c r="BO824" s="9"/>
      <c r="BP824" s="12"/>
      <c r="BQ824" s="12"/>
      <c r="BR824" s="12"/>
      <c r="BS824" s="12"/>
      <c r="BT824" s="12"/>
      <c r="BU824" s="12"/>
      <c r="BV824" s="12"/>
      <c r="BW824" s="12"/>
      <c r="BX824" s="12"/>
      <c r="BY824" s="9"/>
      <c r="BZ824" s="21"/>
      <c r="CA824" s="21"/>
      <c r="CB824" s="21"/>
      <c r="CC824" s="21"/>
      <c r="CD824" s="21"/>
      <c r="CE824" s="21"/>
      <c r="CF824" s="21"/>
      <c r="CG824" s="21"/>
      <c r="CH824" s="21"/>
      <c r="CI824" s="21"/>
      <c r="CJ824" s="21"/>
    </row>
    <row r="825" spans="1:88" ht="40.5" customHeight="1">
      <c r="A825" s="9"/>
      <c r="B825" s="12"/>
      <c r="C825" s="9" t="s">
        <v>2125</v>
      </c>
      <c r="D825" s="9" t="s">
        <v>1697</v>
      </c>
      <c r="E825" s="12">
        <v>0</v>
      </c>
      <c r="F825" s="12">
        <v>0</v>
      </c>
      <c r="G825" s="12" t="b">
        <v>0</v>
      </c>
      <c r="H825" s="9" t="s">
        <v>75</v>
      </c>
      <c r="I825" s="9" t="s">
        <v>2126</v>
      </c>
      <c r="J825" s="9" t="s">
        <v>75</v>
      </c>
      <c r="K825" s="11" t="s">
        <v>2127</v>
      </c>
      <c r="L825" s="12"/>
      <c r="M825" s="12"/>
      <c r="N825" s="13"/>
      <c r="O825" s="16" t="s">
        <v>78</v>
      </c>
      <c r="P825" s="14" t="s">
        <v>79</v>
      </c>
      <c r="Q825" s="15" t="s">
        <v>629</v>
      </c>
      <c r="R825" s="14" t="s">
        <v>75</v>
      </c>
      <c r="S825" s="14" t="s">
        <v>75</v>
      </c>
      <c r="T825" s="16" t="s">
        <v>101</v>
      </c>
      <c r="U825" s="17"/>
      <c r="V825" s="16" t="s">
        <v>78</v>
      </c>
      <c r="W825" s="16" t="s">
        <v>79</v>
      </c>
      <c r="X825" s="15" t="s">
        <v>2099</v>
      </c>
      <c r="Y825" s="16" t="s">
        <v>75</v>
      </c>
      <c r="Z825" s="16" t="s">
        <v>75</v>
      </c>
      <c r="AA825" s="16" t="s">
        <v>101</v>
      </c>
      <c r="AB825" s="18"/>
      <c r="AC825" s="18"/>
      <c r="AD825" s="18"/>
      <c r="AE825" s="18"/>
      <c r="AF825" s="18"/>
      <c r="AG825" s="18"/>
      <c r="AH825" s="13"/>
      <c r="AI825" s="18"/>
      <c r="AJ825" s="13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3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2"/>
      <c r="BK825" s="12"/>
      <c r="BL825" s="12"/>
      <c r="BM825" s="9"/>
      <c r="BN825" s="9"/>
      <c r="BO825" s="9"/>
      <c r="BP825" s="12"/>
      <c r="BQ825" s="12"/>
      <c r="BR825" s="12"/>
      <c r="BS825" s="12"/>
      <c r="BT825" s="12"/>
      <c r="BU825" s="12"/>
      <c r="BV825" s="12"/>
      <c r="BW825" s="12"/>
      <c r="BX825" s="12"/>
      <c r="BY825" s="9"/>
      <c r="BZ825" s="21"/>
      <c r="CA825" s="21"/>
      <c r="CB825" s="21"/>
      <c r="CC825" s="21"/>
      <c r="CD825" s="21"/>
      <c r="CE825" s="21"/>
      <c r="CF825" s="21"/>
      <c r="CG825" s="21"/>
      <c r="CH825" s="21"/>
      <c r="CI825" s="21"/>
      <c r="CJ825" s="21"/>
    </row>
    <row r="826" spans="1:88" ht="40.5" customHeight="1">
      <c r="A826" s="9"/>
      <c r="B826" s="12"/>
      <c r="C826" s="9" t="s">
        <v>2128</v>
      </c>
      <c r="D826" s="9" t="s">
        <v>1697</v>
      </c>
      <c r="E826" s="12">
        <v>0</v>
      </c>
      <c r="F826" s="12">
        <v>0</v>
      </c>
      <c r="G826" s="12" t="b">
        <v>0</v>
      </c>
      <c r="H826" s="9" t="s">
        <v>75</v>
      </c>
      <c r="I826" s="9" t="s">
        <v>2129</v>
      </c>
      <c r="J826" s="9" t="s">
        <v>75</v>
      </c>
      <c r="K826" s="11" t="s">
        <v>2130</v>
      </c>
      <c r="L826" s="12"/>
      <c r="M826" s="12"/>
      <c r="N826" s="13"/>
      <c r="O826" s="16" t="s">
        <v>78</v>
      </c>
      <c r="P826" s="14" t="s">
        <v>79</v>
      </c>
      <c r="Q826" s="15" t="s">
        <v>629</v>
      </c>
      <c r="R826" s="14" t="s">
        <v>75</v>
      </c>
      <c r="S826" s="14" t="s">
        <v>75</v>
      </c>
      <c r="T826" s="16" t="s">
        <v>166</v>
      </c>
      <c r="U826" s="17"/>
      <c r="V826" s="16" t="s">
        <v>98</v>
      </c>
      <c r="W826" s="16" t="s">
        <v>79</v>
      </c>
      <c r="X826" s="15" t="s">
        <v>2099</v>
      </c>
      <c r="Y826" s="16" t="s">
        <v>75</v>
      </c>
      <c r="Z826" s="16" t="s">
        <v>75</v>
      </c>
      <c r="AA826" s="16" t="s">
        <v>86</v>
      </c>
      <c r="AB826" s="18"/>
      <c r="AC826" s="18"/>
      <c r="AD826" s="18"/>
      <c r="AE826" s="18"/>
      <c r="AF826" s="18"/>
      <c r="AG826" s="18"/>
      <c r="AH826" s="13"/>
      <c r="AI826" s="18"/>
      <c r="AJ826" s="13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3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2"/>
      <c r="BK826" s="12"/>
      <c r="BL826" s="12"/>
      <c r="BM826" s="9"/>
      <c r="BN826" s="9"/>
      <c r="BO826" s="9"/>
      <c r="BP826" s="12"/>
      <c r="BQ826" s="12"/>
      <c r="BR826" s="12"/>
      <c r="BS826" s="12"/>
      <c r="BT826" s="12"/>
      <c r="BU826" s="12"/>
      <c r="BV826" s="12"/>
      <c r="BW826" s="12"/>
      <c r="BX826" s="12"/>
      <c r="BY826" s="9"/>
      <c r="BZ826" s="21"/>
      <c r="CA826" s="21"/>
      <c r="CB826" s="21"/>
      <c r="CC826" s="21"/>
      <c r="CD826" s="21"/>
      <c r="CE826" s="21"/>
      <c r="CF826" s="21"/>
      <c r="CG826" s="21"/>
      <c r="CH826" s="21"/>
      <c r="CI826" s="21"/>
      <c r="CJ826" s="21"/>
    </row>
    <row r="827" spans="1:88" ht="40.5" customHeight="1">
      <c r="A827" s="9"/>
      <c r="B827" s="12"/>
      <c r="C827" s="9" t="s">
        <v>2131</v>
      </c>
      <c r="D827" s="9" t="s">
        <v>1697</v>
      </c>
      <c r="E827" s="12">
        <v>0</v>
      </c>
      <c r="F827" s="12">
        <v>0</v>
      </c>
      <c r="G827" s="12" t="b">
        <v>0</v>
      </c>
      <c r="H827" s="9" t="s">
        <v>75</v>
      </c>
      <c r="I827" s="9" t="s">
        <v>2132</v>
      </c>
      <c r="J827" s="9" t="s">
        <v>75</v>
      </c>
      <c r="K827" s="11" t="s">
        <v>2133</v>
      </c>
      <c r="L827" s="12"/>
      <c r="M827" s="12"/>
      <c r="N827" s="13"/>
      <c r="O827" s="16" t="s">
        <v>78</v>
      </c>
      <c r="P827" s="14" t="s">
        <v>79</v>
      </c>
      <c r="Q827" s="15" t="s">
        <v>629</v>
      </c>
      <c r="R827" s="14" t="s">
        <v>75</v>
      </c>
      <c r="S827" s="14" t="s">
        <v>75</v>
      </c>
      <c r="T827" s="16" t="s">
        <v>101</v>
      </c>
      <c r="U827" s="17"/>
      <c r="V827" s="16" t="s">
        <v>78</v>
      </c>
      <c r="W827" s="16" t="s">
        <v>79</v>
      </c>
      <c r="X827" s="15" t="s">
        <v>2099</v>
      </c>
      <c r="Y827" s="16" t="s">
        <v>75</v>
      </c>
      <c r="Z827" s="16" t="s">
        <v>75</v>
      </c>
      <c r="AA827" s="16" t="s">
        <v>86</v>
      </c>
      <c r="AB827" s="18"/>
      <c r="AC827" s="18"/>
      <c r="AD827" s="18"/>
      <c r="AE827" s="18"/>
      <c r="AF827" s="18"/>
      <c r="AG827" s="18"/>
      <c r="AH827" s="13"/>
      <c r="AI827" s="18"/>
      <c r="AJ827" s="13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3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2"/>
      <c r="BK827" s="12"/>
      <c r="BL827" s="12"/>
      <c r="BM827" s="9"/>
      <c r="BN827" s="9"/>
      <c r="BO827" s="9"/>
      <c r="BP827" s="12"/>
      <c r="BQ827" s="12"/>
      <c r="BR827" s="12"/>
      <c r="BS827" s="12"/>
      <c r="BT827" s="12"/>
      <c r="BU827" s="12"/>
      <c r="BV827" s="12"/>
      <c r="BW827" s="12"/>
      <c r="BX827" s="12"/>
      <c r="BY827" s="9"/>
      <c r="BZ827" s="21"/>
      <c r="CA827" s="21"/>
      <c r="CB827" s="21"/>
      <c r="CC827" s="21"/>
      <c r="CD827" s="21"/>
      <c r="CE827" s="21"/>
      <c r="CF827" s="21"/>
      <c r="CG827" s="21"/>
      <c r="CH827" s="21"/>
      <c r="CI827" s="21"/>
      <c r="CJ827" s="21"/>
    </row>
    <row r="828" spans="1:88" ht="40.5" customHeight="1">
      <c r="A828" s="9"/>
      <c r="B828" s="12"/>
      <c r="C828" s="9" t="s">
        <v>2134</v>
      </c>
      <c r="D828" s="9" t="s">
        <v>1697</v>
      </c>
      <c r="E828" s="12">
        <v>0</v>
      </c>
      <c r="F828" s="12">
        <v>0</v>
      </c>
      <c r="G828" s="12" t="b">
        <v>0</v>
      </c>
      <c r="H828" s="9" t="s">
        <v>79</v>
      </c>
      <c r="I828" s="10" t="s">
        <v>2135</v>
      </c>
      <c r="J828" s="9" t="s">
        <v>79</v>
      </c>
      <c r="K828" s="11" t="s">
        <v>2136</v>
      </c>
      <c r="L828" s="12"/>
      <c r="M828" s="12"/>
      <c r="N828" s="13"/>
      <c r="O828" s="16" t="s">
        <v>78</v>
      </c>
      <c r="P828" s="14" t="s">
        <v>79</v>
      </c>
      <c r="Q828" s="15" t="s">
        <v>629</v>
      </c>
      <c r="R828" s="14" t="s">
        <v>75</v>
      </c>
      <c r="S828" s="14" t="s">
        <v>75</v>
      </c>
      <c r="T828" s="16" t="s">
        <v>166</v>
      </c>
      <c r="U828" s="17"/>
      <c r="V828" s="16" t="s">
        <v>78</v>
      </c>
      <c r="W828" s="16" t="s">
        <v>79</v>
      </c>
      <c r="X828" s="15" t="s">
        <v>629</v>
      </c>
      <c r="Y828" s="16" t="s">
        <v>75</v>
      </c>
      <c r="Z828" s="16" t="s">
        <v>75</v>
      </c>
      <c r="AA828" s="16" t="s">
        <v>101</v>
      </c>
      <c r="AB828" s="18"/>
      <c r="AC828" s="19" t="s">
        <v>78</v>
      </c>
      <c r="AD828" s="19" t="s">
        <v>79</v>
      </c>
      <c r="AE828" s="20" t="s">
        <v>2099</v>
      </c>
      <c r="AF828" s="19" t="s">
        <v>75</v>
      </c>
      <c r="AG828" s="19" t="s">
        <v>75</v>
      </c>
      <c r="AH828" s="16" t="s">
        <v>101</v>
      </c>
      <c r="AI828" s="18"/>
      <c r="AJ828" s="13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3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2"/>
      <c r="BK828" s="12"/>
      <c r="BL828" s="12"/>
      <c r="BM828" s="9"/>
      <c r="BN828" s="9"/>
      <c r="BO828" s="9"/>
      <c r="BP828" s="12"/>
      <c r="BQ828" s="12"/>
      <c r="BR828" s="12"/>
      <c r="BS828" s="12"/>
      <c r="BT828" s="12"/>
      <c r="BU828" s="12"/>
      <c r="BV828" s="12"/>
      <c r="BW828" s="12"/>
      <c r="BX828" s="12"/>
      <c r="BY828" s="9"/>
      <c r="BZ828" s="21"/>
      <c r="CA828" s="21"/>
      <c r="CB828" s="21"/>
      <c r="CC828" s="21"/>
      <c r="CD828" s="21"/>
      <c r="CE828" s="21"/>
      <c r="CF828" s="21"/>
      <c r="CG828" s="21"/>
      <c r="CH828" s="21"/>
      <c r="CI828" s="21"/>
      <c r="CJ828" s="21"/>
    </row>
    <row r="829" spans="1:88" ht="40.5" customHeight="1">
      <c r="A829" s="9"/>
      <c r="B829" s="12"/>
      <c r="C829" s="9" t="s">
        <v>2137</v>
      </c>
      <c r="D829" s="9" t="s">
        <v>1697</v>
      </c>
      <c r="E829" s="12">
        <v>0</v>
      </c>
      <c r="F829" s="12">
        <v>0</v>
      </c>
      <c r="G829" s="12" t="b">
        <v>0</v>
      </c>
      <c r="H829" s="9" t="s">
        <v>75</v>
      </c>
      <c r="I829" s="9" t="s">
        <v>2138</v>
      </c>
      <c r="J829" s="9" t="s">
        <v>75</v>
      </c>
      <c r="K829" s="11" t="s">
        <v>2139</v>
      </c>
      <c r="L829" s="12"/>
      <c r="M829" s="12"/>
      <c r="N829" s="13"/>
      <c r="O829" s="16" t="s">
        <v>78</v>
      </c>
      <c r="P829" s="14" t="s">
        <v>79</v>
      </c>
      <c r="Q829" s="15" t="s">
        <v>629</v>
      </c>
      <c r="R829" s="14" t="s">
        <v>75</v>
      </c>
      <c r="S829" s="14" t="s">
        <v>75</v>
      </c>
      <c r="T829" s="16" t="s">
        <v>4</v>
      </c>
      <c r="U829" s="17"/>
      <c r="V829" s="16" t="s">
        <v>78</v>
      </c>
      <c r="W829" s="16" t="s">
        <v>79</v>
      </c>
      <c r="X829" s="15" t="s">
        <v>629</v>
      </c>
      <c r="Y829" s="16" t="s">
        <v>75</v>
      </c>
      <c r="Z829" s="16" t="s">
        <v>75</v>
      </c>
      <c r="AA829" s="16" t="s">
        <v>101</v>
      </c>
      <c r="AB829" s="18"/>
      <c r="AC829" s="18"/>
      <c r="AD829" s="18"/>
      <c r="AE829" s="18"/>
      <c r="AF829" s="18"/>
      <c r="AG829" s="18"/>
      <c r="AH829" s="13"/>
      <c r="AI829" s="18"/>
      <c r="AJ829" s="13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3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2"/>
      <c r="BK829" s="12"/>
      <c r="BL829" s="12"/>
      <c r="BM829" s="9"/>
      <c r="BN829" s="9"/>
      <c r="BO829" s="9"/>
      <c r="BP829" s="12"/>
      <c r="BQ829" s="12"/>
      <c r="BR829" s="12"/>
      <c r="BS829" s="12"/>
      <c r="BT829" s="12"/>
      <c r="BU829" s="12"/>
      <c r="BV829" s="12"/>
      <c r="BW829" s="12"/>
      <c r="BX829" s="12"/>
      <c r="BY829" s="9"/>
      <c r="BZ829" s="21"/>
      <c r="CA829" s="21"/>
      <c r="CB829" s="21"/>
      <c r="CC829" s="21"/>
      <c r="CD829" s="21"/>
      <c r="CE829" s="21"/>
      <c r="CF829" s="21"/>
      <c r="CG829" s="21"/>
      <c r="CH829" s="21"/>
      <c r="CI829" s="21"/>
      <c r="CJ829" s="21"/>
    </row>
    <row r="830" spans="1:88" ht="40.5" customHeight="1">
      <c r="A830" s="9"/>
      <c r="B830" s="12"/>
      <c r="C830" s="9" t="s">
        <v>2140</v>
      </c>
      <c r="D830" s="9" t="s">
        <v>1697</v>
      </c>
      <c r="E830" s="12">
        <v>0</v>
      </c>
      <c r="F830" s="12">
        <v>0</v>
      </c>
      <c r="G830" s="12" t="b">
        <v>0</v>
      </c>
      <c r="H830" s="9" t="s">
        <v>75</v>
      </c>
      <c r="I830" s="9" t="s">
        <v>2141</v>
      </c>
      <c r="J830" s="9" t="s">
        <v>75</v>
      </c>
      <c r="K830" s="11" t="s">
        <v>2142</v>
      </c>
      <c r="L830" s="12"/>
      <c r="M830" s="12"/>
      <c r="N830" s="13"/>
      <c r="O830" s="16" t="s">
        <v>78</v>
      </c>
      <c r="P830" s="14" t="s">
        <v>79</v>
      </c>
      <c r="Q830" s="15" t="s">
        <v>629</v>
      </c>
      <c r="R830" s="14" t="s">
        <v>75</v>
      </c>
      <c r="S830" s="14" t="s">
        <v>75</v>
      </c>
      <c r="T830" s="16" t="s">
        <v>4</v>
      </c>
      <c r="U830" s="17"/>
      <c r="V830" s="13"/>
      <c r="W830" s="13"/>
      <c r="X830" s="13"/>
      <c r="Y830" s="13"/>
      <c r="Z830" s="13"/>
      <c r="AA830" s="13"/>
      <c r="AB830" s="18"/>
      <c r="AC830" s="18"/>
      <c r="AD830" s="18"/>
      <c r="AE830" s="18"/>
      <c r="AF830" s="18"/>
      <c r="AG830" s="18"/>
      <c r="AH830" s="13"/>
      <c r="AI830" s="18"/>
      <c r="AJ830" s="13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3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2"/>
      <c r="BK830" s="12"/>
      <c r="BL830" s="12"/>
      <c r="BM830" s="9"/>
      <c r="BN830" s="9"/>
      <c r="BO830" s="9"/>
      <c r="BP830" s="12"/>
      <c r="BQ830" s="12"/>
      <c r="BR830" s="12"/>
      <c r="BS830" s="12"/>
      <c r="BT830" s="12"/>
      <c r="BU830" s="12"/>
      <c r="BV830" s="12"/>
      <c r="BW830" s="12"/>
      <c r="BX830" s="12"/>
      <c r="BY830" s="9"/>
      <c r="BZ830" s="21"/>
      <c r="CA830" s="21"/>
      <c r="CB830" s="21"/>
      <c r="CC830" s="21"/>
      <c r="CD830" s="21"/>
      <c r="CE830" s="21"/>
      <c r="CF830" s="21"/>
      <c r="CG830" s="21"/>
      <c r="CH830" s="21"/>
      <c r="CI830" s="21"/>
      <c r="CJ830" s="21"/>
    </row>
    <row r="831" spans="1:88" ht="40.5" customHeight="1">
      <c r="A831" s="9"/>
      <c r="B831" s="12"/>
      <c r="C831" s="9" t="s">
        <v>2143</v>
      </c>
      <c r="D831" s="9" t="s">
        <v>1697</v>
      </c>
      <c r="E831" s="12">
        <v>0</v>
      </c>
      <c r="F831" s="12">
        <v>0</v>
      </c>
      <c r="G831" s="12" t="b">
        <v>0</v>
      </c>
      <c r="H831" s="9" t="s">
        <v>75</v>
      </c>
      <c r="I831" s="9" t="s">
        <v>2144</v>
      </c>
      <c r="J831" s="9" t="s">
        <v>75</v>
      </c>
      <c r="K831" s="9" t="s">
        <v>79</v>
      </c>
      <c r="L831" s="12"/>
      <c r="M831" s="12"/>
      <c r="N831" s="13"/>
      <c r="O831" s="16" t="s">
        <v>78</v>
      </c>
      <c r="P831" s="14" t="s">
        <v>79</v>
      </c>
      <c r="Q831" s="15" t="s">
        <v>629</v>
      </c>
      <c r="R831" s="14" t="s">
        <v>75</v>
      </c>
      <c r="S831" s="14" t="s">
        <v>75</v>
      </c>
      <c r="T831" s="16" t="s">
        <v>126</v>
      </c>
      <c r="U831" s="17"/>
      <c r="V831" s="16" t="s">
        <v>78</v>
      </c>
      <c r="W831" s="16" t="s">
        <v>79</v>
      </c>
      <c r="X831" s="15" t="s">
        <v>2099</v>
      </c>
      <c r="Y831" s="16" t="s">
        <v>75</v>
      </c>
      <c r="Z831" s="16" t="s">
        <v>75</v>
      </c>
      <c r="AA831" s="16" t="s">
        <v>126</v>
      </c>
      <c r="AB831" s="18"/>
      <c r="AC831" s="18"/>
      <c r="AD831" s="18"/>
      <c r="AE831" s="18"/>
      <c r="AF831" s="18"/>
      <c r="AG831" s="18"/>
      <c r="AH831" s="13"/>
      <c r="AI831" s="18"/>
      <c r="AJ831" s="13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3"/>
      <c r="AY831" s="1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  <c r="BJ831" s="12"/>
      <c r="BK831" s="12"/>
      <c r="BL831" s="12"/>
      <c r="BM831" s="9"/>
      <c r="BN831" s="9"/>
      <c r="BO831" s="9"/>
      <c r="BP831" s="12"/>
      <c r="BQ831" s="12"/>
      <c r="BR831" s="12"/>
      <c r="BS831" s="12"/>
      <c r="BT831" s="12"/>
      <c r="BU831" s="12"/>
      <c r="BV831" s="12"/>
      <c r="BW831" s="12"/>
      <c r="BX831" s="12"/>
      <c r="BY831" s="9"/>
      <c r="BZ831" s="21"/>
      <c r="CA831" s="21"/>
      <c r="CB831" s="21"/>
      <c r="CC831" s="21"/>
      <c r="CD831" s="21"/>
      <c r="CE831" s="21"/>
      <c r="CF831" s="21"/>
      <c r="CG831" s="21"/>
      <c r="CH831" s="21"/>
      <c r="CI831" s="21"/>
      <c r="CJ831" s="21"/>
    </row>
    <row r="832" spans="1:88" ht="40.5" customHeight="1">
      <c r="A832" s="9"/>
      <c r="B832" s="12"/>
      <c r="C832" s="9" t="s">
        <v>2145</v>
      </c>
      <c r="D832" s="9" t="s">
        <v>1697</v>
      </c>
      <c r="E832" s="12">
        <v>0</v>
      </c>
      <c r="F832" s="12">
        <v>0</v>
      </c>
      <c r="G832" s="12" t="b">
        <v>0</v>
      </c>
      <c r="H832" s="9" t="s">
        <v>75</v>
      </c>
      <c r="I832" s="9" t="s">
        <v>2051</v>
      </c>
      <c r="J832" s="9" t="s">
        <v>75</v>
      </c>
      <c r="K832" s="11" t="s">
        <v>2052</v>
      </c>
      <c r="L832" s="12"/>
      <c r="M832" s="12"/>
      <c r="N832" s="13"/>
      <c r="O832" s="16" t="s">
        <v>78</v>
      </c>
      <c r="P832" s="14" t="s">
        <v>79</v>
      </c>
      <c r="Q832" s="15" t="s">
        <v>629</v>
      </c>
      <c r="R832" s="14" t="s">
        <v>75</v>
      </c>
      <c r="S832" s="14" t="s">
        <v>75</v>
      </c>
      <c r="T832" s="16" t="s">
        <v>4</v>
      </c>
      <c r="U832" s="17"/>
      <c r="V832" s="13"/>
      <c r="W832" s="13"/>
      <c r="X832" s="13"/>
      <c r="Y832" s="13"/>
      <c r="Z832" s="13"/>
      <c r="AA832" s="13"/>
      <c r="AB832" s="18"/>
      <c r="AC832" s="18"/>
      <c r="AD832" s="18"/>
      <c r="AE832" s="18"/>
      <c r="AF832" s="18"/>
      <c r="AG832" s="18"/>
      <c r="AH832" s="13"/>
      <c r="AI832" s="18"/>
      <c r="AJ832" s="13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3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2"/>
      <c r="BK832" s="12"/>
      <c r="BL832" s="12"/>
      <c r="BM832" s="9"/>
      <c r="BN832" s="9"/>
      <c r="BO832" s="9"/>
      <c r="BP832" s="12"/>
      <c r="BQ832" s="12"/>
      <c r="BR832" s="12"/>
      <c r="BS832" s="12"/>
      <c r="BT832" s="12"/>
      <c r="BU832" s="12"/>
      <c r="BV832" s="12"/>
      <c r="BW832" s="12"/>
      <c r="BX832" s="12"/>
      <c r="BY832" s="9"/>
      <c r="BZ832" s="21"/>
      <c r="CA832" s="21"/>
      <c r="CB832" s="21"/>
      <c r="CC832" s="21"/>
      <c r="CD832" s="21"/>
      <c r="CE832" s="21"/>
      <c r="CF832" s="21"/>
      <c r="CG832" s="21"/>
      <c r="CH832" s="21"/>
      <c r="CI832" s="21"/>
      <c r="CJ832" s="21"/>
    </row>
    <row r="833" spans="1:88" ht="40.5" customHeight="1">
      <c r="A833" s="9"/>
      <c r="B833" s="12"/>
      <c r="C833" s="9" t="s">
        <v>2146</v>
      </c>
      <c r="D833" s="9" t="s">
        <v>1697</v>
      </c>
      <c r="E833" s="12">
        <v>0</v>
      </c>
      <c r="F833" s="12">
        <v>0</v>
      </c>
      <c r="G833" s="12" t="b">
        <v>0</v>
      </c>
      <c r="H833" s="9" t="s">
        <v>75</v>
      </c>
      <c r="I833" s="9" t="s">
        <v>2147</v>
      </c>
      <c r="J833" s="9" t="s">
        <v>75</v>
      </c>
      <c r="K833" s="11" t="s">
        <v>2148</v>
      </c>
      <c r="L833" s="12"/>
      <c r="M833" s="12"/>
      <c r="N833" s="13"/>
      <c r="O833" s="16" t="s">
        <v>78</v>
      </c>
      <c r="P833" s="14" t="s">
        <v>79</v>
      </c>
      <c r="Q833" s="15" t="s">
        <v>629</v>
      </c>
      <c r="R833" s="14" t="s">
        <v>75</v>
      </c>
      <c r="S833" s="14" t="s">
        <v>75</v>
      </c>
      <c r="T833" s="16" t="s">
        <v>101</v>
      </c>
      <c r="U833" s="17"/>
      <c r="V833" s="16" t="s">
        <v>78</v>
      </c>
      <c r="W833" s="16" t="s">
        <v>79</v>
      </c>
      <c r="X833" s="15" t="s">
        <v>2099</v>
      </c>
      <c r="Y833" s="16" t="s">
        <v>75</v>
      </c>
      <c r="Z833" s="16" t="s">
        <v>75</v>
      </c>
      <c r="AA833" s="16" t="s">
        <v>101</v>
      </c>
      <c r="AB833" s="18"/>
      <c r="AC833" s="18"/>
      <c r="AD833" s="18"/>
      <c r="AE833" s="18"/>
      <c r="AF833" s="18"/>
      <c r="AG833" s="18"/>
      <c r="AH833" s="13"/>
      <c r="AI833" s="18"/>
      <c r="AJ833" s="13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3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2"/>
      <c r="BK833" s="12"/>
      <c r="BL833" s="12"/>
      <c r="BM833" s="9"/>
      <c r="BN833" s="9"/>
      <c r="BO833" s="9"/>
      <c r="BP833" s="12"/>
      <c r="BQ833" s="12"/>
      <c r="BR833" s="12"/>
      <c r="BS833" s="12"/>
      <c r="BT833" s="12"/>
      <c r="BU833" s="12"/>
      <c r="BV833" s="12"/>
      <c r="BW833" s="12"/>
      <c r="BX833" s="12"/>
      <c r="BY833" s="9"/>
      <c r="BZ833" s="21"/>
      <c r="CA833" s="21"/>
      <c r="CB833" s="21"/>
      <c r="CC833" s="21"/>
      <c r="CD833" s="21"/>
      <c r="CE833" s="21"/>
      <c r="CF833" s="21"/>
      <c r="CG833" s="21"/>
      <c r="CH833" s="21"/>
      <c r="CI833" s="21"/>
      <c r="CJ833" s="21"/>
    </row>
    <row r="834" spans="1:88" ht="40.5" customHeight="1">
      <c r="A834" s="9"/>
      <c r="B834" s="12"/>
      <c r="C834" s="9" t="s">
        <v>2149</v>
      </c>
      <c r="D834" s="9" t="s">
        <v>1697</v>
      </c>
      <c r="E834" s="12">
        <v>0</v>
      </c>
      <c r="F834" s="12">
        <v>0</v>
      </c>
      <c r="G834" s="12" t="b">
        <v>0</v>
      </c>
      <c r="H834" s="9" t="s">
        <v>75</v>
      </c>
      <c r="I834" s="9" t="s">
        <v>2150</v>
      </c>
      <c r="J834" s="9" t="s">
        <v>75</v>
      </c>
      <c r="K834" s="11" t="s">
        <v>2151</v>
      </c>
      <c r="L834" s="12"/>
      <c r="M834" s="12"/>
      <c r="N834" s="13"/>
      <c r="O834" s="16" t="s">
        <v>78</v>
      </c>
      <c r="P834" s="14" t="s">
        <v>79</v>
      </c>
      <c r="Q834" s="15" t="s">
        <v>2099</v>
      </c>
      <c r="R834" s="14" t="s">
        <v>75</v>
      </c>
      <c r="S834" s="14" t="s">
        <v>75</v>
      </c>
      <c r="T834" s="16" t="s">
        <v>101</v>
      </c>
      <c r="U834" s="17"/>
      <c r="V834" s="13"/>
      <c r="W834" s="13"/>
      <c r="X834" s="13"/>
      <c r="Y834" s="13"/>
      <c r="Z834" s="13"/>
      <c r="AA834" s="13"/>
      <c r="AB834" s="18"/>
      <c r="AC834" s="18"/>
      <c r="AD834" s="18"/>
      <c r="AE834" s="18"/>
      <c r="AF834" s="18"/>
      <c r="AG834" s="18"/>
      <c r="AH834" s="13"/>
      <c r="AI834" s="18"/>
      <c r="AJ834" s="13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3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2"/>
      <c r="BK834" s="12"/>
      <c r="BL834" s="12"/>
      <c r="BM834" s="9"/>
      <c r="BN834" s="9"/>
      <c r="BO834" s="9"/>
      <c r="BP834" s="12"/>
      <c r="BQ834" s="12"/>
      <c r="BR834" s="12"/>
      <c r="BS834" s="12"/>
      <c r="BT834" s="12"/>
      <c r="BU834" s="12"/>
      <c r="BV834" s="12"/>
      <c r="BW834" s="12"/>
      <c r="BX834" s="12"/>
      <c r="BY834" s="9"/>
      <c r="BZ834" s="21"/>
      <c r="CA834" s="21"/>
      <c r="CB834" s="21"/>
      <c r="CC834" s="21"/>
      <c r="CD834" s="21"/>
      <c r="CE834" s="21"/>
      <c r="CF834" s="21"/>
      <c r="CG834" s="21"/>
      <c r="CH834" s="21"/>
      <c r="CI834" s="21"/>
      <c r="CJ834" s="21"/>
    </row>
    <row r="835" spans="1:88" ht="40.5" customHeight="1">
      <c r="A835" s="9"/>
      <c r="B835" s="12"/>
      <c r="C835" s="9" t="s">
        <v>2152</v>
      </c>
      <c r="D835" s="9" t="s">
        <v>1697</v>
      </c>
      <c r="E835" s="12">
        <v>0</v>
      </c>
      <c r="F835" s="12">
        <v>0</v>
      </c>
      <c r="G835" s="12" t="b">
        <v>0</v>
      </c>
      <c r="H835" s="9" t="s">
        <v>75</v>
      </c>
      <c r="I835" s="9" t="s">
        <v>2138</v>
      </c>
      <c r="J835" s="9" t="s">
        <v>75</v>
      </c>
      <c r="K835" s="11" t="s">
        <v>2153</v>
      </c>
      <c r="L835" s="12"/>
      <c r="M835" s="12"/>
      <c r="N835" s="13"/>
      <c r="O835" s="13"/>
      <c r="P835" s="17"/>
      <c r="Q835" s="13"/>
      <c r="R835" s="17"/>
      <c r="S835" s="17"/>
      <c r="T835" s="13"/>
      <c r="U835" s="17"/>
      <c r="V835" s="13"/>
      <c r="W835" s="13"/>
      <c r="X835" s="13"/>
      <c r="Y835" s="13"/>
      <c r="Z835" s="13"/>
      <c r="AA835" s="13"/>
      <c r="AB835" s="18"/>
      <c r="AC835" s="18"/>
      <c r="AD835" s="18"/>
      <c r="AE835" s="18"/>
      <c r="AF835" s="18"/>
      <c r="AG835" s="18"/>
      <c r="AH835" s="13"/>
      <c r="AI835" s="18"/>
      <c r="AJ835" s="13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3"/>
      <c r="AY835" s="1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  <c r="BJ835" s="12"/>
      <c r="BK835" s="12"/>
      <c r="BL835" s="12"/>
      <c r="BM835" s="9"/>
      <c r="BN835" s="9"/>
      <c r="BO835" s="9"/>
      <c r="BP835" s="12"/>
      <c r="BQ835" s="12"/>
      <c r="BR835" s="12"/>
      <c r="BS835" s="12"/>
      <c r="BT835" s="12"/>
      <c r="BU835" s="12"/>
      <c r="BV835" s="12"/>
      <c r="BW835" s="12"/>
      <c r="BX835" s="12"/>
      <c r="BY835" s="9"/>
      <c r="BZ835" s="21"/>
      <c r="CA835" s="21"/>
      <c r="CB835" s="21"/>
      <c r="CC835" s="21"/>
      <c r="CD835" s="21"/>
      <c r="CE835" s="21"/>
      <c r="CF835" s="21"/>
      <c r="CG835" s="21"/>
      <c r="CH835" s="21"/>
      <c r="CI835" s="21"/>
      <c r="CJ835" s="21"/>
    </row>
    <row r="836" spans="1:88" ht="40.5" customHeight="1">
      <c r="A836" s="9"/>
      <c r="B836" s="12"/>
      <c r="C836" s="9" t="s">
        <v>2154</v>
      </c>
      <c r="D836" s="9" t="s">
        <v>1697</v>
      </c>
      <c r="E836" s="12">
        <v>0</v>
      </c>
      <c r="F836" s="12">
        <v>0</v>
      </c>
      <c r="G836" s="12" t="b">
        <v>0</v>
      </c>
      <c r="H836" s="9" t="s">
        <v>75</v>
      </c>
      <c r="I836" s="9" t="s">
        <v>2155</v>
      </c>
      <c r="J836" s="9" t="s">
        <v>75</v>
      </c>
      <c r="K836" s="11" t="s">
        <v>2156</v>
      </c>
      <c r="L836" s="12"/>
      <c r="M836" s="12"/>
      <c r="N836" s="13"/>
      <c r="O836" s="16" t="s">
        <v>78</v>
      </c>
      <c r="P836" s="14" t="s">
        <v>79</v>
      </c>
      <c r="Q836" s="15" t="s">
        <v>2099</v>
      </c>
      <c r="R836" s="14" t="s">
        <v>75</v>
      </c>
      <c r="S836" s="14" t="s">
        <v>75</v>
      </c>
      <c r="T836" s="16" t="s">
        <v>153</v>
      </c>
      <c r="U836" s="17"/>
      <c r="V836" s="13"/>
      <c r="W836" s="13"/>
      <c r="X836" s="13"/>
      <c r="Y836" s="13"/>
      <c r="Z836" s="13"/>
      <c r="AA836" s="13"/>
      <c r="AB836" s="18"/>
      <c r="AC836" s="18"/>
      <c r="AD836" s="18"/>
      <c r="AE836" s="18"/>
      <c r="AF836" s="18"/>
      <c r="AG836" s="18"/>
      <c r="AH836" s="13"/>
      <c r="AI836" s="18"/>
      <c r="AJ836" s="13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3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2"/>
      <c r="BK836" s="12"/>
      <c r="BL836" s="12"/>
      <c r="BM836" s="9"/>
      <c r="BN836" s="9"/>
      <c r="BO836" s="9"/>
      <c r="BP836" s="12"/>
      <c r="BQ836" s="12"/>
      <c r="BR836" s="12"/>
      <c r="BS836" s="12"/>
      <c r="BT836" s="12"/>
      <c r="BU836" s="12"/>
      <c r="BV836" s="12"/>
      <c r="BW836" s="12"/>
      <c r="BX836" s="12"/>
      <c r="BY836" s="9"/>
      <c r="BZ836" s="21"/>
      <c r="CA836" s="21"/>
      <c r="CB836" s="21"/>
      <c r="CC836" s="21"/>
      <c r="CD836" s="21"/>
      <c r="CE836" s="21"/>
      <c r="CF836" s="21"/>
      <c r="CG836" s="21"/>
      <c r="CH836" s="21"/>
      <c r="CI836" s="21"/>
      <c r="CJ836" s="21"/>
    </row>
    <row r="837" spans="1:88" ht="40.5" customHeight="1">
      <c r="A837" s="9"/>
      <c r="B837" s="12"/>
      <c r="C837" s="9" t="s">
        <v>2157</v>
      </c>
      <c r="D837" s="9" t="s">
        <v>1697</v>
      </c>
      <c r="E837" s="12">
        <v>0</v>
      </c>
      <c r="F837" s="12">
        <v>0</v>
      </c>
      <c r="G837" s="12" t="b">
        <v>0</v>
      </c>
      <c r="H837" s="9" t="s">
        <v>75</v>
      </c>
      <c r="I837" s="9" t="s">
        <v>2022</v>
      </c>
      <c r="J837" s="9" t="s">
        <v>75</v>
      </c>
      <c r="K837" s="11" t="s">
        <v>2052</v>
      </c>
      <c r="L837" s="12"/>
      <c r="M837" s="12"/>
      <c r="N837" s="13"/>
      <c r="O837" s="16" t="s">
        <v>78</v>
      </c>
      <c r="P837" s="14" t="s">
        <v>79</v>
      </c>
      <c r="Q837" s="15" t="s">
        <v>2099</v>
      </c>
      <c r="R837" s="14" t="s">
        <v>75</v>
      </c>
      <c r="S837" s="14" t="s">
        <v>75</v>
      </c>
      <c r="T837" s="16" t="s">
        <v>101</v>
      </c>
      <c r="U837" s="17"/>
      <c r="V837" s="13"/>
      <c r="W837" s="13"/>
      <c r="X837" s="13"/>
      <c r="Y837" s="13"/>
      <c r="Z837" s="13"/>
      <c r="AA837" s="13"/>
      <c r="AB837" s="18"/>
      <c r="AC837" s="18"/>
      <c r="AD837" s="18"/>
      <c r="AE837" s="18"/>
      <c r="AF837" s="18"/>
      <c r="AG837" s="18"/>
      <c r="AH837" s="13"/>
      <c r="AI837" s="18"/>
      <c r="AJ837" s="13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3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2"/>
      <c r="BK837" s="12"/>
      <c r="BL837" s="12"/>
      <c r="BM837" s="9"/>
      <c r="BN837" s="9"/>
      <c r="BO837" s="9"/>
      <c r="BP837" s="12"/>
      <c r="BQ837" s="12"/>
      <c r="BR837" s="12"/>
      <c r="BS837" s="12"/>
      <c r="BT837" s="12"/>
      <c r="BU837" s="12"/>
      <c r="BV837" s="12"/>
      <c r="BW837" s="12"/>
      <c r="BX837" s="12"/>
      <c r="BY837" s="9"/>
      <c r="BZ837" s="21"/>
      <c r="CA837" s="21"/>
      <c r="CB837" s="21"/>
      <c r="CC837" s="21"/>
      <c r="CD837" s="21"/>
      <c r="CE837" s="21"/>
      <c r="CF837" s="21"/>
      <c r="CG837" s="21"/>
      <c r="CH837" s="21"/>
      <c r="CI837" s="21"/>
      <c r="CJ837" s="21"/>
    </row>
    <row r="838" spans="1:88" ht="40.5" customHeight="1">
      <c r="A838" s="9"/>
      <c r="B838" s="12"/>
      <c r="C838" s="9" t="s">
        <v>2158</v>
      </c>
      <c r="D838" s="9" t="s">
        <v>1697</v>
      </c>
      <c r="E838" s="12">
        <v>0</v>
      </c>
      <c r="F838" s="12">
        <v>0</v>
      </c>
      <c r="G838" s="12" t="b">
        <v>0</v>
      </c>
      <c r="H838" s="9" t="s">
        <v>75</v>
      </c>
      <c r="I838" s="9" t="s">
        <v>2051</v>
      </c>
      <c r="J838" s="9" t="s">
        <v>75</v>
      </c>
      <c r="K838" s="11" t="s">
        <v>2052</v>
      </c>
      <c r="L838" s="12"/>
      <c r="M838" s="12"/>
      <c r="N838" s="13"/>
      <c r="O838" s="16" t="s">
        <v>2159</v>
      </c>
      <c r="P838" s="14" t="s">
        <v>79</v>
      </c>
      <c r="Q838" s="15" t="s">
        <v>2099</v>
      </c>
      <c r="R838" s="14" t="s">
        <v>75</v>
      </c>
      <c r="S838" s="14" t="s">
        <v>75</v>
      </c>
      <c r="T838" s="16" t="s">
        <v>4</v>
      </c>
      <c r="U838" s="17"/>
      <c r="V838" s="13"/>
      <c r="W838" s="13"/>
      <c r="X838" s="13"/>
      <c r="Y838" s="13"/>
      <c r="Z838" s="13"/>
      <c r="AA838" s="13"/>
      <c r="AB838" s="18"/>
      <c r="AC838" s="18"/>
      <c r="AD838" s="18"/>
      <c r="AE838" s="18"/>
      <c r="AF838" s="18"/>
      <c r="AG838" s="18"/>
      <c r="AH838" s="13"/>
      <c r="AI838" s="18"/>
      <c r="AJ838" s="13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3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2"/>
      <c r="BK838" s="12"/>
      <c r="BL838" s="12"/>
      <c r="BM838" s="9"/>
      <c r="BN838" s="9"/>
      <c r="BO838" s="9"/>
      <c r="BP838" s="12"/>
      <c r="BQ838" s="12"/>
      <c r="BR838" s="12"/>
      <c r="BS838" s="12"/>
      <c r="BT838" s="12"/>
      <c r="BU838" s="12"/>
      <c r="BV838" s="12"/>
      <c r="BW838" s="12"/>
      <c r="BX838" s="12"/>
      <c r="BY838" s="9"/>
      <c r="BZ838" s="21"/>
      <c r="CA838" s="21"/>
      <c r="CB838" s="21"/>
      <c r="CC838" s="21"/>
      <c r="CD838" s="21"/>
      <c r="CE838" s="21"/>
      <c r="CF838" s="21"/>
      <c r="CG838" s="21"/>
      <c r="CH838" s="21"/>
      <c r="CI838" s="21"/>
      <c r="CJ838" s="21"/>
    </row>
    <row r="839" spans="1:88" ht="40.5" customHeight="1">
      <c r="A839" s="9"/>
      <c r="B839" s="12"/>
      <c r="C839" s="9" t="s">
        <v>2160</v>
      </c>
      <c r="D839" s="9" t="s">
        <v>1697</v>
      </c>
      <c r="E839" s="12">
        <v>0</v>
      </c>
      <c r="F839" s="12">
        <v>0</v>
      </c>
      <c r="G839" s="12" t="b">
        <v>0</v>
      </c>
      <c r="H839" s="9" t="s">
        <v>75</v>
      </c>
      <c r="I839" s="9" t="s">
        <v>2161</v>
      </c>
      <c r="J839" s="9" t="s">
        <v>75</v>
      </c>
      <c r="K839" s="11" t="s">
        <v>2162</v>
      </c>
      <c r="L839" s="12"/>
      <c r="M839" s="12"/>
      <c r="N839" s="13"/>
      <c r="O839" s="16" t="s">
        <v>78</v>
      </c>
      <c r="P839" s="14" t="s">
        <v>79</v>
      </c>
      <c r="Q839" s="15" t="s">
        <v>2099</v>
      </c>
      <c r="R839" s="14" t="s">
        <v>75</v>
      </c>
      <c r="S839" s="14" t="s">
        <v>75</v>
      </c>
      <c r="T839" s="16" t="s">
        <v>153</v>
      </c>
      <c r="U839" s="17"/>
      <c r="V839" s="13"/>
      <c r="W839" s="13"/>
      <c r="X839" s="13"/>
      <c r="Y839" s="13"/>
      <c r="Z839" s="13"/>
      <c r="AA839" s="13"/>
      <c r="AB839" s="18"/>
      <c r="AC839" s="18"/>
      <c r="AD839" s="18"/>
      <c r="AE839" s="18"/>
      <c r="AF839" s="18"/>
      <c r="AG839" s="18"/>
      <c r="AH839" s="13"/>
      <c r="AI839" s="18"/>
      <c r="AJ839" s="13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3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2"/>
      <c r="BK839" s="12"/>
      <c r="BL839" s="12"/>
      <c r="BM839" s="9"/>
      <c r="BN839" s="9"/>
      <c r="BO839" s="9"/>
      <c r="BP839" s="12"/>
      <c r="BQ839" s="12"/>
      <c r="BR839" s="12"/>
      <c r="BS839" s="12"/>
      <c r="BT839" s="12"/>
      <c r="BU839" s="12"/>
      <c r="BV839" s="12"/>
      <c r="BW839" s="12"/>
      <c r="BX839" s="12"/>
      <c r="BY839" s="9"/>
      <c r="BZ839" s="21"/>
      <c r="CA839" s="21"/>
      <c r="CB839" s="21"/>
      <c r="CC839" s="21"/>
      <c r="CD839" s="21"/>
      <c r="CE839" s="21"/>
      <c r="CF839" s="21"/>
      <c r="CG839" s="21"/>
      <c r="CH839" s="21"/>
      <c r="CI839" s="21"/>
      <c r="CJ839" s="21"/>
    </row>
    <row r="840" spans="1:88" ht="40.5" customHeight="1">
      <c r="A840" s="9"/>
      <c r="B840" s="12"/>
      <c r="C840" s="9" t="s">
        <v>2163</v>
      </c>
      <c r="D840" s="9" t="s">
        <v>1697</v>
      </c>
      <c r="E840" s="12">
        <v>0</v>
      </c>
      <c r="F840" s="12">
        <v>0</v>
      </c>
      <c r="G840" s="12" t="b">
        <v>0</v>
      </c>
      <c r="H840" s="9" t="s">
        <v>75</v>
      </c>
      <c r="I840" s="9" t="s">
        <v>2164</v>
      </c>
      <c r="J840" s="9" t="s">
        <v>75</v>
      </c>
      <c r="K840" s="11" t="s">
        <v>2165</v>
      </c>
      <c r="L840" s="12"/>
      <c r="M840" s="12"/>
      <c r="N840" s="13"/>
      <c r="O840" s="16" t="s">
        <v>78</v>
      </c>
      <c r="P840" s="14" t="s">
        <v>79</v>
      </c>
      <c r="Q840" s="15" t="s">
        <v>2099</v>
      </c>
      <c r="R840" s="14" t="s">
        <v>75</v>
      </c>
      <c r="S840" s="14" t="s">
        <v>75</v>
      </c>
      <c r="T840" s="16" t="s">
        <v>153</v>
      </c>
      <c r="U840" s="17"/>
      <c r="V840" s="13"/>
      <c r="W840" s="13"/>
      <c r="X840" s="13"/>
      <c r="Y840" s="13"/>
      <c r="Z840" s="13"/>
      <c r="AA840" s="13"/>
      <c r="AB840" s="18"/>
      <c r="AC840" s="18"/>
      <c r="AD840" s="18"/>
      <c r="AE840" s="18"/>
      <c r="AF840" s="18"/>
      <c r="AG840" s="18"/>
      <c r="AH840" s="13"/>
      <c r="AI840" s="18"/>
      <c r="AJ840" s="13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3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2"/>
      <c r="BK840" s="12"/>
      <c r="BL840" s="12"/>
      <c r="BM840" s="9"/>
      <c r="BN840" s="9"/>
      <c r="BO840" s="9"/>
      <c r="BP840" s="12"/>
      <c r="BQ840" s="12"/>
      <c r="BR840" s="12"/>
      <c r="BS840" s="12"/>
      <c r="BT840" s="12"/>
      <c r="BU840" s="12"/>
      <c r="BV840" s="12"/>
      <c r="BW840" s="12"/>
      <c r="BX840" s="12"/>
      <c r="BY840" s="9"/>
      <c r="BZ840" s="21"/>
      <c r="CA840" s="21"/>
      <c r="CB840" s="21"/>
      <c r="CC840" s="21"/>
      <c r="CD840" s="21"/>
      <c r="CE840" s="21"/>
      <c r="CF840" s="21"/>
      <c r="CG840" s="21"/>
      <c r="CH840" s="21"/>
      <c r="CI840" s="21"/>
      <c r="CJ840" s="21"/>
    </row>
    <row r="841" spans="1:88" ht="40.5" customHeight="1">
      <c r="A841" s="9"/>
      <c r="B841" s="12"/>
      <c r="C841" s="9" t="s">
        <v>2166</v>
      </c>
      <c r="D841" s="9" t="s">
        <v>1697</v>
      </c>
      <c r="E841" s="12">
        <v>0</v>
      </c>
      <c r="F841" s="12">
        <v>0</v>
      </c>
      <c r="G841" s="12" t="b">
        <v>0</v>
      </c>
      <c r="H841" s="9" t="s">
        <v>75</v>
      </c>
      <c r="I841" s="9" t="s">
        <v>2167</v>
      </c>
      <c r="J841" s="9" t="s">
        <v>75</v>
      </c>
      <c r="K841" s="11" t="s">
        <v>2168</v>
      </c>
      <c r="L841" s="12"/>
      <c r="M841" s="12"/>
      <c r="N841" s="13"/>
      <c r="O841" s="16" t="s">
        <v>78</v>
      </c>
      <c r="P841" s="14" t="s">
        <v>79</v>
      </c>
      <c r="Q841" s="15" t="s">
        <v>2099</v>
      </c>
      <c r="R841" s="14" t="s">
        <v>75</v>
      </c>
      <c r="S841" s="14" t="s">
        <v>75</v>
      </c>
      <c r="T841" s="16" t="s">
        <v>145</v>
      </c>
      <c r="U841" s="17"/>
      <c r="V841" s="13"/>
      <c r="W841" s="13"/>
      <c r="X841" s="13"/>
      <c r="Y841" s="13"/>
      <c r="Z841" s="13"/>
      <c r="AA841" s="13"/>
      <c r="AB841" s="18"/>
      <c r="AC841" s="18"/>
      <c r="AD841" s="18"/>
      <c r="AE841" s="18"/>
      <c r="AF841" s="18"/>
      <c r="AG841" s="18"/>
      <c r="AH841" s="13"/>
      <c r="AI841" s="18"/>
      <c r="AJ841" s="13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3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2"/>
      <c r="BK841" s="12"/>
      <c r="BL841" s="12"/>
      <c r="BM841" s="9"/>
      <c r="BN841" s="9"/>
      <c r="BO841" s="9"/>
      <c r="BP841" s="12"/>
      <c r="BQ841" s="12"/>
      <c r="BR841" s="12"/>
      <c r="BS841" s="12"/>
      <c r="BT841" s="12"/>
      <c r="BU841" s="12"/>
      <c r="BV841" s="12"/>
      <c r="BW841" s="12"/>
      <c r="BX841" s="12"/>
      <c r="BY841" s="9"/>
      <c r="BZ841" s="21"/>
      <c r="CA841" s="21"/>
      <c r="CB841" s="21"/>
      <c r="CC841" s="21"/>
      <c r="CD841" s="21"/>
      <c r="CE841" s="21"/>
      <c r="CF841" s="21"/>
      <c r="CG841" s="21"/>
      <c r="CH841" s="21"/>
      <c r="CI841" s="21"/>
      <c r="CJ841" s="21"/>
    </row>
    <row r="842" spans="1:88" ht="40.5" customHeight="1">
      <c r="A842" s="9"/>
      <c r="B842" s="12"/>
      <c r="C842" s="9" t="s">
        <v>2169</v>
      </c>
      <c r="D842" s="9" t="s">
        <v>1697</v>
      </c>
      <c r="E842" s="12">
        <v>0</v>
      </c>
      <c r="F842" s="12">
        <v>0</v>
      </c>
      <c r="G842" s="12" t="b">
        <v>0</v>
      </c>
      <c r="H842" s="9" t="s">
        <v>75</v>
      </c>
      <c r="I842" s="9" t="s">
        <v>2170</v>
      </c>
      <c r="J842" s="9" t="s">
        <v>75</v>
      </c>
      <c r="K842" s="11" t="s">
        <v>2171</v>
      </c>
      <c r="L842" s="12"/>
      <c r="M842" s="12"/>
      <c r="N842" s="13"/>
      <c r="O842" s="16" t="s">
        <v>78</v>
      </c>
      <c r="P842" s="14" t="s">
        <v>79</v>
      </c>
      <c r="Q842" s="15" t="s">
        <v>2099</v>
      </c>
      <c r="R842" s="14" t="s">
        <v>75</v>
      </c>
      <c r="S842" s="14" t="s">
        <v>75</v>
      </c>
      <c r="T842" s="16" t="s">
        <v>81</v>
      </c>
      <c r="U842" s="17"/>
      <c r="V842" s="13"/>
      <c r="W842" s="13"/>
      <c r="X842" s="13"/>
      <c r="Y842" s="13"/>
      <c r="Z842" s="13"/>
      <c r="AA842" s="13"/>
      <c r="AB842" s="18"/>
      <c r="AC842" s="18"/>
      <c r="AD842" s="18"/>
      <c r="AE842" s="18"/>
      <c r="AF842" s="18"/>
      <c r="AG842" s="18"/>
      <c r="AH842" s="13"/>
      <c r="AI842" s="18"/>
      <c r="AJ842" s="13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3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2"/>
      <c r="BK842" s="12"/>
      <c r="BL842" s="12"/>
      <c r="BM842" s="9"/>
      <c r="BN842" s="9"/>
      <c r="BO842" s="9"/>
      <c r="BP842" s="12"/>
      <c r="BQ842" s="12"/>
      <c r="BR842" s="12"/>
      <c r="BS842" s="12"/>
      <c r="BT842" s="12"/>
      <c r="BU842" s="12"/>
      <c r="BV842" s="12"/>
      <c r="BW842" s="12"/>
      <c r="BX842" s="12"/>
      <c r="BY842" s="9"/>
      <c r="BZ842" s="21"/>
      <c r="CA842" s="21"/>
      <c r="CB842" s="21"/>
      <c r="CC842" s="21"/>
      <c r="CD842" s="21"/>
      <c r="CE842" s="21"/>
      <c r="CF842" s="21"/>
      <c r="CG842" s="21"/>
      <c r="CH842" s="21"/>
      <c r="CI842" s="21"/>
      <c r="CJ842" s="21"/>
    </row>
    <row r="843" spans="1:88" ht="40.5" customHeight="1">
      <c r="A843" s="9"/>
      <c r="B843" s="12"/>
      <c r="C843" s="9" t="s">
        <v>2172</v>
      </c>
      <c r="D843" s="9" t="s">
        <v>1697</v>
      </c>
      <c r="E843" s="12">
        <v>0</v>
      </c>
      <c r="F843" s="12">
        <v>0</v>
      </c>
      <c r="G843" s="12" t="b">
        <v>0</v>
      </c>
      <c r="H843" s="9" t="s">
        <v>75</v>
      </c>
      <c r="I843" s="10" t="s">
        <v>2173</v>
      </c>
      <c r="J843" s="9" t="s">
        <v>75</v>
      </c>
      <c r="K843" s="11" t="s">
        <v>2174</v>
      </c>
      <c r="L843" s="12"/>
      <c r="M843" s="12"/>
      <c r="N843" s="13"/>
      <c r="O843" s="16" t="s">
        <v>78</v>
      </c>
      <c r="P843" s="14" t="s">
        <v>79</v>
      </c>
      <c r="Q843" s="15" t="s">
        <v>2099</v>
      </c>
      <c r="R843" s="14" t="s">
        <v>75</v>
      </c>
      <c r="S843" s="14" t="s">
        <v>75</v>
      </c>
      <c r="T843" s="16" t="s">
        <v>126</v>
      </c>
      <c r="U843" s="17"/>
      <c r="V843" s="13"/>
      <c r="W843" s="13"/>
      <c r="X843" s="13"/>
      <c r="Y843" s="13"/>
      <c r="Z843" s="13"/>
      <c r="AA843" s="13"/>
      <c r="AB843" s="18"/>
      <c r="AC843" s="18"/>
      <c r="AD843" s="18"/>
      <c r="AE843" s="18"/>
      <c r="AF843" s="18"/>
      <c r="AG843" s="18"/>
      <c r="AH843" s="13"/>
      <c r="AI843" s="18"/>
      <c r="AJ843" s="13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3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2"/>
      <c r="BK843" s="12"/>
      <c r="BL843" s="12"/>
      <c r="BM843" s="9"/>
      <c r="BN843" s="9"/>
      <c r="BO843" s="9"/>
      <c r="BP843" s="12"/>
      <c r="BQ843" s="12"/>
      <c r="BR843" s="12"/>
      <c r="BS843" s="12"/>
      <c r="BT843" s="12"/>
      <c r="BU843" s="12"/>
      <c r="BV843" s="12"/>
      <c r="BW843" s="12"/>
      <c r="BX843" s="12"/>
      <c r="BY843" s="9"/>
      <c r="BZ843" s="21"/>
      <c r="CA843" s="21"/>
      <c r="CB843" s="21"/>
      <c r="CC843" s="21"/>
      <c r="CD843" s="21"/>
      <c r="CE843" s="21"/>
      <c r="CF843" s="21"/>
      <c r="CG843" s="21"/>
      <c r="CH843" s="21"/>
      <c r="CI843" s="21"/>
      <c r="CJ843" s="21"/>
    </row>
    <row r="844" spans="1:88" ht="40.5" customHeight="1">
      <c r="A844" s="9"/>
      <c r="B844" s="12"/>
      <c r="C844" s="9" t="s">
        <v>2175</v>
      </c>
      <c r="D844" s="9" t="s">
        <v>1697</v>
      </c>
      <c r="E844" s="12">
        <v>0</v>
      </c>
      <c r="F844" s="12">
        <v>0</v>
      </c>
      <c r="G844" s="12" t="b">
        <v>0</v>
      </c>
      <c r="H844" s="9" t="s">
        <v>75</v>
      </c>
      <c r="I844" s="9" t="s">
        <v>2176</v>
      </c>
      <c r="J844" s="9" t="s">
        <v>75</v>
      </c>
      <c r="K844" s="11" t="s">
        <v>2177</v>
      </c>
      <c r="L844" s="12"/>
      <c r="M844" s="12"/>
      <c r="N844" s="13"/>
      <c r="O844" s="16" t="s">
        <v>78</v>
      </c>
      <c r="P844" s="17"/>
      <c r="Q844" s="72">
        <v>45049</v>
      </c>
      <c r="R844" s="17"/>
      <c r="S844" s="17"/>
      <c r="T844" s="16" t="s">
        <v>101</v>
      </c>
      <c r="U844" s="17"/>
      <c r="V844" s="13"/>
      <c r="W844" s="13"/>
      <c r="X844" s="13"/>
      <c r="Y844" s="13"/>
      <c r="Z844" s="13"/>
      <c r="AA844" s="13"/>
      <c r="AB844" s="18"/>
      <c r="AC844" s="18"/>
      <c r="AD844" s="18"/>
      <c r="AE844" s="18"/>
      <c r="AF844" s="18"/>
      <c r="AG844" s="18"/>
      <c r="AH844" s="13"/>
      <c r="AI844" s="18"/>
      <c r="AJ844" s="13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3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2"/>
      <c r="BK844" s="12"/>
      <c r="BL844" s="12"/>
      <c r="BM844" s="9"/>
      <c r="BN844" s="9"/>
      <c r="BO844" s="9"/>
      <c r="BP844" s="12"/>
      <c r="BQ844" s="12"/>
      <c r="BR844" s="12"/>
      <c r="BS844" s="12"/>
      <c r="BT844" s="12"/>
      <c r="BU844" s="12"/>
      <c r="BV844" s="12"/>
      <c r="BW844" s="12"/>
      <c r="BX844" s="12"/>
      <c r="BY844" s="9"/>
      <c r="BZ844" s="21"/>
      <c r="CA844" s="21"/>
      <c r="CB844" s="21"/>
      <c r="CC844" s="21"/>
      <c r="CD844" s="21"/>
      <c r="CE844" s="21"/>
      <c r="CF844" s="21"/>
      <c r="CG844" s="21"/>
      <c r="CH844" s="21"/>
      <c r="CI844" s="21"/>
      <c r="CJ844" s="21"/>
    </row>
    <row r="845" spans="1:88" ht="40.5" customHeight="1">
      <c r="A845" s="9"/>
      <c r="B845" s="12"/>
      <c r="C845" s="9" t="s">
        <v>2178</v>
      </c>
      <c r="D845" s="9" t="s">
        <v>1697</v>
      </c>
      <c r="E845" s="12">
        <v>0</v>
      </c>
      <c r="F845" s="12">
        <v>0</v>
      </c>
      <c r="G845" s="12" t="b">
        <v>0</v>
      </c>
      <c r="H845" s="9" t="s">
        <v>75</v>
      </c>
      <c r="I845" s="9" t="s">
        <v>2179</v>
      </c>
      <c r="J845" s="9" t="s">
        <v>75</v>
      </c>
      <c r="K845" s="11" t="s">
        <v>2180</v>
      </c>
      <c r="L845" s="12"/>
      <c r="M845" s="12"/>
      <c r="N845" s="13"/>
      <c r="O845" s="16" t="s">
        <v>78</v>
      </c>
      <c r="P845" s="17"/>
      <c r="Q845" s="72">
        <v>45049</v>
      </c>
      <c r="R845" s="17"/>
      <c r="S845" s="17"/>
      <c r="T845" s="16" t="s">
        <v>101</v>
      </c>
      <c r="U845" s="17"/>
      <c r="V845" s="13"/>
      <c r="W845" s="13"/>
      <c r="X845" s="13"/>
      <c r="Y845" s="13"/>
      <c r="Z845" s="13"/>
      <c r="AA845" s="13"/>
      <c r="AB845" s="18"/>
      <c r="AC845" s="18"/>
      <c r="AD845" s="18"/>
      <c r="AE845" s="18"/>
      <c r="AF845" s="18"/>
      <c r="AG845" s="18"/>
      <c r="AH845" s="13"/>
      <c r="AI845" s="18"/>
      <c r="AJ845" s="13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3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2"/>
      <c r="BK845" s="12"/>
      <c r="BL845" s="12"/>
      <c r="BM845" s="9"/>
      <c r="BN845" s="9"/>
      <c r="BO845" s="9"/>
      <c r="BP845" s="12"/>
      <c r="BQ845" s="12"/>
      <c r="BR845" s="12"/>
      <c r="BS845" s="12"/>
      <c r="BT845" s="12"/>
      <c r="BU845" s="12"/>
      <c r="BV845" s="12"/>
      <c r="BW845" s="12"/>
      <c r="BX845" s="12"/>
      <c r="BY845" s="9"/>
      <c r="BZ845" s="21"/>
      <c r="CA845" s="21"/>
      <c r="CB845" s="21"/>
      <c r="CC845" s="21"/>
      <c r="CD845" s="21"/>
      <c r="CE845" s="21"/>
      <c r="CF845" s="21"/>
      <c r="CG845" s="21"/>
      <c r="CH845" s="21"/>
      <c r="CI845" s="21"/>
      <c r="CJ845" s="21"/>
    </row>
    <row r="846" spans="1:88" ht="40.5" customHeight="1">
      <c r="A846" s="9"/>
      <c r="B846" s="12"/>
      <c r="C846" s="9" t="s">
        <v>2181</v>
      </c>
      <c r="D846" s="9" t="s">
        <v>1697</v>
      </c>
      <c r="E846" s="12">
        <v>0</v>
      </c>
      <c r="F846" s="12">
        <v>0</v>
      </c>
      <c r="G846" s="12" t="b">
        <v>0</v>
      </c>
      <c r="H846" s="9" t="s">
        <v>75</v>
      </c>
      <c r="I846" s="9" t="s">
        <v>2182</v>
      </c>
      <c r="J846" s="9" t="s">
        <v>75</v>
      </c>
      <c r="K846" s="11" t="s">
        <v>2183</v>
      </c>
      <c r="L846" s="12"/>
      <c r="M846" s="12"/>
      <c r="N846" s="13"/>
      <c r="O846" s="13"/>
      <c r="P846" s="17"/>
      <c r="Q846" s="13"/>
      <c r="R846" s="17"/>
      <c r="S846" s="17"/>
      <c r="T846" s="13"/>
      <c r="U846" s="17"/>
      <c r="V846" s="13"/>
      <c r="W846" s="13"/>
      <c r="X846" s="13"/>
      <c r="Y846" s="13"/>
      <c r="Z846" s="13"/>
      <c r="AA846" s="13"/>
      <c r="AB846" s="18"/>
      <c r="AC846" s="18"/>
      <c r="AD846" s="18"/>
      <c r="AE846" s="18"/>
      <c r="AF846" s="18"/>
      <c r="AG846" s="18"/>
      <c r="AH846" s="13"/>
      <c r="AI846" s="18"/>
      <c r="AJ846" s="13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3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2"/>
      <c r="BK846" s="12"/>
      <c r="BL846" s="12"/>
      <c r="BM846" s="9"/>
      <c r="BN846" s="9"/>
      <c r="BO846" s="9"/>
      <c r="BP846" s="12"/>
      <c r="BQ846" s="12"/>
      <c r="BR846" s="12"/>
      <c r="BS846" s="12"/>
      <c r="BT846" s="12"/>
      <c r="BU846" s="12"/>
      <c r="BV846" s="12"/>
      <c r="BW846" s="12"/>
      <c r="BX846" s="12"/>
      <c r="BY846" s="9"/>
      <c r="BZ846" s="21"/>
      <c r="CA846" s="21"/>
      <c r="CB846" s="21"/>
      <c r="CC846" s="21"/>
      <c r="CD846" s="21"/>
      <c r="CE846" s="21"/>
      <c r="CF846" s="21"/>
      <c r="CG846" s="21"/>
      <c r="CH846" s="21"/>
      <c r="CI846" s="21"/>
      <c r="CJ846" s="21"/>
    </row>
    <row r="847" spans="1:88" ht="40.5" customHeight="1">
      <c r="A847" s="9"/>
      <c r="B847" s="12"/>
      <c r="C847" s="9" t="s">
        <v>2184</v>
      </c>
      <c r="D847" s="9" t="s">
        <v>1697</v>
      </c>
      <c r="E847" s="12">
        <v>0</v>
      </c>
      <c r="F847" s="12">
        <v>0</v>
      </c>
      <c r="G847" s="12" t="b">
        <v>0</v>
      </c>
      <c r="H847" s="9" t="s">
        <v>75</v>
      </c>
      <c r="I847" s="9" t="s">
        <v>2185</v>
      </c>
      <c r="J847" s="9" t="s">
        <v>75</v>
      </c>
      <c r="K847" s="9" t="s">
        <v>79</v>
      </c>
      <c r="L847" s="12"/>
      <c r="M847" s="12"/>
      <c r="N847" s="13"/>
      <c r="O847" s="13"/>
      <c r="P847" s="17"/>
      <c r="Q847" s="13"/>
      <c r="R847" s="17"/>
      <c r="S847" s="17"/>
      <c r="T847" s="13"/>
      <c r="U847" s="17"/>
      <c r="V847" s="13"/>
      <c r="W847" s="13"/>
      <c r="X847" s="13"/>
      <c r="Y847" s="13"/>
      <c r="Z847" s="13"/>
      <c r="AA847" s="13"/>
      <c r="AB847" s="18"/>
      <c r="AC847" s="18"/>
      <c r="AD847" s="18"/>
      <c r="AE847" s="18"/>
      <c r="AF847" s="18"/>
      <c r="AG847" s="18"/>
      <c r="AH847" s="13"/>
      <c r="AI847" s="18"/>
      <c r="AJ847" s="13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3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2"/>
      <c r="BK847" s="12"/>
      <c r="BL847" s="12"/>
      <c r="BM847" s="9"/>
      <c r="BN847" s="9"/>
      <c r="BO847" s="9"/>
      <c r="BP847" s="12"/>
      <c r="BQ847" s="12"/>
      <c r="BR847" s="12"/>
      <c r="BS847" s="12"/>
      <c r="BT847" s="12"/>
      <c r="BU847" s="12"/>
      <c r="BV847" s="12"/>
      <c r="BW847" s="12"/>
      <c r="BX847" s="12"/>
      <c r="BY847" s="9"/>
      <c r="BZ847" s="21"/>
      <c r="CA847" s="21"/>
      <c r="CB847" s="21"/>
      <c r="CC847" s="21"/>
      <c r="CD847" s="21"/>
      <c r="CE847" s="21"/>
      <c r="CF847" s="21"/>
      <c r="CG847" s="21"/>
      <c r="CH847" s="21"/>
      <c r="CI847" s="21"/>
      <c r="CJ847" s="21"/>
    </row>
    <row r="848" spans="1:88" ht="40.5" customHeight="1">
      <c r="A848" s="9"/>
      <c r="B848" s="12"/>
      <c r="C848" s="9" t="s">
        <v>2186</v>
      </c>
      <c r="D848" s="9" t="s">
        <v>1697</v>
      </c>
      <c r="E848" s="12">
        <v>0</v>
      </c>
      <c r="F848" s="12">
        <v>0</v>
      </c>
      <c r="G848" s="12" t="b">
        <v>0</v>
      </c>
      <c r="H848" s="9" t="s">
        <v>75</v>
      </c>
      <c r="I848" s="9" t="s">
        <v>2187</v>
      </c>
      <c r="J848" s="9" t="s">
        <v>75</v>
      </c>
      <c r="K848" s="11" t="s">
        <v>2188</v>
      </c>
      <c r="L848" s="12"/>
      <c r="M848" s="12"/>
      <c r="N848" s="13"/>
      <c r="O848" s="13"/>
      <c r="P848" s="17"/>
      <c r="Q848" s="13"/>
      <c r="R848" s="17"/>
      <c r="S848" s="17"/>
      <c r="T848" s="13"/>
      <c r="U848" s="17"/>
      <c r="V848" s="13"/>
      <c r="W848" s="13"/>
      <c r="X848" s="13"/>
      <c r="Y848" s="13"/>
      <c r="Z848" s="13"/>
      <c r="AA848" s="13"/>
      <c r="AB848" s="18"/>
      <c r="AC848" s="18"/>
      <c r="AD848" s="18"/>
      <c r="AE848" s="18"/>
      <c r="AF848" s="18"/>
      <c r="AG848" s="18"/>
      <c r="AH848" s="13"/>
      <c r="AI848" s="18"/>
      <c r="AJ848" s="13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3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2"/>
      <c r="BK848" s="12"/>
      <c r="BL848" s="12"/>
      <c r="BM848" s="9"/>
      <c r="BN848" s="9"/>
      <c r="BO848" s="9"/>
      <c r="BP848" s="12"/>
      <c r="BQ848" s="12"/>
      <c r="BR848" s="12"/>
      <c r="BS848" s="12"/>
      <c r="BT848" s="12"/>
      <c r="BU848" s="12"/>
      <c r="BV848" s="12"/>
      <c r="BW848" s="12"/>
      <c r="BX848" s="12"/>
      <c r="BY848" s="9"/>
      <c r="BZ848" s="21"/>
      <c r="CA848" s="21"/>
      <c r="CB848" s="21"/>
      <c r="CC848" s="21"/>
      <c r="CD848" s="21"/>
      <c r="CE848" s="21"/>
      <c r="CF848" s="21"/>
      <c r="CG848" s="21"/>
      <c r="CH848" s="21"/>
      <c r="CI848" s="21"/>
      <c r="CJ848" s="21"/>
    </row>
    <row r="849" spans="1:88" ht="40.5" customHeight="1">
      <c r="A849" s="9"/>
      <c r="B849" s="12"/>
      <c r="C849" s="9" t="s">
        <v>2189</v>
      </c>
      <c r="D849" s="9" t="s">
        <v>1697</v>
      </c>
      <c r="E849" s="12">
        <v>0</v>
      </c>
      <c r="F849" s="12">
        <v>0</v>
      </c>
      <c r="G849" s="12" t="b">
        <v>0</v>
      </c>
      <c r="H849" s="9" t="s">
        <v>75</v>
      </c>
      <c r="I849" s="9" t="s">
        <v>2190</v>
      </c>
      <c r="J849" s="9" t="s">
        <v>75</v>
      </c>
      <c r="K849" s="11" t="s">
        <v>2191</v>
      </c>
      <c r="L849" s="12"/>
      <c r="M849" s="12"/>
      <c r="N849" s="13"/>
      <c r="O849" s="13"/>
      <c r="P849" s="17"/>
      <c r="Q849" s="13"/>
      <c r="R849" s="17"/>
      <c r="S849" s="17"/>
      <c r="T849" s="13"/>
      <c r="U849" s="17"/>
      <c r="V849" s="13"/>
      <c r="W849" s="13"/>
      <c r="X849" s="13"/>
      <c r="Y849" s="13"/>
      <c r="Z849" s="13"/>
      <c r="AA849" s="13"/>
      <c r="AB849" s="18"/>
      <c r="AC849" s="18"/>
      <c r="AD849" s="18"/>
      <c r="AE849" s="18"/>
      <c r="AF849" s="18"/>
      <c r="AG849" s="18"/>
      <c r="AH849" s="13"/>
      <c r="AI849" s="18"/>
      <c r="AJ849" s="13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3"/>
      <c r="AY849" s="1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  <c r="BJ849" s="12"/>
      <c r="BK849" s="12"/>
      <c r="BL849" s="12"/>
      <c r="BM849" s="9"/>
      <c r="BN849" s="9"/>
      <c r="BO849" s="9"/>
      <c r="BP849" s="12"/>
      <c r="BQ849" s="12"/>
      <c r="BR849" s="12"/>
      <c r="BS849" s="12"/>
      <c r="BT849" s="12"/>
      <c r="BU849" s="12"/>
      <c r="BV849" s="12"/>
      <c r="BW849" s="12"/>
      <c r="BX849" s="12"/>
      <c r="BY849" s="9"/>
      <c r="BZ849" s="21"/>
      <c r="CA849" s="21"/>
      <c r="CB849" s="21"/>
      <c r="CC849" s="21"/>
      <c r="CD849" s="21"/>
      <c r="CE849" s="21"/>
      <c r="CF849" s="21"/>
      <c r="CG849" s="21"/>
      <c r="CH849" s="21"/>
      <c r="CI849" s="21"/>
      <c r="CJ849" s="21"/>
    </row>
    <row r="850" spans="1:88" ht="40.5" customHeight="1">
      <c r="A850" s="9"/>
      <c r="B850" s="12"/>
      <c r="C850" s="9" t="s">
        <v>2192</v>
      </c>
      <c r="D850" s="9" t="s">
        <v>73</v>
      </c>
      <c r="E850" s="12">
        <v>0</v>
      </c>
      <c r="F850" s="12">
        <v>0</v>
      </c>
      <c r="G850" s="12" t="b">
        <v>0</v>
      </c>
      <c r="H850" s="9" t="s">
        <v>75</v>
      </c>
      <c r="I850" s="9" t="s">
        <v>2193</v>
      </c>
      <c r="J850" s="9" t="s">
        <v>75</v>
      </c>
      <c r="K850" s="11" t="s">
        <v>2194</v>
      </c>
      <c r="L850" s="12"/>
      <c r="M850" s="12"/>
      <c r="N850" s="13"/>
      <c r="O850" s="16" t="s">
        <v>78</v>
      </c>
      <c r="P850" s="14" t="s">
        <v>79</v>
      </c>
      <c r="Q850" s="15" t="s">
        <v>83</v>
      </c>
      <c r="R850" s="14" t="s">
        <v>75</v>
      </c>
      <c r="S850" s="14" t="s">
        <v>75</v>
      </c>
      <c r="T850" s="16" t="s">
        <v>4</v>
      </c>
      <c r="U850" s="17"/>
      <c r="V850" s="13"/>
      <c r="W850" s="13"/>
      <c r="X850" s="13"/>
      <c r="Y850" s="13"/>
      <c r="Z850" s="13"/>
      <c r="AA850" s="13"/>
      <c r="AB850" s="18"/>
      <c r="AC850" s="18"/>
      <c r="AD850" s="18"/>
      <c r="AE850" s="18"/>
      <c r="AF850" s="18"/>
      <c r="AG850" s="18"/>
      <c r="AH850" s="13"/>
      <c r="AI850" s="18"/>
      <c r="AJ850" s="13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3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2"/>
      <c r="BK850" s="12"/>
      <c r="BL850" s="12"/>
      <c r="BM850" s="9"/>
      <c r="BN850" s="9"/>
      <c r="BO850" s="9"/>
      <c r="BP850" s="12"/>
      <c r="BQ850" s="12"/>
      <c r="BR850" s="12"/>
      <c r="BS850" s="12"/>
      <c r="BT850" s="12"/>
      <c r="BU850" s="12"/>
      <c r="BV850" s="12"/>
      <c r="BW850" s="12"/>
      <c r="BX850" s="12"/>
      <c r="BY850" s="9"/>
      <c r="BZ850" s="21"/>
      <c r="CA850" s="21"/>
      <c r="CB850" s="21"/>
      <c r="CC850" s="21"/>
      <c r="CD850" s="21"/>
      <c r="CE850" s="21"/>
      <c r="CF850" s="21"/>
      <c r="CG850" s="21"/>
      <c r="CH850" s="21"/>
      <c r="CI850" s="21"/>
      <c r="CJ850" s="21"/>
    </row>
    <row r="851" spans="1:88" ht="40.5" customHeight="1">
      <c r="A851" s="9"/>
      <c r="B851" s="12"/>
      <c r="C851" s="9" t="s">
        <v>2195</v>
      </c>
      <c r="D851" s="9" t="s">
        <v>73</v>
      </c>
      <c r="E851" s="12">
        <v>0</v>
      </c>
      <c r="F851" s="12">
        <v>0</v>
      </c>
      <c r="G851" s="12" t="b">
        <v>0</v>
      </c>
      <c r="H851" s="9" t="s">
        <v>75</v>
      </c>
      <c r="I851" s="9" t="s">
        <v>2196</v>
      </c>
      <c r="J851" s="9" t="s">
        <v>75</v>
      </c>
      <c r="K851" s="9" t="s">
        <v>79</v>
      </c>
      <c r="L851" s="12"/>
      <c r="M851" s="12"/>
      <c r="N851" s="13"/>
      <c r="O851" s="16" t="s">
        <v>78</v>
      </c>
      <c r="P851" s="14" t="s">
        <v>79</v>
      </c>
      <c r="Q851" s="15" t="s">
        <v>80</v>
      </c>
      <c r="R851" s="14" t="s">
        <v>75</v>
      </c>
      <c r="S851" s="14" t="s">
        <v>75</v>
      </c>
      <c r="T851" s="16" t="s">
        <v>126</v>
      </c>
      <c r="U851" s="17"/>
      <c r="V851" s="16" t="s">
        <v>78</v>
      </c>
      <c r="W851" s="16" t="s">
        <v>79</v>
      </c>
      <c r="X851" s="15" t="s">
        <v>83</v>
      </c>
      <c r="Y851" s="16" t="s">
        <v>75</v>
      </c>
      <c r="Z851" s="16" t="s">
        <v>75</v>
      </c>
      <c r="AA851" s="16" t="s">
        <v>126</v>
      </c>
      <c r="AB851" s="18"/>
      <c r="AC851" s="19" t="s">
        <v>78</v>
      </c>
      <c r="AD851" s="19" t="s">
        <v>79</v>
      </c>
      <c r="AE851" s="20" t="s">
        <v>85</v>
      </c>
      <c r="AF851" s="19" t="s">
        <v>75</v>
      </c>
      <c r="AG851" s="19" t="s">
        <v>75</v>
      </c>
      <c r="AH851" s="16" t="s">
        <v>126</v>
      </c>
      <c r="AI851" s="18"/>
      <c r="AJ851" s="13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3"/>
      <c r="AY851" s="1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  <c r="BJ851" s="12"/>
      <c r="BK851" s="12"/>
      <c r="BL851" s="12"/>
      <c r="BM851" s="9"/>
      <c r="BN851" s="9"/>
      <c r="BO851" s="9"/>
      <c r="BP851" s="12"/>
      <c r="BQ851" s="12"/>
      <c r="BR851" s="12"/>
      <c r="BS851" s="12"/>
      <c r="BT851" s="12"/>
      <c r="BU851" s="12"/>
      <c r="BV851" s="12"/>
      <c r="BW851" s="12"/>
      <c r="BX851" s="12"/>
      <c r="BY851" s="9"/>
      <c r="BZ851" s="21"/>
      <c r="CA851" s="21"/>
      <c r="CB851" s="21"/>
      <c r="CC851" s="21"/>
      <c r="CD851" s="21"/>
      <c r="CE851" s="21"/>
      <c r="CF851" s="21"/>
      <c r="CG851" s="21"/>
      <c r="CH851" s="21"/>
      <c r="CI851" s="21"/>
      <c r="CJ851" s="21"/>
    </row>
    <row r="852" spans="1:88" ht="40.5" customHeight="1">
      <c r="A852" s="9"/>
      <c r="B852" s="12"/>
      <c r="C852" s="9" t="s">
        <v>2197</v>
      </c>
      <c r="D852" s="9" t="s">
        <v>73</v>
      </c>
      <c r="E852" s="12">
        <v>0</v>
      </c>
      <c r="F852" s="12">
        <v>0</v>
      </c>
      <c r="G852" s="12" t="b">
        <v>0</v>
      </c>
      <c r="H852" s="9" t="s">
        <v>75</v>
      </c>
      <c r="I852" s="9" t="s">
        <v>2198</v>
      </c>
      <c r="J852" s="9" t="s">
        <v>75</v>
      </c>
      <c r="K852" s="11" t="s">
        <v>2199</v>
      </c>
      <c r="L852" s="12"/>
      <c r="M852" s="12"/>
      <c r="N852" s="13"/>
      <c r="O852" s="16" t="s">
        <v>78</v>
      </c>
      <c r="P852" s="14" t="s">
        <v>79</v>
      </c>
      <c r="Q852" s="15" t="s">
        <v>83</v>
      </c>
      <c r="R852" s="14" t="s">
        <v>75</v>
      </c>
      <c r="S852" s="14" t="s">
        <v>75</v>
      </c>
      <c r="T852" s="16" t="s">
        <v>145</v>
      </c>
      <c r="U852" s="17"/>
      <c r="V852" s="16" t="s">
        <v>78</v>
      </c>
      <c r="W852" s="16" t="s">
        <v>79</v>
      </c>
      <c r="X852" s="15" t="s">
        <v>85</v>
      </c>
      <c r="Y852" s="16" t="s">
        <v>75</v>
      </c>
      <c r="Z852" s="16" t="s">
        <v>75</v>
      </c>
      <c r="AA852" s="16" t="s">
        <v>145</v>
      </c>
      <c r="AB852" s="18"/>
      <c r="AC852" s="18"/>
      <c r="AD852" s="18"/>
      <c r="AE852" s="18"/>
      <c r="AF852" s="18"/>
      <c r="AG852" s="18"/>
      <c r="AH852" s="13"/>
      <c r="AI852" s="18"/>
      <c r="AJ852" s="13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3"/>
      <c r="AY852" s="1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  <c r="BJ852" s="12"/>
      <c r="BK852" s="12"/>
      <c r="BL852" s="12"/>
      <c r="BM852" s="9"/>
      <c r="BN852" s="9"/>
      <c r="BO852" s="9"/>
      <c r="BP852" s="12"/>
      <c r="BQ852" s="12"/>
      <c r="BR852" s="12"/>
      <c r="BS852" s="12"/>
      <c r="BT852" s="12"/>
      <c r="BU852" s="12"/>
      <c r="BV852" s="12"/>
      <c r="BW852" s="12"/>
      <c r="BX852" s="12"/>
      <c r="BY852" s="9"/>
      <c r="BZ852" s="21"/>
      <c r="CA852" s="21"/>
      <c r="CB852" s="21"/>
      <c r="CC852" s="21"/>
      <c r="CD852" s="21"/>
      <c r="CE852" s="21"/>
      <c r="CF852" s="21"/>
      <c r="CG852" s="21"/>
      <c r="CH852" s="21"/>
      <c r="CI852" s="21"/>
      <c r="CJ852" s="21"/>
    </row>
    <row r="853" spans="1:88" ht="40.5" customHeight="1">
      <c r="A853" s="9"/>
      <c r="B853" s="12"/>
      <c r="C853" s="9" t="s">
        <v>2200</v>
      </c>
      <c r="D853" s="9" t="s">
        <v>73</v>
      </c>
      <c r="E853" s="12">
        <v>0</v>
      </c>
      <c r="F853" s="12">
        <v>0</v>
      </c>
      <c r="G853" s="12" t="b">
        <v>0</v>
      </c>
      <c r="H853" s="9" t="s">
        <v>75</v>
      </c>
      <c r="I853" s="9" t="s">
        <v>2201</v>
      </c>
      <c r="J853" s="9" t="s">
        <v>75</v>
      </c>
      <c r="K853" s="11" t="s">
        <v>2202</v>
      </c>
      <c r="L853" s="12"/>
      <c r="M853" s="12"/>
      <c r="N853" s="13"/>
      <c r="O853" s="16" t="s">
        <v>78</v>
      </c>
      <c r="P853" s="14" t="s">
        <v>79</v>
      </c>
      <c r="Q853" s="15" t="s">
        <v>80</v>
      </c>
      <c r="R853" s="14" t="s">
        <v>75</v>
      </c>
      <c r="S853" s="14" t="s">
        <v>75</v>
      </c>
      <c r="T853" s="16" t="s">
        <v>126</v>
      </c>
      <c r="U853" s="17"/>
      <c r="V853" s="16" t="s">
        <v>78</v>
      </c>
      <c r="W853" s="16" t="s">
        <v>79</v>
      </c>
      <c r="X853" s="15" t="s">
        <v>83</v>
      </c>
      <c r="Y853" s="16" t="s">
        <v>75</v>
      </c>
      <c r="Z853" s="16" t="s">
        <v>75</v>
      </c>
      <c r="AA853" s="16" t="s">
        <v>145</v>
      </c>
      <c r="AB853" s="18"/>
      <c r="AC853" s="19" t="s">
        <v>78</v>
      </c>
      <c r="AD853" s="19" t="s">
        <v>79</v>
      </c>
      <c r="AE853" s="20" t="s">
        <v>85</v>
      </c>
      <c r="AF853" s="19" t="s">
        <v>75</v>
      </c>
      <c r="AG853" s="19" t="s">
        <v>75</v>
      </c>
      <c r="AH853" s="16" t="s">
        <v>145</v>
      </c>
      <c r="AI853" s="18"/>
      <c r="AJ853" s="13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3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2"/>
      <c r="BK853" s="12"/>
      <c r="BL853" s="12"/>
      <c r="BM853" s="9"/>
      <c r="BN853" s="9"/>
      <c r="BO853" s="9"/>
      <c r="BP853" s="12"/>
      <c r="BQ853" s="12"/>
      <c r="BR853" s="12"/>
      <c r="BS853" s="12"/>
      <c r="BT853" s="12"/>
      <c r="BU853" s="12"/>
      <c r="BV853" s="12"/>
      <c r="BW853" s="12"/>
      <c r="BX853" s="12"/>
      <c r="BY853" s="9"/>
      <c r="BZ853" s="21"/>
      <c r="CA853" s="21"/>
      <c r="CB853" s="21"/>
      <c r="CC853" s="21"/>
      <c r="CD853" s="21"/>
      <c r="CE853" s="21"/>
      <c r="CF853" s="21"/>
      <c r="CG853" s="21"/>
      <c r="CH853" s="21"/>
      <c r="CI853" s="21"/>
      <c r="CJ853" s="21"/>
    </row>
    <row r="854" spans="1:88" ht="40.5" customHeight="1">
      <c r="A854" s="9"/>
      <c r="B854" s="12"/>
      <c r="C854" s="9" t="s">
        <v>2203</v>
      </c>
      <c r="D854" s="9" t="s">
        <v>73</v>
      </c>
      <c r="E854" s="12">
        <v>0</v>
      </c>
      <c r="F854" s="12">
        <v>0</v>
      </c>
      <c r="G854" s="12" t="b">
        <v>0</v>
      </c>
      <c r="H854" s="9" t="s">
        <v>75</v>
      </c>
      <c r="I854" s="9" t="s">
        <v>2204</v>
      </c>
      <c r="J854" s="9" t="s">
        <v>75</v>
      </c>
      <c r="K854" s="9" t="s">
        <v>79</v>
      </c>
      <c r="L854" s="12"/>
      <c r="M854" s="12"/>
      <c r="N854" s="13"/>
      <c r="O854" s="16" t="s">
        <v>78</v>
      </c>
      <c r="P854" s="14" t="s">
        <v>79</v>
      </c>
      <c r="Q854" s="15" t="s">
        <v>80</v>
      </c>
      <c r="R854" s="14" t="s">
        <v>75</v>
      </c>
      <c r="S854" s="14" t="s">
        <v>75</v>
      </c>
      <c r="T854" s="16" t="s">
        <v>126</v>
      </c>
      <c r="U854" s="17"/>
      <c r="V854" s="16" t="s">
        <v>78</v>
      </c>
      <c r="W854" s="16" t="s">
        <v>79</v>
      </c>
      <c r="X854" s="15" t="s">
        <v>83</v>
      </c>
      <c r="Y854" s="16" t="s">
        <v>75</v>
      </c>
      <c r="Z854" s="16" t="s">
        <v>75</v>
      </c>
      <c r="AA854" s="16" t="s">
        <v>4</v>
      </c>
      <c r="AB854" s="18"/>
      <c r="AC854" s="18"/>
      <c r="AD854" s="18"/>
      <c r="AE854" s="18"/>
      <c r="AF854" s="18"/>
      <c r="AG854" s="18"/>
      <c r="AH854" s="13"/>
      <c r="AI854" s="18"/>
      <c r="AJ854" s="13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3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2"/>
      <c r="BK854" s="12"/>
      <c r="BL854" s="12"/>
      <c r="BM854" s="9"/>
      <c r="BN854" s="9"/>
      <c r="BO854" s="9"/>
      <c r="BP854" s="12"/>
      <c r="BQ854" s="12"/>
      <c r="BR854" s="12"/>
      <c r="BS854" s="12"/>
      <c r="BT854" s="12"/>
      <c r="BU854" s="12"/>
      <c r="BV854" s="12"/>
      <c r="BW854" s="12"/>
      <c r="BX854" s="12"/>
      <c r="BY854" s="9"/>
      <c r="BZ854" s="21"/>
      <c r="CA854" s="21"/>
      <c r="CB854" s="21"/>
      <c r="CC854" s="21"/>
      <c r="CD854" s="21"/>
      <c r="CE854" s="21"/>
      <c r="CF854" s="21"/>
      <c r="CG854" s="21"/>
      <c r="CH854" s="21"/>
      <c r="CI854" s="21"/>
      <c r="CJ854" s="21"/>
    </row>
    <row r="855" spans="1:88" ht="40.5" customHeight="1">
      <c r="A855" s="9"/>
      <c r="B855" s="12"/>
      <c r="C855" s="9" t="s">
        <v>2205</v>
      </c>
      <c r="D855" s="9" t="s">
        <v>73</v>
      </c>
      <c r="E855" s="12">
        <v>0</v>
      </c>
      <c r="F855" s="12">
        <v>0</v>
      </c>
      <c r="G855" s="12" t="b">
        <v>0</v>
      </c>
      <c r="H855" s="9" t="s">
        <v>75</v>
      </c>
      <c r="I855" s="9" t="s">
        <v>2206</v>
      </c>
      <c r="J855" s="9" t="s">
        <v>75</v>
      </c>
      <c r="K855" s="11" t="s">
        <v>2207</v>
      </c>
      <c r="L855" s="12"/>
      <c r="M855" s="12"/>
      <c r="N855" s="13"/>
      <c r="O855" s="16" t="s">
        <v>78</v>
      </c>
      <c r="P855" s="14" t="s">
        <v>79</v>
      </c>
      <c r="Q855" s="15" t="s">
        <v>80</v>
      </c>
      <c r="R855" s="14" t="s">
        <v>75</v>
      </c>
      <c r="S855" s="14" t="s">
        <v>75</v>
      </c>
      <c r="T855" s="16" t="s">
        <v>81</v>
      </c>
      <c r="U855" s="17"/>
      <c r="V855" s="16" t="s">
        <v>7</v>
      </c>
      <c r="W855" s="16" t="s">
        <v>79</v>
      </c>
      <c r="X855" s="15" t="s">
        <v>83</v>
      </c>
      <c r="Y855" s="16" t="s">
        <v>75</v>
      </c>
      <c r="Z855" s="16" t="s">
        <v>75</v>
      </c>
      <c r="AA855" s="16" t="s">
        <v>86</v>
      </c>
      <c r="AB855" s="18"/>
      <c r="AC855" s="19" t="s">
        <v>2159</v>
      </c>
      <c r="AD855" s="19" t="s">
        <v>79</v>
      </c>
      <c r="AE855" s="20" t="s">
        <v>85</v>
      </c>
      <c r="AF855" s="19" t="s">
        <v>75</v>
      </c>
      <c r="AG855" s="19" t="s">
        <v>75</v>
      </c>
      <c r="AH855" s="16" t="s">
        <v>4</v>
      </c>
      <c r="AI855" s="18"/>
      <c r="AJ855" s="13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3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2"/>
      <c r="BK855" s="12"/>
      <c r="BL855" s="12"/>
      <c r="BM855" s="9"/>
      <c r="BN855" s="9"/>
      <c r="BO855" s="9"/>
      <c r="BP855" s="12"/>
      <c r="BQ855" s="12"/>
      <c r="BR855" s="12"/>
      <c r="BS855" s="12"/>
      <c r="BT855" s="12"/>
      <c r="BU855" s="12"/>
      <c r="BV855" s="12"/>
      <c r="BW855" s="12"/>
      <c r="BX855" s="12"/>
      <c r="BY855" s="9"/>
      <c r="BZ855" s="21"/>
      <c r="CA855" s="21"/>
      <c r="CB855" s="21"/>
      <c r="CC855" s="21"/>
      <c r="CD855" s="21"/>
      <c r="CE855" s="21"/>
      <c r="CF855" s="21"/>
      <c r="CG855" s="21"/>
      <c r="CH855" s="21"/>
      <c r="CI855" s="21"/>
      <c r="CJ855" s="21"/>
    </row>
    <row r="856" spans="1:88" ht="40.5" customHeight="1">
      <c r="A856" s="9"/>
      <c r="B856" s="12"/>
      <c r="C856" s="9" t="s">
        <v>2208</v>
      </c>
      <c r="D856" s="9" t="s">
        <v>73</v>
      </c>
      <c r="E856" s="12">
        <v>0</v>
      </c>
      <c r="F856" s="12">
        <v>0</v>
      </c>
      <c r="G856" s="12" t="b">
        <v>0</v>
      </c>
      <c r="H856" s="9" t="s">
        <v>75</v>
      </c>
      <c r="I856" s="9" t="s">
        <v>2209</v>
      </c>
      <c r="J856" s="9" t="s">
        <v>75</v>
      </c>
      <c r="K856" s="11" t="s">
        <v>2210</v>
      </c>
      <c r="L856" s="12"/>
      <c r="M856" s="12"/>
      <c r="N856" s="13"/>
      <c r="O856" s="16" t="s">
        <v>78</v>
      </c>
      <c r="P856" s="14" t="s">
        <v>79</v>
      </c>
      <c r="Q856" s="15" t="s">
        <v>80</v>
      </c>
      <c r="R856" s="23" t="s">
        <v>228</v>
      </c>
      <c r="S856" s="14" t="s">
        <v>75</v>
      </c>
      <c r="T856" s="16" t="s">
        <v>166</v>
      </c>
      <c r="U856" s="17"/>
      <c r="V856" s="16" t="s">
        <v>78</v>
      </c>
      <c r="W856" s="16" t="s">
        <v>79</v>
      </c>
      <c r="X856" s="15" t="s">
        <v>83</v>
      </c>
      <c r="Y856" s="16" t="s">
        <v>75</v>
      </c>
      <c r="Z856" s="16" t="s">
        <v>75</v>
      </c>
      <c r="AA856" s="16" t="s">
        <v>86</v>
      </c>
      <c r="AB856" s="18"/>
      <c r="AC856" s="19" t="s">
        <v>78</v>
      </c>
      <c r="AD856" s="19" t="s">
        <v>79</v>
      </c>
      <c r="AE856" s="20" t="s">
        <v>85</v>
      </c>
      <c r="AF856" s="19" t="s">
        <v>75</v>
      </c>
      <c r="AG856" s="19" t="s">
        <v>75</v>
      </c>
      <c r="AH856" s="16" t="s">
        <v>101</v>
      </c>
      <c r="AI856" s="18"/>
      <c r="AJ856" s="13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3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2"/>
      <c r="BK856" s="12"/>
      <c r="BL856" s="12"/>
      <c r="BM856" s="9"/>
      <c r="BN856" s="9"/>
      <c r="BO856" s="9"/>
      <c r="BP856" s="12"/>
      <c r="BQ856" s="12"/>
      <c r="BR856" s="12"/>
      <c r="BS856" s="12"/>
      <c r="BT856" s="12"/>
      <c r="BU856" s="12"/>
      <c r="BV856" s="12"/>
      <c r="BW856" s="12"/>
      <c r="BX856" s="12"/>
      <c r="BY856" s="9"/>
      <c r="BZ856" s="21"/>
      <c r="CA856" s="21"/>
      <c r="CB856" s="21"/>
      <c r="CC856" s="21"/>
      <c r="CD856" s="21"/>
      <c r="CE856" s="21"/>
      <c r="CF856" s="21"/>
      <c r="CG856" s="21"/>
      <c r="CH856" s="21"/>
      <c r="CI856" s="21"/>
      <c r="CJ856" s="21"/>
    </row>
    <row r="857" spans="1:88" ht="40.5" customHeight="1">
      <c r="A857" s="9"/>
      <c r="B857" s="12"/>
      <c r="C857" s="9" t="s">
        <v>2211</v>
      </c>
      <c r="D857" s="9" t="s">
        <v>73</v>
      </c>
      <c r="E857" s="12">
        <v>0</v>
      </c>
      <c r="F857" s="12">
        <v>0</v>
      </c>
      <c r="G857" s="12" t="b">
        <v>0</v>
      </c>
      <c r="H857" s="9" t="s">
        <v>75</v>
      </c>
      <c r="I857" s="9" t="s">
        <v>2212</v>
      </c>
      <c r="J857" s="9" t="s">
        <v>75</v>
      </c>
      <c r="K857" s="11" t="s">
        <v>2213</v>
      </c>
      <c r="L857" s="12"/>
      <c r="M857" s="12"/>
      <c r="N857" s="13"/>
      <c r="O857" s="16" t="s">
        <v>78</v>
      </c>
      <c r="P857" s="14" t="s">
        <v>79</v>
      </c>
      <c r="Q857" s="15" t="s">
        <v>80</v>
      </c>
      <c r="R857" s="14" t="s">
        <v>75</v>
      </c>
      <c r="S857" s="14" t="s">
        <v>75</v>
      </c>
      <c r="T857" s="16" t="s">
        <v>145</v>
      </c>
      <c r="U857" s="17"/>
      <c r="V857" s="16" t="s">
        <v>78</v>
      </c>
      <c r="W857" s="16" t="s">
        <v>79</v>
      </c>
      <c r="X857" s="15" t="s">
        <v>83</v>
      </c>
      <c r="Y857" s="16" t="s">
        <v>75</v>
      </c>
      <c r="Z857" s="16" t="s">
        <v>75</v>
      </c>
      <c r="AA857" s="16" t="s">
        <v>145</v>
      </c>
      <c r="AB857" s="18"/>
      <c r="AC857" s="19" t="s">
        <v>78</v>
      </c>
      <c r="AD857" s="19" t="s">
        <v>79</v>
      </c>
      <c r="AE857" s="20" t="s">
        <v>85</v>
      </c>
      <c r="AF857" s="19" t="s">
        <v>75</v>
      </c>
      <c r="AG857" s="19" t="s">
        <v>75</v>
      </c>
      <c r="AH857" s="16" t="s">
        <v>145</v>
      </c>
      <c r="AI857" s="18"/>
      <c r="AJ857" s="13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3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2"/>
      <c r="BK857" s="12"/>
      <c r="BL857" s="12"/>
      <c r="BM857" s="9"/>
      <c r="BN857" s="9"/>
      <c r="BO857" s="9"/>
      <c r="BP857" s="12"/>
      <c r="BQ857" s="12"/>
      <c r="BR857" s="12"/>
      <c r="BS857" s="12"/>
      <c r="BT857" s="12"/>
      <c r="BU857" s="12"/>
      <c r="BV857" s="12"/>
      <c r="BW857" s="12"/>
      <c r="BX857" s="12"/>
      <c r="BY857" s="9"/>
      <c r="BZ857" s="21"/>
      <c r="CA857" s="21"/>
      <c r="CB857" s="21"/>
      <c r="CC857" s="21"/>
      <c r="CD857" s="21"/>
      <c r="CE857" s="21"/>
      <c r="CF857" s="21"/>
      <c r="CG857" s="21"/>
      <c r="CH857" s="21"/>
      <c r="CI857" s="21"/>
      <c r="CJ857" s="21"/>
    </row>
    <row r="858" spans="1:88" ht="40.5" customHeight="1">
      <c r="A858" s="9"/>
      <c r="B858" s="12"/>
      <c r="C858" s="9" t="s">
        <v>2214</v>
      </c>
      <c r="D858" s="9" t="s">
        <v>73</v>
      </c>
      <c r="E858" s="12">
        <v>0</v>
      </c>
      <c r="F858" s="12">
        <v>0</v>
      </c>
      <c r="G858" s="12" t="b">
        <v>0</v>
      </c>
      <c r="H858" s="9" t="s">
        <v>75</v>
      </c>
      <c r="I858" s="9" t="s">
        <v>2215</v>
      </c>
      <c r="J858" s="9" t="s">
        <v>75</v>
      </c>
      <c r="K858" s="11" t="s">
        <v>2216</v>
      </c>
      <c r="L858" s="12"/>
      <c r="M858" s="12"/>
      <c r="N858" s="13"/>
      <c r="O858" s="16" t="s">
        <v>78</v>
      </c>
      <c r="P858" s="14" t="s">
        <v>79</v>
      </c>
      <c r="Q858" s="15" t="s">
        <v>80</v>
      </c>
      <c r="R858" s="14" t="s">
        <v>75</v>
      </c>
      <c r="S858" s="14" t="s">
        <v>75</v>
      </c>
      <c r="T858" s="16" t="s">
        <v>81</v>
      </c>
      <c r="U858" s="17"/>
      <c r="V858" s="16" t="s">
        <v>78</v>
      </c>
      <c r="W858" s="16" t="s">
        <v>79</v>
      </c>
      <c r="X858" s="15" t="s">
        <v>83</v>
      </c>
      <c r="Y858" s="16" t="s">
        <v>75</v>
      </c>
      <c r="Z858" s="16" t="s">
        <v>75</v>
      </c>
      <c r="AA858" s="16" t="s">
        <v>86</v>
      </c>
      <c r="AB858" s="18"/>
      <c r="AC858" s="19" t="s">
        <v>2159</v>
      </c>
      <c r="AD858" s="19" t="s">
        <v>79</v>
      </c>
      <c r="AE858" s="20" t="s">
        <v>85</v>
      </c>
      <c r="AF858" s="19" t="s">
        <v>75</v>
      </c>
      <c r="AG858" s="19" t="s">
        <v>75</v>
      </c>
      <c r="AH858" s="16" t="s">
        <v>4</v>
      </c>
      <c r="AI858" s="18"/>
      <c r="AJ858" s="13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3"/>
      <c r="AY858" s="1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  <c r="BJ858" s="12"/>
      <c r="BK858" s="12"/>
      <c r="BL858" s="12"/>
      <c r="BM858" s="9"/>
      <c r="BN858" s="9"/>
      <c r="BO858" s="9"/>
      <c r="BP858" s="12"/>
      <c r="BQ858" s="12"/>
      <c r="BR858" s="12"/>
      <c r="BS858" s="12"/>
      <c r="BT858" s="12"/>
      <c r="BU858" s="12"/>
      <c r="BV858" s="12"/>
      <c r="BW858" s="12"/>
      <c r="BX858" s="12"/>
      <c r="BY858" s="9"/>
      <c r="BZ858" s="21"/>
      <c r="CA858" s="21"/>
      <c r="CB858" s="21"/>
      <c r="CC858" s="21"/>
      <c r="CD858" s="21"/>
      <c r="CE858" s="21"/>
      <c r="CF858" s="21"/>
      <c r="CG858" s="21"/>
      <c r="CH858" s="21"/>
      <c r="CI858" s="21"/>
      <c r="CJ858" s="21"/>
    </row>
    <row r="859" spans="1:88" ht="40.5" customHeight="1">
      <c r="A859" s="9"/>
      <c r="B859" s="12"/>
      <c r="C859" s="9" t="s">
        <v>2217</v>
      </c>
      <c r="D859" s="9" t="s">
        <v>73</v>
      </c>
      <c r="E859" s="12">
        <v>0</v>
      </c>
      <c r="F859" s="12">
        <v>0</v>
      </c>
      <c r="G859" s="12" t="b">
        <v>0</v>
      </c>
      <c r="H859" s="9" t="s">
        <v>2218</v>
      </c>
      <c r="I859" s="10" t="s">
        <v>2219</v>
      </c>
      <c r="J859" s="9" t="s">
        <v>79</v>
      </c>
      <c r="K859" s="11" t="s">
        <v>2220</v>
      </c>
      <c r="L859" s="12"/>
      <c r="M859" s="12"/>
      <c r="N859" s="13"/>
      <c r="O859" s="16" t="s">
        <v>78</v>
      </c>
      <c r="P859" s="14" t="s">
        <v>79</v>
      </c>
      <c r="Q859" s="15" t="s">
        <v>80</v>
      </c>
      <c r="R859" s="14" t="s">
        <v>75</v>
      </c>
      <c r="S859" s="14" t="s">
        <v>75</v>
      </c>
      <c r="T859" s="16" t="s">
        <v>153</v>
      </c>
      <c r="U859" s="17"/>
      <c r="V859" s="16" t="s">
        <v>78</v>
      </c>
      <c r="W859" s="16" t="s">
        <v>79</v>
      </c>
      <c r="X859" s="15" t="s">
        <v>83</v>
      </c>
      <c r="Y859" s="16" t="s">
        <v>75</v>
      </c>
      <c r="Z859" s="16" t="s">
        <v>75</v>
      </c>
      <c r="AA859" s="16" t="s">
        <v>153</v>
      </c>
      <c r="AB859" s="18"/>
      <c r="AC859" s="18"/>
      <c r="AD859" s="18"/>
      <c r="AE859" s="18"/>
      <c r="AF859" s="18"/>
      <c r="AG859" s="18"/>
      <c r="AH859" s="13"/>
      <c r="AI859" s="18"/>
      <c r="AJ859" s="13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3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2"/>
      <c r="BK859" s="12"/>
      <c r="BL859" s="12"/>
      <c r="BM859" s="9"/>
      <c r="BN859" s="9"/>
      <c r="BO859" s="9"/>
      <c r="BP859" s="12"/>
      <c r="BQ859" s="12"/>
      <c r="BR859" s="12"/>
      <c r="BS859" s="12"/>
      <c r="BT859" s="12"/>
      <c r="BU859" s="12"/>
      <c r="BV859" s="12"/>
      <c r="BW859" s="12"/>
      <c r="BX859" s="12"/>
      <c r="BY859" s="9"/>
      <c r="BZ859" s="21"/>
      <c r="CA859" s="21"/>
      <c r="CB859" s="21"/>
      <c r="CC859" s="21"/>
      <c r="CD859" s="21"/>
      <c r="CE859" s="21"/>
      <c r="CF859" s="21"/>
      <c r="CG859" s="21"/>
      <c r="CH859" s="21"/>
      <c r="CI859" s="21"/>
      <c r="CJ859" s="21"/>
    </row>
    <row r="860" spans="1:88" ht="40.5" customHeight="1">
      <c r="A860" s="9"/>
      <c r="B860" s="12"/>
      <c r="C860" s="9" t="s">
        <v>2221</v>
      </c>
      <c r="D860" s="9" t="s">
        <v>73</v>
      </c>
      <c r="E860" s="12">
        <v>0</v>
      </c>
      <c r="F860" s="12">
        <v>0</v>
      </c>
      <c r="G860" s="12" t="b">
        <v>0</v>
      </c>
      <c r="H860" s="9" t="s">
        <v>75</v>
      </c>
      <c r="I860" s="9" t="s">
        <v>2222</v>
      </c>
      <c r="J860" s="9" t="s">
        <v>75</v>
      </c>
      <c r="K860" s="11" t="s">
        <v>2223</v>
      </c>
      <c r="L860" s="12"/>
      <c r="M860" s="12"/>
      <c r="N860" s="13"/>
      <c r="O860" s="16" t="s">
        <v>78</v>
      </c>
      <c r="P860" s="14" t="s">
        <v>79</v>
      </c>
      <c r="Q860" s="15" t="s">
        <v>85</v>
      </c>
      <c r="R860" s="14" t="s">
        <v>75</v>
      </c>
      <c r="S860" s="14" t="s">
        <v>75</v>
      </c>
      <c r="T860" s="16" t="s">
        <v>153</v>
      </c>
      <c r="U860" s="17"/>
      <c r="V860" s="13"/>
      <c r="W860" s="13"/>
      <c r="X860" s="13"/>
      <c r="Y860" s="13"/>
      <c r="Z860" s="13"/>
      <c r="AA860" s="13"/>
      <c r="AB860" s="18"/>
      <c r="AC860" s="18"/>
      <c r="AD860" s="18"/>
      <c r="AE860" s="18"/>
      <c r="AF860" s="18"/>
      <c r="AG860" s="18"/>
      <c r="AH860" s="13"/>
      <c r="AI860" s="18"/>
      <c r="AJ860" s="13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3"/>
      <c r="AY860" s="1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  <c r="BJ860" s="12"/>
      <c r="BK860" s="12"/>
      <c r="BL860" s="12"/>
      <c r="BM860" s="9"/>
      <c r="BN860" s="9"/>
      <c r="BO860" s="9"/>
      <c r="BP860" s="12"/>
      <c r="BQ860" s="12"/>
      <c r="BR860" s="12"/>
      <c r="BS860" s="12"/>
      <c r="BT860" s="12"/>
      <c r="BU860" s="12"/>
      <c r="BV860" s="12"/>
      <c r="BW860" s="12"/>
      <c r="BX860" s="12"/>
      <c r="BY860" s="9"/>
      <c r="BZ860" s="21"/>
      <c r="CA860" s="21"/>
      <c r="CB860" s="21"/>
      <c r="CC860" s="21"/>
      <c r="CD860" s="21"/>
      <c r="CE860" s="21"/>
      <c r="CF860" s="21"/>
      <c r="CG860" s="21"/>
      <c r="CH860" s="21"/>
      <c r="CI860" s="21"/>
      <c r="CJ860" s="21"/>
    </row>
    <row r="861" spans="1:88" ht="40.5" customHeight="1">
      <c r="A861" s="9"/>
      <c r="B861" s="12"/>
      <c r="C861" s="9" t="s">
        <v>2224</v>
      </c>
      <c r="D861" s="9" t="s">
        <v>73</v>
      </c>
      <c r="E861" s="12">
        <v>0</v>
      </c>
      <c r="F861" s="12">
        <v>0</v>
      </c>
      <c r="G861" s="12" t="b">
        <v>0</v>
      </c>
      <c r="H861" s="9" t="s">
        <v>75</v>
      </c>
      <c r="I861" s="9" t="s">
        <v>2225</v>
      </c>
      <c r="J861" s="9" t="s">
        <v>75</v>
      </c>
      <c r="K861" s="11" t="s">
        <v>2226</v>
      </c>
      <c r="L861" s="12"/>
      <c r="M861" s="12"/>
      <c r="N861" s="13"/>
      <c r="O861" s="16" t="s">
        <v>78</v>
      </c>
      <c r="P861" s="14" t="s">
        <v>79</v>
      </c>
      <c r="Q861" s="15" t="s">
        <v>80</v>
      </c>
      <c r="R861" s="14" t="s">
        <v>75</v>
      </c>
      <c r="S861" s="14" t="s">
        <v>75</v>
      </c>
      <c r="T861" s="16" t="s">
        <v>153</v>
      </c>
      <c r="U861" s="17"/>
      <c r="V861" s="16" t="s">
        <v>78</v>
      </c>
      <c r="W861" s="16" t="s">
        <v>79</v>
      </c>
      <c r="X861" s="15" t="s">
        <v>83</v>
      </c>
      <c r="Y861" s="16" t="s">
        <v>75</v>
      </c>
      <c r="Z861" s="16" t="s">
        <v>75</v>
      </c>
      <c r="AA861" s="16" t="s">
        <v>81</v>
      </c>
      <c r="AB861" s="18"/>
      <c r="AC861" s="19" t="s">
        <v>78</v>
      </c>
      <c r="AD861" s="19" t="s">
        <v>79</v>
      </c>
      <c r="AE861" s="20" t="s">
        <v>85</v>
      </c>
      <c r="AF861" s="19" t="s">
        <v>75</v>
      </c>
      <c r="AG861" s="19" t="s">
        <v>75</v>
      </c>
      <c r="AH861" s="16" t="s">
        <v>145</v>
      </c>
      <c r="AI861" s="18"/>
      <c r="AJ861" s="13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3"/>
      <c r="AY861" s="1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  <c r="BJ861" s="12"/>
      <c r="BK861" s="12"/>
      <c r="BL861" s="12"/>
      <c r="BM861" s="9"/>
      <c r="BN861" s="9"/>
      <c r="BO861" s="9"/>
      <c r="BP861" s="12"/>
      <c r="BQ861" s="12"/>
      <c r="BR861" s="12"/>
      <c r="BS861" s="12"/>
      <c r="BT861" s="12"/>
      <c r="BU861" s="12"/>
      <c r="BV861" s="12"/>
      <c r="BW861" s="12"/>
      <c r="BX861" s="12"/>
      <c r="BY861" s="9"/>
      <c r="BZ861" s="21"/>
      <c r="CA861" s="21"/>
      <c r="CB861" s="21"/>
      <c r="CC861" s="21"/>
      <c r="CD861" s="21"/>
      <c r="CE861" s="21"/>
      <c r="CF861" s="21"/>
      <c r="CG861" s="21"/>
      <c r="CH861" s="21"/>
      <c r="CI861" s="21"/>
      <c r="CJ861" s="21"/>
    </row>
    <row r="862" spans="1:88" ht="40.5" customHeight="1">
      <c r="A862" s="9"/>
      <c r="B862" s="12"/>
      <c r="C862" s="9" t="s">
        <v>2227</v>
      </c>
      <c r="D862" s="9" t="s">
        <v>73</v>
      </c>
      <c r="E862" s="12">
        <v>0</v>
      </c>
      <c r="F862" s="12">
        <v>0</v>
      </c>
      <c r="G862" s="12" t="b">
        <v>0</v>
      </c>
      <c r="H862" s="9" t="s">
        <v>75</v>
      </c>
      <c r="I862" s="9" t="s">
        <v>2228</v>
      </c>
      <c r="J862" s="9" t="s">
        <v>75</v>
      </c>
      <c r="K862" s="11" t="s">
        <v>2229</v>
      </c>
      <c r="L862" s="12"/>
      <c r="M862" s="12"/>
      <c r="N862" s="13"/>
      <c r="O862" s="16" t="s">
        <v>78</v>
      </c>
      <c r="P862" s="14" t="s">
        <v>79</v>
      </c>
      <c r="Q862" s="15" t="s">
        <v>80</v>
      </c>
      <c r="R862" s="14" t="s">
        <v>75</v>
      </c>
      <c r="S862" s="14" t="s">
        <v>75</v>
      </c>
      <c r="T862" s="16" t="s">
        <v>81</v>
      </c>
      <c r="U862" s="17"/>
      <c r="V862" s="16" t="s">
        <v>78</v>
      </c>
      <c r="W862" s="16" t="s">
        <v>79</v>
      </c>
      <c r="X862" s="15" t="s">
        <v>83</v>
      </c>
      <c r="Y862" s="16" t="s">
        <v>75</v>
      </c>
      <c r="Z862" s="16" t="s">
        <v>75</v>
      </c>
      <c r="AA862" s="16" t="s">
        <v>86</v>
      </c>
      <c r="AB862" s="18"/>
      <c r="AC862" s="19" t="s">
        <v>78</v>
      </c>
      <c r="AD862" s="19" t="s">
        <v>79</v>
      </c>
      <c r="AE862" s="20" t="s">
        <v>85</v>
      </c>
      <c r="AF862" s="19" t="s">
        <v>75</v>
      </c>
      <c r="AG862" s="19" t="s">
        <v>75</v>
      </c>
      <c r="AH862" s="16" t="s">
        <v>145</v>
      </c>
      <c r="AI862" s="18"/>
      <c r="AJ862" s="13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3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2"/>
      <c r="BK862" s="12"/>
      <c r="BL862" s="12"/>
      <c r="BM862" s="9"/>
      <c r="BN862" s="9"/>
      <c r="BO862" s="9"/>
      <c r="BP862" s="12"/>
      <c r="BQ862" s="12"/>
      <c r="BR862" s="12"/>
      <c r="BS862" s="12"/>
      <c r="BT862" s="12"/>
      <c r="BU862" s="12"/>
      <c r="BV862" s="12"/>
      <c r="BW862" s="12"/>
      <c r="BX862" s="12"/>
      <c r="BY862" s="9"/>
      <c r="BZ862" s="21"/>
      <c r="CA862" s="21"/>
      <c r="CB862" s="21"/>
      <c r="CC862" s="21"/>
      <c r="CD862" s="21"/>
      <c r="CE862" s="21"/>
      <c r="CF862" s="21"/>
      <c r="CG862" s="21"/>
      <c r="CH862" s="21"/>
      <c r="CI862" s="21"/>
      <c r="CJ862" s="21"/>
    </row>
    <row r="863" spans="1:88" ht="40.5" customHeight="1">
      <c r="A863" s="9"/>
      <c r="B863" s="12"/>
      <c r="C863" s="9" t="s">
        <v>2230</v>
      </c>
      <c r="D863" s="9" t="s">
        <v>73</v>
      </c>
      <c r="E863" s="12">
        <v>0</v>
      </c>
      <c r="F863" s="12">
        <v>0</v>
      </c>
      <c r="G863" s="12" t="b">
        <v>0</v>
      </c>
      <c r="H863" s="9" t="s">
        <v>75</v>
      </c>
      <c r="I863" s="9" t="s">
        <v>2231</v>
      </c>
      <c r="J863" s="9" t="s">
        <v>75</v>
      </c>
      <c r="K863" s="11" t="s">
        <v>2232</v>
      </c>
      <c r="L863" s="12"/>
      <c r="M863" s="12"/>
      <c r="N863" s="13"/>
      <c r="O863" s="16" t="s">
        <v>78</v>
      </c>
      <c r="P863" s="14" t="s">
        <v>79</v>
      </c>
      <c r="Q863" s="15" t="s">
        <v>80</v>
      </c>
      <c r="R863" s="14" t="s">
        <v>75</v>
      </c>
      <c r="S863" s="14" t="s">
        <v>75</v>
      </c>
      <c r="T863" s="16" t="s">
        <v>126</v>
      </c>
      <c r="U863" s="17"/>
      <c r="V863" s="16" t="s">
        <v>78</v>
      </c>
      <c r="W863" s="16" t="s">
        <v>79</v>
      </c>
      <c r="X863" s="15" t="s">
        <v>1702</v>
      </c>
      <c r="Y863" s="16" t="s">
        <v>75</v>
      </c>
      <c r="Z863" s="16" t="s">
        <v>75</v>
      </c>
      <c r="AA863" s="16" t="s">
        <v>81</v>
      </c>
      <c r="AB863" s="18"/>
      <c r="AC863" s="19" t="s">
        <v>7</v>
      </c>
      <c r="AD863" s="19" t="s">
        <v>79</v>
      </c>
      <c r="AE863" s="20" t="s">
        <v>83</v>
      </c>
      <c r="AF863" s="19" t="s">
        <v>75</v>
      </c>
      <c r="AG863" s="19" t="s">
        <v>75</v>
      </c>
      <c r="AH863" s="16" t="s">
        <v>86</v>
      </c>
      <c r="AI863" s="18"/>
      <c r="AJ863" s="16" t="s">
        <v>78</v>
      </c>
      <c r="AK863" s="19" t="s">
        <v>79</v>
      </c>
      <c r="AL863" s="20" t="s">
        <v>2233</v>
      </c>
      <c r="AM863" s="19" t="s">
        <v>75</v>
      </c>
      <c r="AN863" s="19" t="s">
        <v>75</v>
      </c>
      <c r="AO863" s="19" t="s">
        <v>145</v>
      </c>
      <c r="AP863" s="18"/>
      <c r="AQ863" s="18"/>
      <c r="AR863" s="18"/>
      <c r="AS863" s="18"/>
      <c r="AT863" s="18"/>
      <c r="AU863" s="18"/>
      <c r="AV863" s="18"/>
      <c r="AW863" s="18"/>
      <c r="AX863" s="13"/>
      <c r="AY863" s="1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  <c r="BJ863" s="12"/>
      <c r="BK863" s="12"/>
      <c r="BL863" s="12"/>
      <c r="BM863" s="9"/>
      <c r="BN863" s="9"/>
      <c r="BO863" s="9"/>
      <c r="BP863" s="12"/>
      <c r="BQ863" s="12"/>
      <c r="BR863" s="12"/>
      <c r="BS863" s="12"/>
      <c r="BT863" s="12"/>
      <c r="BU863" s="12"/>
      <c r="BV863" s="12"/>
      <c r="BW863" s="12"/>
      <c r="BX863" s="12"/>
      <c r="BY863" s="9"/>
      <c r="BZ863" s="21"/>
      <c r="CA863" s="21"/>
      <c r="CB863" s="21"/>
      <c r="CC863" s="21"/>
      <c r="CD863" s="21"/>
      <c r="CE863" s="21"/>
      <c r="CF863" s="21"/>
      <c r="CG863" s="21"/>
      <c r="CH863" s="21"/>
      <c r="CI863" s="21"/>
      <c r="CJ863" s="21"/>
    </row>
    <row r="864" spans="1:88" ht="40.5" customHeight="1">
      <c r="A864" s="9"/>
      <c r="B864" s="12"/>
      <c r="C864" s="9" t="s">
        <v>2234</v>
      </c>
      <c r="D864" s="9" t="s">
        <v>73</v>
      </c>
      <c r="E864" s="12">
        <v>0</v>
      </c>
      <c r="F864" s="12">
        <v>0</v>
      </c>
      <c r="G864" s="12" t="b">
        <v>0</v>
      </c>
      <c r="H864" s="9" t="s">
        <v>75</v>
      </c>
      <c r="I864" s="9" t="s">
        <v>2212</v>
      </c>
      <c r="J864" s="9" t="s">
        <v>75</v>
      </c>
      <c r="K864" s="11" t="s">
        <v>2213</v>
      </c>
      <c r="L864" s="12"/>
      <c r="M864" s="12"/>
      <c r="N864" s="13"/>
      <c r="O864" s="16" t="s">
        <v>78</v>
      </c>
      <c r="P864" s="14" t="s">
        <v>79</v>
      </c>
      <c r="Q864" s="15" t="s">
        <v>80</v>
      </c>
      <c r="R864" s="14" t="s">
        <v>75</v>
      </c>
      <c r="S864" s="14" t="s">
        <v>75</v>
      </c>
      <c r="T864" s="16" t="s">
        <v>126</v>
      </c>
      <c r="U864" s="17"/>
      <c r="V864" s="16" t="s">
        <v>78</v>
      </c>
      <c r="W864" s="16" t="s">
        <v>79</v>
      </c>
      <c r="X864" s="15" t="s">
        <v>1702</v>
      </c>
      <c r="Y864" s="16" t="s">
        <v>75</v>
      </c>
      <c r="Z864" s="16" t="s">
        <v>75</v>
      </c>
      <c r="AA864" s="16" t="s">
        <v>81</v>
      </c>
      <c r="AB864" s="18"/>
      <c r="AC864" s="19" t="s">
        <v>2159</v>
      </c>
      <c r="AD864" s="19" t="s">
        <v>79</v>
      </c>
      <c r="AE864" s="20" t="s">
        <v>2233</v>
      </c>
      <c r="AF864" s="19" t="s">
        <v>75</v>
      </c>
      <c r="AG864" s="19" t="s">
        <v>75</v>
      </c>
      <c r="AH864" s="16" t="s">
        <v>4</v>
      </c>
      <c r="AI864" s="18"/>
      <c r="AJ864" s="13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3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2"/>
      <c r="BK864" s="12"/>
      <c r="BL864" s="12"/>
      <c r="BM864" s="9"/>
      <c r="BN864" s="9"/>
      <c r="BO864" s="9"/>
      <c r="BP864" s="12"/>
      <c r="BQ864" s="12"/>
      <c r="BR864" s="12"/>
      <c r="BS864" s="12"/>
      <c r="BT864" s="12"/>
      <c r="BU864" s="12"/>
      <c r="BV864" s="12"/>
      <c r="BW864" s="12"/>
      <c r="BX864" s="12"/>
      <c r="BY864" s="9"/>
      <c r="BZ864" s="21"/>
      <c r="CA864" s="21"/>
      <c r="CB864" s="21"/>
      <c r="CC864" s="21"/>
      <c r="CD864" s="21"/>
      <c r="CE864" s="21"/>
      <c r="CF864" s="21"/>
      <c r="CG864" s="21"/>
      <c r="CH864" s="21"/>
      <c r="CI864" s="21"/>
      <c r="CJ864" s="21"/>
    </row>
    <row r="865" spans="1:88" ht="40.5" customHeight="1">
      <c r="A865" s="9"/>
      <c r="B865" s="12"/>
      <c r="C865" s="9" t="s">
        <v>2235</v>
      </c>
      <c r="D865" s="9" t="s">
        <v>73</v>
      </c>
      <c r="E865" s="12">
        <v>0</v>
      </c>
      <c r="F865" s="12">
        <v>0</v>
      </c>
      <c r="G865" s="12" t="b">
        <v>0</v>
      </c>
      <c r="H865" s="9" t="s">
        <v>75</v>
      </c>
      <c r="I865" s="9" t="s">
        <v>2236</v>
      </c>
      <c r="J865" s="9" t="s">
        <v>75</v>
      </c>
      <c r="K865" s="9" t="s">
        <v>79</v>
      </c>
      <c r="L865" s="12"/>
      <c r="M865" s="12"/>
      <c r="N865" s="13"/>
      <c r="O865" s="16" t="s">
        <v>78</v>
      </c>
      <c r="P865" s="14" t="s">
        <v>79</v>
      </c>
      <c r="Q865" s="15" t="s">
        <v>80</v>
      </c>
      <c r="R865" s="14" t="s">
        <v>75</v>
      </c>
      <c r="S865" s="14" t="s">
        <v>75</v>
      </c>
      <c r="T865" s="16" t="s">
        <v>4</v>
      </c>
      <c r="U865" s="17"/>
      <c r="V865" s="13"/>
      <c r="W865" s="13"/>
      <c r="X865" s="13"/>
      <c r="Y865" s="13"/>
      <c r="Z865" s="13"/>
      <c r="AA865" s="13"/>
      <c r="AB865" s="18"/>
      <c r="AC865" s="18"/>
      <c r="AD865" s="18"/>
      <c r="AE865" s="18"/>
      <c r="AF865" s="18"/>
      <c r="AG865" s="18"/>
      <c r="AH865" s="13"/>
      <c r="AI865" s="18"/>
      <c r="AJ865" s="13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3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2"/>
      <c r="BK865" s="12"/>
      <c r="BL865" s="12"/>
      <c r="BM865" s="9"/>
      <c r="BN865" s="9"/>
      <c r="BO865" s="9"/>
      <c r="BP865" s="12"/>
      <c r="BQ865" s="12"/>
      <c r="BR865" s="12"/>
      <c r="BS865" s="12"/>
      <c r="BT865" s="12"/>
      <c r="BU865" s="12"/>
      <c r="BV865" s="12"/>
      <c r="BW865" s="12"/>
      <c r="BX865" s="12"/>
      <c r="BY865" s="9"/>
      <c r="BZ865" s="21"/>
      <c r="CA865" s="21"/>
      <c r="CB865" s="21"/>
      <c r="CC865" s="21"/>
      <c r="CD865" s="21"/>
      <c r="CE865" s="21"/>
      <c r="CF865" s="21"/>
      <c r="CG865" s="21"/>
      <c r="CH865" s="21"/>
      <c r="CI865" s="21"/>
      <c r="CJ865" s="21"/>
    </row>
    <row r="866" spans="1:88" ht="40.5" customHeight="1">
      <c r="A866" s="9"/>
      <c r="B866" s="12"/>
      <c r="C866" s="9" t="s">
        <v>2237</v>
      </c>
      <c r="D866" s="9" t="s">
        <v>73</v>
      </c>
      <c r="E866" s="12">
        <v>0</v>
      </c>
      <c r="F866" s="12">
        <v>0</v>
      </c>
      <c r="G866" s="12" t="b">
        <v>0</v>
      </c>
      <c r="H866" s="9" t="s">
        <v>75</v>
      </c>
      <c r="I866" s="9" t="s">
        <v>2238</v>
      </c>
      <c r="J866" s="9" t="s">
        <v>75</v>
      </c>
      <c r="K866" s="9" t="s">
        <v>79</v>
      </c>
      <c r="L866" s="12"/>
      <c r="M866" s="12"/>
      <c r="N866" s="13"/>
      <c r="O866" s="16" t="s">
        <v>78</v>
      </c>
      <c r="P866" s="14" t="s">
        <v>79</v>
      </c>
      <c r="Q866" s="15" t="s">
        <v>80</v>
      </c>
      <c r="R866" s="14" t="s">
        <v>75</v>
      </c>
      <c r="S866" s="14" t="s">
        <v>75</v>
      </c>
      <c r="T866" s="16" t="s">
        <v>126</v>
      </c>
      <c r="U866" s="17"/>
      <c r="V866" s="16" t="s">
        <v>78</v>
      </c>
      <c r="W866" s="16" t="s">
        <v>79</v>
      </c>
      <c r="X866" s="15" t="s">
        <v>1702</v>
      </c>
      <c r="Y866" s="16" t="s">
        <v>75</v>
      </c>
      <c r="Z866" s="15" t="s">
        <v>84</v>
      </c>
      <c r="AA866" s="16" t="s">
        <v>126</v>
      </c>
      <c r="AB866" s="18"/>
      <c r="AC866" s="19" t="s">
        <v>78</v>
      </c>
      <c r="AD866" s="19" t="s">
        <v>79</v>
      </c>
      <c r="AE866" s="20" t="s">
        <v>83</v>
      </c>
      <c r="AF866" s="19" t="s">
        <v>75</v>
      </c>
      <c r="AG866" s="19" t="s">
        <v>75</v>
      </c>
      <c r="AH866" s="16" t="s">
        <v>4</v>
      </c>
      <c r="AI866" s="18"/>
      <c r="AJ866" s="13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3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2"/>
      <c r="BK866" s="12"/>
      <c r="BL866" s="12"/>
      <c r="BM866" s="9"/>
      <c r="BN866" s="9"/>
      <c r="BO866" s="9"/>
      <c r="BP866" s="12"/>
      <c r="BQ866" s="12"/>
      <c r="BR866" s="12"/>
      <c r="BS866" s="12"/>
      <c r="BT866" s="12"/>
      <c r="BU866" s="12"/>
      <c r="BV866" s="12"/>
      <c r="BW866" s="12"/>
      <c r="BX866" s="12"/>
      <c r="BY866" s="9"/>
      <c r="BZ866" s="21"/>
      <c r="CA866" s="21"/>
      <c r="CB866" s="21"/>
      <c r="CC866" s="21"/>
      <c r="CD866" s="21"/>
      <c r="CE866" s="21"/>
      <c r="CF866" s="21"/>
      <c r="CG866" s="21"/>
      <c r="CH866" s="21"/>
      <c r="CI866" s="21"/>
      <c r="CJ866" s="21"/>
    </row>
    <row r="867" spans="1:88" ht="40.5" customHeight="1">
      <c r="A867" s="9"/>
      <c r="B867" s="12"/>
      <c r="C867" s="9" t="s">
        <v>2239</v>
      </c>
      <c r="D867" s="9" t="s">
        <v>73</v>
      </c>
      <c r="E867" s="12">
        <v>0</v>
      </c>
      <c r="F867" s="12">
        <v>0</v>
      </c>
      <c r="G867" s="12" t="b">
        <v>0</v>
      </c>
      <c r="H867" s="9" t="s">
        <v>75</v>
      </c>
      <c r="I867" s="9" t="s">
        <v>2240</v>
      </c>
      <c r="J867" s="9" t="s">
        <v>75</v>
      </c>
      <c r="K867" s="11" t="s">
        <v>2241</v>
      </c>
      <c r="L867" s="12"/>
      <c r="M867" s="12"/>
      <c r="N867" s="13"/>
      <c r="O867" s="16" t="s">
        <v>78</v>
      </c>
      <c r="P867" s="14" t="s">
        <v>79</v>
      </c>
      <c r="Q867" s="15" t="s">
        <v>1702</v>
      </c>
      <c r="R867" s="14" t="s">
        <v>75</v>
      </c>
      <c r="S867" s="14" t="s">
        <v>75</v>
      </c>
      <c r="T867" s="16" t="s">
        <v>101</v>
      </c>
      <c r="U867" s="17"/>
      <c r="V867" s="16" t="s">
        <v>78</v>
      </c>
      <c r="W867" s="16" t="s">
        <v>79</v>
      </c>
      <c r="X867" s="15" t="s">
        <v>83</v>
      </c>
      <c r="Y867" s="16" t="s">
        <v>75</v>
      </c>
      <c r="Z867" s="16" t="s">
        <v>75</v>
      </c>
      <c r="AA867" s="16" t="s">
        <v>101</v>
      </c>
      <c r="AB867" s="18"/>
      <c r="AC867" s="19" t="s">
        <v>78</v>
      </c>
      <c r="AD867" s="19" t="s">
        <v>79</v>
      </c>
      <c r="AE867" s="20" t="s">
        <v>2233</v>
      </c>
      <c r="AF867" s="19" t="s">
        <v>75</v>
      </c>
      <c r="AG867" s="19" t="s">
        <v>75</v>
      </c>
      <c r="AH867" s="16" t="s">
        <v>101</v>
      </c>
      <c r="AI867" s="18"/>
      <c r="AJ867" s="13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3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2"/>
      <c r="BK867" s="12"/>
      <c r="BL867" s="12"/>
      <c r="BM867" s="9"/>
      <c r="BN867" s="9"/>
      <c r="BO867" s="9"/>
      <c r="BP867" s="12"/>
      <c r="BQ867" s="12"/>
      <c r="BR867" s="12"/>
      <c r="BS867" s="12"/>
      <c r="BT867" s="12"/>
      <c r="BU867" s="12"/>
      <c r="BV867" s="12"/>
      <c r="BW867" s="12"/>
      <c r="BX867" s="12"/>
      <c r="BY867" s="9"/>
      <c r="BZ867" s="21"/>
      <c r="CA867" s="21"/>
      <c r="CB867" s="21"/>
      <c r="CC867" s="21"/>
      <c r="CD867" s="21"/>
      <c r="CE867" s="21"/>
      <c r="CF867" s="21"/>
      <c r="CG867" s="21"/>
      <c r="CH867" s="21"/>
      <c r="CI867" s="21"/>
      <c r="CJ867" s="21"/>
    </row>
    <row r="868" spans="1:88" ht="40.5" customHeight="1">
      <c r="A868" s="9"/>
      <c r="B868" s="12"/>
      <c r="C868" s="9" t="s">
        <v>2242</v>
      </c>
      <c r="D868" s="9" t="s">
        <v>73</v>
      </c>
      <c r="E868" s="12">
        <v>0</v>
      </c>
      <c r="F868" s="12">
        <v>0</v>
      </c>
      <c r="G868" s="12" t="b">
        <v>0</v>
      </c>
      <c r="H868" s="9" t="s">
        <v>75</v>
      </c>
      <c r="I868" s="9" t="s">
        <v>2243</v>
      </c>
      <c r="J868" s="9" t="s">
        <v>75</v>
      </c>
      <c r="K868" s="9" t="s">
        <v>79</v>
      </c>
      <c r="L868" s="12"/>
      <c r="M868" s="12"/>
      <c r="N868" s="13"/>
      <c r="O868" s="16" t="s">
        <v>78</v>
      </c>
      <c r="P868" s="14" t="s">
        <v>79</v>
      </c>
      <c r="Q868" s="15" t="s">
        <v>1702</v>
      </c>
      <c r="R868" s="14" t="s">
        <v>75</v>
      </c>
      <c r="S868" s="14" t="s">
        <v>75</v>
      </c>
      <c r="T868" s="16" t="s">
        <v>126</v>
      </c>
      <c r="U868" s="17"/>
      <c r="V868" s="16" t="s">
        <v>78</v>
      </c>
      <c r="W868" s="16" t="s">
        <v>79</v>
      </c>
      <c r="X868" s="15" t="s">
        <v>2233</v>
      </c>
      <c r="Y868" s="16" t="s">
        <v>75</v>
      </c>
      <c r="Z868" s="16" t="s">
        <v>75</v>
      </c>
      <c r="AA868" s="16" t="s">
        <v>126</v>
      </c>
      <c r="AB868" s="18"/>
      <c r="AC868" s="18"/>
      <c r="AD868" s="18"/>
      <c r="AE868" s="18"/>
      <c r="AF868" s="18"/>
      <c r="AG868" s="18"/>
      <c r="AH868" s="13"/>
      <c r="AI868" s="18"/>
      <c r="AJ868" s="13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3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2"/>
      <c r="BK868" s="12"/>
      <c r="BL868" s="12"/>
      <c r="BM868" s="9"/>
      <c r="BN868" s="9"/>
      <c r="BO868" s="9"/>
      <c r="BP868" s="12"/>
      <c r="BQ868" s="12"/>
      <c r="BR868" s="12"/>
      <c r="BS868" s="12"/>
      <c r="BT868" s="12"/>
      <c r="BU868" s="12"/>
      <c r="BV868" s="12"/>
      <c r="BW868" s="12"/>
      <c r="BX868" s="12"/>
      <c r="BY868" s="9"/>
      <c r="BZ868" s="21"/>
      <c r="CA868" s="21"/>
      <c r="CB868" s="21"/>
      <c r="CC868" s="21"/>
      <c r="CD868" s="21"/>
      <c r="CE868" s="21"/>
      <c r="CF868" s="21"/>
      <c r="CG868" s="21"/>
      <c r="CH868" s="21"/>
      <c r="CI868" s="21"/>
      <c r="CJ868" s="21"/>
    </row>
    <row r="869" spans="1:88" ht="40.5" customHeight="1">
      <c r="A869" s="9"/>
      <c r="B869" s="12"/>
      <c r="C869" s="9" t="s">
        <v>2244</v>
      </c>
      <c r="D869" s="9" t="s">
        <v>73</v>
      </c>
      <c r="E869" s="12">
        <v>0</v>
      </c>
      <c r="F869" s="12">
        <v>0</v>
      </c>
      <c r="G869" s="12" t="b">
        <v>0</v>
      </c>
      <c r="H869" s="9" t="s">
        <v>75</v>
      </c>
      <c r="I869" s="9" t="s">
        <v>2245</v>
      </c>
      <c r="J869" s="9" t="s">
        <v>75</v>
      </c>
      <c r="K869" s="11" t="s">
        <v>2246</v>
      </c>
      <c r="L869" s="12"/>
      <c r="M869" s="12"/>
      <c r="N869" s="13"/>
      <c r="O869" s="16" t="s">
        <v>7</v>
      </c>
      <c r="P869" s="14" t="s">
        <v>79</v>
      </c>
      <c r="Q869" s="15" t="s">
        <v>1702</v>
      </c>
      <c r="R869" s="14" t="s">
        <v>75</v>
      </c>
      <c r="S869" s="14" t="s">
        <v>75</v>
      </c>
      <c r="T869" s="16" t="s">
        <v>81</v>
      </c>
      <c r="U869" s="17"/>
      <c r="V869" s="16" t="s">
        <v>78</v>
      </c>
      <c r="W869" s="16" t="s">
        <v>79</v>
      </c>
      <c r="X869" s="15" t="s">
        <v>2233</v>
      </c>
      <c r="Y869" s="16" t="s">
        <v>75</v>
      </c>
      <c r="Z869" s="16" t="s">
        <v>75</v>
      </c>
      <c r="AA869" s="16" t="s">
        <v>145</v>
      </c>
      <c r="AB869" s="18"/>
      <c r="AC869" s="18"/>
      <c r="AD869" s="18"/>
      <c r="AE869" s="18"/>
      <c r="AF869" s="18"/>
      <c r="AG869" s="18"/>
      <c r="AH869" s="13"/>
      <c r="AI869" s="18"/>
      <c r="AJ869" s="13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3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2"/>
      <c r="BK869" s="12"/>
      <c r="BL869" s="12"/>
      <c r="BM869" s="9"/>
      <c r="BN869" s="9"/>
      <c r="BO869" s="9"/>
      <c r="BP869" s="12"/>
      <c r="BQ869" s="12"/>
      <c r="BR869" s="12"/>
      <c r="BS869" s="12"/>
      <c r="BT869" s="12"/>
      <c r="BU869" s="12"/>
      <c r="BV869" s="12"/>
      <c r="BW869" s="12"/>
      <c r="BX869" s="12"/>
      <c r="BY869" s="9"/>
      <c r="BZ869" s="21"/>
      <c r="CA869" s="21"/>
      <c r="CB869" s="21"/>
      <c r="CC869" s="21"/>
      <c r="CD869" s="21"/>
      <c r="CE869" s="21"/>
      <c r="CF869" s="21"/>
      <c r="CG869" s="21"/>
      <c r="CH869" s="21"/>
      <c r="CI869" s="21"/>
      <c r="CJ869" s="21"/>
    </row>
    <row r="870" spans="1:88" ht="40.5" customHeight="1">
      <c r="A870" s="9"/>
      <c r="B870" s="12"/>
      <c r="C870" s="9" t="s">
        <v>2247</v>
      </c>
      <c r="D870" s="9" t="s">
        <v>73</v>
      </c>
      <c r="E870" s="12">
        <v>0</v>
      </c>
      <c r="F870" s="12">
        <v>0</v>
      </c>
      <c r="G870" s="12" t="b">
        <v>0</v>
      </c>
      <c r="H870" s="9" t="s">
        <v>75</v>
      </c>
      <c r="I870" s="9" t="s">
        <v>2248</v>
      </c>
      <c r="J870" s="9" t="s">
        <v>75</v>
      </c>
      <c r="K870" s="11" t="s">
        <v>2249</v>
      </c>
      <c r="L870" s="12"/>
      <c r="M870" s="12"/>
      <c r="N870" s="13"/>
      <c r="O870" s="16" t="s">
        <v>78</v>
      </c>
      <c r="P870" s="14" t="s">
        <v>79</v>
      </c>
      <c r="Q870" s="15" t="s">
        <v>1702</v>
      </c>
      <c r="R870" s="14" t="s">
        <v>75</v>
      </c>
      <c r="S870" s="14" t="s">
        <v>75</v>
      </c>
      <c r="T870" s="16" t="s">
        <v>145</v>
      </c>
      <c r="U870" s="17"/>
      <c r="V870" s="16" t="s">
        <v>78</v>
      </c>
      <c r="W870" s="16" t="s">
        <v>79</v>
      </c>
      <c r="X870" s="15" t="s">
        <v>2233</v>
      </c>
      <c r="Y870" s="16" t="s">
        <v>75</v>
      </c>
      <c r="Z870" s="16" t="s">
        <v>75</v>
      </c>
      <c r="AA870" s="16" t="s">
        <v>145</v>
      </c>
      <c r="AB870" s="18"/>
      <c r="AC870" s="18"/>
      <c r="AD870" s="18"/>
      <c r="AE870" s="18"/>
      <c r="AF870" s="18"/>
      <c r="AG870" s="18"/>
      <c r="AH870" s="13"/>
      <c r="AI870" s="18"/>
      <c r="AJ870" s="13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3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2"/>
      <c r="BK870" s="12"/>
      <c r="BL870" s="12"/>
      <c r="BM870" s="9"/>
      <c r="BN870" s="9"/>
      <c r="BO870" s="9"/>
      <c r="BP870" s="12"/>
      <c r="BQ870" s="12"/>
      <c r="BR870" s="12"/>
      <c r="BS870" s="12"/>
      <c r="BT870" s="12"/>
      <c r="BU870" s="12"/>
      <c r="BV870" s="12"/>
      <c r="BW870" s="12"/>
      <c r="BX870" s="12"/>
      <c r="BY870" s="9"/>
      <c r="BZ870" s="21"/>
      <c r="CA870" s="21"/>
      <c r="CB870" s="21"/>
      <c r="CC870" s="21"/>
      <c r="CD870" s="21"/>
      <c r="CE870" s="21"/>
      <c r="CF870" s="21"/>
      <c r="CG870" s="21"/>
      <c r="CH870" s="21"/>
      <c r="CI870" s="21"/>
      <c r="CJ870" s="21"/>
    </row>
    <row r="871" spans="1:88" ht="40.5" customHeight="1">
      <c r="A871" s="9"/>
      <c r="B871" s="12"/>
      <c r="C871" s="9" t="s">
        <v>2250</v>
      </c>
      <c r="D871" s="9" t="s">
        <v>73</v>
      </c>
      <c r="E871" s="12">
        <v>0</v>
      </c>
      <c r="F871" s="12">
        <v>0</v>
      </c>
      <c r="G871" s="12" t="b">
        <v>0</v>
      </c>
      <c r="H871" s="9" t="s">
        <v>75</v>
      </c>
      <c r="I871" s="9" t="s">
        <v>2251</v>
      </c>
      <c r="J871" s="9" t="s">
        <v>75</v>
      </c>
      <c r="K871" s="11" t="s">
        <v>2252</v>
      </c>
      <c r="L871" s="12"/>
      <c r="M871" s="12"/>
      <c r="N871" s="13"/>
      <c r="O871" s="16" t="s">
        <v>78</v>
      </c>
      <c r="P871" s="14" t="s">
        <v>79</v>
      </c>
      <c r="Q871" s="15" t="s">
        <v>1702</v>
      </c>
      <c r="R871" s="14" t="s">
        <v>75</v>
      </c>
      <c r="S871" s="14" t="s">
        <v>75</v>
      </c>
      <c r="T871" s="16" t="s">
        <v>4</v>
      </c>
      <c r="U871" s="17"/>
      <c r="V871" s="13"/>
      <c r="W871" s="13"/>
      <c r="X871" s="13"/>
      <c r="Y871" s="13"/>
      <c r="Z871" s="13"/>
      <c r="AA871" s="13"/>
      <c r="AB871" s="18"/>
      <c r="AC871" s="18"/>
      <c r="AD871" s="18"/>
      <c r="AE871" s="18"/>
      <c r="AF871" s="18"/>
      <c r="AG871" s="18"/>
      <c r="AH871" s="13"/>
      <c r="AI871" s="18"/>
      <c r="AJ871" s="13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3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2"/>
      <c r="BK871" s="12"/>
      <c r="BL871" s="12"/>
      <c r="BM871" s="9"/>
      <c r="BN871" s="9"/>
      <c r="BO871" s="9"/>
      <c r="BP871" s="12"/>
      <c r="BQ871" s="12"/>
      <c r="BR871" s="12"/>
      <c r="BS871" s="12"/>
      <c r="BT871" s="12"/>
      <c r="BU871" s="12"/>
      <c r="BV871" s="12"/>
      <c r="BW871" s="12"/>
      <c r="BX871" s="12"/>
      <c r="BY871" s="9"/>
      <c r="BZ871" s="21"/>
      <c r="CA871" s="21"/>
      <c r="CB871" s="21"/>
      <c r="CC871" s="21"/>
      <c r="CD871" s="21"/>
      <c r="CE871" s="21"/>
      <c r="CF871" s="21"/>
      <c r="CG871" s="21"/>
      <c r="CH871" s="21"/>
      <c r="CI871" s="21"/>
      <c r="CJ871" s="21"/>
    </row>
    <row r="872" spans="1:88" ht="40.5" customHeight="1">
      <c r="A872" s="9"/>
      <c r="B872" s="12"/>
      <c r="C872" s="9" t="s">
        <v>2253</v>
      </c>
      <c r="D872" s="9" t="s">
        <v>73</v>
      </c>
      <c r="E872" s="12">
        <v>0</v>
      </c>
      <c r="F872" s="12">
        <v>0</v>
      </c>
      <c r="G872" s="12" t="b">
        <v>0</v>
      </c>
      <c r="H872" s="9" t="s">
        <v>75</v>
      </c>
      <c r="I872" s="9" t="s">
        <v>2254</v>
      </c>
      <c r="J872" s="9" t="s">
        <v>75</v>
      </c>
      <c r="K872" s="11" t="s">
        <v>2255</v>
      </c>
      <c r="L872" s="12"/>
      <c r="M872" s="12"/>
      <c r="N872" s="13"/>
      <c r="O872" s="16" t="s">
        <v>78</v>
      </c>
      <c r="P872" s="14" t="s">
        <v>79</v>
      </c>
      <c r="Q872" s="15" t="s">
        <v>1702</v>
      </c>
      <c r="R872" s="14" t="s">
        <v>75</v>
      </c>
      <c r="S872" s="14" t="s">
        <v>75</v>
      </c>
      <c r="T872" s="16" t="s">
        <v>81</v>
      </c>
      <c r="U872" s="17"/>
      <c r="V872" s="16" t="s">
        <v>78</v>
      </c>
      <c r="W872" s="16" t="s">
        <v>79</v>
      </c>
      <c r="X872" s="15" t="s">
        <v>2233</v>
      </c>
      <c r="Y872" s="16" t="s">
        <v>75</v>
      </c>
      <c r="Z872" s="16" t="s">
        <v>75</v>
      </c>
      <c r="AA872" s="16" t="s">
        <v>86</v>
      </c>
      <c r="AB872" s="18"/>
      <c r="AC872" s="18"/>
      <c r="AD872" s="18"/>
      <c r="AE872" s="18"/>
      <c r="AF872" s="18"/>
      <c r="AG872" s="18"/>
      <c r="AH872" s="13"/>
      <c r="AI872" s="18"/>
      <c r="AJ872" s="13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3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2"/>
      <c r="BK872" s="12"/>
      <c r="BL872" s="12"/>
      <c r="BM872" s="9"/>
      <c r="BN872" s="9"/>
      <c r="BO872" s="9"/>
      <c r="BP872" s="12"/>
      <c r="BQ872" s="12"/>
      <c r="BR872" s="12"/>
      <c r="BS872" s="12"/>
      <c r="BT872" s="12"/>
      <c r="BU872" s="12"/>
      <c r="BV872" s="12"/>
      <c r="BW872" s="12"/>
      <c r="BX872" s="12"/>
      <c r="BY872" s="9"/>
      <c r="BZ872" s="21"/>
      <c r="CA872" s="21"/>
      <c r="CB872" s="21"/>
      <c r="CC872" s="21"/>
      <c r="CD872" s="21"/>
      <c r="CE872" s="21"/>
      <c r="CF872" s="21"/>
      <c r="CG872" s="21"/>
      <c r="CH872" s="21"/>
      <c r="CI872" s="21"/>
      <c r="CJ872" s="21"/>
    </row>
    <row r="873" spans="1:88" ht="40.5" customHeight="1">
      <c r="A873" s="9"/>
      <c r="B873" s="12"/>
      <c r="C873" s="9" t="s">
        <v>2256</v>
      </c>
      <c r="D873" s="9" t="s">
        <v>73</v>
      </c>
      <c r="E873" s="12">
        <v>0</v>
      </c>
      <c r="F873" s="12">
        <v>0</v>
      </c>
      <c r="G873" s="12" t="b">
        <v>0</v>
      </c>
      <c r="H873" s="9" t="s">
        <v>75</v>
      </c>
      <c r="I873" s="9" t="s">
        <v>2257</v>
      </c>
      <c r="J873" s="9" t="s">
        <v>75</v>
      </c>
      <c r="K873" s="11" t="s">
        <v>2258</v>
      </c>
      <c r="L873" s="12"/>
      <c r="M873" s="12"/>
      <c r="N873" s="13"/>
      <c r="O873" s="16" t="s">
        <v>78</v>
      </c>
      <c r="P873" s="14" t="s">
        <v>79</v>
      </c>
      <c r="Q873" s="15" t="s">
        <v>1702</v>
      </c>
      <c r="R873" s="14" t="s">
        <v>75</v>
      </c>
      <c r="S873" s="14" t="s">
        <v>75</v>
      </c>
      <c r="T873" s="16" t="s">
        <v>153</v>
      </c>
      <c r="U873" s="17"/>
      <c r="V873" s="16" t="s">
        <v>78</v>
      </c>
      <c r="W873" s="16" t="s">
        <v>79</v>
      </c>
      <c r="X873" s="15" t="s">
        <v>2233</v>
      </c>
      <c r="Y873" s="16" t="s">
        <v>75</v>
      </c>
      <c r="Z873" s="16" t="s">
        <v>75</v>
      </c>
      <c r="AA873" s="16" t="s">
        <v>4</v>
      </c>
      <c r="AB873" s="18"/>
      <c r="AC873" s="18"/>
      <c r="AD873" s="18"/>
      <c r="AE873" s="18"/>
      <c r="AF873" s="18"/>
      <c r="AG873" s="18"/>
      <c r="AH873" s="13"/>
      <c r="AI873" s="18"/>
      <c r="AJ873" s="13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3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2"/>
      <c r="BK873" s="12"/>
      <c r="BL873" s="12"/>
      <c r="BM873" s="9"/>
      <c r="BN873" s="9"/>
      <c r="BO873" s="9"/>
      <c r="BP873" s="12"/>
      <c r="BQ873" s="12"/>
      <c r="BR873" s="12"/>
      <c r="BS873" s="12"/>
      <c r="BT873" s="12"/>
      <c r="BU873" s="12"/>
      <c r="BV873" s="12"/>
      <c r="BW873" s="12"/>
      <c r="BX873" s="12"/>
      <c r="BY873" s="9"/>
      <c r="BZ873" s="21"/>
      <c r="CA873" s="21"/>
      <c r="CB873" s="21"/>
      <c r="CC873" s="21"/>
      <c r="CD873" s="21"/>
      <c r="CE873" s="21"/>
      <c r="CF873" s="21"/>
      <c r="CG873" s="21"/>
      <c r="CH873" s="21"/>
      <c r="CI873" s="21"/>
      <c r="CJ873" s="21"/>
    </row>
    <row r="874" spans="1:88" ht="40.5" customHeight="1">
      <c r="A874" s="9"/>
      <c r="B874" s="12"/>
      <c r="C874" s="9" t="s">
        <v>2259</v>
      </c>
      <c r="D874" s="9" t="s">
        <v>73</v>
      </c>
      <c r="E874" s="12">
        <v>0</v>
      </c>
      <c r="F874" s="12">
        <v>0</v>
      </c>
      <c r="G874" s="12" t="b">
        <v>0</v>
      </c>
      <c r="H874" s="9" t="s">
        <v>75</v>
      </c>
      <c r="I874" s="9" t="s">
        <v>2260</v>
      </c>
      <c r="J874" s="9" t="s">
        <v>75</v>
      </c>
      <c r="K874" s="11" t="s">
        <v>2261</v>
      </c>
      <c r="L874" s="12"/>
      <c r="M874" s="12"/>
      <c r="N874" s="13"/>
      <c r="O874" s="16" t="s">
        <v>78</v>
      </c>
      <c r="P874" s="14" t="s">
        <v>79</v>
      </c>
      <c r="Q874" s="15" t="s">
        <v>1702</v>
      </c>
      <c r="R874" s="14" t="s">
        <v>75</v>
      </c>
      <c r="S874" s="14" t="s">
        <v>75</v>
      </c>
      <c r="T874" s="16" t="s">
        <v>145</v>
      </c>
      <c r="U874" s="17"/>
      <c r="V874" s="16" t="s">
        <v>78</v>
      </c>
      <c r="W874" s="16" t="s">
        <v>79</v>
      </c>
      <c r="X874" s="15" t="s">
        <v>2233</v>
      </c>
      <c r="Y874" s="16" t="s">
        <v>75</v>
      </c>
      <c r="Z874" s="16" t="s">
        <v>75</v>
      </c>
      <c r="AA874" s="16" t="s">
        <v>145</v>
      </c>
      <c r="AB874" s="18"/>
      <c r="AC874" s="18"/>
      <c r="AD874" s="18"/>
      <c r="AE874" s="18"/>
      <c r="AF874" s="18"/>
      <c r="AG874" s="18"/>
      <c r="AH874" s="13"/>
      <c r="AI874" s="18"/>
      <c r="AJ874" s="13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3"/>
      <c r="AY874" s="1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  <c r="BJ874" s="12"/>
      <c r="BK874" s="12"/>
      <c r="BL874" s="12"/>
      <c r="BM874" s="9"/>
      <c r="BN874" s="9"/>
      <c r="BO874" s="9"/>
      <c r="BP874" s="12"/>
      <c r="BQ874" s="12"/>
      <c r="BR874" s="12"/>
      <c r="BS874" s="12"/>
      <c r="BT874" s="12"/>
      <c r="BU874" s="12"/>
      <c r="BV874" s="12"/>
      <c r="BW874" s="12"/>
      <c r="BX874" s="12"/>
      <c r="BY874" s="9"/>
      <c r="BZ874" s="21"/>
      <c r="CA874" s="21"/>
      <c r="CB874" s="21"/>
      <c r="CC874" s="21"/>
      <c r="CD874" s="21"/>
      <c r="CE874" s="21"/>
      <c r="CF874" s="21"/>
      <c r="CG874" s="21"/>
      <c r="CH874" s="21"/>
      <c r="CI874" s="21"/>
      <c r="CJ874" s="21"/>
    </row>
    <row r="875" spans="1:88" ht="40.5" customHeight="1">
      <c r="A875" s="9"/>
      <c r="B875" s="12"/>
      <c r="C875" s="9" t="s">
        <v>2262</v>
      </c>
      <c r="D875" s="9" t="s">
        <v>73</v>
      </c>
      <c r="E875" s="12">
        <v>0</v>
      </c>
      <c r="F875" s="12">
        <v>0</v>
      </c>
      <c r="G875" s="12" t="b">
        <v>0</v>
      </c>
      <c r="H875" s="9" t="s">
        <v>75</v>
      </c>
      <c r="I875" s="9" t="s">
        <v>2263</v>
      </c>
      <c r="J875" s="9" t="s">
        <v>75</v>
      </c>
      <c r="K875" s="11" t="s">
        <v>2264</v>
      </c>
      <c r="L875" s="12"/>
      <c r="M875" s="12"/>
      <c r="N875" s="13"/>
      <c r="O875" s="16" t="s">
        <v>78</v>
      </c>
      <c r="P875" s="14" t="s">
        <v>79</v>
      </c>
      <c r="Q875" s="15" t="s">
        <v>1702</v>
      </c>
      <c r="R875" s="14" t="s">
        <v>75</v>
      </c>
      <c r="S875" s="14" t="s">
        <v>75</v>
      </c>
      <c r="T875" s="16" t="s">
        <v>81</v>
      </c>
      <c r="U875" s="17"/>
      <c r="V875" s="16" t="s">
        <v>78</v>
      </c>
      <c r="W875" s="16" t="s">
        <v>79</v>
      </c>
      <c r="X875" s="15" t="s">
        <v>2233</v>
      </c>
      <c r="Y875" s="16" t="s">
        <v>75</v>
      </c>
      <c r="Z875" s="16" t="s">
        <v>75</v>
      </c>
      <c r="AA875" s="16" t="s">
        <v>86</v>
      </c>
      <c r="AB875" s="18"/>
      <c r="AC875" s="18"/>
      <c r="AD875" s="18"/>
      <c r="AE875" s="18"/>
      <c r="AF875" s="18"/>
      <c r="AG875" s="18"/>
      <c r="AH875" s="13"/>
      <c r="AI875" s="18"/>
      <c r="AJ875" s="13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3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2"/>
      <c r="BK875" s="12"/>
      <c r="BL875" s="12"/>
      <c r="BM875" s="9"/>
      <c r="BN875" s="9"/>
      <c r="BO875" s="9"/>
      <c r="BP875" s="12"/>
      <c r="BQ875" s="12"/>
      <c r="BR875" s="12"/>
      <c r="BS875" s="12"/>
      <c r="BT875" s="12"/>
      <c r="BU875" s="12"/>
      <c r="BV875" s="12"/>
      <c r="BW875" s="12"/>
      <c r="BX875" s="12"/>
      <c r="BY875" s="9"/>
      <c r="BZ875" s="21"/>
      <c r="CA875" s="21"/>
      <c r="CB875" s="21"/>
      <c r="CC875" s="21"/>
      <c r="CD875" s="21"/>
      <c r="CE875" s="21"/>
      <c r="CF875" s="21"/>
      <c r="CG875" s="21"/>
      <c r="CH875" s="21"/>
      <c r="CI875" s="21"/>
      <c r="CJ875" s="21"/>
    </row>
    <row r="876" spans="1:88" ht="40.5" customHeight="1">
      <c r="A876" s="9"/>
      <c r="B876" s="12"/>
      <c r="C876" s="9" t="s">
        <v>2265</v>
      </c>
      <c r="D876" s="9" t="s">
        <v>73</v>
      </c>
      <c r="E876" s="12">
        <v>0</v>
      </c>
      <c r="F876" s="12">
        <v>0</v>
      </c>
      <c r="G876" s="12" t="b">
        <v>0</v>
      </c>
      <c r="H876" s="9" t="s">
        <v>75</v>
      </c>
      <c r="I876" s="9" t="s">
        <v>2266</v>
      </c>
      <c r="J876" s="9" t="s">
        <v>75</v>
      </c>
      <c r="K876" s="11" t="s">
        <v>2267</v>
      </c>
      <c r="L876" s="12"/>
      <c r="M876" s="12"/>
      <c r="N876" s="13"/>
      <c r="O876" s="16" t="s">
        <v>78</v>
      </c>
      <c r="P876" s="14" t="s">
        <v>79</v>
      </c>
      <c r="Q876" s="15" t="s">
        <v>1702</v>
      </c>
      <c r="R876" s="14" t="s">
        <v>75</v>
      </c>
      <c r="S876" s="14" t="s">
        <v>75</v>
      </c>
      <c r="T876" s="16" t="s">
        <v>145</v>
      </c>
      <c r="U876" s="17"/>
      <c r="V876" s="16" t="s">
        <v>78</v>
      </c>
      <c r="W876" s="16" t="s">
        <v>79</v>
      </c>
      <c r="X876" s="15" t="s">
        <v>2233</v>
      </c>
      <c r="Y876" s="16" t="s">
        <v>75</v>
      </c>
      <c r="Z876" s="16" t="s">
        <v>75</v>
      </c>
      <c r="AA876" s="16" t="s">
        <v>145</v>
      </c>
      <c r="AB876" s="18"/>
      <c r="AC876" s="18"/>
      <c r="AD876" s="18"/>
      <c r="AE876" s="18"/>
      <c r="AF876" s="18"/>
      <c r="AG876" s="18"/>
      <c r="AH876" s="13"/>
      <c r="AI876" s="18"/>
      <c r="AJ876" s="13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3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2"/>
      <c r="BK876" s="12"/>
      <c r="BL876" s="12"/>
      <c r="BM876" s="9"/>
      <c r="BN876" s="9"/>
      <c r="BO876" s="9"/>
      <c r="BP876" s="12"/>
      <c r="BQ876" s="12"/>
      <c r="BR876" s="12"/>
      <c r="BS876" s="12"/>
      <c r="BT876" s="12"/>
      <c r="BU876" s="12"/>
      <c r="BV876" s="12"/>
      <c r="BW876" s="12"/>
      <c r="BX876" s="12"/>
      <c r="BY876" s="9"/>
      <c r="BZ876" s="21"/>
      <c r="CA876" s="21"/>
      <c r="CB876" s="21"/>
      <c r="CC876" s="21"/>
      <c r="CD876" s="21"/>
      <c r="CE876" s="21"/>
      <c r="CF876" s="21"/>
      <c r="CG876" s="21"/>
      <c r="CH876" s="21"/>
      <c r="CI876" s="21"/>
      <c r="CJ876" s="21"/>
    </row>
    <row r="877" spans="1:88" ht="40.5" customHeight="1">
      <c r="A877" s="9"/>
      <c r="B877" s="12"/>
      <c r="C877" s="9" t="s">
        <v>2268</v>
      </c>
      <c r="D877" s="9" t="s">
        <v>73</v>
      </c>
      <c r="E877" s="12">
        <v>0</v>
      </c>
      <c r="F877" s="12">
        <v>0</v>
      </c>
      <c r="G877" s="12" t="b">
        <v>0</v>
      </c>
      <c r="H877" s="9" t="s">
        <v>75</v>
      </c>
      <c r="I877" s="9" t="s">
        <v>2269</v>
      </c>
      <c r="J877" s="9" t="s">
        <v>75</v>
      </c>
      <c r="K877" s="11" t="s">
        <v>2270</v>
      </c>
      <c r="L877" s="12"/>
      <c r="M877" s="12"/>
      <c r="N877" s="13"/>
      <c r="O877" s="16" t="s">
        <v>78</v>
      </c>
      <c r="P877" s="14" t="s">
        <v>79</v>
      </c>
      <c r="Q877" s="15" t="s">
        <v>1702</v>
      </c>
      <c r="R877" s="14" t="s">
        <v>75</v>
      </c>
      <c r="S877" s="14" t="s">
        <v>75</v>
      </c>
      <c r="T877" s="16" t="s">
        <v>81</v>
      </c>
      <c r="U877" s="17"/>
      <c r="V877" s="16" t="s">
        <v>2159</v>
      </c>
      <c r="W877" s="16" t="s">
        <v>79</v>
      </c>
      <c r="X877" s="15" t="s">
        <v>2233</v>
      </c>
      <c r="Y877" s="16" t="s">
        <v>75</v>
      </c>
      <c r="Z877" s="16" t="s">
        <v>75</v>
      </c>
      <c r="AA877" s="16" t="s">
        <v>4</v>
      </c>
      <c r="AB877" s="18"/>
      <c r="AC877" s="18"/>
      <c r="AD877" s="18"/>
      <c r="AE877" s="18"/>
      <c r="AF877" s="18"/>
      <c r="AG877" s="18"/>
      <c r="AH877" s="13"/>
      <c r="AI877" s="18"/>
      <c r="AJ877" s="13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3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2"/>
      <c r="BK877" s="12"/>
      <c r="BL877" s="12"/>
      <c r="BM877" s="9"/>
      <c r="BN877" s="9"/>
      <c r="BO877" s="9"/>
      <c r="BP877" s="12"/>
      <c r="BQ877" s="12"/>
      <c r="BR877" s="12"/>
      <c r="BS877" s="12"/>
      <c r="BT877" s="12"/>
      <c r="BU877" s="12"/>
      <c r="BV877" s="12"/>
      <c r="BW877" s="12"/>
      <c r="BX877" s="12"/>
      <c r="BY877" s="9"/>
      <c r="BZ877" s="21"/>
      <c r="CA877" s="21"/>
      <c r="CB877" s="21"/>
      <c r="CC877" s="21"/>
      <c r="CD877" s="21"/>
      <c r="CE877" s="21"/>
      <c r="CF877" s="21"/>
      <c r="CG877" s="21"/>
      <c r="CH877" s="21"/>
      <c r="CI877" s="21"/>
      <c r="CJ877" s="21"/>
    </row>
    <row r="878" spans="1:88" ht="40.5" customHeight="1">
      <c r="A878" s="9"/>
      <c r="B878" s="12"/>
      <c r="C878" s="9" t="s">
        <v>2271</v>
      </c>
      <c r="D878" s="9" t="s">
        <v>73</v>
      </c>
      <c r="E878" s="12">
        <v>0</v>
      </c>
      <c r="F878" s="12">
        <v>0</v>
      </c>
      <c r="G878" s="12" t="b">
        <v>0</v>
      </c>
      <c r="H878" s="9" t="s">
        <v>75</v>
      </c>
      <c r="I878" s="9" t="s">
        <v>2272</v>
      </c>
      <c r="J878" s="9" t="s">
        <v>75</v>
      </c>
      <c r="K878" s="11" t="s">
        <v>2273</v>
      </c>
      <c r="L878" s="12"/>
      <c r="M878" s="12"/>
      <c r="N878" s="13"/>
      <c r="O878" s="16" t="s">
        <v>78</v>
      </c>
      <c r="P878" s="14" t="s">
        <v>79</v>
      </c>
      <c r="Q878" s="15" t="s">
        <v>1702</v>
      </c>
      <c r="R878" s="14" t="s">
        <v>75</v>
      </c>
      <c r="S878" s="14" t="s">
        <v>75</v>
      </c>
      <c r="T878" s="16" t="s">
        <v>126</v>
      </c>
      <c r="U878" s="17"/>
      <c r="V878" s="16" t="s">
        <v>78</v>
      </c>
      <c r="W878" s="16" t="s">
        <v>79</v>
      </c>
      <c r="X878" s="15" t="s">
        <v>2233</v>
      </c>
      <c r="Y878" s="16" t="s">
        <v>75</v>
      </c>
      <c r="Z878" s="16" t="s">
        <v>75</v>
      </c>
      <c r="AA878" s="16" t="s">
        <v>81</v>
      </c>
      <c r="AB878" s="18"/>
      <c r="AC878" s="18"/>
      <c r="AD878" s="18"/>
      <c r="AE878" s="18"/>
      <c r="AF878" s="18"/>
      <c r="AG878" s="18"/>
      <c r="AH878" s="13"/>
      <c r="AI878" s="18"/>
      <c r="AJ878" s="13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3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2"/>
      <c r="BK878" s="12"/>
      <c r="BL878" s="12"/>
      <c r="BM878" s="9"/>
      <c r="BN878" s="9"/>
      <c r="BO878" s="9"/>
      <c r="BP878" s="12"/>
      <c r="BQ878" s="12"/>
      <c r="BR878" s="12"/>
      <c r="BS878" s="12"/>
      <c r="BT878" s="12"/>
      <c r="BU878" s="12"/>
      <c r="BV878" s="12"/>
      <c r="BW878" s="12"/>
      <c r="BX878" s="12"/>
      <c r="BY878" s="9"/>
      <c r="BZ878" s="21"/>
      <c r="CA878" s="21"/>
      <c r="CB878" s="21"/>
      <c r="CC878" s="21"/>
      <c r="CD878" s="21"/>
      <c r="CE878" s="21"/>
      <c r="CF878" s="21"/>
      <c r="CG878" s="21"/>
      <c r="CH878" s="21"/>
      <c r="CI878" s="21"/>
      <c r="CJ878" s="21"/>
    </row>
    <row r="879" spans="1:88" ht="40.5" customHeight="1">
      <c r="A879" s="9"/>
      <c r="B879" s="12"/>
      <c r="C879" s="9" t="s">
        <v>2274</v>
      </c>
      <c r="D879" s="9" t="s">
        <v>73</v>
      </c>
      <c r="E879" s="12">
        <v>0</v>
      </c>
      <c r="F879" s="12">
        <v>0</v>
      </c>
      <c r="G879" s="12" t="b">
        <v>0</v>
      </c>
      <c r="H879" s="9" t="s">
        <v>75</v>
      </c>
      <c r="I879" s="9" t="s">
        <v>2275</v>
      </c>
      <c r="J879" s="9" t="s">
        <v>75</v>
      </c>
      <c r="K879" s="9" t="s">
        <v>79</v>
      </c>
      <c r="L879" s="12"/>
      <c r="M879" s="12"/>
      <c r="N879" s="13"/>
      <c r="O879" s="16" t="s">
        <v>78</v>
      </c>
      <c r="P879" s="14" t="s">
        <v>79</v>
      </c>
      <c r="Q879" s="15" t="s">
        <v>1702</v>
      </c>
      <c r="R879" s="14" t="s">
        <v>75</v>
      </c>
      <c r="S879" s="14" t="s">
        <v>75</v>
      </c>
      <c r="T879" s="16" t="s">
        <v>126</v>
      </c>
      <c r="U879" s="17"/>
      <c r="V879" s="16" t="s">
        <v>78</v>
      </c>
      <c r="W879" s="16" t="s">
        <v>79</v>
      </c>
      <c r="X879" s="15" t="s">
        <v>2233</v>
      </c>
      <c r="Y879" s="16" t="s">
        <v>75</v>
      </c>
      <c r="Z879" s="16" t="s">
        <v>75</v>
      </c>
      <c r="AA879" s="16" t="s">
        <v>4</v>
      </c>
      <c r="AB879" s="18"/>
      <c r="AC879" s="18"/>
      <c r="AD879" s="18"/>
      <c r="AE879" s="18"/>
      <c r="AF879" s="18"/>
      <c r="AG879" s="18"/>
      <c r="AH879" s="13"/>
      <c r="AI879" s="18"/>
      <c r="AJ879" s="13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3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2"/>
      <c r="BK879" s="12"/>
      <c r="BL879" s="12"/>
      <c r="BM879" s="9"/>
      <c r="BN879" s="9"/>
      <c r="BO879" s="9"/>
      <c r="BP879" s="12"/>
      <c r="BQ879" s="12"/>
      <c r="BR879" s="12"/>
      <c r="BS879" s="12"/>
      <c r="BT879" s="12"/>
      <c r="BU879" s="12"/>
      <c r="BV879" s="12"/>
      <c r="BW879" s="12"/>
      <c r="BX879" s="12"/>
      <c r="BY879" s="9"/>
      <c r="BZ879" s="21"/>
      <c r="CA879" s="21"/>
      <c r="CB879" s="21"/>
      <c r="CC879" s="21"/>
      <c r="CD879" s="21"/>
      <c r="CE879" s="21"/>
      <c r="CF879" s="21"/>
      <c r="CG879" s="21"/>
      <c r="CH879" s="21"/>
      <c r="CI879" s="21"/>
      <c r="CJ879" s="21"/>
    </row>
    <row r="880" spans="1:88" ht="40.5" customHeight="1">
      <c r="A880" s="9"/>
      <c r="B880" s="12"/>
      <c r="C880" s="9" t="s">
        <v>2276</v>
      </c>
      <c r="D880" s="9" t="s">
        <v>73</v>
      </c>
      <c r="E880" s="12">
        <v>0</v>
      </c>
      <c r="F880" s="12">
        <v>0</v>
      </c>
      <c r="G880" s="12" t="b">
        <v>0</v>
      </c>
      <c r="H880" s="9" t="s">
        <v>75</v>
      </c>
      <c r="I880" s="9" t="s">
        <v>2277</v>
      </c>
      <c r="J880" s="9" t="s">
        <v>75</v>
      </c>
      <c r="K880" s="11" t="s">
        <v>2278</v>
      </c>
      <c r="L880" s="12"/>
      <c r="M880" s="12"/>
      <c r="N880" s="13"/>
      <c r="O880" s="16" t="s">
        <v>78</v>
      </c>
      <c r="P880" s="14" t="s">
        <v>79</v>
      </c>
      <c r="Q880" s="15" t="s">
        <v>1702</v>
      </c>
      <c r="R880" s="14" t="s">
        <v>75</v>
      </c>
      <c r="S880" s="14" t="s">
        <v>75</v>
      </c>
      <c r="T880" s="16" t="s">
        <v>81</v>
      </c>
      <c r="U880" s="17"/>
      <c r="V880" s="16" t="s">
        <v>78</v>
      </c>
      <c r="W880" s="16" t="s">
        <v>79</v>
      </c>
      <c r="X880" s="15" t="s">
        <v>2233</v>
      </c>
      <c r="Y880" s="16" t="s">
        <v>75</v>
      </c>
      <c r="Z880" s="16" t="s">
        <v>75</v>
      </c>
      <c r="AA880" s="16" t="s">
        <v>153</v>
      </c>
      <c r="AB880" s="18"/>
      <c r="AC880" s="18"/>
      <c r="AD880" s="18"/>
      <c r="AE880" s="18"/>
      <c r="AF880" s="18"/>
      <c r="AG880" s="18"/>
      <c r="AH880" s="13"/>
      <c r="AI880" s="18"/>
      <c r="AJ880" s="13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3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2"/>
      <c r="BK880" s="12"/>
      <c r="BL880" s="12"/>
      <c r="BM880" s="9"/>
      <c r="BN880" s="9"/>
      <c r="BO880" s="9"/>
      <c r="BP880" s="12"/>
      <c r="BQ880" s="12"/>
      <c r="BR880" s="12"/>
      <c r="BS880" s="12"/>
      <c r="BT880" s="12"/>
      <c r="BU880" s="12"/>
      <c r="BV880" s="12"/>
      <c r="BW880" s="12"/>
      <c r="BX880" s="12"/>
      <c r="BY880" s="9"/>
      <c r="BZ880" s="21"/>
      <c r="CA880" s="21"/>
      <c r="CB880" s="21"/>
      <c r="CC880" s="21"/>
      <c r="CD880" s="21"/>
      <c r="CE880" s="21"/>
      <c r="CF880" s="21"/>
      <c r="CG880" s="21"/>
      <c r="CH880" s="21"/>
      <c r="CI880" s="21"/>
      <c r="CJ880" s="21"/>
    </row>
    <row r="881" spans="1:88" ht="40.5" customHeight="1">
      <c r="A881" s="9"/>
      <c r="B881" s="12"/>
      <c r="C881" s="9" t="s">
        <v>2279</v>
      </c>
      <c r="D881" s="9" t="s">
        <v>73</v>
      </c>
      <c r="E881" s="12">
        <v>0</v>
      </c>
      <c r="F881" s="12">
        <v>0</v>
      </c>
      <c r="G881" s="12" t="b">
        <v>0</v>
      </c>
      <c r="H881" s="9" t="s">
        <v>75</v>
      </c>
      <c r="I881" s="9" t="s">
        <v>2280</v>
      </c>
      <c r="J881" s="9" t="s">
        <v>75</v>
      </c>
      <c r="K881" s="11" t="s">
        <v>2281</v>
      </c>
      <c r="L881" s="12"/>
      <c r="M881" s="12"/>
      <c r="N881" s="13"/>
      <c r="O881" s="16" t="s">
        <v>78</v>
      </c>
      <c r="P881" s="14" t="s">
        <v>79</v>
      </c>
      <c r="Q881" s="15" t="s">
        <v>1702</v>
      </c>
      <c r="R881" s="14" t="s">
        <v>75</v>
      </c>
      <c r="S881" s="14" t="s">
        <v>75</v>
      </c>
      <c r="T881" s="16" t="s">
        <v>145</v>
      </c>
      <c r="U881" s="17"/>
      <c r="V881" s="16" t="s">
        <v>78</v>
      </c>
      <c r="W881" s="16" t="s">
        <v>79</v>
      </c>
      <c r="X881" s="15" t="s">
        <v>2233</v>
      </c>
      <c r="Y881" s="16" t="s">
        <v>75</v>
      </c>
      <c r="Z881" s="16" t="s">
        <v>75</v>
      </c>
      <c r="AA881" s="16" t="s">
        <v>86</v>
      </c>
      <c r="AB881" s="18"/>
      <c r="AC881" s="18"/>
      <c r="AD881" s="18"/>
      <c r="AE881" s="18"/>
      <c r="AF881" s="18"/>
      <c r="AG881" s="18"/>
      <c r="AH881" s="13"/>
      <c r="AI881" s="18"/>
      <c r="AJ881" s="13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3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2"/>
      <c r="BK881" s="12"/>
      <c r="BL881" s="12"/>
      <c r="BM881" s="9"/>
      <c r="BN881" s="9"/>
      <c r="BO881" s="9"/>
      <c r="BP881" s="12"/>
      <c r="BQ881" s="12"/>
      <c r="BR881" s="12"/>
      <c r="BS881" s="12"/>
      <c r="BT881" s="12"/>
      <c r="BU881" s="12"/>
      <c r="BV881" s="12"/>
      <c r="BW881" s="12"/>
      <c r="BX881" s="12"/>
      <c r="BY881" s="9"/>
      <c r="BZ881" s="21"/>
      <c r="CA881" s="21"/>
      <c r="CB881" s="21"/>
      <c r="CC881" s="21"/>
      <c r="CD881" s="21"/>
      <c r="CE881" s="21"/>
      <c r="CF881" s="21"/>
      <c r="CG881" s="21"/>
      <c r="CH881" s="21"/>
      <c r="CI881" s="21"/>
      <c r="CJ881" s="21"/>
    </row>
    <row r="882" spans="1:88" ht="40.5" customHeight="1">
      <c r="A882" s="9"/>
      <c r="B882" s="12"/>
      <c r="C882" s="9" t="s">
        <v>2282</v>
      </c>
      <c r="D882" s="9" t="s">
        <v>73</v>
      </c>
      <c r="E882" s="12">
        <v>0</v>
      </c>
      <c r="F882" s="12">
        <v>0</v>
      </c>
      <c r="G882" s="12" t="b">
        <v>0</v>
      </c>
      <c r="H882" s="9" t="s">
        <v>75</v>
      </c>
      <c r="I882" s="9" t="s">
        <v>2283</v>
      </c>
      <c r="J882" s="9" t="s">
        <v>75</v>
      </c>
      <c r="K882" s="11" t="s">
        <v>2284</v>
      </c>
      <c r="L882" s="12"/>
      <c r="M882" s="12"/>
      <c r="N882" s="13"/>
      <c r="O882" s="16" t="s">
        <v>78</v>
      </c>
      <c r="P882" s="14" t="s">
        <v>79</v>
      </c>
      <c r="Q882" s="15" t="s">
        <v>1702</v>
      </c>
      <c r="R882" s="14" t="s">
        <v>75</v>
      </c>
      <c r="S882" s="14" t="s">
        <v>75</v>
      </c>
      <c r="T882" s="16" t="s">
        <v>126</v>
      </c>
      <c r="U882" s="17"/>
      <c r="V882" s="16" t="s">
        <v>78</v>
      </c>
      <c r="W882" s="16" t="s">
        <v>79</v>
      </c>
      <c r="X882" s="15" t="s">
        <v>2233</v>
      </c>
      <c r="Y882" s="16" t="s">
        <v>75</v>
      </c>
      <c r="Z882" s="16" t="s">
        <v>75</v>
      </c>
      <c r="AA882" s="16" t="s">
        <v>4</v>
      </c>
      <c r="AB882" s="18"/>
      <c r="AC882" s="18"/>
      <c r="AD882" s="18"/>
      <c r="AE882" s="18"/>
      <c r="AF882" s="18"/>
      <c r="AG882" s="18"/>
      <c r="AH882" s="13"/>
      <c r="AI882" s="18"/>
      <c r="AJ882" s="13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3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2"/>
      <c r="BK882" s="12"/>
      <c r="BL882" s="12"/>
      <c r="BM882" s="9"/>
      <c r="BN882" s="9"/>
      <c r="BO882" s="9"/>
      <c r="BP882" s="12"/>
      <c r="BQ882" s="12"/>
      <c r="BR882" s="12"/>
      <c r="BS882" s="12"/>
      <c r="BT882" s="12"/>
      <c r="BU882" s="12"/>
      <c r="BV882" s="12"/>
      <c r="BW882" s="12"/>
      <c r="BX882" s="12"/>
      <c r="BY882" s="9"/>
      <c r="BZ882" s="21"/>
      <c r="CA882" s="21"/>
      <c r="CB882" s="21"/>
      <c r="CC882" s="21"/>
      <c r="CD882" s="21"/>
      <c r="CE882" s="21"/>
      <c r="CF882" s="21"/>
      <c r="CG882" s="21"/>
      <c r="CH882" s="21"/>
      <c r="CI882" s="21"/>
      <c r="CJ882" s="21"/>
    </row>
    <row r="883" spans="1:88" ht="40.5" customHeight="1">
      <c r="A883" s="9"/>
      <c r="B883" s="12"/>
      <c r="C883" s="9" t="s">
        <v>2285</v>
      </c>
      <c r="D883" s="9" t="s">
        <v>73</v>
      </c>
      <c r="E883" s="12">
        <v>0</v>
      </c>
      <c r="F883" s="12">
        <v>0</v>
      </c>
      <c r="G883" s="12" t="b">
        <v>0</v>
      </c>
      <c r="H883" s="9" t="s">
        <v>75</v>
      </c>
      <c r="I883" s="9" t="s">
        <v>2286</v>
      </c>
      <c r="J883" s="9" t="s">
        <v>75</v>
      </c>
      <c r="K883" s="11" t="s">
        <v>2287</v>
      </c>
      <c r="L883" s="12"/>
      <c r="M883" s="12"/>
      <c r="N883" s="13"/>
      <c r="O883" s="16" t="s">
        <v>78</v>
      </c>
      <c r="P883" s="14" t="s">
        <v>79</v>
      </c>
      <c r="Q883" s="15" t="s">
        <v>1702</v>
      </c>
      <c r="R883" s="14" t="s">
        <v>75</v>
      </c>
      <c r="S883" s="14" t="s">
        <v>75</v>
      </c>
      <c r="T883" s="16" t="s">
        <v>101</v>
      </c>
      <c r="U883" s="17"/>
      <c r="V883" s="16" t="s">
        <v>78</v>
      </c>
      <c r="W883" s="16" t="s">
        <v>79</v>
      </c>
      <c r="X883" s="15" t="s">
        <v>2233</v>
      </c>
      <c r="Y883" s="16" t="s">
        <v>75</v>
      </c>
      <c r="Z883" s="16" t="s">
        <v>75</v>
      </c>
      <c r="AA883" s="16" t="s">
        <v>101</v>
      </c>
      <c r="AB883" s="18"/>
      <c r="AC883" s="18"/>
      <c r="AD883" s="18"/>
      <c r="AE883" s="18"/>
      <c r="AF883" s="18"/>
      <c r="AG883" s="18"/>
      <c r="AH883" s="13"/>
      <c r="AI883" s="18"/>
      <c r="AJ883" s="13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3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2"/>
      <c r="BK883" s="12"/>
      <c r="BL883" s="12"/>
      <c r="BM883" s="9"/>
      <c r="BN883" s="9"/>
      <c r="BO883" s="9"/>
      <c r="BP883" s="12"/>
      <c r="BQ883" s="12"/>
      <c r="BR883" s="12"/>
      <c r="BS883" s="12"/>
      <c r="BT883" s="12"/>
      <c r="BU883" s="12"/>
      <c r="BV883" s="12"/>
      <c r="BW883" s="12"/>
      <c r="BX883" s="12"/>
      <c r="BY883" s="9"/>
      <c r="BZ883" s="21"/>
      <c r="CA883" s="21"/>
      <c r="CB883" s="21"/>
      <c r="CC883" s="21"/>
      <c r="CD883" s="21"/>
      <c r="CE883" s="21"/>
      <c r="CF883" s="21"/>
      <c r="CG883" s="21"/>
      <c r="CH883" s="21"/>
      <c r="CI883" s="21"/>
      <c r="CJ883" s="21"/>
    </row>
    <row r="884" spans="1:88" ht="40.5" customHeight="1">
      <c r="A884" s="9"/>
      <c r="B884" s="12"/>
      <c r="C884" s="9" t="s">
        <v>2288</v>
      </c>
      <c r="D884" s="9" t="s">
        <v>73</v>
      </c>
      <c r="E884" s="12">
        <v>0</v>
      </c>
      <c r="F884" s="12">
        <v>0</v>
      </c>
      <c r="G884" s="12" t="b">
        <v>0</v>
      </c>
      <c r="H884" s="9" t="s">
        <v>75</v>
      </c>
      <c r="I884" s="9" t="s">
        <v>2289</v>
      </c>
      <c r="J884" s="10" t="s">
        <v>84</v>
      </c>
      <c r="K884" s="11" t="s">
        <v>2290</v>
      </c>
      <c r="L884" s="12"/>
      <c r="M884" s="12"/>
      <c r="N884" s="13"/>
      <c r="O884" s="16" t="s">
        <v>2159</v>
      </c>
      <c r="P884" s="14" t="s">
        <v>79</v>
      </c>
      <c r="Q884" s="15" t="s">
        <v>2233</v>
      </c>
      <c r="R884" s="14" t="s">
        <v>75</v>
      </c>
      <c r="S884" s="14" t="s">
        <v>75</v>
      </c>
      <c r="T884" s="16" t="s">
        <v>4</v>
      </c>
      <c r="U884" s="17"/>
      <c r="V884" s="13"/>
      <c r="W884" s="13"/>
      <c r="X884" s="13"/>
      <c r="Y884" s="13"/>
      <c r="Z884" s="13"/>
      <c r="AA884" s="13"/>
      <c r="AB884" s="18"/>
      <c r="AC884" s="18"/>
      <c r="AD884" s="18"/>
      <c r="AE884" s="18"/>
      <c r="AF884" s="18"/>
      <c r="AG884" s="18"/>
      <c r="AH884" s="13"/>
      <c r="AI884" s="18"/>
      <c r="AJ884" s="13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3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2"/>
      <c r="BK884" s="12"/>
      <c r="BL884" s="12"/>
      <c r="BM884" s="9"/>
      <c r="BN884" s="9"/>
      <c r="BO884" s="9"/>
      <c r="BP884" s="12"/>
      <c r="BQ884" s="12"/>
      <c r="BR884" s="12"/>
      <c r="BS884" s="12"/>
      <c r="BT884" s="12"/>
      <c r="BU884" s="12"/>
      <c r="BV884" s="12"/>
      <c r="BW884" s="12"/>
      <c r="BX884" s="12"/>
      <c r="BY884" s="9"/>
      <c r="BZ884" s="21"/>
      <c r="CA884" s="21"/>
      <c r="CB884" s="21"/>
      <c r="CC884" s="21"/>
      <c r="CD884" s="21"/>
      <c r="CE884" s="21"/>
      <c r="CF884" s="21"/>
      <c r="CG884" s="21"/>
      <c r="CH884" s="21"/>
      <c r="CI884" s="21"/>
      <c r="CJ884" s="21"/>
    </row>
    <row r="885" spans="1:88" ht="40.5" customHeight="1">
      <c r="A885" s="9"/>
      <c r="B885" s="12"/>
      <c r="C885" s="9" t="s">
        <v>2291</v>
      </c>
      <c r="D885" s="9" t="s">
        <v>73</v>
      </c>
      <c r="E885" s="12">
        <v>0</v>
      </c>
      <c r="F885" s="12">
        <v>0</v>
      </c>
      <c r="G885" s="12" t="b">
        <v>0</v>
      </c>
      <c r="H885" s="9" t="s">
        <v>75</v>
      </c>
      <c r="I885" s="9" t="s">
        <v>2292</v>
      </c>
      <c r="J885" s="9" t="s">
        <v>75</v>
      </c>
      <c r="K885" s="11" t="s">
        <v>2293</v>
      </c>
      <c r="L885" s="12"/>
      <c r="M885" s="12"/>
      <c r="N885" s="13"/>
      <c r="O885" s="13"/>
      <c r="P885" s="17"/>
      <c r="Q885" s="13"/>
      <c r="R885" s="17"/>
      <c r="S885" s="17"/>
      <c r="T885" s="13"/>
      <c r="U885" s="17"/>
      <c r="V885" s="13"/>
      <c r="W885" s="13"/>
      <c r="X885" s="13"/>
      <c r="Y885" s="13"/>
      <c r="Z885" s="13"/>
      <c r="AA885" s="13"/>
      <c r="AB885" s="18"/>
      <c r="AC885" s="18"/>
      <c r="AD885" s="18"/>
      <c r="AE885" s="18"/>
      <c r="AF885" s="18"/>
      <c r="AG885" s="18"/>
      <c r="AH885" s="13"/>
      <c r="AI885" s="18"/>
      <c r="AJ885" s="13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3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2"/>
      <c r="BK885" s="12"/>
      <c r="BL885" s="12"/>
      <c r="BM885" s="9"/>
      <c r="BN885" s="9"/>
      <c r="BO885" s="9"/>
      <c r="BP885" s="12"/>
      <c r="BQ885" s="12"/>
      <c r="BR885" s="12"/>
      <c r="BS885" s="12"/>
      <c r="BT885" s="12"/>
      <c r="BU885" s="12"/>
      <c r="BV885" s="12"/>
      <c r="BW885" s="12"/>
      <c r="BX885" s="12"/>
      <c r="BY885" s="9"/>
      <c r="BZ885" s="21"/>
      <c r="CA885" s="21"/>
      <c r="CB885" s="21"/>
      <c r="CC885" s="21"/>
      <c r="CD885" s="21"/>
      <c r="CE885" s="21"/>
      <c r="CF885" s="21"/>
      <c r="CG885" s="21"/>
      <c r="CH885" s="21"/>
      <c r="CI885" s="21"/>
      <c r="CJ885" s="21"/>
    </row>
    <row r="886" spans="1:88" ht="40.5" customHeight="1">
      <c r="A886" s="9"/>
      <c r="B886" s="12"/>
      <c r="C886" s="9" t="s">
        <v>2294</v>
      </c>
      <c r="D886" s="9" t="s">
        <v>73</v>
      </c>
      <c r="E886" s="12">
        <v>0</v>
      </c>
      <c r="F886" s="12">
        <v>0</v>
      </c>
      <c r="G886" s="12" t="b">
        <v>0</v>
      </c>
      <c r="H886" s="9" t="s">
        <v>75</v>
      </c>
      <c r="I886" s="9" t="s">
        <v>2295</v>
      </c>
      <c r="J886" s="9" t="s">
        <v>75</v>
      </c>
      <c r="K886" s="11" t="s">
        <v>2296</v>
      </c>
      <c r="L886" s="12"/>
      <c r="M886" s="12"/>
      <c r="N886" s="13"/>
      <c r="O886" s="16" t="s">
        <v>78</v>
      </c>
      <c r="P886" s="14" t="s">
        <v>79</v>
      </c>
      <c r="Q886" s="15" t="s">
        <v>2233</v>
      </c>
      <c r="R886" s="14" t="s">
        <v>75</v>
      </c>
      <c r="S886" s="14" t="s">
        <v>75</v>
      </c>
      <c r="T886" s="16" t="s">
        <v>145</v>
      </c>
      <c r="U886" s="17"/>
      <c r="V886" s="13"/>
      <c r="W886" s="13"/>
      <c r="X886" s="13"/>
      <c r="Y886" s="13"/>
      <c r="Z886" s="13"/>
      <c r="AA886" s="13"/>
      <c r="AB886" s="18"/>
      <c r="AC886" s="18"/>
      <c r="AD886" s="18"/>
      <c r="AE886" s="18"/>
      <c r="AF886" s="18"/>
      <c r="AG886" s="18"/>
      <c r="AH886" s="13"/>
      <c r="AI886" s="18"/>
      <c r="AJ886" s="13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3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2"/>
      <c r="BK886" s="12"/>
      <c r="BL886" s="12"/>
      <c r="BM886" s="9"/>
      <c r="BN886" s="9"/>
      <c r="BO886" s="9"/>
      <c r="BP886" s="12"/>
      <c r="BQ886" s="12"/>
      <c r="BR886" s="12"/>
      <c r="BS886" s="12"/>
      <c r="BT886" s="12"/>
      <c r="BU886" s="12"/>
      <c r="BV886" s="12"/>
      <c r="BW886" s="12"/>
      <c r="BX886" s="12"/>
      <c r="BY886" s="9"/>
      <c r="BZ886" s="21"/>
      <c r="CA886" s="21"/>
      <c r="CB886" s="21"/>
      <c r="CC886" s="21"/>
      <c r="CD886" s="21"/>
      <c r="CE886" s="21"/>
      <c r="CF886" s="21"/>
      <c r="CG886" s="21"/>
      <c r="CH886" s="21"/>
      <c r="CI886" s="21"/>
      <c r="CJ886" s="21"/>
    </row>
    <row r="887" spans="1:88" ht="40.5" customHeight="1">
      <c r="A887" s="9"/>
      <c r="B887" s="12"/>
      <c r="C887" s="9" t="s">
        <v>2297</v>
      </c>
      <c r="D887" s="9" t="s">
        <v>73</v>
      </c>
      <c r="E887" s="12">
        <v>0</v>
      </c>
      <c r="F887" s="12">
        <v>0</v>
      </c>
      <c r="G887" s="12" t="b">
        <v>0</v>
      </c>
      <c r="H887" s="9" t="s">
        <v>75</v>
      </c>
      <c r="I887" s="9" t="s">
        <v>2298</v>
      </c>
      <c r="J887" s="9" t="s">
        <v>75</v>
      </c>
      <c r="K887" s="11" t="s">
        <v>2299</v>
      </c>
      <c r="L887" s="12"/>
      <c r="M887" s="12"/>
      <c r="N887" s="13"/>
      <c r="O887" s="16" t="s">
        <v>78</v>
      </c>
      <c r="P887" s="14" t="s">
        <v>79</v>
      </c>
      <c r="Q887" s="15" t="s">
        <v>2233</v>
      </c>
      <c r="R887" s="14" t="s">
        <v>75</v>
      </c>
      <c r="S887" s="14" t="s">
        <v>75</v>
      </c>
      <c r="T887" s="16" t="s">
        <v>126</v>
      </c>
      <c r="U887" s="17"/>
      <c r="V887" s="13"/>
      <c r="W887" s="13"/>
      <c r="X887" s="13"/>
      <c r="Y887" s="13"/>
      <c r="Z887" s="13"/>
      <c r="AA887" s="13"/>
      <c r="AB887" s="18"/>
      <c r="AC887" s="18"/>
      <c r="AD887" s="18"/>
      <c r="AE887" s="18"/>
      <c r="AF887" s="18"/>
      <c r="AG887" s="18"/>
      <c r="AH887" s="13"/>
      <c r="AI887" s="18"/>
      <c r="AJ887" s="13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3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2"/>
      <c r="BK887" s="12"/>
      <c r="BL887" s="12"/>
      <c r="BM887" s="9"/>
      <c r="BN887" s="9"/>
      <c r="BO887" s="9"/>
      <c r="BP887" s="12"/>
      <c r="BQ887" s="12"/>
      <c r="BR887" s="12"/>
      <c r="BS887" s="12"/>
      <c r="BT887" s="12"/>
      <c r="BU887" s="12"/>
      <c r="BV887" s="12"/>
      <c r="BW887" s="12"/>
      <c r="BX887" s="12"/>
      <c r="BY887" s="9"/>
      <c r="BZ887" s="21"/>
      <c r="CA887" s="21"/>
      <c r="CB887" s="21"/>
      <c r="CC887" s="21"/>
      <c r="CD887" s="21"/>
      <c r="CE887" s="21"/>
      <c r="CF887" s="21"/>
      <c r="CG887" s="21"/>
      <c r="CH887" s="21"/>
      <c r="CI887" s="21"/>
      <c r="CJ887" s="21"/>
    </row>
    <row r="888" spans="1:88" ht="40.5" customHeight="1">
      <c r="A888" s="9"/>
      <c r="B888" s="12"/>
      <c r="C888" s="9" t="s">
        <v>2300</v>
      </c>
      <c r="D888" s="9" t="s">
        <v>73</v>
      </c>
      <c r="E888" s="12">
        <v>0</v>
      </c>
      <c r="F888" s="12">
        <v>0</v>
      </c>
      <c r="G888" s="12" t="b">
        <v>0</v>
      </c>
      <c r="H888" s="9" t="s">
        <v>75</v>
      </c>
      <c r="I888" s="9" t="s">
        <v>2301</v>
      </c>
      <c r="J888" s="9" t="s">
        <v>75</v>
      </c>
      <c r="K888" s="11" t="s">
        <v>2302</v>
      </c>
      <c r="L888" s="12"/>
      <c r="M888" s="12"/>
      <c r="N888" s="13"/>
      <c r="O888" s="16" t="s">
        <v>78</v>
      </c>
      <c r="P888" s="14" t="s">
        <v>79</v>
      </c>
      <c r="Q888" s="15" t="s">
        <v>2233</v>
      </c>
      <c r="R888" s="14" t="s">
        <v>75</v>
      </c>
      <c r="S888" s="14" t="s">
        <v>75</v>
      </c>
      <c r="T888" s="16" t="s">
        <v>81</v>
      </c>
      <c r="U888" s="17"/>
      <c r="V888" s="13"/>
      <c r="W888" s="13"/>
      <c r="X888" s="13"/>
      <c r="Y888" s="13"/>
      <c r="Z888" s="13"/>
      <c r="AA888" s="13"/>
      <c r="AB888" s="18"/>
      <c r="AC888" s="18"/>
      <c r="AD888" s="18"/>
      <c r="AE888" s="18"/>
      <c r="AF888" s="18"/>
      <c r="AG888" s="18"/>
      <c r="AH888" s="13"/>
      <c r="AI888" s="18"/>
      <c r="AJ888" s="13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3"/>
      <c r="AY888" s="1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  <c r="BJ888" s="12"/>
      <c r="BK888" s="12"/>
      <c r="BL888" s="12"/>
      <c r="BM888" s="9"/>
      <c r="BN888" s="9"/>
      <c r="BO888" s="9"/>
      <c r="BP888" s="12"/>
      <c r="BQ888" s="12"/>
      <c r="BR888" s="12"/>
      <c r="BS888" s="12"/>
      <c r="BT888" s="12"/>
      <c r="BU888" s="12"/>
      <c r="BV888" s="12"/>
      <c r="BW888" s="12"/>
      <c r="BX888" s="12"/>
      <c r="BY888" s="9"/>
      <c r="BZ888" s="21"/>
      <c r="CA888" s="21"/>
      <c r="CB888" s="21"/>
      <c r="CC888" s="21"/>
      <c r="CD888" s="21"/>
      <c r="CE888" s="21"/>
      <c r="CF888" s="21"/>
      <c r="CG888" s="21"/>
      <c r="CH888" s="21"/>
      <c r="CI888" s="21"/>
      <c r="CJ888" s="21"/>
    </row>
    <row r="889" spans="1:88" ht="40.5" customHeight="1">
      <c r="A889" s="9"/>
      <c r="B889" s="12"/>
      <c r="C889" s="9" t="s">
        <v>2303</v>
      </c>
      <c r="D889" s="9" t="s">
        <v>73</v>
      </c>
      <c r="E889" s="12">
        <v>0</v>
      </c>
      <c r="F889" s="12">
        <v>0</v>
      </c>
      <c r="G889" s="12" t="b">
        <v>0</v>
      </c>
      <c r="H889" s="9" t="s">
        <v>75</v>
      </c>
      <c r="I889" s="9" t="s">
        <v>2304</v>
      </c>
      <c r="J889" s="9" t="s">
        <v>75</v>
      </c>
      <c r="K889" s="11" t="s">
        <v>2305</v>
      </c>
      <c r="L889" s="12"/>
      <c r="M889" s="12"/>
      <c r="N889" s="13"/>
      <c r="O889" s="16" t="s">
        <v>78</v>
      </c>
      <c r="P889" s="14" t="s">
        <v>79</v>
      </c>
      <c r="Q889" s="15" t="s">
        <v>2233</v>
      </c>
      <c r="R889" s="23" t="s">
        <v>228</v>
      </c>
      <c r="S889" s="14" t="s">
        <v>75</v>
      </c>
      <c r="T889" s="16" t="s">
        <v>81</v>
      </c>
      <c r="U889" s="17"/>
      <c r="V889" s="13"/>
      <c r="W889" s="13"/>
      <c r="X889" s="13"/>
      <c r="Y889" s="13"/>
      <c r="Z889" s="13"/>
      <c r="AA889" s="13"/>
      <c r="AB889" s="18"/>
      <c r="AC889" s="18"/>
      <c r="AD889" s="18"/>
      <c r="AE889" s="18"/>
      <c r="AF889" s="18"/>
      <c r="AG889" s="18"/>
      <c r="AH889" s="13"/>
      <c r="AI889" s="18"/>
      <c r="AJ889" s="13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3"/>
      <c r="AY889" s="1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  <c r="BJ889" s="12"/>
      <c r="BK889" s="12"/>
      <c r="BL889" s="12"/>
      <c r="BM889" s="9"/>
      <c r="BN889" s="9"/>
      <c r="BO889" s="9"/>
      <c r="BP889" s="12"/>
      <c r="BQ889" s="12"/>
      <c r="BR889" s="12"/>
      <c r="BS889" s="12"/>
      <c r="BT889" s="12"/>
      <c r="BU889" s="12"/>
      <c r="BV889" s="12"/>
      <c r="BW889" s="12"/>
      <c r="BX889" s="12"/>
      <c r="BY889" s="9"/>
      <c r="BZ889" s="21"/>
      <c r="CA889" s="21"/>
      <c r="CB889" s="21"/>
      <c r="CC889" s="21"/>
      <c r="CD889" s="21"/>
      <c r="CE889" s="21"/>
      <c r="CF889" s="21"/>
      <c r="CG889" s="21"/>
      <c r="CH889" s="21"/>
      <c r="CI889" s="21"/>
      <c r="CJ889" s="21"/>
    </row>
    <row r="890" spans="1:88" ht="40.5" customHeight="1">
      <c r="A890" s="9"/>
      <c r="B890" s="12"/>
      <c r="C890" s="9" t="s">
        <v>2306</v>
      </c>
      <c r="D890" s="9" t="s">
        <v>73</v>
      </c>
      <c r="E890" s="12">
        <v>0</v>
      </c>
      <c r="F890" s="12">
        <v>0</v>
      </c>
      <c r="G890" s="12" t="b">
        <v>0</v>
      </c>
      <c r="H890" s="9" t="s">
        <v>75</v>
      </c>
      <c r="I890" s="9" t="s">
        <v>2307</v>
      </c>
      <c r="J890" s="9" t="s">
        <v>75</v>
      </c>
      <c r="K890" s="11" t="s">
        <v>2308</v>
      </c>
      <c r="L890" s="12"/>
      <c r="M890" s="12"/>
      <c r="N890" s="13"/>
      <c r="O890" s="16" t="s">
        <v>78</v>
      </c>
      <c r="P890" s="14" t="s">
        <v>79</v>
      </c>
      <c r="Q890" s="15" t="s">
        <v>2233</v>
      </c>
      <c r="R890" s="14" t="s">
        <v>75</v>
      </c>
      <c r="S890" s="14" t="s">
        <v>75</v>
      </c>
      <c r="T890" s="16" t="s">
        <v>145</v>
      </c>
      <c r="U890" s="17"/>
      <c r="V890" s="13"/>
      <c r="W890" s="13"/>
      <c r="X890" s="13"/>
      <c r="Y890" s="13"/>
      <c r="Z890" s="13"/>
      <c r="AA890" s="13"/>
      <c r="AB890" s="18"/>
      <c r="AC890" s="18"/>
      <c r="AD890" s="18"/>
      <c r="AE890" s="18"/>
      <c r="AF890" s="18"/>
      <c r="AG890" s="18"/>
      <c r="AH890" s="13"/>
      <c r="AI890" s="18"/>
      <c r="AJ890" s="13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3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2"/>
      <c r="BK890" s="12"/>
      <c r="BL890" s="12"/>
      <c r="BM890" s="9"/>
      <c r="BN890" s="9"/>
      <c r="BO890" s="9"/>
      <c r="BP890" s="12"/>
      <c r="BQ890" s="12"/>
      <c r="BR890" s="12"/>
      <c r="BS890" s="12"/>
      <c r="BT890" s="12"/>
      <c r="BU890" s="12"/>
      <c r="BV890" s="12"/>
      <c r="BW890" s="12"/>
      <c r="BX890" s="12"/>
      <c r="BY890" s="9"/>
      <c r="BZ890" s="21"/>
      <c r="CA890" s="21"/>
      <c r="CB890" s="21"/>
      <c r="CC890" s="21"/>
      <c r="CD890" s="21"/>
      <c r="CE890" s="21"/>
      <c r="CF890" s="21"/>
      <c r="CG890" s="21"/>
      <c r="CH890" s="21"/>
      <c r="CI890" s="21"/>
      <c r="CJ890" s="21"/>
    </row>
    <row r="891" spans="1:88" ht="40.5" customHeight="1">
      <c r="A891" s="9"/>
      <c r="B891" s="12"/>
      <c r="C891" s="9" t="s">
        <v>2309</v>
      </c>
      <c r="D891" s="9" t="s">
        <v>73</v>
      </c>
      <c r="E891" s="12">
        <v>0</v>
      </c>
      <c r="F891" s="12">
        <v>0</v>
      </c>
      <c r="G891" s="12" t="b">
        <v>0</v>
      </c>
      <c r="H891" s="9" t="s">
        <v>75</v>
      </c>
      <c r="I891" s="9" t="s">
        <v>2310</v>
      </c>
      <c r="J891" s="9" t="s">
        <v>75</v>
      </c>
      <c r="K891" s="11" t="s">
        <v>2311</v>
      </c>
      <c r="L891" s="12"/>
      <c r="M891" s="12"/>
      <c r="N891" s="13"/>
      <c r="O891" s="16" t="s">
        <v>2159</v>
      </c>
      <c r="P891" s="14" t="s">
        <v>79</v>
      </c>
      <c r="Q891" s="15" t="s">
        <v>2233</v>
      </c>
      <c r="R891" s="14" t="s">
        <v>75</v>
      </c>
      <c r="S891" s="14" t="s">
        <v>75</v>
      </c>
      <c r="T891" s="16" t="s">
        <v>4</v>
      </c>
      <c r="U891" s="17"/>
      <c r="V891" s="13"/>
      <c r="W891" s="13"/>
      <c r="X891" s="13"/>
      <c r="Y891" s="13"/>
      <c r="Z891" s="13"/>
      <c r="AA891" s="13"/>
      <c r="AB891" s="18"/>
      <c r="AC891" s="18"/>
      <c r="AD891" s="18"/>
      <c r="AE891" s="18"/>
      <c r="AF891" s="18"/>
      <c r="AG891" s="18"/>
      <c r="AH891" s="13"/>
      <c r="AI891" s="18"/>
      <c r="AJ891" s="13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3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2"/>
      <c r="BK891" s="12"/>
      <c r="BL891" s="12"/>
      <c r="BM891" s="9"/>
      <c r="BN891" s="9"/>
      <c r="BO891" s="9"/>
      <c r="BP891" s="12"/>
      <c r="BQ891" s="12"/>
      <c r="BR891" s="12"/>
      <c r="BS891" s="12"/>
      <c r="BT891" s="12"/>
      <c r="BU891" s="12"/>
      <c r="BV891" s="12"/>
      <c r="BW891" s="12"/>
      <c r="BX891" s="12"/>
      <c r="BY891" s="9"/>
      <c r="BZ891" s="21"/>
      <c r="CA891" s="21"/>
      <c r="CB891" s="21"/>
      <c r="CC891" s="21"/>
      <c r="CD891" s="21"/>
      <c r="CE891" s="21"/>
      <c r="CF891" s="21"/>
      <c r="CG891" s="21"/>
      <c r="CH891" s="21"/>
      <c r="CI891" s="21"/>
      <c r="CJ891" s="21"/>
    </row>
    <row r="892" spans="1:88" ht="40.5" customHeight="1">
      <c r="A892" s="9"/>
      <c r="B892" s="12"/>
      <c r="C892" s="9" t="s">
        <v>2312</v>
      </c>
      <c r="D892" s="9" t="s">
        <v>73</v>
      </c>
      <c r="E892" s="12">
        <v>0</v>
      </c>
      <c r="F892" s="12">
        <v>0</v>
      </c>
      <c r="G892" s="12" t="b">
        <v>0</v>
      </c>
      <c r="H892" s="9" t="s">
        <v>75</v>
      </c>
      <c r="I892" s="9" t="s">
        <v>2313</v>
      </c>
      <c r="J892" s="9" t="s">
        <v>75</v>
      </c>
      <c r="K892" s="11" t="s">
        <v>2314</v>
      </c>
      <c r="L892" s="12"/>
      <c r="M892" s="12"/>
      <c r="N892" s="13"/>
      <c r="O892" s="16" t="s">
        <v>78</v>
      </c>
      <c r="P892" s="14" t="s">
        <v>79</v>
      </c>
      <c r="Q892" s="15" t="s">
        <v>2233</v>
      </c>
      <c r="R892" s="14" t="s">
        <v>75</v>
      </c>
      <c r="S892" s="14" t="s">
        <v>75</v>
      </c>
      <c r="T892" s="16" t="s">
        <v>4</v>
      </c>
      <c r="U892" s="17"/>
      <c r="V892" s="13"/>
      <c r="W892" s="13"/>
      <c r="X892" s="13"/>
      <c r="Y892" s="13"/>
      <c r="Z892" s="13"/>
      <c r="AA892" s="13"/>
      <c r="AB892" s="18"/>
      <c r="AC892" s="18"/>
      <c r="AD892" s="18"/>
      <c r="AE892" s="18"/>
      <c r="AF892" s="18"/>
      <c r="AG892" s="18"/>
      <c r="AH892" s="13"/>
      <c r="AI892" s="18"/>
      <c r="AJ892" s="13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3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2"/>
      <c r="BK892" s="12"/>
      <c r="BL892" s="12"/>
      <c r="BM892" s="9"/>
      <c r="BN892" s="9"/>
      <c r="BO892" s="9"/>
      <c r="BP892" s="12"/>
      <c r="BQ892" s="12"/>
      <c r="BR892" s="12"/>
      <c r="BS892" s="12"/>
      <c r="BT892" s="12"/>
      <c r="BU892" s="12"/>
      <c r="BV892" s="12"/>
      <c r="BW892" s="12"/>
      <c r="BX892" s="12"/>
      <c r="BY892" s="9"/>
      <c r="BZ892" s="21"/>
      <c r="CA892" s="21"/>
      <c r="CB892" s="21"/>
      <c r="CC892" s="21"/>
      <c r="CD892" s="21"/>
      <c r="CE892" s="21"/>
      <c r="CF892" s="21"/>
      <c r="CG892" s="21"/>
      <c r="CH892" s="21"/>
      <c r="CI892" s="21"/>
      <c r="CJ892" s="21"/>
    </row>
    <row r="893" spans="1:88" ht="40.5" customHeight="1">
      <c r="A893" s="9"/>
      <c r="B893" s="12"/>
      <c r="C893" s="9" t="s">
        <v>2315</v>
      </c>
      <c r="D893" s="9" t="s">
        <v>73</v>
      </c>
      <c r="E893" s="12">
        <v>0</v>
      </c>
      <c r="F893" s="12">
        <v>0</v>
      </c>
      <c r="G893" s="12" t="b">
        <v>0</v>
      </c>
      <c r="H893" s="9" t="s">
        <v>75</v>
      </c>
      <c r="I893" s="9" t="s">
        <v>2316</v>
      </c>
      <c r="J893" s="9" t="s">
        <v>75</v>
      </c>
      <c r="K893" s="11" t="s">
        <v>2317</v>
      </c>
      <c r="L893" s="12"/>
      <c r="M893" s="12"/>
      <c r="N893" s="13"/>
      <c r="O893" s="16" t="s">
        <v>78</v>
      </c>
      <c r="P893" s="14" t="s">
        <v>79</v>
      </c>
      <c r="Q893" s="15" t="s">
        <v>2318</v>
      </c>
      <c r="R893" s="14" t="s">
        <v>75</v>
      </c>
      <c r="S893" s="14" t="s">
        <v>75</v>
      </c>
      <c r="T893" s="16" t="s">
        <v>81</v>
      </c>
      <c r="U893" s="17"/>
      <c r="V893" s="16" t="s">
        <v>78</v>
      </c>
      <c r="W893" s="16" t="s">
        <v>79</v>
      </c>
      <c r="X893" s="15" t="s">
        <v>2233</v>
      </c>
      <c r="Y893" s="15" t="s">
        <v>228</v>
      </c>
      <c r="Z893" s="16" t="s">
        <v>75</v>
      </c>
      <c r="AA893" s="16" t="s">
        <v>190</v>
      </c>
      <c r="AB893" s="18"/>
      <c r="AC893" s="18"/>
      <c r="AD893" s="18"/>
      <c r="AE893" s="18"/>
      <c r="AF893" s="18"/>
      <c r="AG893" s="18"/>
      <c r="AH893" s="13"/>
      <c r="AI893" s="18"/>
      <c r="AJ893" s="13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3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2"/>
      <c r="BK893" s="12"/>
      <c r="BL893" s="12"/>
      <c r="BM893" s="9"/>
      <c r="BN893" s="9"/>
      <c r="BO893" s="9"/>
      <c r="BP893" s="12"/>
      <c r="BQ893" s="12"/>
      <c r="BR893" s="12"/>
      <c r="BS893" s="12"/>
      <c r="BT893" s="12"/>
      <c r="BU893" s="12"/>
      <c r="BV893" s="12"/>
      <c r="BW893" s="12"/>
      <c r="BX893" s="12"/>
      <c r="BY893" s="9"/>
      <c r="BZ893" s="21"/>
      <c r="CA893" s="21"/>
      <c r="CB893" s="21"/>
      <c r="CC893" s="21"/>
      <c r="CD893" s="21"/>
      <c r="CE893" s="21"/>
      <c r="CF893" s="21"/>
      <c r="CG893" s="21"/>
      <c r="CH893" s="21"/>
      <c r="CI893" s="21"/>
      <c r="CJ893" s="21"/>
    </row>
    <row r="894" spans="1:88" ht="40.5" customHeight="1">
      <c r="A894" s="9"/>
      <c r="B894" s="12"/>
      <c r="C894" s="9" t="s">
        <v>2319</v>
      </c>
      <c r="D894" s="9" t="s">
        <v>73</v>
      </c>
      <c r="E894" s="12">
        <v>0</v>
      </c>
      <c r="F894" s="12">
        <v>0</v>
      </c>
      <c r="G894" s="12" t="b">
        <v>0</v>
      </c>
      <c r="H894" s="9" t="s">
        <v>75</v>
      </c>
      <c r="I894" s="9" t="s">
        <v>2320</v>
      </c>
      <c r="J894" s="9" t="s">
        <v>75</v>
      </c>
      <c r="K894" s="11" t="s">
        <v>2321</v>
      </c>
      <c r="L894" s="12"/>
      <c r="M894" s="12"/>
      <c r="N894" s="13"/>
      <c r="O894" s="16" t="s">
        <v>78</v>
      </c>
      <c r="P894" s="14" t="s">
        <v>79</v>
      </c>
      <c r="Q894" s="15" t="s">
        <v>2322</v>
      </c>
      <c r="R894" s="14" t="s">
        <v>75</v>
      </c>
      <c r="S894" s="14" t="s">
        <v>75</v>
      </c>
      <c r="T894" s="16" t="s">
        <v>126</v>
      </c>
      <c r="U894" s="17"/>
      <c r="V894" s="16" t="s">
        <v>78</v>
      </c>
      <c r="W894" s="16" t="s">
        <v>79</v>
      </c>
      <c r="X894" s="15" t="s">
        <v>2233</v>
      </c>
      <c r="Y894" s="16" t="s">
        <v>75</v>
      </c>
      <c r="Z894" s="15" t="s">
        <v>84</v>
      </c>
      <c r="AA894" s="16" t="s">
        <v>81</v>
      </c>
      <c r="AB894" s="18"/>
      <c r="AC894" s="18"/>
      <c r="AD894" s="18"/>
      <c r="AE894" s="18"/>
      <c r="AF894" s="18"/>
      <c r="AG894" s="18"/>
      <c r="AH894" s="13"/>
      <c r="AI894" s="18"/>
      <c r="AJ894" s="13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3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2"/>
      <c r="BK894" s="12"/>
      <c r="BL894" s="12"/>
      <c r="BM894" s="9"/>
      <c r="BN894" s="9"/>
      <c r="BO894" s="9"/>
      <c r="BP894" s="12"/>
      <c r="BQ894" s="12"/>
      <c r="BR894" s="12"/>
      <c r="BS894" s="12"/>
      <c r="BT894" s="12"/>
      <c r="BU894" s="12"/>
      <c r="BV894" s="12"/>
      <c r="BW894" s="12"/>
      <c r="BX894" s="12"/>
      <c r="BY894" s="9"/>
      <c r="BZ894" s="21"/>
      <c r="CA894" s="21"/>
      <c r="CB894" s="21"/>
      <c r="CC894" s="21"/>
      <c r="CD894" s="21"/>
      <c r="CE894" s="21"/>
      <c r="CF894" s="21"/>
      <c r="CG894" s="21"/>
      <c r="CH894" s="21"/>
      <c r="CI894" s="21"/>
      <c r="CJ894" s="21"/>
    </row>
    <row r="895" spans="1:88" ht="40.5" customHeight="1">
      <c r="A895" s="9"/>
      <c r="B895" s="12"/>
      <c r="C895" s="9" t="s">
        <v>2323</v>
      </c>
      <c r="D895" s="9" t="s">
        <v>73</v>
      </c>
      <c r="E895" s="12">
        <v>0</v>
      </c>
      <c r="F895" s="12">
        <v>0</v>
      </c>
      <c r="G895" s="12" t="b">
        <v>0</v>
      </c>
      <c r="H895" s="9" t="s">
        <v>75</v>
      </c>
      <c r="I895" s="9" t="s">
        <v>2324</v>
      </c>
      <c r="J895" s="9" t="s">
        <v>75</v>
      </c>
      <c r="K895" s="11" t="s">
        <v>2325</v>
      </c>
      <c r="L895" s="12"/>
      <c r="M895" s="12"/>
      <c r="N895" s="13"/>
      <c r="O895" s="16" t="s">
        <v>78</v>
      </c>
      <c r="P895" s="14" t="s">
        <v>79</v>
      </c>
      <c r="Q895" s="15" t="s">
        <v>2318</v>
      </c>
      <c r="R895" s="14" t="s">
        <v>75</v>
      </c>
      <c r="S895" s="14" t="s">
        <v>75</v>
      </c>
      <c r="T895" s="16" t="s">
        <v>153</v>
      </c>
      <c r="U895" s="17"/>
      <c r="V895" s="16" t="s">
        <v>78</v>
      </c>
      <c r="W895" s="16" t="s">
        <v>79</v>
      </c>
      <c r="X895" s="15" t="s">
        <v>2233</v>
      </c>
      <c r="Y895" s="16" t="s">
        <v>75</v>
      </c>
      <c r="Z895" s="16" t="s">
        <v>75</v>
      </c>
      <c r="AA895" s="16" t="s">
        <v>145</v>
      </c>
      <c r="AB895" s="18"/>
      <c r="AC895" s="18"/>
      <c r="AD895" s="18"/>
      <c r="AE895" s="18"/>
      <c r="AF895" s="18"/>
      <c r="AG895" s="18"/>
      <c r="AH895" s="13"/>
      <c r="AI895" s="18"/>
      <c r="AJ895" s="13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3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2"/>
      <c r="BK895" s="12"/>
      <c r="BL895" s="12"/>
      <c r="BM895" s="9"/>
      <c r="BN895" s="9"/>
      <c r="BO895" s="9"/>
      <c r="BP895" s="12"/>
      <c r="BQ895" s="12"/>
      <c r="BR895" s="12"/>
      <c r="BS895" s="12"/>
      <c r="BT895" s="12"/>
      <c r="BU895" s="12"/>
      <c r="BV895" s="12"/>
      <c r="BW895" s="12"/>
      <c r="BX895" s="12"/>
      <c r="BY895" s="9"/>
      <c r="BZ895" s="21"/>
      <c r="CA895" s="21"/>
      <c r="CB895" s="21"/>
      <c r="CC895" s="21"/>
      <c r="CD895" s="21"/>
      <c r="CE895" s="21"/>
      <c r="CF895" s="21"/>
      <c r="CG895" s="21"/>
      <c r="CH895" s="21"/>
      <c r="CI895" s="21"/>
      <c r="CJ895" s="21"/>
    </row>
    <row r="896" spans="1:88" ht="40.5" customHeight="1">
      <c r="A896" s="9"/>
      <c r="B896" s="12"/>
      <c r="C896" s="9" t="s">
        <v>2326</v>
      </c>
      <c r="D896" s="9" t="s">
        <v>73</v>
      </c>
      <c r="E896" s="12">
        <v>0</v>
      </c>
      <c r="F896" s="12">
        <v>0</v>
      </c>
      <c r="G896" s="12" t="b">
        <v>0</v>
      </c>
      <c r="H896" s="9" t="s">
        <v>75</v>
      </c>
      <c r="I896" s="9" t="s">
        <v>2327</v>
      </c>
      <c r="J896" s="9" t="s">
        <v>75</v>
      </c>
      <c r="K896" s="11" t="s">
        <v>2328</v>
      </c>
      <c r="L896" s="12"/>
      <c r="M896" s="12"/>
      <c r="N896" s="13"/>
      <c r="O896" s="16" t="s">
        <v>78</v>
      </c>
      <c r="P896" s="14" t="s">
        <v>79</v>
      </c>
      <c r="Q896" s="15" t="s">
        <v>2318</v>
      </c>
      <c r="R896" s="14" t="s">
        <v>75</v>
      </c>
      <c r="S896" s="14" t="s">
        <v>75</v>
      </c>
      <c r="T896" s="16" t="s">
        <v>81</v>
      </c>
      <c r="U896" s="17"/>
      <c r="V896" s="16" t="s">
        <v>78</v>
      </c>
      <c r="W896" s="16" t="s">
        <v>79</v>
      </c>
      <c r="X896" s="15" t="s">
        <v>2233</v>
      </c>
      <c r="Y896" s="16" t="s">
        <v>75</v>
      </c>
      <c r="Z896" s="16" t="s">
        <v>75</v>
      </c>
      <c r="AA896" s="16" t="s">
        <v>145</v>
      </c>
      <c r="AB896" s="18"/>
      <c r="AC896" s="18"/>
      <c r="AD896" s="18"/>
      <c r="AE896" s="18"/>
      <c r="AF896" s="18"/>
      <c r="AG896" s="18"/>
      <c r="AH896" s="13"/>
      <c r="AI896" s="18"/>
      <c r="AJ896" s="13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3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2"/>
      <c r="BK896" s="12"/>
      <c r="BL896" s="12"/>
      <c r="BM896" s="9"/>
      <c r="BN896" s="9"/>
      <c r="BO896" s="9"/>
      <c r="BP896" s="12"/>
      <c r="BQ896" s="12"/>
      <c r="BR896" s="12"/>
      <c r="BS896" s="12"/>
      <c r="BT896" s="12"/>
      <c r="BU896" s="12"/>
      <c r="BV896" s="12"/>
      <c r="BW896" s="12"/>
      <c r="BX896" s="12"/>
      <c r="BY896" s="9"/>
      <c r="BZ896" s="21"/>
      <c r="CA896" s="21"/>
      <c r="CB896" s="21"/>
      <c r="CC896" s="21"/>
      <c r="CD896" s="21"/>
      <c r="CE896" s="21"/>
      <c r="CF896" s="21"/>
      <c r="CG896" s="21"/>
      <c r="CH896" s="21"/>
      <c r="CI896" s="21"/>
      <c r="CJ896" s="21"/>
    </row>
    <row r="897" spans="1:88" ht="40.5" customHeight="1">
      <c r="A897" s="9"/>
      <c r="B897" s="12"/>
      <c r="C897" s="9" t="s">
        <v>2329</v>
      </c>
      <c r="D897" s="9" t="s">
        <v>73</v>
      </c>
      <c r="E897" s="12">
        <v>0</v>
      </c>
      <c r="F897" s="12">
        <v>0</v>
      </c>
      <c r="G897" s="12" t="b">
        <v>0</v>
      </c>
      <c r="H897" s="9" t="s">
        <v>75</v>
      </c>
      <c r="I897" s="9" t="s">
        <v>2330</v>
      </c>
      <c r="J897" s="9" t="s">
        <v>75</v>
      </c>
      <c r="K897" s="11" t="s">
        <v>2331</v>
      </c>
      <c r="L897" s="12"/>
      <c r="M897" s="12"/>
      <c r="N897" s="13"/>
      <c r="O897" s="16" t="s">
        <v>78</v>
      </c>
      <c r="P897" s="14" t="s">
        <v>79</v>
      </c>
      <c r="Q897" s="15" t="s">
        <v>2318</v>
      </c>
      <c r="R897" s="14" t="s">
        <v>75</v>
      </c>
      <c r="S897" s="14" t="s">
        <v>75</v>
      </c>
      <c r="T897" s="16" t="s">
        <v>126</v>
      </c>
      <c r="U897" s="17"/>
      <c r="V897" s="16" t="s">
        <v>78</v>
      </c>
      <c r="W897" s="16" t="s">
        <v>79</v>
      </c>
      <c r="X897" s="15" t="s">
        <v>2233</v>
      </c>
      <c r="Y897" s="16" t="s">
        <v>75</v>
      </c>
      <c r="Z897" s="16" t="s">
        <v>75</v>
      </c>
      <c r="AA897" s="16" t="s">
        <v>81</v>
      </c>
      <c r="AB897" s="18"/>
      <c r="AC897" s="18"/>
      <c r="AD897" s="18"/>
      <c r="AE897" s="18"/>
      <c r="AF897" s="18"/>
      <c r="AG897" s="18"/>
      <c r="AH897" s="13"/>
      <c r="AI897" s="18"/>
      <c r="AJ897" s="13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3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2"/>
      <c r="BK897" s="12"/>
      <c r="BL897" s="12"/>
      <c r="BM897" s="9"/>
      <c r="BN897" s="9"/>
      <c r="BO897" s="9"/>
      <c r="BP897" s="12"/>
      <c r="BQ897" s="12"/>
      <c r="BR897" s="12"/>
      <c r="BS897" s="12"/>
      <c r="BT897" s="12"/>
      <c r="BU897" s="12"/>
      <c r="BV897" s="12"/>
      <c r="BW897" s="12"/>
      <c r="BX897" s="12"/>
      <c r="BY897" s="9"/>
      <c r="BZ897" s="21"/>
      <c r="CA897" s="21"/>
      <c r="CB897" s="21"/>
      <c r="CC897" s="21"/>
      <c r="CD897" s="21"/>
      <c r="CE897" s="21"/>
      <c r="CF897" s="21"/>
      <c r="CG897" s="21"/>
      <c r="CH897" s="21"/>
      <c r="CI897" s="21"/>
      <c r="CJ897" s="21"/>
    </row>
    <row r="898" spans="1:88" ht="40.5" customHeight="1">
      <c r="A898" s="9"/>
      <c r="B898" s="12"/>
      <c r="C898" s="9" t="s">
        <v>2332</v>
      </c>
      <c r="D898" s="9" t="s">
        <v>73</v>
      </c>
      <c r="E898" s="12">
        <v>0</v>
      </c>
      <c r="F898" s="12">
        <v>0</v>
      </c>
      <c r="G898" s="12" t="b">
        <v>0</v>
      </c>
      <c r="H898" s="9" t="s">
        <v>75</v>
      </c>
      <c r="I898" s="9" t="s">
        <v>2333</v>
      </c>
      <c r="J898" s="9" t="s">
        <v>75</v>
      </c>
      <c r="K898" s="11" t="s">
        <v>2334</v>
      </c>
      <c r="L898" s="12"/>
      <c r="M898" s="12"/>
      <c r="N898" s="13"/>
      <c r="O898" s="16" t="s">
        <v>78</v>
      </c>
      <c r="P898" s="14" t="s">
        <v>79</v>
      </c>
      <c r="Q898" s="15" t="s">
        <v>2318</v>
      </c>
      <c r="R898" s="14" t="s">
        <v>75</v>
      </c>
      <c r="S898" s="14" t="s">
        <v>75</v>
      </c>
      <c r="T898" s="16" t="s">
        <v>153</v>
      </c>
      <c r="U898" s="17"/>
      <c r="V898" s="16" t="s">
        <v>7</v>
      </c>
      <c r="W898" s="16" t="s">
        <v>79</v>
      </c>
      <c r="X898" s="15" t="s">
        <v>2233</v>
      </c>
      <c r="Y898" s="16" t="s">
        <v>75</v>
      </c>
      <c r="Z898" s="16" t="s">
        <v>75</v>
      </c>
      <c r="AA898" s="16" t="s">
        <v>81</v>
      </c>
      <c r="AB898" s="18"/>
      <c r="AC898" s="18"/>
      <c r="AD898" s="18"/>
      <c r="AE898" s="18"/>
      <c r="AF898" s="18"/>
      <c r="AG898" s="18"/>
      <c r="AH898" s="13"/>
      <c r="AI898" s="18"/>
      <c r="AJ898" s="13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3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2"/>
      <c r="BK898" s="12"/>
      <c r="BL898" s="12"/>
      <c r="BM898" s="9"/>
      <c r="BN898" s="9"/>
      <c r="BO898" s="9"/>
      <c r="BP898" s="12"/>
      <c r="BQ898" s="12"/>
      <c r="BR898" s="12"/>
      <c r="BS898" s="12"/>
      <c r="BT898" s="12"/>
      <c r="BU898" s="12"/>
      <c r="BV898" s="12"/>
      <c r="BW898" s="12"/>
      <c r="BX898" s="12"/>
      <c r="BY898" s="9"/>
      <c r="BZ898" s="21"/>
      <c r="CA898" s="21"/>
      <c r="CB898" s="21"/>
      <c r="CC898" s="21"/>
      <c r="CD898" s="21"/>
      <c r="CE898" s="21"/>
      <c r="CF898" s="21"/>
      <c r="CG898" s="21"/>
      <c r="CH898" s="21"/>
      <c r="CI898" s="21"/>
      <c r="CJ898" s="21"/>
    </row>
    <row r="899" spans="1:88" ht="40.5" customHeight="1">
      <c r="A899" s="9"/>
      <c r="B899" s="12"/>
      <c r="C899" s="9" t="s">
        <v>2335</v>
      </c>
      <c r="D899" s="9" t="s">
        <v>73</v>
      </c>
      <c r="E899" s="12">
        <v>0</v>
      </c>
      <c r="F899" s="12">
        <v>0</v>
      </c>
      <c r="G899" s="12" t="b">
        <v>0</v>
      </c>
      <c r="H899" s="9" t="s">
        <v>75</v>
      </c>
      <c r="I899" s="10" t="s">
        <v>2336</v>
      </c>
      <c r="J899" s="9" t="s">
        <v>75</v>
      </c>
      <c r="K899" s="11" t="s">
        <v>2337</v>
      </c>
      <c r="L899" s="12"/>
      <c r="M899" s="12"/>
      <c r="N899" s="13"/>
      <c r="O899" s="16" t="s">
        <v>78</v>
      </c>
      <c r="P899" s="14" t="s">
        <v>79</v>
      </c>
      <c r="Q899" s="15" t="s">
        <v>2318</v>
      </c>
      <c r="R899" s="14" t="s">
        <v>75</v>
      </c>
      <c r="S899" s="14" t="s">
        <v>75</v>
      </c>
      <c r="T899" s="16" t="s">
        <v>126</v>
      </c>
      <c r="U899" s="17"/>
      <c r="V899" s="16" t="s">
        <v>78</v>
      </c>
      <c r="W899" s="16" t="s">
        <v>79</v>
      </c>
      <c r="X899" s="15" t="s">
        <v>2233</v>
      </c>
      <c r="Y899" s="16" t="s">
        <v>75</v>
      </c>
      <c r="Z899" s="16" t="s">
        <v>75</v>
      </c>
      <c r="AA899" s="16" t="s">
        <v>126</v>
      </c>
      <c r="AB899" s="18"/>
      <c r="AC899" s="18"/>
      <c r="AD899" s="18"/>
      <c r="AE899" s="18"/>
      <c r="AF899" s="18"/>
      <c r="AG899" s="18"/>
      <c r="AH899" s="13"/>
      <c r="AI899" s="18"/>
      <c r="AJ899" s="13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3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2"/>
      <c r="BK899" s="12"/>
      <c r="BL899" s="12"/>
      <c r="BM899" s="9"/>
      <c r="BN899" s="9"/>
      <c r="BO899" s="9"/>
      <c r="BP899" s="12"/>
      <c r="BQ899" s="12"/>
      <c r="BR899" s="12"/>
      <c r="BS899" s="12"/>
      <c r="BT899" s="12"/>
      <c r="BU899" s="12"/>
      <c r="BV899" s="12"/>
      <c r="BW899" s="12"/>
      <c r="BX899" s="12"/>
      <c r="BY899" s="9"/>
      <c r="BZ899" s="21"/>
      <c r="CA899" s="21"/>
      <c r="CB899" s="21"/>
      <c r="CC899" s="21"/>
      <c r="CD899" s="21"/>
      <c r="CE899" s="21"/>
      <c r="CF899" s="21"/>
      <c r="CG899" s="21"/>
      <c r="CH899" s="21"/>
      <c r="CI899" s="21"/>
      <c r="CJ899" s="21"/>
    </row>
    <row r="900" spans="1:88" ht="40.5" customHeight="1">
      <c r="A900" s="9"/>
      <c r="B900" s="12"/>
      <c r="C900" s="9" t="s">
        <v>2338</v>
      </c>
      <c r="D900" s="9" t="s">
        <v>73</v>
      </c>
      <c r="E900" s="12">
        <v>0</v>
      </c>
      <c r="F900" s="12">
        <v>0</v>
      </c>
      <c r="G900" s="12" t="b">
        <v>0</v>
      </c>
      <c r="H900" s="9" t="s">
        <v>75</v>
      </c>
      <c r="I900" s="9" t="s">
        <v>2339</v>
      </c>
      <c r="J900" s="9" t="s">
        <v>75</v>
      </c>
      <c r="K900" s="11" t="s">
        <v>2340</v>
      </c>
      <c r="L900" s="12"/>
      <c r="M900" s="12"/>
      <c r="N900" s="13"/>
      <c r="O900" s="16" t="s">
        <v>78</v>
      </c>
      <c r="P900" s="14" t="s">
        <v>79</v>
      </c>
      <c r="Q900" s="15" t="s">
        <v>2318</v>
      </c>
      <c r="R900" s="14" t="s">
        <v>75</v>
      </c>
      <c r="S900" s="14" t="s">
        <v>75</v>
      </c>
      <c r="T900" s="16" t="s">
        <v>126</v>
      </c>
      <c r="U900" s="17"/>
      <c r="V900" s="13"/>
      <c r="W900" s="13"/>
      <c r="X900" s="13"/>
      <c r="Y900" s="13"/>
      <c r="Z900" s="13"/>
      <c r="AA900" s="13"/>
      <c r="AB900" s="18"/>
      <c r="AC900" s="18"/>
      <c r="AD900" s="18"/>
      <c r="AE900" s="18"/>
      <c r="AF900" s="18"/>
      <c r="AG900" s="18"/>
      <c r="AH900" s="13"/>
      <c r="AI900" s="18"/>
      <c r="AJ900" s="13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3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2"/>
      <c r="BK900" s="12"/>
      <c r="BL900" s="12"/>
      <c r="BM900" s="9"/>
      <c r="BN900" s="9"/>
      <c r="BO900" s="9"/>
      <c r="BP900" s="12"/>
      <c r="BQ900" s="12"/>
      <c r="BR900" s="12"/>
      <c r="BS900" s="12"/>
      <c r="BT900" s="12"/>
      <c r="BU900" s="12"/>
      <c r="BV900" s="12"/>
      <c r="BW900" s="12"/>
      <c r="BX900" s="12"/>
      <c r="BY900" s="9"/>
      <c r="BZ900" s="21"/>
      <c r="CA900" s="21"/>
      <c r="CB900" s="21"/>
      <c r="CC900" s="21"/>
      <c r="CD900" s="21"/>
      <c r="CE900" s="21"/>
      <c r="CF900" s="21"/>
      <c r="CG900" s="21"/>
      <c r="CH900" s="21"/>
      <c r="CI900" s="21"/>
      <c r="CJ900" s="21"/>
    </row>
    <row r="901" spans="1:88" ht="40.5" customHeight="1">
      <c r="A901" s="9"/>
      <c r="B901" s="12"/>
      <c r="C901" s="9" t="s">
        <v>2341</v>
      </c>
      <c r="D901" s="9" t="s">
        <v>73</v>
      </c>
      <c r="E901" s="12">
        <v>0</v>
      </c>
      <c r="F901" s="12">
        <v>0</v>
      </c>
      <c r="G901" s="12" t="b">
        <v>0</v>
      </c>
      <c r="H901" s="9" t="s">
        <v>75</v>
      </c>
      <c r="I901" s="9" t="s">
        <v>2342</v>
      </c>
      <c r="J901" s="9" t="s">
        <v>75</v>
      </c>
      <c r="K901" s="11" t="s">
        <v>2343</v>
      </c>
      <c r="L901" s="12"/>
      <c r="M901" s="12"/>
      <c r="N901" s="13"/>
      <c r="O901" s="16" t="s">
        <v>78</v>
      </c>
      <c r="P901" s="14" t="s">
        <v>79</v>
      </c>
      <c r="Q901" s="15" t="s">
        <v>2318</v>
      </c>
      <c r="R901" s="14" t="s">
        <v>75</v>
      </c>
      <c r="S901" s="14" t="s">
        <v>75</v>
      </c>
      <c r="T901" s="16" t="s">
        <v>126</v>
      </c>
      <c r="U901" s="17"/>
      <c r="V901" s="13"/>
      <c r="W901" s="13"/>
      <c r="X901" s="13"/>
      <c r="Y901" s="13"/>
      <c r="Z901" s="13"/>
      <c r="AA901" s="13"/>
      <c r="AB901" s="18"/>
      <c r="AC901" s="18"/>
      <c r="AD901" s="18"/>
      <c r="AE901" s="18"/>
      <c r="AF901" s="18"/>
      <c r="AG901" s="18"/>
      <c r="AH901" s="13"/>
      <c r="AI901" s="18"/>
      <c r="AJ901" s="13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3"/>
      <c r="AY901" s="1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  <c r="BJ901" s="12"/>
      <c r="BK901" s="12"/>
      <c r="BL901" s="12"/>
      <c r="BM901" s="9"/>
      <c r="BN901" s="9"/>
      <c r="BO901" s="9"/>
      <c r="BP901" s="12"/>
      <c r="BQ901" s="12"/>
      <c r="BR901" s="12"/>
      <c r="BS901" s="12"/>
      <c r="BT901" s="12"/>
      <c r="BU901" s="12"/>
      <c r="BV901" s="12"/>
      <c r="BW901" s="12"/>
      <c r="BX901" s="12"/>
      <c r="BY901" s="9"/>
      <c r="BZ901" s="21"/>
      <c r="CA901" s="21"/>
      <c r="CB901" s="21"/>
      <c r="CC901" s="21"/>
      <c r="CD901" s="21"/>
      <c r="CE901" s="21"/>
      <c r="CF901" s="21"/>
      <c r="CG901" s="21"/>
      <c r="CH901" s="21"/>
      <c r="CI901" s="21"/>
      <c r="CJ901" s="21"/>
    </row>
    <row r="902" spans="1:88" ht="40.5" customHeight="1">
      <c r="A902" s="9"/>
      <c r="B902" s="12"/>
      <c r="C902" s="9" t="s">
        <v>2344</v>
      </c>
      <c r="D902" s="9" t="s">
        <v>73</v>
      </c>
      <c r="E902" s="12">
        <v>0</v>
      </c>
      <c r="F902" s="12">
        <v>0</v>
      </c>
      <c r="G902" s="12" t="b">
        <v>0</v>
      </c>
      <c r="H902" s="9" t="s">
        <v>75</v>
      </c>
      <c r="I902" s="9" t="s">
        <v>2345</v>
      </c>
      <c r="J902" s="9" t="s">
        <v>75</v>
      </c>
      <c r="K902" s="9" t="s">
        <v>2345</v>
      </c>
      <c r="L902" s="12"/>
      <c r="M902" s="12"/>
      <c r="N902" s="13"/>
      <c r="O902" s="16" t="s">
        <v>78</v>
      </c>
      <c r="P902" s="14" t="s">
        <v>79</v>
      </c>
      <c r="Q902" s="15" t="s">
        <v>2318</v>
      </c>
      <c r="R902" s="14" t="s">
        <v>75</v>
      </c>
      <c r="S902" s="14" t="s">
        <v>75</v>
      </c>
      <c r="T902" s="16" t="s">
        <v>126</v>
      </c>
      <c r="U902" s="17"/>
      <c r="V902" s="13"/>
      <c r="W902" s="13"/>
      <c r="X902" s="13"/>
      <c r="Y902" s="13"/>
      <c r="Z902" s="13"/>
      <c r="AA902" s="13"/>
      <c r="AB902" s="18"/>
      <c r="AC902" s="18"/>
      <c r="AD902" s="18"/>
      <c r="AE902" s="18"/>
      <c r="AF902" s="18"/>
      <c r="AG902" s="18"/>
      <c r="AH902" s="13"/>
      <c r="AI902" s="18"/>
      <c r="AJ902" s="13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3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2"/>
      <c r="BK902" s="12"/>
      <c r="BL902" s="12"/>
      <c r="BM902" s="9"/>
      <c r="BN902" s="9"/>
      <c r="BO902" s="9"/>
      <c r="BP902" s="12"/>
      <c r="BQ902" s="12"/>
      <c r="BR902" s="12"/>
      <c r="BS902" s="12"/>
      <c r="BT902" s="12"/>
      <c r="BU902" s="12"/>
      <c r="BV902" s="12"/>
      <c r="BW902" s="12"/>
      <c r="BX902" s="12"/>
      <c r="BY902" s="9"/>
      <c r="BZ902" s="21"/>
      <c r="CA902" s="21"/>
      <c r="CB902" s="21"/>
      <c r="CC902" s="21"/>
      <c r="CD902" s="21"/>
      <c r="CE902" s="21"/>
      <c r="CF902" s="21"/>
      <c r="CG902" s="21"/>
      <c r="CH902" s="21"/>
      <c r="CI902" s="21"/>
      <c r="CJ902" s="21"/>
    </row>
    <row r="903" spans="1:88" ht="40.5" customHeight="1">
      <c r="A903" s="9"/>
      <c r="B903" s="12"/>
      <c r="C903" s="9" t="s">
        <v>2346</v>
      </c>
      <c r="D903" s="9" t="s">
        <v>73</v>
      </c>
      <c r="E903" s="12">
        <v>0</v>
      </c>
      <c r="F903" s="12">
        <v>0</v>
      </c>
      <c r="G903" s="12" t="b">
        <v>0</v>
      </c>
      <c r="H903" s="9" t="s">
        <v>75</v>
      </c>
      <c r="I903" s="9" t="s">
        <v>2347</v>
      </c>
      <c r="J903" s="9" t="s">
        <v>75</v>
      </c>
      <c r="K903" s="9" t="s">
        <v>79</v>
      </c>
      <c r="L903" s="12"/>
      <c r="M903" s="12"/>
      <c r="N903" s="13"/>
      <c r="O903" s="16" t="s">
        <v>78</v>
      </c>
      <c r="P903" s="14" t="s">
        <v>79</v>
      </c>
      <c r="Q903" s="15" t="s">
        <v>2318</v>
      </c>
      <c r="R903" s="14" t="s">
        <v>75</v>
      </c>
      <c r="S903" s="14" t="s">
        <v>75</v>
      </c>
      <c r="T903" s="16" t="s">
        <v>126</v>
      </c>
      <c r="U903" s="17"/>
      <c r="V903" s="13"/>
      <c r="W903" s="13"/>
      <c r="X903" s="13"/>
      <c r="Y903" s="13"/>
      <c r="Z903" s="13"/>
      <c r="AA903" s="13"/>
      <c r="AB903" s="18"/>
      <c r="AC903" s="18"/>
      <c r="AD903" s="18"/>
      <c r="AE903" s="18"/>
      <c r="AF903" s="18"/>
      <c r="AG903" s="18"/>
      <c r="AH903" s="13"/>
      <c r="AI903" s="18"/>
      <c r="AJ903" s="13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3"/>
      <c r="AY903" s="1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  <c r="BJ903" s="12"/>
      <c r="BK903" s="12"/>
      <c r="BL903" s="12"/>
      <c r="BM903" s="9"/>
      <c r="BN903" s="9"/>
      <c r="BO903" s="9"/>
      <c r="BP903" s="12"/>
      <c r="BQ903" s="12"/>
      <c r="BR903" s="12"/>
      <c r="BS903" s="12"/>
      <c r="BT903" s="12"/>
      <c r="BU903" s="12"/>
      <c r="BV903" s="12"/>
      <c r="BW903" s="12"/>
      <c r="BX903" s="12"/>
      <c r="BY903" s="9"/>
      <c r="BZ903" s="21"/>
      <c r="CA903" s="21"/>
      <c r="CB903" s="21"/>
      <c r="CC903" s="21"/>
      <c r="CD903" s="21"/>
      <c r="CE903" s="21"/>
      <c r="CF903" s="21"/>
      <c r="CG903" s="21"/>
      <c r="CH903" s="21"/>
      <c r="CI903" s="21"/>
      <c r="CJ903" s="21"/>
    </row>
    <row r="904" spans="1:88" ht="40.5" customHeight="1">
      <c r="A904" s="9"/>
      <c r="B904" s="12"/>
      <c r="C904" s="9" t="s">
        <v>2348</v>
      </c>
      <c r="D904" s="9" t="s">
        <v>73</v>
      </c>
      <c r="E904" s="12">
        <v>0</v>
      </c>
      <c r="F904" s="12">
        <v>0</v>
      </c>
      <c r="G904" s="12" t="b">
        <v>0</v>
      </c>
      <c r="H904" s="9" t="s">
        <v>75</v>
      </c>
      <c r="I904" s="9" t="s">
        <v>2349</v>
      </c>
      <c r="J904" s="9" t="s">
        <v>75</v>
      </c>
      <c r="K904" s="9" t="s">
        <v>79</v>
      </c>
      <c r="L904" s="12"/>
      <c r="M904" s="12"/>
      <c r="N904" s="13"/>
      <c r="O904" s="16" t="s">
        <v>78</v>
      </c>
      <c r="P904" s="14" t="s">
        <v>79</v>
      </c>
      <c r="Q904" s="15" t="s">
        <v>2318</v>
      </c>
      <c r="R904" s="14" t="s">
        <v>75</v>
      </c>
      <c r="S904" s="14" t="s">
        <v>75</v>
      </c>
      <c r="T904" s="16" t="s">
        <v>126</v>
      </c>
      <c r="U904" s="17"/>
      <c r="V904" s="13"/>
      <c r="W904" s="13"/>
      <c r="X904" s="13"/>
      <c r="Y904" s="13"/>
      <c r="Z904" s="13"/>
      <c r="AA904" s="13"/>
      <c r="AB904" s="18"/>
      <c r="AC904" s="18"/>
      <c r="AD904" s="18"/>
      <c r="AE904" s="18"/>
      <c r="AF904" s="18"/>
      <c r="AG904" s="18"/>
      <c r="AH904" s="13"/>
      <c r="AI904" s="18"/>
      <c r="AJ904" s="13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3"/>
      <c r="AY904" s="1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  <c r="BJ904" s="12"/>
      <c r="BK904" s="12"/>
      <c r="BL904" s="12"/>
      <c r="BM904" s="9"/>
      <c r="BN904" s="9"/>
      <c r="BO904" s="9"/>
      <c r="BP904" s="12"/>
      <c r="BQ904" s="12"/>
      <c r="BR904" s="12"/>
      <c r="BS904" s="12"/>
      <c r="BT904" s="12"/>
      <c r="BU904" s="12"/>
      <c r="BV904" s="12"/>
      <c r="BW904" s="12"/>
      <c r="BX904" s="12"/>
      <c r="BY904" s="9"/>
      <c r="BZ904" s="21"/>
      <c r="CA904" s="21"/>
      <c r="CB904" s="21"/>
      <c r="CC904" s="21"/>
      <c r="CD904" s="21"/>
      <c r="CE904" s="21"/>
      <c r="CF904" s="21"/>
      <c r="CG904" s="21"/>
      <c r="CH904" s="21"/>
      <c r="CI904" s="21"/>
      <c r="CJ904" s="21"/>
    </row>
    <row r="905" spans="1:88" ht="40.5" customHeight="1">
      <c r="A905" s="9"/>
      <c r="B905" s="12"/>
      <c r="C905" s="9" t="s">
        <v>2350</v>
      </c>
      <c r="D905" s="9" t="s">
        <v>2351</v>
      </c>
      <c r="E905" s="12">
        <v>0</v>
      </c>
      <c r="F905" s="12">
        <v>0</v>
      </c>
      <c r="G905" s="12" t="b">
        <v>0</v>
      </c>
      <c r="H905" s="9" t="s">
        <v>75</v>
      </c>
      <c r="I905" s="10" t="s">
        <v>2352</v>
      </c>
      <c r="J905" s="9" t="s">
        <v>75</v>
      </c>
      <c r="K905" s="11" t="s">
        <v>2353</v>
      </c>
      <c r="L905" s="12"/>
      <c r="M905" s="12"/>
      <c r="N905" s="13"/>
      <c r="O905" s="16" t="s">
        <v>78</v>
      </c>
      <c r="P905" s="14" t="s">
        <v>79</v>
      </c>
      <c r="Q905" s="15" t="s">
        <v>2318</v>
      </c>
      <c r="R905" s="14" t="s">
        <v>75</v>
      </c>
      <c r="S905" s="14" t="s">
        <v>75</v>
      </c>
      <c r="T905" s="16" t="s">
        <v>145</v>
      </c>
      <c r="U905" s="17"/>
      <c r="V905" s="13"/>
      <c r="W905" s="13"/>
      <c r="X905" s="13"/>
      <c r="Y905" s="13"/>
      <c r="Z905" s="13"/>
      <c r="AA905" s="13"/>
      <c r="AB905" s="18"/>
      <c r="AC905" s="18"/>
      <c r="AD905" s="18"/>
      <c r="AE905" s="18"/>
      <c r="AF905" s="18"/>
      <c r="AG905" s="18"/>
      <c r="AH905" s="13"/>
      <c r="AI905" s="18"/>
      <c r="AJ905" s="13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3"/>
      <c r="AY905" s="1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  <c r="BJ905" s="12"/>
      <c r="BK905" s="12"/>
      <c r="BL905" s="12"/>
      <c r="BM905" s="9"/>
      <c r="BN905" s="9"/>
      <c r="BO905" s="9"/>
      <c r="BP905" s="12"/>
      <c r="BQ905" s="12"/>
      <c r="BR905" s="12"/>
      <c r="BS905" s="12"/>
      <c r="BT905" s="12"/>
      <c r="BU905" s="12"/>
      <c r="BV905" s="12"/>
      <c r="BW905" s="12"/>
      <c r="BX905" s="12"/>
      <c r="BY905" s="9"/>
      <c r="BZ905" s="21"/>
      <c r="CA905" s="21"/>
      <c r="CB905" s="21"/>
      <c r="CC905" s="21"/>
      <c r="CD905" s="21"/>
      <c r="CE905" s="21"/>
      <c r="CF905" s="21"/>
      <c r="CG905" s="21"/>
      <c r="CH905" s="21"/>
      <c r="CI905" s="21"/>
      <c r="CJ905" s="21"/>
    </row>
    <row r="906" spans="1:88" ht="40.5" customHeight="1">
      <c r="A906" s="9"/>
      <c r="B906" s="12"/>
      <c r="C906" s="9" t="s">
        <v>2354</v>
      </c>
      <c r="D906" s="9" t="s">
        <v>2351</v>
      </c>
      <c r="E906" s="12">
        <v>0</v>
      </c>
      <c r="F906" s="12">
        <v>0</v>
      </c>
      <c r="G906" s="12" t="b">
        <v>0</v>
      </c>
      <c r="H906" s="9" t="s">
        <v>75</v>
      </c>
      <c r="I906" s="10" t="s">
        <v>2355</v>
      </c>
      <c r="J906" s="9" t="s">
        <v>75</v>
      </c>
      <c r="K906" s="11" t="s">
        <v>2356</v>
      </c>
      <c r="L906" s="12"/>
      <c r="M906" s="12"/>
      <c r="N906" s="13"/>
      <c r="O906" s="16" t="s">
        <v>78</v>
      </c>
      <c r="P906" s="14" t="s">
        <v>79</v>
      </c>
      <c r="Q906" s="15" t="s">
        <v>2318</v>
      </c>
      <c r="R906" s="14" t="s">
        <v>75</v>
      </c>
      <c r="S906" s="14" t="s">
        <v>75</v>
      </c>
      <c r="T906" s="16" t="s">
        <v>145</v>
      </c>
      <c r="U906" s="17"/>
      <c r="V906" s="13"/>
      <c r="W906" s="13"/>
      <c r="X906" s="13"/>
      <c r="Y906" s="13"/>
      <c r="Z906" s="13"/>
      <c r="AA906" s="13"/>
      <c r="AB906" s="18"/>
      <c r="AC906" s="18"/>
      <c r="AD906" s="18"/>
      <c r="AE906" s="18"/>
      <c r="AF906" s="18"/>
      <c r="AG906" s="18"/>
      <c r="AH906" s="13"/>
      <c r="AI906" s="18"/>
      <c r="AJ906" s="13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3"/>
      <c r="AY906" s="1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  <c r="BJ906" s="12"/>
      <c r="BK906" s="12"/>
      <c r="BL906" s="12"/>
      <c r="BM906" s="9"/>
      <c r="BN906" s="9"/>
      <c r="BO906" s="9"/>
      <c r="BP906" s="12"/>
      <c r="BQ906" s="12"/>
      <c r="BR906" s="12"/>
      <c r="BS906" s="12"/>
      <c r="BT906" s="12"/>
      <c r="BU906" s="12"/>
      <c r="BV906" s="12"/>
      <c r="BW906" s="12"/>
      <c r="BX906" s="12"/>
      <c r="BY906" s="9"/>
      <c r="BZ906" s="21"/>
      <c r="CA906" s="21"/>
      <c r="CB906" s="21"/>
      <c r="CC906" s="21"/>
      <c r="CD906" s="21"/>
      <c r="CE906" s="21"/>
      <c r="CF906" s="21"/>
      <c r="CG906" s="21"/>
      <c r="CH906" s="21"/>
      <c r="CI906" s="21"/>
      <c r="CJ906" s="21"/>
    </row>
    <row r="907" spans="1:88" ht="40.5" customHeight="1">
      <c r="A907" s="9"/>
      <c r="B907" s="12"/>
      <c r="C907" s="9" t="s">
        <v>2357</v>
      </c>
      <c r="D907" s="9" t="s">
        <v>2351</v>
      </c>
      <c r="E907" s="12">
        <v>0</v>
      </c>
      <c r="F907" s="12">
        <v>0</v>
      </c>
      <c r="G907" s="12" t="b">
        <v>0</v>
      </c>
      <c r="H907" s="9" t="s">
        <v>75</v>
      </c>
      <c r="I907" s="10" t="s">
        <v>2358</v>
      </c>
      <c r="J907" s="9" t="s">
        <v>75</v>
      </c>
      <c r="K907" s="9" t="s">
        <v>79</v>
      </c>
      <c r="L907" s="12"/>
      <c r="M907" s="12"/>
      <c r="N907" s="13"/>
      <c r="O907" s="16" t="s">
        <v>78</v>
      </c>
      <c r="P907" s="14" t="s">
        <v>79</v>
      </c>
      <c r="Q907" s="15" t="s">
        <v>2318</v>
      </c>
      <c r="R907" s="14" t="s">
        <v>75</v>
      </c>
      <c r="S907" s="14" t="s">
        <v>75</v>
      </c>
      <c r="T907" s="16" t="s">
        <v>126</v>
      </c>
      <c r="U907" s="17"/>
      <c r="V907" s="13"/>
      <c r="W907" s="13"/>
      <c r="X907" s="13"/>
      <c r="Y907" s="13"/>
      <c r="Z907" s="13"/>
      <c r="AA907" s="13"/>
      <c r="AB907" s="18"/>
      <c r="AC907" s="18"/>
      <c r="AD907" s="18"/>
      <c r="AE907" s="18"/>
      <c r="AF907" s="18"/>
      <c r="AG907" s="18"/>
      <c r="AH907" s="13"/>
      <c r="AI907" s="18"/>
      <c r="AJ907" s="13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3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2"/>
      <c r="BK907" s="12"/>
      <c r="BL907" s="12"/>
      <c r="BM907" s="9"/>
      <c r="BN907" s="9"/>
      <c r="BO907" s="9"/>
      <c r="BP907" s="12"/>
      <c r="BQ907" s="12"/>
      <c r="BR907" s="12"/>
      <c r="BS907" s="12"/>
      <c r="BT907" s="12"/>
      <c r="BU907" s="12"/>
      <c r="BV907" s="12"/>
      <c r="BW907" s="12"/>
      <c r="BX907" s="12"/>
      <c r="BY907" s="9"/>
      <c r="BZ907" s="21"/>
      <c r="CA907" s="21"/>
      <c r="CB907" s="21"/>
      <c r="CC907" s="21"/>
      <c r="CD907" s="21"/>
      <c r="CE907" s="21"/>
      <c r="CF907" s="21"/>
      <c r="CG907" s="21"/>
      <c r="CH907" s="21"/>
      <c r="CI907" s="21"/>
      <c r="CJ907" s="21"/>
    </row>
    <row r="908" spans="1:88" ht="40.5" customHeight="1">
      <c r="A908" s="9"/>
      <c r="B908" s="12"/>
      <c r="C908" s="9" t="s">
        <v>2359</v>
      </c>
      <c r="D908" s="9" t="s">
        <v>2351</v>
      </c>
      <c r="E908" s="12">
        <v>0</v>
      </c>
      <c r="F908" s="12">
        <v>0</v>
      </c>
      <c r="G908" s="12" t="b">
        <v>0</v>
      </c>
      <c r="H908" s="9" t="s">
        <v>75</v>
      </c>
      <c r="I908" s="10" t="s">
        <v>2360</v>
      </c>
      <c r="J908" s="9" t="s">
        <v>75</v>
      </c>
      <c r="K908" s="11" t="s">
        <v>2361</v>
      </c>
      <c r="L908" s="12"/>
      <c r="M908" s="12"/>
      <c r="N908" s="13"/>
      <c r="O908" s="16" t="s">
        <v>78</v>
      </c>
      <c r="P908" s="14" t="s">
        <v>79</v>
      </c>
      <c r="Q908" s="15" t="s">
        <v>2362</v>
      </c>
      <c r="R908" s="14" t="s">
        <v>75</v>
      </c>
      <c r="S908" s="14" t="s">
        <v>75</v>
      </c>
      <c r="T908" s="16" t="s">
        <v>145</v>
      </c>
      <c r="U908" s="17"/>
      <c r="V908" s="13"/>
      <c r="W908" s="13"/>
      <c r="X908" s="13"/>
      <c r="Y908" s="13"/>
      <c r="Z908" s="13"/>
      <c r="AA908" s="13"/>
      <c r="AB908" s="18"/>
      <c r="AC908" s="18"/>
      <c r="AD908" s="18"/>
      <c r="AE908" s="18"/>
      <c r="AF908" s="18"/>
      <c r="AG908" s="18"/>
      <c r="AH908" s="13"/>
      <c r="AI908" s="18"/>
      <c r="AJ908" s="13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3"/>
      <c r="AY908" s="1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  <c r="BJ908" s="12"/>
      <c r="BK908" s="12"/>
      <c r="BL908" s="12"/>
      <c r="BM908" s="9"/>
      <c r="BN908" s="9"/>
      <c r="BO908" s="9"/>
      <c r="BP908" s="12"/>
      <c r="BQ908" s="12"/>
      <c r="BR908" s="12"/>
      <c r="BS908" s="12"/>
      <c r="BT908" s="12"/>
      <c r="BU908" s="12"/>
      <c r="BV908" s="12"/>
      <c r="BW908" s="12"/>
      <c r="BX908" s="12"/>
      <c r="BY908" s="9"/>
      <c r="BZ908" s="21"/>
      <c r="CA908" s="21"/>
      <c r="CB908" s="21"/>
      <c r="CC908" s="21"/>
      <c r="CD908" s="21"/>
      <c r="CE908" s="21"/>
      <c r="CF908" s="21"/>
      <c r="CG908" s="21"/>
      <c r="CH908" s="21"/>
      <c r="CI908" s="21"/>
      <c r="CJ908" s="21"/>
    </row>
    <row r="909" spans="1:88" ht="40.5" customHeight="1">
      <c r="A909" s="9"/>
      <c r="B909" s="12"/>
      <c r="C909" s="9" t="s">
        <v>2363</v>
      </c>
      <c r="D909" s="9" t="s">
        <v>2351</v>
      </c>
      <c r="E909" s="12">
        <v>0</v>
      </c>
      <c r="F909" s="12">
        <v>0</v>
      </c>
      <c r="G909" s="12" t="b">
        <v>0</v>
      </c>
      <c r="H909" s="9" t="s">
        <v>75</v>
      </c>
      <c r="I909" s="10" t="s">
        <v>2364</v>
      </c>
      <c r="J909" s="9" t="s">
        <v>75</v>
      </c>
      <c r="K909" s="11" t="s">
        <v>2365</v>
      </c>
      <c r="L909" s="12"/>
      <c r="M909" s="12"/>
      <c r="N909" s="13"/>
      <c r="O909" s="16" t="s">
        <v>78</v>
      </c>
      <c r="P909" s="14" t="s">
        <v>79</v>
      </c>
      <c r="Q909" s="15" t="s">
        <v>2318</v>
      </c>
      <c r="R909" s="14" t="s">
        <v>75</v>
      </c>
      <c r="S909" s="14" t="s">
        <v>75</v>
      </c>
      <c r="T909" s="16" t="s">
        <v>126</v>
      </c>
      <c r="U909" s="17"/>
      <c r="V909" s="13"/>
      <c r="W909" s="13"/>
      <c r="X909" s="13"/>
      <c r="Y909" s="13"/>
      <c r="Z909" s="13"/>
      <c r="AA909" s="13"/>
      <c r="AB909" s="18"/>
      <c r="AC909" s="18"/>
      <c r="AD909" s="18"/>
      <c r="AE909" s="18"/>
      <c r="AF909" s="18"/>
      <c r="AG909" s="18"/>
      <c r="AH909" s="13"/>
      <c r="AI909" s="18"/>
      <c r="AJ909" s="13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3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2"/>
      <c r="BK909" s="12"/>
      <c r="BL909" s="12"/>
      <c r="BM909" s="9"/>
      <c r="BN909" s="9"/>
      <c r="BO909" s="9"/>
      <c r="BP909" s="12"/>
      <c r="BQ909" s="12"/>
      <c r="BR909" s="12"/>
      <c r="BS909" s="12"/>
      <c r="BT909" s="12"/>
      <c r="BU909" s="12"/>
      <c r="BV909" s="12"/>
      <c r="BW909" s="12"/>
      <c r="BX909" s="12"/>
      <c r="BY909" s="9"/>
      <c r="BZ909" s="21"/>
      <c r="CA909" s="21"/>
      <c r="CB909" s="21"/>
      <c r="CC909" s="21"/>
      <c r="CD909" s="21"/>
      <c r="CE909" s="21"/>
      <c r="CF909" s="21"/>
      <c r="CG909" s="21"/>
      <c r="CH909" s="21"/>
      <c r="CI909" s="21"/>
      <c r="CJ909" s="21"/>
    </row>
    <row r="910" spans="1:88" ht="40.5" customHeight="1">
      <c r="A910" s="9"/>
      <c r="B910" s="12"/>
      <c r="C910" s="9" t="s">
        <v>2366</v>
      </c>
      <c r="D910" s="9" t="s">
        <v>2351</v>
      </c>
      <c r="E910" s="12">
        <v>0</v>
      </c>
      <c r="F910" s="12">
        <v>0</v>
      </c>
      <c r="G910" s="12" t="b">
        <v>0</v>
      </c>
      <c r="H910" s="9" t="s">
        <v>75</v>
      </c>
      <c r="I910" s="9" t="s">
        <v>79</v>
      </c>
      <c r="J910" s="9" t="s">
        <v>75</v>
      </c>
      <c r="K910" s="11" t="s">
        <v>2367</v>
      </c>
      <c r="L910" s="12"/>
      <c r="M910" s="12"/>
      <c r="N910" s="13"/>
      <c r="O910" s="16" t="s">
        <v>2159</v>
      </c>
      <c r="P910" s="14" t="s">
        <v>79</v>
      </c>
      <c r="Q910" s="15" t="s">
        <v>2318</v>
      </c>
      <c r="R910" s="14" t="s">
        <v>75</v>
      </c>
      <c r="S910" s="14" t="s">
        <v>75</v>
      </c>
      <c r="T910" s="16" t="s">
        <v>4</v>
      </c>
      <c r="U910" s="17"/>
      <c r="V910" s="13"/>
      <c r="W910" s="13"/>
      <c r="X910" s="13"/>
      <c r="Y910" s="13"/>
      <c r="Z910" s="13"/>
      <c r="AA910" s="13"/>
      <c r="AB910" s="18"/>
      <c r="AC910" s="18"/>
      <c r="AD910" s="18"/>
      <c r="AE910" s="18"/>
      <c r="AF910" s="18"/>
      <c r="AG910" s="18"/>
      <c r="AH910" s="13"/>
      <c r="AI910" s="18"/>
      <c r="AJ910" s="13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3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2"/>
      <c r="BK910" s="12"/>
      <c r="BL910" s="12"/>
      <c r="BM910" s="9"/>
      <c r="BN910" s="9"/>
      <c r="BO910" s="9"/>
      <c r="BP910" s="12"/>
      <c r="BQ910" s="12"/>
      <c r="BR910" s="12"/>
      <c r="BS910" s="12"/>
      <c r="BT910" s="12"/>
      <c r="BU910" s="12"/>
      <c r="BV910" s="12"/>
      <c r="BW910" s="12"/>
      <c r="BX910" s="12"/>
      <c r="BY910" s="9"/>
      <c r="BZ910" s="21"/>
      <c r="CA910" s="21"/>
      <c r="CB910" s="21"/>
      <c r="CC910" s="21"/>
      <c r="CD910" s="21"/>
      <c r="CE910" s="21"/>
      <c r="CF910" s="21"/>
      <c r="CG910" s="21"/>
      <c r="CH910" s="21"/>
      <c r="CI910" s="21"/>
      <c r="CJ910" s="21"/>
    </row>
    <row r="911" spans="1:88" ht="40.5" customHeight="1">
      <c r="A911" s="9"/>
      <c r="B911" s="12"/>
      <c r="C911" s="9" t="s">
        <v>2368</v>
      </c>
      <c r="D911" s="9" t="s">
        <v>2351</v>
      </c>
      <c r="E911" s="12">
        <v>0</v>
      </c>
      <c r="F911" s="12">
        <v>0</v>
      </c>
      <c r="G911" s="12" t="b">
        <v>0</v>
      </c>
      <c r="H911" s="9" t="s">
        <v>75</v>
      </c>
      <c r="I911" s="10" t="s">
        <v>2369</v>
      </c>
      <c r="J911" s="9" t="s">
        <v>75</v>
      </c>
      <c r="K911" s="11" t="s">
        <v>2370</v>
      </c>
      <c r="L911" s="12"/>
      <c r="M911" s="12"/>
      <c r="N911" s="13"/>
      <c r="O911" s="16" t="s">
        <v>78</v>
      </c>
      <c r="P911" s="14" t="s">
        <v>79</v>
      </c>
      <c r="Q911" s="15" t="s">
        <v>2318</v>
      </c>
      <c r="R911" s="14" t="s">
        <v>75</v>
      </c>
      <c r="S911" s="14" t="s">
        <v>75</v>
      </c>
      <c r="T911" s="16" t="s">
        <v>145</v>
      </c>
      <c r="U911" s="17"/>
      <c r="V911" s="13"/>
      <c r="W911" s="13"/>
      <c r="X911" s="13"/>
      <c r="Y911" s="13"/>
      <c r="Z911" s="13"/>
      <c r="AA911" s="13"/>
      <c r="AB911" s="18"/>
      <c r="AC911" s="18"/>
      <c r="AD911" s="18"/>
      <c r="AE911" s="18"/>
      <c r="AF911" s="18"/>
      <c r="AG911" s="18"/>
      <c r="AH911" s="13"/>
      <c r="AI911" s="18"/>
      <c r="AJ911" s="13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3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2"/>
      <c r="BK911" s="12"/>
      <c r="BL911" s="12"/>
      <c r="BM911" s="9"/>
      <c r="BN911" s="9"/>
      <c r="BO911" s="9"/>
      <c r="BP911" s="12"/>
      <c r="BQ911" s="12"/>
      <c r="BR911" s="12"/>
      <c r="BS911" s="12"/>
      <c r="BT911" s="12"/>
      <c r="BU911" s="12"/>
      <c r="BV911" s="12"/>
      <c r="BW911" s="12"/>
      <c r="BX911" s="12"/>
      <c r="BY911" s="9"/>
      <c r="BZ911" s="21"/>
      <c r="CA911" s="21"/>
      <c r="CB911" s="21"/>
      <c r="CC911" s="21"/>
      <c r="CD911" s="21"/>
      <c r="CE911" s="21"/>
      <c r="CF911" s="21"/>
      <c r="CG911" s="21"/>
      <c r="CH911" s="21"/>
      <c r="CI911" s="21"/>
      <c r="CJ911" s="21"/>
    </row>
    <row r="912" spans="1:88" ht="40.5" customHeight="1">
      <c r="A912" s="9"/>
      <c r="B912" s="12"/>
      <c r="C912" s="9" t="s">
        <v>2371</v>
      </c>
      <c r="D912" s="9" t="s">
        <v>2351</v>
      </c>
      <c r="E912" s="12">
        <v>0</v>
      </c>
      <c r="F912" s="12">
        <v>0</v>
      </c>
      <c r="G912" s="12" t="b">
        <v>0</v>
      </c>
      <c r="H912" s="9" t="s">
        <v>75</v>
      </c>
      <c r="I912" s="10" t="s">
        <v>2372</v>
      </c>
      <c r="J912" s="9" t="s">
        <v>75</v>
      </c>
      <c r="K912" s="11" t="s">
        <v>2373</v>
      </c>
      <c r="L912" s="12"/>
      <c r="M912" s="12"/>
      <c r="N912" s="13"/>
      <c r="O912" s="13"/>
      <c r="P912" s="17"/>
      <c r="Q912" s="13"/>
      <c r="R912" s="17"/>
      <c r="S912" s="17"/>
      <c r="T912" s="13"/>
      <c r="U912" s="17"/>
      <c r="V912" s="13"/>
      <c r="W912" s="13"/>
      <c r="X912" s="13"/>
      <c r="Y912" s="13"/>
      <c r="Z912" s="13"/>
      <c r="AA912" s="13"/>
      <c r="AB912" s="18"/>
      <c r="AC912" s="18"/>
      <c r="AD912" s="18"/>
      <c r="AE912" s="18"/>
      <c r="AF912" s="18"/>
      <c r="AG912" s="18"/>
      <c r="AH912" s="13"/>
      <c r="AI912" s="18"/>
      <c r="AJ912" s="13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3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2"/>
      <c r="BK912" s="12"/>
      <c r="BL912" s="12"/>
      <c r="BM912" s="9"/>
      <c r="BN912" s="9"/>
      <c r="BO912" s="9"/>
      <c r="BP912" s="12"/>
      <c r="BQ912" s="12"/>
      <c r="BR912" s="12"/>
      <c r="BS912" s="12"/>
      <c r="BT912" s="12"/>
      <c r="BU912" s="12"/>
      <c r="BV912" s="12"/>
      <c r="BW912" s="12"/>
      <c r="BX912" s="12"/>
      <c r="BY912" s="9"/>
      <c r="BZ912" s="21"/>
      <c r="CA912" s="21"/>
      <c r="CB912" s="21"/>
      <c r="CC912" s="21"/>
      <c r="CD912" s="21"/>
      <c r="CE912" s="21"/>
      <c r="CF912" s="21"/>
      <c r="CG912" s="21"/>
      <c r="CH912" s="21"/>
      <c r="CI912" s="21"/>
      <c r="CJ912" s="21"/>
    </row>
    <row r="913" spans="1:88" ht="40.5" customHeight="1">
      <c r="A913" s="9"/>
      <c r="B913" s="12"/>
      <c r="C913" s="9" t="s">
        <v>2374</v>
      </c>
      <c r="D913" s="9" t="s">
        <v>2351</v>
      </c>
      <c r="E913" s="12">
        <v>0</v>
      </c>
      <c r="F913" s="12">
        <v>0</v>
      </c>
      <c r="G913" s="12" t="b">
        <v>0</v>
      </c>
      <c r="H913" s="9" t="s">
        <v>75</v>
      </c>
      <c r="I913" s="10" t="s">
        <v>2375</v>
      </c>
      <c r="J913" s="9" t="s">
        <v>75</v>
      </c>
      <c r="K913" s="9" t="s">
        <v>79</v>
      </c>
      <c r="L913" s="12"/>
      <c r="M913" s="12"/>
      <c r="N913" s="13"/>
      <c r="O913" s="16" t="s">
        <v>78</v>
      </c>
      <c r="P913" s="14" t="s">
        <v>79</v>
      </c>
      <c r="Q913" s="15" t="s">
        <v>2318</v>
      </c>
      <c r="R913" s="14" t="s">
        <v>75</v>
      </c>
      <c r="S913" s="14" t="s">
        <v>75</v>
      </c>
      <c r="T913" s="16" t="s">
        <v>4</v>
      </c>
      <c r="U913" s="17"/>
      <c r="V913" s="13"/>
      <c r="W913" s="13"/>
      <c r="X913" s="13"/>
      <c r="Y913" s="13"/>
      <c r="Z913" s="13"/>
      <c r="AA913" s="13"/>
      <c r="AB913" s="18"/>
      <c r="AC913" s="18"/>
      <c r="AD913" s="18"/>
      <c r="AE913" s="18"/>
      <c r="AF913" s="18"/>
      <c r="AG913" s="18"/>
      <c r="AH913" s="13"/>
      <c r="AI913" s="18"/>
      <c r="AJ913" s="13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3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2"/>
      <c r="BK913" s="12"/>
      <c r="BL913" s="12"/>
      <c r="BM913" s="9"/>
      <c r="BN913" s="9"/>
      <c r="BO913" s="9"/>
      <c r="BP913" s="12"/>
      <c r="BQ913" s="12"/>
      <c r="BR913" s="12"/>
      <c r="BS913" s="12"/>
      <c r="BT913" s="12"/>
      <c r="BU913" s="12"/>
      <c r="BV913" s="12"/>
      <c r="BW913" s="12"/>
      <c r="BX913" s="12"/>
      <c r="BY913" s="9"/>
      <c r="BZ913" s="21"/>
      <c r="CA913" s="21"/>
      <c r="CB913" s="21"/>
      <c r="CC913" s="21"/>
      <c r="CD913" s="21"/>
      <c r="CE913" s="21"/>
      <c r="CF913" s="21"/>
      <c r="CG913" s="21"/>
      <c r="CH913" s="21"/>
      <c r="CI913" s="21"/>
      <c r="CJ913" s="21"/>
    </row>
    <row r="914" spans="1:88" ht="40.5" customHeight="1">
      <c r="A914" s="9"/>
      <c r="B914" s="12"/>
      <c r="C914" s="9" t="s">
        <v>2376</v>
      </c>
      <c r="D914" s="9" t="s">
        <v>2351</v>
      </c>
      <c r="E914" s="12">
        <v>0</v>
      </c>
      <c r="F914" s="12">
        <v>0</v>
      </c>
      <c r="G914" s="12" t="b">
        <v>0</v>
      </c>
      <c r="H914" s="9" t="s">
        <v>75</v>
      </c>
      <c r="I914" s="10" t="s">
        <v>2377</v>
      </c>
      <c r="J914" s="9" t="s">
        <v>75</v>
      </c>
      <c r="K914" s="11" t="s">
        <v>2378</v>
      </c>
      <c r="L914" s="12"/>
      <c r="M914" s="12"/>
      <c r="N914" s="13"/>
      <c r="O914" s="16" t="s">
        <v>78</v>
      </c>
      <c r="P914" s="14" t="s">
        <v>79</v>
      </c>
      <c r="Q914" s="15" t="s">
        <v>2318</v>
      </c>
      <c r="R914" s="14" t="s">
        <v>75</v>
      </c>
      <c r="S914" s="14" t="s">
        <v>75</v>
      </c>
      <c r="T914" s="16" t="s">
        <v>126</v>
      </c>
      <c r="U914" s="17"/>
      <c r="V914" s="13"/>
      <c r="W914" s="13"/>
      <c r="X914" s="13"/>
      <c r="Y914" s="13"/>
      <c r="Z914" s="13"/>
      <c r="AA914" s="13"/>
      <c r="AB914" s="18"/>
      <c r="AC914" s="18"/>
      <c r="AD914" s="18"/>
      <c r="AE914" s="18"/>
      <c r="AF914" s="18"/>
      <c r="AG914" s="18"/>
      <c r="AH914" s="13"/>
      <c r="AI914" s="18"/>
      <c r="AJ914" s="13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3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2"/>
      <c r="BK914" s="12"/>
      <c r="BL914" s="12"/>
      <c r="BM914" s="9"/>
      <c r="BN914" s="9"/>
      <c r="BO914" s="9"/>
      <c r="BP914" s="12"/>
      <c r="BQ914" s="12"/>
      <c r="BR914" s="12"/>
      <c r="BS914" s="12"/>
      <c r="BT914" s="12"/>
      <c r="BU914" s="12"/>
      <c r="BV914" s="12"/>
      <c r="BW914" s="12"/>
      <c r="BX914" s="12"/>
      <c r="BY914" s="9"/>
      <c r="BZ914" s="21"/>
      <c r="CA914" s="21"/>
      <c r="CB914" s="21"/>
      <c r="CC914" s="21"/>
      <c r="CD914" s="21"/>
      <c r="CE914" s="21"/>
      <c r="CF914" s="21"/>
      <c r="CG914" s="21"/>
      <c r="CH914" s="21"/>
      <c r="CI914" s="21"/>
      <c r="CJ914" s="21"/>
    </row>
    <row r="915" spans="1:88" ht="40.5" customHeight="1">
      <c r="A915" s="9"/>
      <c r="B915" s="12"/>
      <c r="C915" s="9" t="s">
        <v>2379</v>
      </c>
      <c r="D915" s="9" t="s">
        <v>2351</v>
      </c>
      <c r="E915" s="12">
        <v>0</v>
      </c>
      <c r="F915" s="12">
        <v>0</v>
      </c>
      <c r="G915" s="12" t="b">
        <v>0</v>
      </c>
      <c r="H915" s="9" t="s">
        <v>75</v>
      </c>
      <c r="I915" s="10" t="s">
        <v>2380</v>
      </c>
      <c r="J915" s="9" t="s">
        <v>75</v>
      </c>
      <c r="K915" s="11" t="s">
        <v>2381</v>
      </c>
      <c r="L915" s="12"/>
      <c r="M915" s="12"/>
      <c r="N915" s="13"/>
      <c r="O915" s="16" t="s">
        <v>78</v>
      </c>
      <c r="P915" s="14" t="s">
        <v>79</v>
      </c>
      <c r="Q915" s="15" t="s">
        <v>2318</v>
      </c>
      <c r="R915" s="14" t="s">
        <v>75</v>
      </c>
      <c r="S915" s="14" t="s">
        <v>75</v>
      </c>
      <c r="T915" s="16" t="s">
        <v>126</v>
      </c>
      <c r="U915" s="17"/>
      <c r="V915" s="13"/>
      <c r="W915" s="13"/>
      <c r="X915" s="13"/>
      <c r="Y915" s="13"/>
      <c r="Z915" s="13"/>
      <c r="AA915" s="13"/>
      <c r="AB915" s="18"/>
      <c r="AC915" s="18"/>
      <c r="AD915" s="18"/>
      <c r="AE915" s="18"/>
      <c r="AF915" s="18"/>
      <c r="AG915" s="18"/>
      <c r="AH915" s="13"/>
      <c r="AI915" s="18"/>
      <c r="AJ915" s="13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3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2"/>
      <c r="BK915" s="12"/>
      <c r="BL915" s="12"/>
      <c r="BM915" s="9"/>
      <c r="BN915" s="9"/>
      <c r="BO915" s="9"/>
      <c r="BP915" s="12"/>
      <c r="BQ915" s="12"/>
      <c r="BR915" s="12"/>
      <c r="BS915" s="12"/>
      <c r="BT915" s="12"/>
      <c r="BU915" s="12"/>
      <c r="BV915" s="12"/>
      <c r="BW915" s="12"/>
      <c r="BX915" s="12"/>
      <c r="BY915" s="9"/>
      <c r="BZ915" s="21"/>
      <c r="CA915" s="21"/>
      <c r="CB915" s="21"/>
      <c r="CC915" s="21"/>
      <c r="CD915" s="21"/>
      <c r="CE915" s="21"/>
      <c r="CF915" s="21"/>
      <c r="CG915" s="21"/>
      <c r="CH915" s="21"/>
      <c r="CI915" s="21"/>
      <c r="CJ915" s="21"/>
    </row>
    <row r="916" spans="1:88" ht="40.5" customHeight="1">
      <c r="A916" s="9"/>
      <c r="B916" s="12"/>
      <c r="C916" s="9" t="s">
        <v>2382</v>
      </c>
      <c r="D916" s="9" t="s">
        <v>2351</v>
      </c>
      <c r="E916" s="12">
        <v>0</v>
      </c>
      <c r="F916" s="12">
        <v>0</v>
      </c>
      <c r="G916" s="12" t="b">
        <v>0</v>
      </c>
      <c r="H916" s="9" t="s">
        <v>75</v>
      </c>
      <c r="I916" s="10" t="s">
        <v>2383</v>
      </c>
      <c r="J916" s="9" t="s">
        <v>75</v>
      </c>
      <c r="K916" s="11" t="s">
        <v>2384</v>
      </c>
      <c r="L916" s="12"/>
      <c r="M916" s="12"/>
      <c r="N916" s="13"/>
      <c r="O916" s="16" t="s">
        <v>78</v>
      </c>
      <c r="P916" s="14" t="s">
        <v>79</v>
      </c>
      <c r="Q916" s="15" t="s">
        <v>2318</v>
      </c>
      <c r="R916" s="14" t="s">
        <v>75</v>
      </c>
      <c r="S916" s="14" t="s">
        <v>75</v>
      </c>
      <c r="T916" s="16" t="s">
        <v>166</v>
      </c>
      <c r="U916" s="17"/>
      <c r="V916" s="13"/>
      <c r="W916" s="13"/>
      <c r="X916" s="13"/>
      <c r="Y916" s="13"/>
      <c r="Z916" s="13"/>
      <c r="AA916" s="13"/>
      <c r="AB916" s="18"/>
      <c r="AC916" s="18"/>
      <c r="AD916" s="18"/>
      <c r="AE916" s="18"/>
      <c r="AF916" s="18"/>
      <c r="AG916" s="18"/>
      <c r="AH916" s="13"/>
      <c r="AI916" s="18"/>
      <c r="AJ916" s="13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3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2"/>
      <c r="BK916" s="12"/>
      <c r="BL916" s="12"/>
      <c r="BM916" s="9"/>
      <c r="BN916" s="9"/>
      <c r="BO916" s="9"/>
      <c r="BP916" s="12"/>
      <c r="BQ916" s="12"/>
      <c r="BR916" s="12"/>
      <c r="BS916" s="12"/>
      <c r="BT916" s="12"/>
      <c r="BU916" s="12"/>
      <c r="BV916" s="12"/>
      <c r="BW916" s="12"/>
      <c r="BX916" s="12"/>
      <c r="BY916" s="9"/>
      <c r="BZ916" s="21"/>
      <c r="CA916" s="21"/>
      <c r="CB916" s="21"/>
      <c r="CC916" s="21"/>
      <c r="CD916" s="21"/>
      <c r="CE916" s="21"/>
      <c r="CF916" s="21"/>
      <c r="CG916" s="21"/>
      <c r="CH916" s="21"/>
      <c r="CI916" s="21"/>
      <c r="CJ916" s="21"/>
    </row>
    <row r="917" spans="1:88" ht="40.5" customHeight="1">
      <c r="A917" s="9"/>
      <c r="B917" s="12"/>
      <c r="C917" s="9" t="s">
        <v>2385</v>
      </c>
      <c r="D917" s="9" t="s">
        <v>2351</v>
      </c>
      <c r="E917" s="12">
        <v>0</v>
      </c>
      <c r="F917" s="12">
        <v>0</v>
      </c>
      <c r="G917" s="12" t="b">
        <v>0</v>
      </c>
      <c r="H917" s="9" t="s">
        <v>75</v>
      </c>
      <c r="I917" s="10" t="s">
        <v>2386</v>
      </c>
      <c r="J917" s="9" t="s">
        <v>75</v>
      </c>
      <c r="K917" s="11" t="s">
        <v>2387</v>
      </c>
      <c r="L917" s="12"/>
      <c r="M917" s="12"/>
      <c r="N917" s="13"/>
      <c r="O917" s="16" t="s">
        <v>78</v>
      </c>
      <c r="P917" s="14" t="s">
        <v>79</v>
      </c>
      <c r="Q917" s="15" t="s">
        <v>2318</v>
      </c>
      <c r="R917" s="14" t="s">
        <v>75</v>
      </c>
      <c r="S917" s="14" t="s">
        <v>75</v>
      </c>
      <c r="T917" s="16" t="s">
        <v>4</v>
      </c>
      <c r="U917" s="17"/>
      <c r="V917" s="13"/>
      <c r="W917" s="13"/>
      <c r="X917" s="13"/>
      <c r="Y917" s="13"/>
      <c r="Z917" s="13"/>
      <c r="AA917" s="13"/>
      <c r="AB917" s="18"/>
      <c r="AC917" s="18"/>
      <c r="AD917" s="18"/>
      <c r="AE917" s="18"/>
      <c r="AF917" s="18"/>
      <c r="AG917" s="18"/>
      <c r="AH917" s="13"/>
      <c r="AI917" s="18"/>
      <c r="AJ917" s="13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3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2"/>
      <c r="BK917" s="12"/>
      <c r="BL917" s="12"/>
      <c r="BM917" s="9"/>
      <c r="BN917" s="9"/>
      <c r="BO917" s="9"/>
      <c r="BP917" s="12"/>
      <c r="BQ917" s="12"/>
      <c r="BR917" s="12"/>
      <c r="BS917" s="12"/>
      <c r="BT917" s="12"/>
      <c r="BU917" s="12"/>
      <c r="BV917" s="12"/>
      <c r="BW917" s="12"/>
      <c r="BX917" s="12"/>
      <c r="BY917" s="9"/>
      <c r="BZ917" s="21"/>
      <c r="CA917" s="21"/>
      <c r="CB917" s="21"/>
      <c r="CC917" s="21"/>
      <c r="CD917" s="21"/>
      <c r="CE917" s="21"/>
      <c r="CF917" s="21"/>
      <c r="CG917" s="21"/>
      <c r="CH917" s="21"/>
      <c r="CI917" s="21"/>
      <c r="CJ917" s="21"/>
    </row>
    <row r="918" spans="1:88" ht="40.5" customHeight="1">
      <c r="A918" s="9"/>
      <c r="B918" s="12"/>
      <c r="C918" s="9" t="s">
        <v>2388</v>
      </c>
      <c r="D918" s="9" t="s">
        <v>2351</v>
      </c>
      <c r="E918" s="12">
        <v>0</v>
      </c>
      <c r="F918" s="12">
        <v>0</v>
      </c>
      <c r="G918" s="12" t="b">
        <v>0</v>
      </c>
      <c r="H918" s="9" t="s">
        <v>75</v>
      </c>
      <c r="I918" s="10" t="s">
        <v>2389</v>
      </c>
      <c r="J918" s="9" t="s">
        <v>75</v>
      </c>
      <c r="K918" s="11" t="s">
        <v>2390</v>
      </c>
      <c r="L918" s="12"/>
      <c r="M918" s="12"/>
      <c r="N918" s="13"/>
      <c r="O918" s="16" t="s">
        <v>7</v>
      </c>
      <c r="P918" s="14" t="s">
        <v>79</v>
      </c>
      <c r="Q918" s="15" t="s">
        <v>2318</v>
      </c>
      <c r="R918" s="14" t="s">
        <v>75</v>
      </c>
      <c r="S918" s="14" t="s">
        <v>75</v>
      </c>
      <c r="T918" s="16" t="s">
        <v>81</v>
      </c>
      <c r="U918" s="17"/>
      <c r="V918" s="13"/>
      <c r="W918" s="13"/>
      <c r="X918" s="13"/>
      <c r="Y918" s="13"/>
      <c r="Z918" s="13"/>
      <c r="AA918" s="13"/>
      <c r="AB918" s="18"/>
      <c r="AC918" s="18"/>
      <c r="AD918" s="18"/>
      <c r="AE918" s="18"/>
      <c r="AF918" s="18"/>
      <c r="AG918" s="18"/>
      <c r="AH918" s="13"/>
      <c r="AI918" s="18"/>
      <c r="AJ918" s="13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3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2"/>
      <c r="BK918" s="12"/>
      <c r="BL918" s="12"/>
      <c r="BM918" s="9"/>
      <c r="BN918" s="9"/>
      <c r="BO918" s="9"/>
      <c r="BP918" s="12"/>
      <c r="BQ918" s="12"/>
      <c r="BR918" s="12"/>
      <c r="BS918" s="12"/>
      <c r="BT918" s="12"/>
      <c r="BU918" s="12"/>
      <c r="BV918" s="12"/>
      <c r="BW918" s="12"/>
      <c r="BX918" s="12"/>
      <c r="BY918" s="9"/>
      <c r="BZ918" s="21"/>
      <c r="CA918" s="21"/>
      <c r="CB918" s="21"/>
      <c r="CC918" s="21"/>
      <c r="CD918" s="21"/>
      <c r="CE918" s="21"/>
      <c r="CF918" s="21"/>
      <c r="CG918" s="21"/>
      <c r="CH918" s="21"/>
      <c r="CI918" s="21"/>
      <c r="CJ918" s="21"/>
    </row>
    <row r="919" spans="1:88" ht="40.5" customHeight="1">
      <c r="A919" s="9"/>
      <c r="B919" s="12"/>
      <c r="C919" s="9" t="s">
        <v>2391</v>
      </c>
      <c r="D919" s="9" t="s">
        <v>2351</v>
      </c>
      <c r="E919" s="12">
        <v>0</v>
      </c>
      <c r="F919" s="12">
        <v>0</v>
      </c>
      <c r="G919" s="12" t="b">
        <v>0</v>
      </c>
      <c r="H919" s="9" t="s">
        <v>75</v>
      </c>
      <c r="I919" s="10" t="s">
        <v>2392</v>
      </c>
      <c r="J919" s="9" t="s">
        <v>75</v>
      </c>
      <c r="K919" s="11" t="s">
        <v>2393</v>
      </c>
      <c r="L919" s="12"/>
      <c r="M919" s="12"/>
      <c r="N919" s="13"/>
      <c r="O919" s="16" t="s">
        <v>2159</v>
      </c>
      <c r="P919" s="14" t="s">
        <v>79</v>
      </c>
      <c r="Q919" s="15" t="s">
        <v>2318</v>
      </c>
      <c r="R919" s="14" t="s">
        <v>75</v>
      </c>
      <c r="S919" s="14" t="s">
        <v>75</v>
      </c>
      <c r="T919" s="16" t="s">
        <v>4</v>
      </c>
      <c r="U919" s="17"/>
      <c r="V919" s="13"/>
      <c r="W919" s="13"/>
      <c r="X919" s="13"/>
      <c r="Y919" s="13"/>
      <c r="Z919" s="13"/>
      <c r="AA919" s="13"/>
      <c r="AB919" s="18"/>
      <c r="AC919" s="18"/>
      <c r="AD919" s="18"/>
      <c r="AE919" s="18"/>
      <c r="AF919" s="18"/>
      <c r="AG919" s="18"/>
      <c r="AH919" s="13"/>
      <c r="AI919" s="18"/>
      <c r="AJ919" s="13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3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2"/>
      <c r="BK919" s="12"/>
      <c r="BL919" s="12"/>
      <c r="BM919" s="9"/>
      <c r="BN919" s="9"/>
      <c r="BO919" s="9"/>
      <c r="BP919" s="12"/>
      <c r="BQ919" s="12"/>
      <c r="BR919" s="12"/>
      <c r="BS919" s="12"/>
      <c r="BT919" s="12"/>
      <c r="BU919" s="12"/>
      <c r="BV919" s="12"/>
      <c r="BW919" s="12"/>
      <c r="BX919" s="12"/>
      <c r="BY919" s="9"/>
      <c r="BZ919" s="21"/>
      <c r="CA919" s="21"/>
      <c r="CB919" s="21"/>
      <c r="CC919" s="21"/>
      <c r="CD919" s="21"/>
      <c r="CE919" s="21"/>
      <c r="CF919" s="21"/>
      <c r="CG919" s="21"/>
      <c r="CH919" s="21"/>
      <c r="CI919" s="21"/>
      <c r="CJ919" s="21"/>
    </row>
    <row r="920" spans="1:88" ht="40.5" customHeight="1">
      <c r="A920" s="9"/>
      <c r="B920" s="12"/>
      <c r="C920" s="9" t="s">
        <v>2394</v>
      </c>
      <c r="D920" s="9" t="s">
        <v>2351</v>
      </c>
      <c r="E920" s="12">
        <v>0</v>
      </c>
      <c r="F920" s="12">
        <v>0</v>
      </c>
      <c r="G920" s="12" t="b">
        <v>0</v>
      </c>
      <c r="H920" s="9" t="s">
        <v>75</v>
      </c>
      <c r="I920" s="10" t="s">
        <v>2395</v>
      </c>
      <c r="J920" s="9" t="s">
        <v>75</v>
      </c>
      <c r="K920" s="9" t="s">
        <v>79</v>
      </c>
      <c r="L920" s="12"/>
      <c r="M920" s="12"/>
      <c r="N920" s="13"/>
      <c r="O920" s="16" t="s">
        <v>78</v>
      </c>
      <c r="P920" s="14" t="s">
        <v>79</v>
      </c>
      <c r="Q920" s="15" t="s">
        <v>2318</v>
      </c>
      <c r="R920" s="14" t="s">
        <v>75</v>
      </c>
      <c r="S920" s="14" t="s">
        <v>75</v>
      </c>
      <c r="T920" s="16" t="s">
        <v>126</v>
      </c>
      <c r="U920" s="17"/>
      <c r="V920" s="13"/>
      <c r="W920" s="13"/>
      <c r="X920" s="13"/>
      <c r="Y920" s="13"/>
      <c r="Z920" s="13"/>
      <c r="AA920" s="13"/>
      <c r="AB920" s="18"/>
      <c r="AC920" s="18"/>
      <c r="AD920" s="18"/>
      <c r="AE920" s="18"/>
      <c r="AF920" s="18"/>
      <c r="AG920" s="18"/>
      <c r="AH920" s="13"/>
      <c r="AI920" s="18"/>
      <c r="AJ920" s="13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3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2"/>
      <c r="BK920" s="12"/>
      <c r="BL920" s="12"/>
      <c r="BM920" s="9"/>
      <c r="BN920" s="9"/>
      <c r="BO920" s="9"/>
      <c r="BP920" s="12"/>
      <c r="BQ920" s="12"/>
      <c r="BR920" s="12"/>
      <c r="BS920" s="12"/>
      <c r="BT920" s="12"/>
      <c r="BU920" s="12"/>
      <c r="BV920" s="12"/>
      <c r="BW920" s="12"/>
      <c r="BX920" s="12"/>
      <c r="BY920" s="9"/>
      <c r="BZ920" s="21"/>
      <c r="CA920" s="21"/>
      <c r="CB920" s="21"/>
      <c r="CC920" s="21"/>
      <c r="CD920" s="21"/>
      <c r="CE920" s="21"/>
      <c r="CF920" s="21"/>
      <c r="CG920" s="21"/>
      <c r="CH920" s="21"/>
      <c r="CI920" s="21"/>
      <c r="CJ920" s="21"/>
    </row>
    <row r="921" spans="1:88" ht="40.5" customHeight="1">
      <c r="A921" s="9"/>
      <c r="B921" s="12"/>
      <c r="C921" s="9" t="s">
        <v>2396</v>
      </c>
      <c r="D921" s="9" t="s">
        <v>2351</v>
      </c>
      <c r="E921" s="12">
        <v>0</v>
      </c>
      <c r="F921" s="12">
        <v>0</v>
      </c>
      <c r="G921" s="12" t="b">
        <v>0</v>
      </c>
      <c r="H921" s="9" t="s">
        <v>75</v>
      </c>
      <c r="I921" s="10" t="s">
        <v>2397</v>
      </c>
      <c r="J921" s="9" t="s">
        <v>75</v>
      </c>
      <c r="K921" s="11" t="s">
        <v>2398</v>
      </c>
      <c r="L921" s="12"/>
      <c r="M921" s="12"/>
      <c r="N921" s="13"/>
      <c r="O921" s="13"/>
      <c r="P921" s="17"/>
      <c r="Q921" s="13"/>
      <c r="R921" s="17"/>
      <c r="S921" s="17"/>
      <c r="T921" s="13"/>
      <c r="U921" s="17"/>
      <c r="V921" s="13"/>
      <c r="W921" s="13"/>
      <c r="X921" s="13"/>
      <c r="Y921" s="13"/>
      <c r="Z921" s="13"/>
      <c r="AA921" s="13"/>
      <c r="AB921" s="18"/>
      <c r="AC921" s="18"/>
      <c r="AD921" s="18"/>
      <c r="AE921" s="18"/>
      <c r="AF921" s="18"/>
      <c r="AG921" s="18"/>
      <c r="AH921" s="13"/>
      <c r="AI921" s="18"/>
      <c r="AJ921" s="13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3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2"/>
      <c r="BK921" s="12"/>
      <c r="BL921" s="12"/>
      <c r="BM921" s="9"/>
      <c r="BN921" s="9"/>
      <c r="BO921" s="9"/>
      <c r="BP921" s="12"/>
      <c r="BQ921" s="12"/>
      <c r="BR921" s="12"/>
      <c r="BS921" s="12"/>
      <c r="BT921" s="12"/>
      <c r="BU921" s="12"/>
      <c r="BV921" s="12"/>
      <c r="BW921" s="12"/>
      <c r="BX921" s="12"/>
      <c r="BY921" s="9"/>
      <c r="BZ921" s="21"/>
      <c r="CA921" s="21"/>
      <c r="CB921" s="21"/>
      <c r="CC921" s="21"/>
      <c r="CD921" s="21"/>
      <c r="CE921" s="21"/>
      <c r="CF921" s="21"/>
      <c r="CG921" s="21"/>
      <c r="CH921" s="21"/>
      <c r="CI921" s="21"/>
      <c r="CJ921" s="21"/>
    </row>
    <row r="922" spans="1:88" ht="40.5" customHeight="1">
      <c r="A922" s="9"/>
      <c r="B922" s="12"/>
      <c r="C922" s="9" t="s">
        <v>2399</v>
      </c>
      <c r="D922" s="9" t="s">
        <v>2351</v>
      </c>
      <c r="E922" s="12">
        <v>0</v>
      </c>
      <c r="F922" s="12">
        <v>0</v>
      </c>
      <c r="G922" s="12" t="b">
        <v>0</v>
      </c>
      <c r="H922" s="9" t="s">
        <v>75</v>
      </c>
      <c r="I922" s="10" t="s">
        <v>2400</v>
      </c>
      <c r="J922" s="9" t="s">
        <v>75</v>
      </c>
      <c r="K922" s="11" t="s">
        <v>2401</v>
      </c>
      <c r="L922" s="12"/>
      <c r="M922" s="12"/>
      <c r="N922" s="13"/>
      <c r="O922" s="16" t="s">
        <v>78</v>
      </c>
      <c r="P922" s="14" t="s">
        <v>79</v>
      </c>
      <c r="Q922" s="15" t="s">
        <v>2318</v>
      </c>
      <c r="R922" s="14" t="s">
        <v>75</v>
      </c>
      <c r="S922" s="14" t="s">
        <v>75</v>
      </c>
      <c r="T922" s="16" t="s">
        <v>145</v>
      </c>
      <c r="U922" s="17"/>
      <c r="V922" s="13"/>
      <c r="W922" s="13"/>
      <c r="X922" s="13"/>
      <c r="Y922" s="13"/>
      <c r="Z922" s="13"/>
      <c r="AA922" s="13"/>
      <c r="AB922" s="18"/>
      <c r="AC922" s="18"/>
      <c r="AD922" s="18"/>
      <c r="AE922" s="18"/>
      <c r="AF922" s="18"/>
      <c r="AG922" s="18"/>
      <c r="AH922" s="13"/>
      <c r="AI922" s="18"/>
      <c r="AJ922" s="13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3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2"/>
      <c r="BK922" s="12"/>
      <c r="BL922" s="12"/>
      <c r="BM922" s="9"/>
      <c r="BN922" s="9"/>
      <c r="BO922" s="9"/>
      <c r="BP922" s="12"/>
      <c r="BQ922" s="12"/>
      <c r="BR922" s="12"/>
      <c r="BS922" s="12"/>
      <c r="BT922" s="12"/>
      <c r="BU922" s="12"/>
      <c r="BV922" s="12"/>
      <c r="BW922" s="12"/>
      <c r="BX922" s="12"/>
      <c r="BY922" s="9"/>
      <c r="BZ922" s="21"/>
      <c r="CA922" s="21"/>
      <c r="CB922" s="21"/>
      <c r="CC922" s="21"/>
      <c r="CD922" s="21"/>
      <c r="CE922" s="21"/>
      <c r="CF922" s="21"/>
      <c r="CG922" s="21"/>
      <c r="CH922" s="21"/>
      <c r="CI922" s="21"/>
      <c r="CJ922" s="21"/>
    </row>
    <row r="923" spans="1:88" ht="40.5" customHeight="1">
      <c r="A923" s="9"/>
      <c r="B923" s="12"/>
      <c r="C923" s="9" t="s">
        <v>2402</v>
      </c>
      <c r="D923" s="9" t="s">
        <v>2351</v>
      </c>
      <c r="E923" s="12">
        <v>0</v>
      </c>
      <c r="F923" s="12">
        <v>0</v>
      </c>
      <c r="G923" s="12" t="b">
        <v>0</v>
      </c>
      <c r="H923" s="9" t="s">
        <v>75</v>
      </c>
      <c r="I923" s="10" t="s">
        <v>2403</v>
      </c>
      <c r="J923" s="9" t="s">
        <v>75</v>
      </c>
      <c r="K923" s="11" t="s">
        <v>2404</v>
      </c>
      <c r="L923" s="12"/>
      <c r="M923" s="12"/>
      <c r="N923" s="13"/>
      <c r="O923" s="16" t="s">
        <v>78</v>
      </c>
      <c r="P923" s="14" t="s">
        <v>79</v>
      </c>
      <c r="Q923" s="15" t="s">
        <v>2318</v>
      </c>
      <c r="R923" s="14" t="s">
        <v>75</v>
      </c>
      <c r="S923" s="14" t="s">
        <v>75</v>
      </c>
      <c r="T923" s="16" t="s">
        <v>145</v>
      </c>
      <c r="U923" s="17"/>
      <c r="V923" s="13"/>
      <c r="W923" s="13"/>
      <c r="X923" s="13"/>
      <c r="Y923" s="13"/>
      <c r="Z923" s="13"/>
      <c r="AA923" s="13"/>
      <c r="AB923" s="18"/>
      <c r="AC923" s="18"/>
      <c r="AD923" s="18"/>
      <c r="AE923" s="18"/>
      <c r="AF923" s="18"/>
      <c r="AG923" s="18"/>
      <c r="AH923" s="13"/>
      <c r="AI923" s="18"/>
      <c r="AJ923" s="13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3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2"/>
      <c r="BK923" s="12"/>
      <c r="BL923" s="12"/>
      <c r="BM923" s="9"/>
      <c r="BN923" s="9"/>
      <c r="BO923" s="9"/>
      <c r="BP923" s="12"/>
      <c r="BQ923" s="12"/>
      <c r="BR923" s="12"/>
      <c r="BS923" s="12"/>
      <c r="BT923" s="12"/>
      <c r="BU923" s="12"/>
      <c r="BV923" s="12"/>
      <c r="BW923" s="12"/>
      <c r="BX923" s="12"/>
      <c r="BY923" s="9"/>
      <c r="BZ923" s="21"/>
      <c r="CA923" s="21"/>
      <c r="CB923" s="21"/>
      <c r="CC923" s="21"/>
      <c r="CD923" s="21"/>
      <c r="CE923" s="21"/>
      <c r="CF923" s="21"/>
      <c r="CG923" s="21"/>
      <c r="CH923" s="21"/>
      <c r="CI923" s="21"/>
      <c r="CJ923" s="21"/>
    </row>
    <row r="924" spans="1:88" ht="40.5" customHeight="1">
      <c r="A924" s="9"/>
      <c r="B924" s="12"/>
      <c r="C924" s="9" t="s">
        <v>2405</v>
      </c>
      <c r="D924" s="9" t="s">
        <v>2351</v>
      </c>
      <c r="E924" s="12">
        <v>0</v>
      </c>
      <c r="F924" s="12">
        <v>0</v>
      </c>
      <c r="G924" s="12" t="b">
        <v>0</v>
      </c>
      <c r="H924" s="9" t="s">
        <v>75</v>
      </c>
      <c r="I924" s="10" t="s">
        <v>2406</v>
      </c>
      <c r="J924" s="9" t="s">
        <v>75</v>
      </c>
      <c r="K924" s="11" t="s">
        <v>2407</v>
      </c>
      <c r="L924" s="12"/>
      <c r="M924" s="12"/>
      <c r="N924" s="13"/>
      <c r="O924" s="16" t="s">
        <v>7</v>
      </c>
      <c r="P924" s="14" t="s">
        <v>79</v>
      </c>
      <c r="Q924" s="15" t="s">
        <v>2318</v>
      </c>
      <c r="R924" s="14" t="s">
        <v>75</v>
      </c>
      <c r="S924" s="14" t="s">
        <v>75</v>
      </c>
      <c r="T924" s="16" t="s">
        <v>81</v>
      </c>
      <c r="U924" s="17"/>
      <c r="V924" s="13"/>
      <c r="W924" s="13"/>
      <c r="X924" s="13"/>
      <c r="Y924" s="13"/>
      <c r="Z924" s="13"/>
      <c r="AA924" s="13"/>
      <c r="AB924" s="18"/>
      <c r="AC924" s="18"/>
      <c r="AD924" s="18"/>
      <c r="AE924" s="18"/>
      <c r="AF924" s="18"/>
      <c r="AG924" s="18"/>
      <c r="AH924" s="13"/>
      <c r="AI924" s="18"/>
      <c r="AJ924" s="13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3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2"/>
      <c r="BK924" s="12"/>
      <c r="BL924" s="12"/>
      <c r="BM924" s="9"/>
      <c r="BN924" s="9"/>
      <c r="BO924" s="9"/>
      <c r="BP924" s="12"/>
      <c r="BQ924" s="12"/>
      <c r="BR924" s="12"/>
      <c r="BS924" s="12"/>
      <c r="BT924" s="12"/>
      <c r="BU924" s="12"/>
      <c r="BV924" s="12"/>
      <c r="BW924" s="12"/>
      <c r="BX924" s="12"/>
      <c r="BY924" s="9"/>
      <c r="BZ924" s="21"/>
      <c r="CA924" s="21"/>
      <c r="CB924" s="21"/>
      <c r="CC924" s="21"/>
      <c r="CD924" s="21"/>
      <c r="CE924" s="21"/>
      <c r="CF924" s="21"/>
      <c r="CG924" s="21"/>
      <c r="CH924" s="21"/>
      <c r="CI924" s="21"/>
      <c r="CJ924" s="21"/>
    </row>
    <row r="925" spans="1:88" ht="40.5" customHeight="1">
      <c r="A925" s="9"/>
      <c r="B925" s="12"/>
      <c r="C925" s="9" t="s">
        <v>2408</v>
      </c>
      <c r="D925" s="9" t="s">
        <v>2351</v>
      </c>
      <c r="E925" s="12">
        <v>0</v>
      </c>
      <c r="F925" s="12">
        <v>0</v>
      </c>
      <c r="G925" s="12" t="b">
        <v>0</v>
      </c>
      <c r="H925" s="9" t="s">
        <v>75</v>
      </c>
      <c r="I925" s="10" t="s">
        <v>2409</v>
      </c>
      <c r="J925" s="9" t="s">
        <v>75</v>
      </c>
      <c r="K925" s="9" t="s">
        <v>79</v>
      </c>
      <c r="L925" s="12"/>
      <c r="M925" s="12"/>
      <c r="N925" s="13"/>
      <c r="O925" s="16" t="s">
        <v>78</v>
      </c>
      <c r="P925" s="14" t="s">
        <v>79</v>
      </c>
      <c r="Q925" s="15" t="s">
        <v>2318</v>
      </c>
      <c r="R925" s="14" t="s">
        <v>75</v>
      </c>
      <c r="S925" s="14" t="s">
        <v>75</v>
      </c>
      <c r="T925" s="16" t="s">
        <v>4</v>
      </c>
      <c r="U925" s="17"/>
      <c r="V925" s="13"/>
      <c r="W925" s="13"/>
      <c r="X925" s="13"/>
      <c r="Y925" s="13"/>
      <c r="Z925" s="13"/>
      <c r="AA925" s="13"/>
      <c r="AB925" s="18"/>
      <c r="AC925" s="18"/>
      <c r="AD925" s="18"/>
      <c r="AE925" s="18"/>
      <c r="AF925" s="18"/>
      <c r="AG925" s="18"/>
      <c r="AH925" s="13"/>
      <c r="AI925" s="18"/>
      <c r="AJ925" s="13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3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2"/>
      <c r="BK925" s="12"/>
      <c r="BL925" s="12"/>
      <c r="BM925" s="9"/>
      <c r="BN925" s="9"/>
      <c r="BO925" s="9"/>
      <c r="BP925" s="12"/>
      <c r="BQ925" s="12"/>
      <c r="BR925" s="12"/>
      <c r="BS925" s="12"/>
      <c r="BT925" s="12"/>
      <c r="BU925" s="12"/>
      <c r="BV925" s="12"/>
      <c r="BW925" s="12"/>
      <c r="BX925" s="12"/>
      <c r="BY925" s="9"/>
      <c r="BZ925" s="21"/>
      <c r="CA925" s="21"/>
      <c r="CB925" s="21"/>
      <c r="CC925" s="21"/>
      <c r="CD925" s="21"/>
      <c r="CE925" s="21"/>
      <c r="CF925" s="21"/>
      <c r="CG925" s="21"/>
      <c r="CH925" s="21"/>
      <c r="CI925" s="21"/>
      <c r="CJ925" s="21"/>
    </row>
    <row r="926" spans="1:88" ht="40.5" customHeight="1">
      <c r="A926" s="9"/>
      <c r="B926" s="12"/>
      <c r="C926" s="9" t="s">
        <v>2410</v>
      </c>
      <c r="D926" s="9" t="s">
        <v>2351</v>
      </c>
      <c r="E926" s="12">
        <v>0</v>
      </c>
      <c r="F926" s="12">
        <v>0</v>
      </c>
      <c r="G926" s="12" t="b">
        <v>0</v>
      </c>
      <c r="H926" s="9" t="s">
        <v>75</v>
      </c>
      <c r="I926" s="10" t="s">
        <v>2411</v>
      </c>
      <c r="J926" s="9" t="s">
        <v>75</v>
      </c>
      <c r="K926" s="11" t="s">
        <v>2412</v>
      </c>
      <c r="L926" s="12"/>
      <c r="M926" s="12"/>
      <c r="N926" s="13"/>
      <c r="O926" s="16" t="s">
        <v>7</v>
      </c>
      <c r="P926" s="14" t="s">
        <v>79</v>
      </c>
      <c r="Q926" s="15" t="s">
        <v>2318</v>
      </c>
      <c r="R926" s="14" t="s">
        <v>75</v>
      </c>
      <c r="S926" s="14" t="s">
        <v>75</v>
      </c>
      <c r="T926" s="16" t="s">
        <v>81</v>
      </c>
      <c r="U926" s="17"/>
      <c r="V926" s="13"/>
      <c r="W926" s="13"/>
      <c r="X926" s="13"/>
      <c r="Y926" s="13"/>
      <c r="Z926" s="13"/>
      <c r="AA926" s="13"/>
      <c r="AB926" s="18"/>
      <c r="AC926" s="18"/>
      <c r="AD926" s="18"/>
      <c r="AE926" s="18"/>
      <c r="AF926" s="18"/>
      <c r="AG926" s="18"/>
      <c r="AH926" s="13"/>
      <c r="AI926" s="18"/>
      <c r="AJ926" s="13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3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2"/>
      <c r="BK926" s="12"/>
      <c r="BL926" s="12"/>
      <c r="BM926" s="9"/>
      <c r="BN926" s="9"/>
      <c r="BO926" s="9"/>
      <c r="BP926" s="12"/>
      <c r="BQ926" s="12"/>
      <c r="BR926" s="12"/>
      <c r="BS926" s="12"/>
      <c r="BT926" s="12"/>
      <c r="BU926" s="12"/>
      <c r="BV926" s="12"/>
      <c r="BW926" s="12"/>
      <c r="BX926" s="12"/>
      <c r="BY926" s="9"/>
      <c r="BZ926" s="21"/>
      <c r="CA926" s="21"/>
      <c r="CB926" s="21"/>
      <c r="CC926" s="21"/>
      <c r="CD926" s="21"/>
      <c r="CE926" s="21"/>
      <c r="CF926" s="21"/>
      <c r="CG926" s="21"/>
      <c r="CH926" s="21"/>
      <c r="CI926" s="21"/>
      <c r="CJ926" s="21"/>
    </row>
    <row r="927" spans="1:88" ht="40.5" customHeight="1">
      <c r="A927" s="9"/>
      <c r="B927" s="12"/>
      <c r="C927" s="9" t="s">
        <v>2413</v>
      </c>
      <c r="D927" s="9" t="s">
        <v>2351</v>
      </c>
      <c r="E927" s="12">
        <v>0</v>
      </c>
      <c r="F927" s="12">
        <v>0</v>
      </c>
      <c r="G927" s="12" t="b">
        <v>0</v>
      </c>
      <c r="H927" s="9" t="s">
        <v>75</v>
      </c>
      <c r="I927" s="10" t="s">
        <v>2414</v>
      </c>
      <c r="J927" s="9" t="s">
        <v>75</v>
      </c>
      <c r="K927" s="9" t="s">
        <v>79</v>
      </c>
      <c r="L927" s="12"/>
      <c r="M927" s="12"/>
      <c r="N927" s="13"/>
      <c r="O927" s="13"/>
      <c r="P927" s="17"/>
      <c r="Q927" s="13"/>
      <c r="R927" s="17"/>
      <c r="S927" s="17"/>
      <c r="T927" s="13"/>
      <c r="U927" s="17"/>
      <c r="V927" s="13"/>
      <c r="W927" s="13"/>
      <c r="X927" s="13"/>
      <c r="Y927" s="13"/>
      <c r="Z927" s="13"/>
      <c r="AA927" s="13"/>
      <c r="AB927" s="18"/>
      <c r="AC927" s="18"/>
      <c r="AD927" s="18"/>
      <c r="AE927" s="18"/>
      <c r="AF927" s="18"/>
      <c r="AG927" s="18"/>
      <c r="AH927" s="13"/>
      <c r="AI927" s="18"/>
      <c r="AJ927" s="13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3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2"/>
      <c r="BK927" s="12"/>
      <c r="BL927" s="12"/>
      <c r="BM927" s="9"/>
      <c r="BN927" s="9"/>
      <c r="BO927" s="9"/>
      <c r="BP927" s="12"/>
      <c r="BQ927" s="12"/>
      <c r="BR927" s="12"/>
      <c r="BS927" s="12"/>
      <c r="BT927" s="12"/>
      <c r="BU927" s="12"/>
      <c r="BV927" s="12"/>
      <c r="BW927" s="12"/>
      <c r="BX927" s="12"/>
      <c r="BY927" s="9"/>
      <c r="BZ927" s="21"/>
      <c r="CA927" s="21"/>
      <c r="CB927" s="21"/>
      <c r="CC927" s="21"/>
      <c r="CD927" s="21"/>
      <c r="CE927" s="21"/>
      <c r="CF927" s="21"/>
      <c r="CG927" s="21"/>
      <c r="CH927" s="21"/>
      <c r="CI927" s="21"/>
      <c r="CJ927" s="21"/>
    </row>
    <row r="928" spans="1:88" ht="40.5" customHeight="1">
      <c r="A928" s="9"/>
      <c r="B928" s="12"/>
      <c r="C928" s="9" t="s">
        <v>2415</v>
      </c>
      <c r="D928" s="9" t="s">
        <v>2351</v>
      </c>
      <c r="E928" s="12">
        <v>0</v>
      </c>
      <c r="F928" s="12">
        <v>0</v>
      </c>
      <c r="G928" s="12" t="b">
        <v>0</v>
      </c>
      <c r="H928" s="9" t="s">
        <v>75</v>
      </c>
      <c r="I928" s="10" t="s">
        <v>2416</v>
      </c>
      <c r="J928" s="9" t="s">
        <v>75</v>
      </c>
      <c r="K928" s="9" t="s">
        <v>79</v>
      </c>
      <c r="L928" s="12"/>
      <c r="M928" s="12"/>
      <c r="N928" s="13"/>
      <c r="O928" s="13"/>
      <c r="P928" s="17"/>
      <c r="Q928" s="13"/>
      <c r="R928" s="17"/>
      <c r="S928" s="17"/>
      <c r="T928" s="13"/>
      <c r="U928" s="17"/>
      <c r="V928" s="13"/>
      <c r="W928" s="13"/>
      <c r="X928" s="13"/>
      <c r="Y928" s="13"/>
      <c r="Z928" s="13"/>
      <c r="AA928" s="13"/>
      <c r="AB928" s="18"/>
      <c r="AC928" s="18"/>
      <c r="AD928" s="18"/>
      <c r="AE928" s="18"/>
      <c r="AF928" s="18"/>
      <c r="AG928" s="18"/>
      <c r="AH928" s="13"/>
      <c r="AI928" s="18"/>
      <c r="AJ928" s="13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3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2"/>
      <c r="BK928" s="12"/>
      <c r="BL928" s="12"/>
      <c r="BM928" s="9"/>
      <c r="BN928" s="9"/>
      <c r="BO928" s="9"/>
      <c r="BP928" s="12"/>
      <c r="BQ928" s="12"/>
      <c r="BR928" s="12"/>
      <c r="BS928" s="12"/>
      <c r="BT928" s="12"/>
      <c r="BU928" s="12"/>
      <c r="BV928" s="12"/>
      <c r="BW928" s="12"/>
      <c r="BX928" s="12"/>
      <c r="BY928" s="9"/>
      <c r="BZ928" s="21"/>
      <c r="CA928" s="21"/>
      <c r="CB928" s="21"/>
      <c r="CC928" s="21"/>
      <c r="CD928" s="21"/>
      <c r="CE928" s="21"/>
      <c r="CF928" s="21"/>
      <c r="CG928" s="21"/>
      <c r="CH928" s="21"/>
      <c r="CI928" s="21"/>
      <c r="CJ928" s="21"/>
    </row>
    <row r="929" spans="1:88" ht="40.5" customHeight="1">
      <c r="A929" s="9"/>
      <c r="B929" s="12"/>
      <c r="C929" s="9" t="s">
        <v>2417</v>
      </c>
      <c r="D929" s="9" t="s">
        <v>2351</v>
      </c>
      <c r="E929" s="12">
        <v>0</v>
      </c>
      <c r="F929" s="12">
        <v>0</v>
      </c>
      <c r="G929" s="12" t="b">
        <v>0</v>
      </c>
      <c r="H929" s="9" t="s">
        <v>75</v>
      </c>
      <c r="I929" s="10" t="s">
        <v>2418</v>
      </c>
      <c r="J929" s="9" t="s">
        <v>75</v>
      </c>
      <c r="K929" s="9" t="s">
        <v>79</v>
      </c>
      <c r="L929" s="12"/>
      <c r="M929" s="12"/>
      <c r="N929" s="13"/>
      <c r="O929" s="13"/>
      <c r="P929" s="17"/>
      <c r="Q929" s="13"/>
      <c r="R929" s="17"/>
      <c r="S929" s="17"/>
      <c r="T929" s="13"/>
      <c r="U929" s="17"/>
      <c r="V929" s="13"/>
      <c r="W929" s="13"/>
      <c r="X929" s="13"/>
      <c r="Y929" s="13"/>
      <c r="Z929" s="13"/>
      <c r="AA929" s="13"/>
      <c r="AB929" s="18"/>
      <c r="AC929" s="18"/>
      <c r="AD929" s="18"/>
      <c r="AE929" s="18"/>
      <c r="AF929" s="18"/>
      <c r="AG929" s="18"/>
      <c r="AH929" s="13"/>
      <c r="AI929" s="18"/>
      <c r="AJ929" s="13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3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2"/>
      <c r="BK929" s="12"/>
      <c r="BL929" s="12"/>
      <c r="BM929" s="9"/>
      <c r="BN929" s="9"/>
      <c r="BO929" s="9"/>
      <c r="BP929" s="12"/>
      <c r="BQ929" s="12"/>
      <c r="BR929" s="12"/>
      <c r="BS929" s="12"/>
      <c r="BT929" s="12"/>
      <c r="BU929" s="12"/>
      <c r="BV929" s="12"/>
      <c r="BW929" s="12"/>
      <c r="BX929" s="12"/>
      <c r="BY929" s="9"/>
      <c r="BZ929" s="21"/>
      <c r="CA929" s="21"/>
      <c r="CB929" s="21"/>
      <c r="CC929" s="21"/>
      <c r="CD929" s="21"/>
      <c r="CE929" s="21"/>
      <c r="CF929" s="21"/>
      <c r="CG929" s="21"/>
      <c r="CH929" s="21"/>
      <c r="CI929" s="21"/>
      <c r="CJ929" s="21"/>
    </row>
    <row r="930" spans="1:88" ht="40.5" customHeight="1">
      <c r="A930" s="9"/>
      <c r="B930" s="12"/>
      <c r="C930" s="9" t="s">
        <v>2419</v>
      </c>
      <c r="D930" s="9" t="s">
        <v>2351</v>
      </c>
      <c r="E930" s="12">
        <v>0</v>
      </c>
      <c r="F930" s="12">
        <v>0</v>
      </c>
      <c r="G930" s="12" t="b">
        <v>0</v>
      </c>
      <c r="H930" s="9" t="s">
        <v>75</v>
      </c>
      <c r="I930" s="10" t="s">
        <v>2420</v>
      </c>
      <c r="J930" s="9" t="s">
        <v>75</v>
      </c>
      <c r="K930" s="11" t="s">
        <v>2421</v>
      </c>
      <c r="L930" s="12"/>
      <c r="M930" s="12"/>
      <c r="N930" s="13"/>
      <c r="O930" s="16" t="s">
        <v>7</v>
      </c>
      <c r="P930" s="14" t="s">
        <v>79</v>
      </c>
      <c r="Q930" s="15" t="s">
        <v>2318</v>
      </c>
      <c r="R930" s="14" t="s">
        <v>75</v>
      </c>
      <c r="S930" s="14" t="s">
        <v>75</v>
      </c>
      <c r="T930" s="16" t="s">
        <v>81</v>
      </c>
      <c r="U930" s="17"/>
      <c r="V930" s="13"/>
      <c r="W930" s="13"/>
      <c r="X930" s="13"/>
      <c r="Y930" s="13"/>
      <c r="Z930" s="13"/>
      <c r="AA930" s="13"/>
      <c r="AB930" s="18"/>
      <c r="AC930" s="18"/>
      <c r="AD930" s="18"/>
      <c r="AE930" s="18"/>
      <c r="AF930" s="18"/>
      <c r="AG930" s="18"/>
      <c r="AH930" s="13"/>
      <c r="AI930" s="18"/>
      <c r="AJ930" s="13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3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2"/>
      <c r="BK930" s="12"/>
      <c r="BL930" s="12"/>
      <c r="BM930" s="9"/>
      <c r="BN930" s="9"/>
      <c r="BO930" s="9"/>
      <c r="BP930" s="12"/>
      <c r="BQ930" s="12"/>
      <c r="BR930" s="12"/>
      <c r="BS930" s="12"/>
      <c r="BT930" s="12"/>
      <c r="BU930" s="12"/>
      <c r="BV930" s="12"/>
      <c r="BW930" s="12"/>
      <c r="BX930" s="12"/>
      <c r="BY930" s="9"/>
      <c r="BZ930" s="21"/>
      <c r="CA930" s="21"/>
      <c r="CB930" s="21"/>
      <c r="CC930" s="21"/>
      <c r="CD930" s="21"/>
      <c r="CE930" s="21"/>
      <c r="CF930" s="21"/>
      <c r="CG930" s="21"/>
      <c r="CH930" s="21"/>
      <c r="CI930" s="21"/>
      <c r="CJ930" s="21"/>
    </row>
    <row r="931" spans="1:88" ht="40.5" customHeight="1">
      <c r="A931" s="9"/>
      <c r="B931" s="12"/>
      <c r="C931" s="9" t="s">
        <v>2422</v>
      </c>
      <c r="D931" s="9" t="s">
        <v>2351</v>
      </c>
      <c r="E931" s="12">
        <v>0</v>
      </c>
      <c r="F931" s="12">
        <v>0</v>
      </c>
      <c r="G931" s="12" t="b">
        <v>0</v>
      </c>
      <c r="H931" s="9" t="s">
        <v>75</v>
      </c>
      <c r="I931" s="10" t="s">
        <v>2423</v>
      </c>
      <c r="J931" s="9" t="s">
        <v>75</v>
      </c>
      <c r="K931" s="11" t="s">
        <v>2424</v>
      </c>
      <c r="L931" s="12"/>
      <c r="M931" s="12"/>
      <c r="N931" s="13"/>
      <c r="O931" s="13"/>
      <c r="P931" s="17"/>
      <c r="Q931" s="13"/>
      <c r="R931" s="17"/>
      <c r="S931" s="17"/>
      <c r="T931" s="13"/>
      <c r="U931" s="17"/>
      <c r="V931" s="13"/>
      <c r="W931" s="13"/>
      <c r="X931" s="13"/>
      <c r="Y931" s="13"/>
      <c r="Z931" s="13"/>
      <c r="AA931" s="13"/>
      <c r="AB931" s="18"/>
      <c r="AC931" s="18"/>
      <c r="AD931" s="18"/>
      <c r="AE931" s="18"/>
      <c r="AF931" s="18"/>
      <c r="AG931" s="18"/>
      <c r="AH931" s="13"/>
      <c r="AI931" s="18"/>
      <c r="AJ931" s="13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3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2"/>
      <c r="BK931" s="12"/>
      <c r="BL931" s="12"/>
      <c r="BM931" s="9"/>
      <c r="BN931" s="9"/>
      <c r="BO931" s="9"/>
      <c r="BP931" s="12"/>
      <c r="BQ931" s="12"/>
      <c r="BR931" s="12"/>
      <c r="BS931" s="12"/>
      <c r="BT931" s="12"/>
      <c r="BU931" s="12"/>
      <c r="BV931" s="12"/>
      <c r="BW931" s="12"/>
      <c r="BX931" s="12"/>
      <c r="BY931" s="9"/>
      <c r="BZ931" s="21"/>
      <c r="CA931" s="21"/>
      <c r="CB931" s="21"/>
      <c r="CC931" s="21"/>
      <c r="CD931" s="21"/>
      <c r="CE931" s="21"/>
      <c r="CF931" s="21"/>
      <c r="CG931" s="21"/>
      <c r="CH931" s="21"/>
      <c r="CI931" s="21"/>
      <c r="CJ931" s="21"/>
    </row>
    <row r="932" spans="1:88" ht="40.5" customHeight="1">
      <c r="A932" s="9"/>
      <c r="B932" s="12"/>
      <c r="C932" s="9" t="s">
        <v>2425</v>
      </c>
      <c r="D932" s="9" t="s">
        <v>2351</v>
      </c>
      <c r="E932" s="12">
        <v>0</v>
      </c>
      <c r="F932" s="12">
        <v>0</v>
      </c>
      <c r="G932" s="12" t="b">
        <v>0</v>
      </c>
      <c r="H932" s="9" t="s">
        <v>75</v>
      </c>
      <c r="I932" s="10" t="s">
        <v>2426</v>
      </c>
      <c r="J932" s="9" t="s">
        <v>75</v>
      </c>
      <c r="K932" s="11" t="s">
        <v>2427</v>
      </c>
      <c r="L932" s="12"/>
      <c r="M932" s="12"/>
      <c r="N932" s="13"/>
      <c r="O932" s="16" t="s">
        <v>7</v>
      </c>
      <c r="P932" s="14" t="s">
        <v>79</v>
      </c>
      <c r="Q932" s="15" t="s">
        <v>2318</v>
      </c>
      <c r="R932" s="14" t="s">
        <v>75</v>
      </c>
      <c r="S932" s="14" t="s">
        <v>75</v>
      </c>
      <c r="T932" s="16" t="s">
        <v>81</v>
      </c>
      <c r="U932" s="17"/>
      <c r="V932" s="13"/>
      <c r="W932" s="13"/>
      <c r="X932" s="13"/>
      <c r="Y932" s="13"/>
      <c r="Z932" s="13"/>
      <c r="AA932" s="13"/>
      <c r="AB932" s="18"/>
      <c r="AC932" s="18"/>
      <c r="AD932" s="18"/>
      <c r="AE932" s="18"/>
      <c r="AF932" s="18"/>
      <c r="AG932" s="18"/>
      <c r="AH932" s="13"/>
      <c r="AI932" s="18"/>
      <c r="AJ932" s="13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3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2"/>
      <c r="BK932" s="12"/>
      <c r="BL932" s="12"/>
      <c r="BM932" s="9"/>
      <c r="BN932" s="9"/>
      <c r="BO932" s="9"/>
      <c r="BP932" s="12"/>
      <c r="BQ932" s="12"/>
      <c r="BR932" s="12"/>
      <c r="BS932" s="12"/>
      <c r="BT932" s="12"/>
      <c r="BU932" s="12"/>
      <c r="BV932" s="12"/>
      <c r="BW932" s="12"/>
      <c r="BX932" s="12"/>
      <c r="BY932" s="9"/>
      <c r="BZ932" s="21"/>
      <c r="CA932" s="21"/>
      <c r="CB932" s="21"/>
      <c r="CC932" s="21"/>
      <c r="CD932" s="21"/>
      <c r="CE932" s="21"/>
      <c r="CF932" s="21"/>
      <c r="CG932" s="21"/>
      <c r="CH932" s="21"/>
      <c r="CI932" s="21"/>
      <c r="CJ932" s="21"/>
    </row>
    <row r="933" spans="1:88" ht="40.5" customHeight="1">
      <c r="A933" s="9"/>
      <c r="B933" s="12"/>
      <c r="C933" s="9" t="s">
        <v>2428</v>
      </c>
      <c r="D933" s="9" t="s">
        <v>2351</v>
      </c>
      <c r="E933" s="12">
        <v>0</v>
      </c>
      <c r="F933" s="12">
        <v>0</v>
      </c>
      <c r="G933" s="12" t="b">
        <v>0</v>
      </c>
      <c r="H933" s="9" t="s">
        <v>75</v>
      </c>
      <c r="I933" s="10" t="s">
        <v>2429</v>
      </c>
      <c r="J933" s="9" t="s">
        <v>75</v>
      </c>
      <c r="K933" s="11" t="s">
        <v>2430</v>
      </c>
      <c r="L933" s="12"/>
      <c r="M933" s="12"/>
      <c r="N933" s="13"/>
      <c r="O933" s="16" t="s">
        <v>7</v>
      </c>
      <c r="P933" s="14" t="s">
        <v>79</v>
      </c>
      <c r="Q933" s="15" t="s">
        <v>2318</v>
      </c>
      <c r="R933" s="14" t="s">
        <v>75</v>
      </c>
      <c r="S933" s="14" t="s">
        <v>75</v>
      </c>
      <c r="T933" s="16" t="s">
        <v>81</v>
      </c>
      <c r="U933" s="17"/>
      <c r="V933" s="13"/>
      <c r="W933" s="13"/>
      <c r="X933" s="13"/>
      <c r="Y933" s="13"/>
      <c r="Z933" s="13"/>
      <c r="AA933" s="13"/>
      <c r="AB933" s="18"/>
      <c r="AC933" s="18"/>
      <c r="AD933" s="18"/>
      <c r="AE933" s="18"/>
      <c r="AF933" s="18"/>
      <c r="AG933" s="18"/>
      <c r="AH933" s="13"/>
      <c r="AI933" s="18"/>
      <c r="AJ933" s="13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3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2"/>
      <c r="BK933" s="12"/>
      <c r="BL933" s="12"/>
      <c r="BM933" s="9"/>
      <c r="BN933" s="9"/>
      <c r="BO933" s="9"/>
      <c r="BP933" s="12"/>
      <c r="BQ933" s="12"/>
      <c r="BR933" s="12"/>
      <c r="BS933" s="12"/>
      <c r="BT933" s="12"/>
      <c r="BU933" s="12"/>
      <c r="BV933" s="12"/>
      <c r="BW933" s="12"/>
      <c r="BX933" s="12"/>
      <c r="BY933" s="9"/>
      <c r="BZ933" s="21"/>
      <c r="CA933" s="21"/>
      <c r="CB933" s="21"/>
      <c r="CC933" s="21"/>
      <c r="CD933" s="21"/>
      <c r="CE933" s="21"/>
      <c r="CF933" s="21"/>
      <c r="CG933" s="21"/>
      <c r="CH933" s="21"/>
      <c r="CI933" s="21"/>
      <c r="CJ933" s="21"/>
    </row>
    <row r="934" spans="1:88" ht="40.5" customHeight="1">
      <c r="A934" s="9"/>
      <c r="B934" s="12"/>
      <c r="C934" s="9" t="s">
        <v>2431</v>
      </c>
      <c r="D934" s="9" t="s">
        <v>2351</v>
      </c>
      <c r="E934" s="12">
        <v>0</v>
      </c>
      <c r="F934" s="12">
        <v>0</v>
      </c>
      <c r="G934" s="12" t="b">
        <v>0</v>
      </c>
      <c r="H934" s="9" t="s">
        <v>75</v>
      </c>
      <c r="I934" s="10" t="s">
        <v>2432</v>
      </c>
      <c r="J934" s="9" t="s">
        <v>75</v>
      </c>
      <c r="K934" s="11" t="s">
        <v>2433</v>
      </c>
      <c r="L934" s="12"/>
      <c r="M934" s="12"/>
      <c r="N934" s="13"/>
      <c r="O934" s="16" t="s">
        <v>7</v>
      </c>
      <c r="P934" s="14" t="s">
        <v>79</v>
      </c>
      <c r="Q934" s="15" t="s">
        <v>2318</v>
      </c>
      <c r="R934" s="14" t="s">
        <v>75</v>
      </c>
      <c r="S934" s="14" t="s">
        <v>75</v>
      </c>
      <c r="T934" s="16" t="s">
        <v>81</v>
      </c>
      <c r="U934" s="17"/>
      <c r="V934" s="13"/>
      <c r="W934" s="13"/>
      <c r="X934" s="13"/>
      <c r="Y934" s="13"/>
      <c r="Z934" s="13"/>
      <c r="AA934" s="13"/>
      <c r="AB934" s="18"/>
      <c r="AC934" s="18"/>
      <c r="AD934" s="18"/>
      <c r="AE934" s="18"/>
      <c r="AF934" s="18"/>
      <c r="AG934" s="18"/>
      <c r="AH934" s="13"/>
      <c r="AI934" s="18"/>
      <c r="AJ934" s="13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3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2"/>
      <c r="BK934" s="12"/>
      <c r="BL934" s="12"/>
      <c r="BM934" s="9"/>
      <c r="BN934" s="9"/>
      <c r="BO934" s="9"/>
      <c r="BP934" s="12"/>
      <c r="BQ934" s="12"/>
      <c r="BR934" s="12"/>
      <c r="BS934" s="12"/>
      <c r="BT934" s="12"/>
      <c r="BU934" s="12"/>
      <c r="BV934" s="12"/>
      <c r="BW934" s="12"/>
      <c r="BX934" s="12"/>
      <c r="BY934" s="9"/>
      <c r="BZ934" s="21"/>
      <c r="CA934" s="21"/>
      <c r="CB934" s="21"/>
      <c r="CC934" s="21"/>
      <c r="CD934" s="21"/>
      <c r="CE934" s="21"/>
      <c r="CF934" s="21"/>
      <c r="CG934" s="21"/>
      <c r="CH934" s="21"/>
      <c r="CI934" s="21"/>
      <c r="CJ934" s="21"/>
    </row>
    <row r="935" spans="1:88" ht="40.5" customHeight="1">
      <c r="A935" s="9"/>
      <c r="B935" s="12"/>
      <c r="C935" s="9" t="s">
        <v>2434</v>
      </c>
      <c r="D935" s="9" t="s">
        <v>2351</v>
      </c>
      <c r="E935" s="12">
        <v>0</v>
      </c>
      <c r="F935" s="12">
        <v>0</v>
      </c>
      <c r="G935" s="12" t="b">
        <v>0</v>
      </c>
      <c r="H935" s="9" t="s">
        <v>75</v>
      </c>
      <c r="I935" s="10" t="s">
        <v>2435</v>
      </c>
      <c r="J935" s="9" t="s">
        <v>75</v>
      </c>
      <c r="K935" s="11" t="s">
        <v>2436</v>
      </c>
      <c r="L935" s="12"/>
      <c r="M935" s="12"/>
      <c r="N935" s="13"/>
      <c r="O935" s="16" t="s">
        <v>7</v>
      </c>
      <c r="P935" s="14" t="s">
        <v>79</v>
      </c>
      <c r="Q935" s="15" t="s">
        <v>2318</v>
      </c>
      <c r="R935" s="14" t="s">
        <v>75</v>
      </c>
      <c r="S935" s="14" t="s">
        <v>75</v>
      </c>
      <c r="T935" s="16" t="s">
        <v>81</v>
      </c>
      <c r="U935" s="17"/>
      <c r="V935" s="13"/>
      <c r="W935" s="13"/>
      <c r="X935" s="13"/>
      <c r="Y935" s="13"/>
      <c r="Z935" s="13"/>
      <c r="AA935" s="13"/>
      <c r="AB935" s="18"/>
      <c r="AC935" s="18"/>
      <c r="AD935" s="18"/>
      <c r="AE935" s="18"/>
      <c r="AF935" s="18"/>
      <c r="AG935" s="18"/>
      <c r="AH935" s="13"/>
      <c r="AI935" s="18"/>
      <c r="AJ935" s="13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3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2"/>
      <c r="BK935" s="12"/>
      <c r="BL935" s="12"/>
      <c r="BM935" s="9"/>
      <c r="BN935" s="9"/>
      <c r="BO935" s="9"/>
      <c r="BP935" s="12"/>
      <c r="BQ935" s="12"/>
      <c r="BR935" s="12"/>
      <c r="BS935" s="12"/>
      <c r="BT935" s="12"/>
      <c r="BU935" s="12"/>
      <c r="BV935" s="12"/>
      <c r="BW935" s="12"/>
      <c r="BX935" s="12"/>
      <c r="BY935" s="9"/>
      <c r="BZ935" s="21"/>
      <c r="CA935" s="21"/>
      <c r="CB935" s="21"/>
      <c r="CC935" s="21"/>
      <c r="CD935" s="21"/>
      <c r="CE935" s="21"/>
      <c r="CF935" s="21"/>
      <c r="CG935" s="21"/>
      <c r="CH935" s="21"/>
      <c r="CI935" s="21"/>
      <c r="CJ935" s="21"/>
    </row>
    <row r="936" spans="1:88" ht="40.5" customHeight="1">
      <c r="A936" s="9"/>
      <c r="B936" s="12"/>
      <c r="C936" s="9" t="s">
        <v>2437</v>
      </c>
      <c r="D936" s="9" t="s">
        <v>2351</v>
      </c>
      <c r="E936" s="12">
        <v>0</v>
      </c>
      <c r="F936" s="12">
        <v>0</v>
      </c>
      <c r="G936" s="12" t="b">
        <v>0</v>
      </c>
      <c r="H936" s="9" t="s">
        <v>75</v>
      </c>
      <c r="I936" s="10" t="s">
        <v>2438</v>
      </c>
      <c r="J936" s="9" t="s">
        <v>75</v>
      </c>
      <c r="K936" s="11" t="s">
        <v>2439</v>
      </c>
      <c r="L936" s="12"/>
      <c r="M936" s="12"/>
      <c r="N936" s="13"/>
      <c r="O936" s="16" t="s">
        <v>7</v>
      </c>
      <c r="P936" s="14" t="s">
        <v>79</v>
      </c>
      <c r="Q936" s="15" t="s">
        <v>2318</v>
      </c>
      <c r="R936" s="14" t="s">
        <v>75</v>
      </c>
      <c r="S936" s="14" t="s">
        <v>75</v>
      </c>
      <c r="T936" s="16" t="s">
        <v>81</v>
      </c>
      <c r="U936" s="17"/>
      <c r="V936" s="13"/>
      <c r="W936" s="13"/>
      <c r="X936" s="13"/>
      <c r="Y936" s="13"/>
      <c r="Z936" s="13"/>
      <c r="AA936" s="13"/>
      <c r="AB936" s="18"/>
      <c r="AC936" s="18"/>
      <c r="AD936" s="18"/>
      <c r="AE936" s="18"/>
      <c r="AF936" s="18"/>
      <c r="AG936" s="18"/>
      <c r="AH936" s="13"/>
      <c r="AI936" s="18"/>
      <c r="AJ936" s="13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3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2"/>
      <c r="BK936" s="12"/>
      <c r="BL936" s="12"/>
      <c r="BM936" s="9"/>
      <c r="BN936" s="9"/>
      <c r="BO936" s="9"/>
      <c r="BP936" s="12"/>
      <c r="BQ936" s="12"/>
      <c r="BR936" s="12"/>
      <c r="BS936" s="12"/>
      <c r="BT936" s="12"/>
      <c r="BU936" s="12"/>
      <c r="BV936" s="12"/>
      <c r="BW936" s="12"/>
      <c r="BX936" s="12"/>
      <c r="BY936" s="9"/>
      <c r="BZ936" s="21"/>
      <c r="CA936" s="21"/>
      <c r="CB936" s="21"/>
      <c r="CC936" s="21"/>
      <c r="CD936" s="21"/>
      <c r="CE936" s="21"/>
      <c r="CF936" s="21"/>
      <c r="CG936" s="21"/>
      <c r="CH936" s="21"/>
      <c r="CI936" s="21"/>
      <c r="CJ936" s="21"/>
    </row>
    <row r="937" spans="1:88" ht="40.5" customHeight="1">
      <c r="A937" s="9"/>
      <c r="B937" s="12"/>
      <c r="C937" s="9" t="s">
        <v>2440</v>
      </c>
      <c r="D937" s="9" t="s">
        <v>2351</v>
      </c>
      <c r="E937" s="12">
        <v>0</v>
      </c>
      <c r="F937" s="12">
        <v>0</v>
      </c>
      <c r="G937" s="12" t="b">
        <v>0</v>
      </c>
      <c r="H937" s="9" t="s">
        <v>75</v>
      </c>
      <c r="I937" s="10" t="s">
        <v>2441</v>
      </c>
      <c r="J937" s="9" t="s">
        <v>75</v>
      </c>
      <c r="K937" s="11" t="s">
        <v>2442</v>
      </c>
      <c r="L937" s="12"/>
      <c r="M937" s="12"/>
      <c r="N937" s="13"/>
      <c r="O937" s="16" t="s">
        <v>7</v>
      </c>
      <c r="P937" s="14" t="s">
        <v>79</v>
      </c>
      <c r="Q937" s="15" t="s">
        <v>2318</v>
      </c>
      <c r="R937" s="14" t="s">
        <v>75</v>
      </c>
      <c r="S937" s="14" t="s">
        <v>75</v>
      </c>
      <c r="T937" s="16" t="s">
        <v>81</v>
      </c>
      <c r="U937" s="17"/>
      <c r="V937" s="13"/>
      <c r="W937" s="13"/>
      <c r="X937" s="13"/>
      <c r="Y937" s="13"/>
      <c r="Z937" s="13"/>
      <c r="AA937" s="13"/>
      <c r="AB937" s="18"/>
      <c r="AC937" s="18"/>
      <c r="AD937" s="18"/>
      <c r="AE937" s="18"/>
      <c r="AF937" s="18"/>
      <c r="AG937" s="18"/>
      <c r="AH937" s="13"/>
      <c r="AI937" s="18"/>
      <c r="AJ937" s="13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3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2"/>
      <c r="BK937" s="12"/>
      <c r="BL937" s="12"/>
      <c r="BM937" s="9"/>
      <c r="BN937" s="9"/>
      <c r="BO937" s="9"/>
      <c r="BP937" s="12"/>
      <c r="BQ937" s="12"/>
      <c r="BR937" s="12"/>
      <c r="BS937" s="12"/>
      <c r="BT937" s="12"/>
      <c r="BU937" s="12"/>
      <c r="BV937" s="12"/>
      <c r="BW937" s="12"/>
      <c r="BX937" s="12"/>
      <c r="BY937" s="9"/>
      <c r="BZ937" s="21"/>
      <c r="CA937" s="21"/>
      <c r="CB937" s="21"/>
      <c r="CC937" s="21"/>
      <c r="CD937" s="21"/>
      <c r="CE937" s="21"/>
      <c r="CF937" s="21"/>
      <c r="CG937" s="21"/>
      <c r="CH937" s="21"/>
      <c r="CI937" s="21"/>
      <c r="CJ937" s="21"/>
    </row>
    <row r="938" spans="1:88" ht="40.5" customHeight="1">
      <c r="A938" s="9"/>
      <c r="B938" s="12"/>
      <c r="C938" s="9" t="s">
        <v>2443</v>
      </c>
      <c r="D938" s="9" t="s">
        <v>2351</v>
      </c>
      <c r="E938" s="12">
        <v>0</v>
      </c>
      <c r="F938" s="12">
        <v>0</v>
      </c>
      <c r="G938" s="12" t="b">
        <v>0</v>
      </c>
      <c r="H938" s="9" t="s">
        <v>75</v>
      </c>
      <c r="I938" s="10" t="s">
        <v>2444</v>
      </c>
      <c r="J938" s="9" t="s">
        <v>75</v>
      </c>
      <c r="K938" s="11" t="s">
        <v>2445</v>
      </c>
      <c r="L938" s="12"/>
      <c r="M938" s="12"/>
      <c r="N938" s="13"/>
      <c r="O938" s="16" t="s">
        <v>7</v>
      </c>
      <c r="P938" s="14" t="s">
        <v>79</v>
      </c>
      <c r="Q938" s="15" t="s">
        <v>2318</v>
      </c>
      <c r="R938" s="14" t="s">
        <v>75</v>
      </c>
      <c r="S938" s="14" t="s">
        <v>75</v>
      </c>
      <c r="T938" s="16" t="s">
        <v>81</v>
      </c>
      <c r="U938" s="17"/>
      <c r="V938" s="13"/>
      <c r="W938" s="13"/>
      <c r="X938" s="13"/>
      <c r="Y938" s="13"/>
      <c r="Z938" s="13"/>
      <c r="AA938" s="13"/>
      <c r="AB938" s="18"/>
      <c r="AC938" s="18"/>
      <c r="AD938" s="18"/>
      <c r="AE938" s="18"/>
      <c r="AF938" s="18"/>
      <c r="AG938" s="18"/>
      <c r="AH938" s="13"/>
      <c r="AI938" s="18"/>
      <c r="AJ938" s="13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3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2"/>
      <c r="BK938" s="12"/>
      <c r="BL938" s="12"/>
      <c r="BM938" s="9"/>
      <c r="BN938" s="9"/>
      <c r="BO938" s="9"/>
      <c r="BP938" s="12"/>
      <c r="BQ938" s="12"/>
      <c r="BR938" s="12"/>
      <c r="BS938" s="12"/>
      <c r="BT938" s="12"/>
      <c r="BU938" s="12"/>
      <c r="BV938" s="12"/>
      <c r="BW938" s="12"/>
      <c r="BX938" s="12"/>
      <c r="BY938" s="9"/>
      <c r="BZ938" s="21"/>
      <c r="CA938" s="21"/>
      <c r="CB938" s="21"/>
      <c r="CC938" s="21"/>
      <c r="CD938" s="21"/>
      <c r="CE938" s="21"/>
      <c r="CF938" s="21"/>
      <c r="CG938" s="21"/>
      <c r="CH938" s="21"/>
      <c r="CI938" s="21"/>
      <c r="CJ938" s="21"/>
    </row>
    <row r="939" spans="1:88" ht="40.5" customHeight="1">
      <c r="A939" s="9"/>
      <c r="B939" s="12"/>
      <c r="C939" s="9" t="s">
        <v>2446</v>
      </c>
      <c r="D939" s="9" t="s">
        <v>2351</v>
      </c>
      <c r="E939" s="12">
        <v>0</v>
      </c>
      <c r="F939" s="12">
        <v>0</v>
      </c>
      <c r="G939" s="12" t="b">
        <v>0</v>
      </c>
      <c r="H939" s="9" t="s">
        <v>75</v>
      </c>
      <c r="I939" s="10" t="s">
        <v>2447</v>
      </c>
      <c r="J939" s="9" t="s">
        <v>75</v>
      </c>
      <c r="K939" s="11" t="s">
        <v>2448</v>
      </c>
      <c r="L939" s="12"/>
      <c r="M939" s="12"/>
      <c r="N939" s="13"/>
      <c r="O939" s="16" t="s">
        <v>7</v>
      </c>
      <c r="P939" s="14" t="s">
        <v>79</v>
      </c>
      <c r="Q939" s="15" t="s">
        <v>2318</v>
      </c>
      <c r="R939" s="14" t="s">
        <v>75</v>
      </c>
      <c r="S939" s="14" t="s">
        <v>75</v>
      </c>
      <c r="T939" s="16" t="s">
        <v>81</v>
      </c>
      <c r="U939" s="17"/>
      <c r="V939" s="13"/>
      <c r="W939" s="13"/>
      <c r="X939" s="13"/>
      <c r="Y939" s="13"/>
      <c r="Z939" s="13"/>
      <c r="AA939" s="13"/>
      <c r="AB939" s="18"/>
      <c r="AC939" s="18"/>
      <c r="AD939" s="18"/>
      <c r="AE939" s="18"/>
      <c r="AF939" s="18"/>
      <c r="AG939" s="18"/>
      <c r="AH939" s="13"/>
      <c r="AI939" s="18"/>
      <c r="AJ939" s="13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3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2"/>
      <c r="BK939" s="12"/>
      <c r="BL939" s="12"/>
      <c r="BM939" s="9"/>
      <c r="BN939" s="9"/>
      <c r="BO939" s="9"/>
      <c r="BP939" s="12"/>
      <c r="BQ939" s="12"/>
      <c r="BR939" s="12"/>
      <c r="BS939" s="12"/>
      <c r="BT939" s="12"/>
      <c r="BU939" s="12"/>
      <c r="BV939" s="12"/>
      <c r="BW939" s="12"/>
      <c r="BX939" s="12"/>
      <c r="BY939" s="9"/>
      <c r="BZ939" s="21"/>
      <c r="CA939" s="21"/>
      <c r="CB939" s="21"/>
      <c r="CC939" s="21"/>
      <c r="CD939" s="21"/>
      <c r="CE939" s="21"/>
      <c r="CF939" s="21"/>
      <c r="CG939" s="21"/>
      <c r="CH939" s="21"/>
      <c r="CI939" s="21"/>
      <c r="CJ939" s="21"/>
    </row>
    <row r="940" spans="1:88" ht="40.5" customHeight="1">
      <c r="A940" s="9"/>
      <c r="B940" s="12"/>
      <c r="C940" s="9" t="s">
        <v>2449</v>
      </c>
      <c r="D940" s="9" t="s">
        <v>2351</v>
      </c>
      <c r="E940" s="12">
        <v>0</v>
      </c>
      <c r="F940" s="12">
        <v>0</v>
      </c>
      <c r="G940" s="12" t="b">
        <v>0</v>
      </c>
      <c r="H940" s="9" t="s">
        <v>75</v>
      </c>
      <c r="I940" s="10" t="s">
        <v>2450</v>
      </c>
      <c r="J940" s="9" t="s">
        <v>75</v>
      </c>
      <c r="K940" s="11" t="s">
        <v>2451</v>
      </c>
      <c r="L940" s="12"/>
      <c r="M940" s="12"/>
      <c r="N940" s="13"/>
      <c r="O940" s="16" t="s">
        <v>7</v>
      </c>
      <c r="P940" s="14" t="s">
        <v>79</v>
      </c>
      <c r="Q940" s="15" t="s">
        <v>2318</v>
      </c>
      <c r="R940" s="14" t="s">
        <v>75</v>
      </c>
      <c r="S940" s="14" t="s">
        <v>75</v>
      </c>
      <c r="T940" s="16" t="s">
        <v>81</v>
      </c>
      <c r="U940" s="17"/>
      <c r="V940" s="13"/>
      <c r="W940" s="13"/>
      <c r="X940" s="13"/>
      <c r="Y940" s="13"/>
      <c r="Z940" s="13"/>
      <c r="AA940" s="13"/>
      <c r="AB940" s="18"/>
      <c r="AC940" s="18"/>
      <c r="AD940" s="18"/>
      <c r="AE940" s="18"/>
      <c r="AF940" s="18"/>
      <c r="AG940" s="18"/>
      <c r="AH940" s="13"/>
      <c r="AI940" s="18"/>
      <c r="AJ940" s="13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3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2"/>
      <c r="BK940" s="12"/>
      <c r="BL940" s="12"/>
      <c r="BM940" s="9"/>
      <c r="BN940" s="9"/>
      <c r="BO940" s="9"/>
      <c r="BP940" s="12"/>
      <c r="BQ940" s="12"/>
      <c r="BR940" s="12"/>
      <c r="BS940" s="12"/>
      <c r="BT940" s="12"/>
      <c r="BU940" s="12"/>
      <c r="BV940" s="12"/>
      <c r="BW940" s="12"/>
      <c r="BX940" s="12"/>
      <c r="BY940" s="9"/>
      <c r="BZ940" s="21"/>
      <c r="CA940" s="21"/>
      <c r="CB940" s="21"/>
      <c r="CC940" s="21"/>
      <c r="CD940" s="21"/>
      <c r="CE940" s="21"/>
      <c r="CF940" s="21"/>
      <c r="CG940" s="21"/>
      <c r="CH940" s="21"/>
      <c r="CI940" s="21"/>
      <c r="CJ940" s="21"/>
    </row>
    <row r="941" spans="1:88" ht="40.5" customHeight="1">
      <c r="A941" s="9"/>
      <c r="B941" s="12"/>
      <c r="C941" s="9" t="s">
        <v>2452</v>
      </c>
      <c r="D941" s="9" t="s">
        <v>2351</v>
      </c>
      <c r="E941" s="12">
        <v>0</v>
      </c>
      <c r="F941" s="12">
        <v>0</v>
      </c>
      <c r="G941" s="12" t="b">
        <v>0</v>
      </c>
      <c r="H941" s="9" t="s">
        <v>75</v>
      </c>
      <c r="I941" s="10" t="s">
        <v>2453</v>
      </c>
      <c r="J941" s="9" t="s">
        <v>75</v>
      </c>
      <c r="K941" s="11" t="s">
        <v>2454</v>
      </c>
      <c r="L941" s="12"/>
      <c r="M941" s="12"/>
      <c r="N941" s="13"/>
      <c r="O941" s="13"/>
      <c r="P941" s="17"/>
      <c r="Q941" s="13"/>
      <c r="R941" s="17"/>
      <c r="S941" s="17"/>
      <c r="T941" s="13"/>
      <c r="U941" s="17"/>
      <c r="V941" s="13"/>
      <c r="W941" s="13"/>
      <c r="X941" s="13"/>
      <c r="Y941" s="13"/>
      <c r="Z941" s="13"/>
      <c r="AA941" s="13"/>
      <c r="AB941" s="18"/>
      <c r="AC941" s="18"/>
      <c r="AD941" s="18"/>
      <c r="AE941" s="18"/>
      <c r="AF941" s="18"/>
      <c r="AG941" s="18"/>
      <c r="AH941" s="13"/>
      <c r="AI941" s="18"/>
      <c r="AJ941" s="13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3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2"/>
      <c r="BK941" s="12"/>
      <c r="BL941" s="12"/>
      <c r="BM941" s="9"/>
      <c r="BN941" s="9"/>
      <c r="BO941" s="9"/>
      <c r="BP941" s="12"/>
      <c r="BQ941" s="12"/>
      <c r="BR941" s="12"/>
      <c r="BS941" s="12"/>
      <c r="BT941" s="12"/>
      <c r="BU941" s="12"/>
      <c r="BV941" s="12"/>
      <c r="BW941" s="12"/>
      <c r="BX941" s="12"/>
      <c r="BY941" s="9"/>
      <c r="BZ941" s="21"/>
      <c r="CA941" s="21"/>
      <c r="CB941" s="21"/>
      <c r="CC941" s="21"/>
      <c r="CD941" s="21"/>
      <c r="CE941" s="21"/>
      <c r="CF941" s="21"/>
      <c r="CG941" s="21"/>
      <c r="CH941" s="21"/>
      <c r="CI941" s="21"/>
      <c r="CJ941" s="21"/>
    </row>
    <row r="942" spans="1:88" ht="40.5" customHeight="1">
      <c r="A942" s="9"/>
      <c r="B942" s="12"/>
      <c r="C942" s="9" t="s">
        <v>2455</v>
      </c>
      <c r="D942" s="9" t="s">
        <v>2351</v>
      </c>
      <c r="E942" s="12">
        <v>0</v>
      </c>
      <c r="F942" s="12">
        <v>0</v>
      </c>
      <c r="G942" s="12" t="b">
        <v>0</v>
      </c>
      <c r="H942" s="9" t="s">
        <v>75</v>
      </c>
      <c r="I942" s="10" t="s">
        <v>2456</v>
      </c>
      <c r="J942" s="9" t="s">
        <v>75</v>
      </c>
      <c r="K942" s="11" t="s">
        <v>2457</v>
      </c>
      <c r="L942" s="12"/>
      <c r="M942" s="12"/>
      <c r="N942" s="13"/>
      <c r="O942" s="13"/>
      <c r="P942" s="17"/>
      <c r="Q942" s="13"/>
      <c r="R942" s="17"/>
      <c r="S942" s="17"/>
      <c r="T942" s="13"/>
      <c r="U942" s="17"/>
      <c r="V942" s="13"/>
      <c r="W942" s="13"/>
      <c r="X942" s="13"/>
      <c r="Y942" s="13"/>
      <c r="Z942" s="13"/>
      <c r="AA942" s="13"/>
      <c r="AB942" s="18"/>
      <c r="AC942" s="18"/>
      <c r="AD942" s="18"/>
      <c r="AE942" s="18"/>
      <c r="AF942" s="18"/>
      <c r="AG942" s="18"/>
      <c r="AH942" s="13"/>
      <c r="AI942" s="18"/>
      <c r="AJ942" s="13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3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2"/>
      <c r="BK942" s="12"/>
      <c r="BL942" s="12"/>
      <c r="BM942" s="9"/>
      <c r="BN942" s="9"/>
      <c r="BO942" s="9"/>
      <c r="BP942" s="12"/>
      <c r="BQ942" s="12"/>
      <c r="BR942" s="12"/>
      <c r="BS942" s="12"/>
      <c r="BT942" s="12"/>
      <c r="BU942" s="12"/>
      <c r="BV942" s="12"/>
      <c r="BW942" s="12"/>
      <c r="BX942" s="12"/>
      <c r="BY942" s="9"/>
      <c r="BZ942" s="21"/>
      <c r="CA942" s="21"/>
      <c r="CB942" s="21"/>
      <c r="CC942" s="21"/>
      <c r="CD942" s="21"/>
      <c r="CE942" s="21"/>
      <c r="CF942" s="21"/>
      <c r="CG942" s="21"/>
      <c r="CH942" s="21"/>
      <c r="CI942" s="21"/>
      <c r="CJ942" s="21"/>
    </row>
    <row r="943" spans="1:88" ht="40.5" customHeight="1">
      <c r="A943" s="9"/>
      <c r="B943" s="12"/>
      <c r="C943" s="9" t="s">
        <v>2458</v>
      </c>
      <c r="D943" s="9" t="s">
        <v>2351</v>
      </c>
      <c r="E943" s="12">
        <v>0</v>
      </c>
      <c r="F943" s="12">
        <v>0</v>
      </c>
      <c r="G943" s="12" t="b">
        <v>0</v>
      </c>
      <c r="H943" s="9" t="s">
        <v>75</v>
      </c>
      <c r="I943" s="10" t="s">
        <v>2459</v>
      </c>
      <c r="J943" s="9" t="s">
        <v>75</v>
      </c>
      <c r="K943" s="9" t="s">
        <v>79</v>
      </c>
      <c r="L943" s="12"/>
      <c r="M943" s="12"/>
      <c r="N943" s="13"/>
      <c r="O943" s="13"/>
      <c r="P943" s="17"/>
      <c r="Q943" s="13"/>
      <c r="R943" s="17"/>
      <c r="S943" s="17"/>
      <c r="T943" s="13"/>
      <c r="U943" s="17"/>
      <c r="V943" s="13"/>
      <c r="W943" s="13"/>
      <c r="X943" s="13"/>
      <c r="Y943" s="13"/>
      <c r="Z943" s="13"/>
      <c r="AA943" s="13"/>
      <c r="AB943" s="18"/>
      <c r="AC943" s="18"/>
      <c r="AD943" s="18"/>
      <c r="AE943" s="18"/>
      <c r="AF943" s="18"/>
      <c r="AG943" s="18"/>
      <c r="AH943" s="13"/>
      <c r="AI943" s="18"/>
      <c r="AJ943" s="13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3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2"/>
      <c r="BK943" s="12"/>
      <c r="BL943" s="12"/>
      <c r="BM943" s="9"/>
      <c r="BN943" s="9"/>
      <c r="BO943" s="9"/>
      <c r="BP943" s="12"/>
      <c r="BQ943" s="12"/>
      <c r="BR943" s="12"/>
      <c r="BS943" s="12"/>
      <c r="BT943" s="12"/>
      <c r="BU943" s="12"/>
      <c r="BV943" s="12"/>
      <c r="BW943" s="12"/>
      <c r="BX943" s="12"/>
      <c r="BY943" s="9"/>
      <c r="BZ943" s="21"/>
      <c r="CA943" s="21"/>
      <c r="CB943" s="21"/>
      <c r="CC943" s="21"/>
      <c r="CD943" s="21"/>
      <c r="CE943" s="21"/>
      <c r="CF943" s="21"/>
      <c r="CG943" s="21"/>
      <c r="CH943" s="21"/>
      <c r="CI943" s="21"/>
      <c r="CJ943" s="21"/>
    </row>
    <row r="944" spans="1:88" ht="40.5" customHeight="1">
      <c r="A944" s="9"/>
      <c r="B944" s="12"/>
      <c r="C944" s="9" t="s">
        <v>2460</v>
      </c>
      <c r="D944" s="9" t="s">
        <v>2351</v>
      </c>
      <c r="E944" s="12">
        <v>0</v>
      </c>
      <c r="F944" s="12">
        <v>0</v>
      </c>
      <c r="G944" s="12" t="b">
        <v>0</v>
      </c>
      <c r="H944" s="9" t="s">
        <v>75</v>
      </c>
      <c r="I944" s="10" t="s">
        <v>2461</v>
      </c>
      <c r="J944" s="9" t="s">
        <v>75</v>
      </c>
      <c r="K944" s="11" t="s">
        <v>2462</v>
      </c>
      <c r="L944" s="12"/>
      <c r="M944" s="12"/>
      <c r="N944" s="13"/>
      <c r="O944" s="16" t="s">
        <v>7</v>
      </c>
      <c r="P944" s="14" t="s">
        <v>79</v>
      </c>
      <c r="Q944" s="15" t="s">
        <v>2318</v>
      </c>
      <c r="R944" s="14" t="s">
        <v>75</v>
      </c>
      <c r="S944" s="14" t="s">
        <v>75</v>
      </c>
      <c r="T944" s="16" t="s">
        <v>81</v>
      </c>
      <c r="U944" s="17"/>
      <c r="V944" s="13"/>
      <c r="W944" s="13"/>
      <c r="X944" s="13"/>
      <c r="Y944" s="13"/>
      <c r="Z944" s="13"/>
      <c r="AA944" s="13"/>
      <c r="AB944" s="18"/>
      <c r="AC944" s="18"/>
      <c r="AD944" s="18"/>
      <c r="AE944" s="18"/>
      <c r="AF944" s="18"/>
      <c r="AG944" s="18"/>
      <c r="AH944" s="13"/>
      <c r="AI944" s="18"/>
      <c r="AJ944" s="13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3"/>
      <c r="AY944" s="1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  <c r="BJ944" s="12"/>
      <c r="BK944" s="12"/>
      <c r="BL944" s="12"/>
      <c r="BM944" s="9"/>
      <c r="BN944" s="9"/>
      <c r="BO944" s="9"/>
      <c r="BP944" s="12"/>
      <c r="BQ944" s="12"/>
      <c r="BR944" s="12"/>
      <c r="BS944" s="12"/>
      <c r="BT944" s="12"/>
      <c r="BU944" s="12"/>
      <c r="BV944" s="12"/>
      <c r="BW944" s="12"/>
      <c r="BX944" s="12"/>
      <c r="BY944" s="9"/>
      <c r="BZ944" s="21"/>
      <c r="CA944" s="21"/>
      <c r="CB944" s="21"/>
      <c r="CC944" s="21"/>
      <c r="CD944" s="21"/>
      <c r="CE944" s="21"/>
      <c r="CF944" s="21"/>
      <c r="CG944" s="21"/>
      <c r="CH944" s="21"/>
      <c r="CI944" s="21"/>
      <c r="CJ944" s="21"/>
    </row>
    <row r="945" spans="1:88" ht="40.5" customHeight="1">
      <c r="A945" s="9"/>
      <c r="B945" s="12"/>
      <c r="C945" s="9" t="s">
        <v>2463</v>
      </c>
      <c r="D945" s="9" t="s">
        <v>2351</v>
      </c>
      <c r="E945" s="12">
        <v>0</v>
      </c>
      <c r="F945" s="12">
        <v>0</v>
      </c>
      <c r="G945" s="12" t="b">
        <v>0</v>
      </c>
      <c r="H945" s="9" t="s">
        <v>75</v>
      </c>
      <c r="I945" s="10" t="s">
        <v>2464</v>
      </c>
      <c r="J945" s="9" t="s">
        <v>75</v>
      </c>
      <c r="K945" s="11" t="s">
        <v>2465</v>
      </c>
      <c r="L945" s="12"/>
      <c r="M945" s="12"/>
      <c r="N945" s="13"/>
      <c r="O945" s="13"/>
      <c r="P945" s="17"/>
      <c r="Q945" s="13"/>
      <c r="R945" s="17"/>
      <c r="S945" s="17"/>
      <c r="T945" s="13"/>
      <c r="U945" s="17"/>
      <c r="V945" s="13"/>
      <c r="W945" s="13"/>
      <c r="X945" s="13"/>
      <c r="Y945" s="13"/>
      <c r="Z945" s="13"/>
      <c r="AA945" s="13"/>
      <c r="AB945" s="18"/>
      <c r="AC945" s="18"/>
      <c r="AD945" s="18"/>
      <c r="AE945" s="18"/>
      <c r="AF945" s="18"/>
      <c r="AG945" s="18"/>
      <c r="AH945" s="13"/>
      <c r="AI945" s="18"/>
      <c r="AJ945" s="13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3"/>
      <c r="AY945" s="1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  <c r="BJ945" s="12"/>
      <c r="BK945" s="12"/>
      <c r="BL945" s="12"/>
      <c r="BM945" s="9"/>
      <c r="BN945" s="9"/>
      <c r="BO945" s="9"/>
      <c r="BP945" s="12"/>
      <c r="BQ945" s="12"/>
      <c r="BR945" s="12"/>
      <c r="BS945" s="12"/>
      <c r="BT945" s="12"/>
      <c r="BU945" s="12"/>
      <c r="BV945" s="12"/>
      <c r="BW945" s="12"/>
      <c r="BX945" s="12"/>
      <c r="BY945" s="9"/>
      <c r="BZ945" s="21"/>
      <c r="CA945" s="21"/>
      <c r="CB945" s="21"/>
      <c r="CC945" s="21"/>
      <c r="CD945" s="21"/>
      <c r="CE945" s="21"/>
      <c r="CF945" s="21"/>
      <c r="CG945" s="21"/>
      <c r="CH945" s="21"/>
      <c r="CI945" s="21"/>
      <c r="CJ945" s="21"/>
    </row>
    <row r="946" spans="1:88" ht="40.5" customHeight="1">
      <c r="A946" s="9"/>
      <c r="B946" s="12"/>
      <c r="C946" s="9" t="s">
        <v>2466</v>
      </c>
      <c r="D946" s="9" t="s">
        <v>2351</v>
      </c>
      <c r="E946" s="12">
        <v>0</v>
      </c>
      <c r="F946" s="12">
        <v>0</v>
      </c>
      <c r="G946" s="12" t="b">
        <v>0</v>
      </c>
      <c r="H946" s="9" t="s">
        <v>75</v>
      </c>
      <c r="I946" s="10" t="s">
        <v>2467</v>
      </c>
      <c r="J946" s="9" t="s">
        <v>75</v>
      </c>
      <c r="K946" s="11" t="s">
        <v>2468</v>
      </c>
      <c r="L946" s="12"/>
      <c r="M946" s="12"/>
      <c r="N946" s="13"/>
      <c r="O946" s="13"/>
      <c r="P946" s="17"/>
      <c r="Q946" s="13"/>
      <c r="R946" s="17"/>
      <c r="S946" s="17"/>
      <c r="T946" s="13"/>
      <c r="U946" s="17"/>
      <c r="V946" s="13"/>
      <c r="W946" s="13"/>
      <c r="X946" s="13"/>
      <c r="Y946" s="13"/>
      <c r="Z946" s="13"/>
      <c r="AA946" s="13"/>
      <c r="AB946" s="18"/>
      <c r="AC946" s="18"/>
      <c r="AD946" s="18"/>
      <c r="AE946" s="18"/>
      <c r="AF946" s="18"/>
      <c r="AG946" s="18"/>
      <c r="AH946" s="13"/>
      <c r="AI946" s="18"/>
      <c r="AJ946" s="13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3"/>
      <c r="AY946" s="1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  <c r="BJ946" s="12"/>
      <c r="BK946" s="12"/>
      <c r="BL946" s="12"/>
      <c r="BM946" s="9"/>
      <c r="BN946" s="9"/>
      <c r="BO946" s="9"/>
      <c r="BP946" s="12"/>
      <c r="BQ946" s="12"/>
      <c r="BR946" s="12"/>
      <c r="BS946" s="12"/>
      <c r="BT946" s="12"/>
      <c r="BU946" s="12"/>
      <c r="BV946" s="12"/>
      <c r="BW946" s="12"/>
      <c r="BX946" s="12"/>
      <c r="BY946" s="9"/>
      <c r="BZ946" s="21"/>
      <c r="CA946" s="21"/>
      <c r="CB946" s="21"/>
      <c r="CC946" s="21"/>
      <c r="CD946" s="21"/>
      <c r="CE946" s="21"/>
      <c r="CF946" s="21"/>
      <c r="CG946" s="21"/>
      <c r="CH946" s="21"/>
      <c r="CI946" s="21"/>
      <c r="CJ946" s="21"/>
    </row>
    <row r="947" spans="1:88" ht="40.5" customHeight="1">
      <c r="A947" s="9"/>
      <c r="B947" s="12"/>
      <c r="C947" s="9" t="s">
        <v>2469</v>
      </c>
      <c r="D947" s="9" t="s">
        <v>2351</v>
      </c>
      <c r="E947" s="12">
        <v>0</v>
      </c>
      <c r="F947" s="12">
        <v>0</v>
      </c>
      <c r="G947" s="12" t="b">
        <v>0</v>
      </c>
      <c r="H947" s="9" t="s">
        <v>75</v>
      </c>
      <c r="I947" s="10" t="s">
        <v>2470</v>
      </c>
      <c r="J947" s="9" t="s">
        <v>75</v>
      </c>
      <c r="K947" s="11" t="s">
        <v>2471</v>
      </c>
      <c r="L947" s="12"/>
      <c r="M947" s="12"/>
      <c r="N947" s="13"/>
      <c r="O947" s="13"/>
      <c r="P947" s="17"/>
      <c r="Q947" s="13"/>
      <c r="R947" s="17"/>
      <c r="S947" s="17"/>
      <c r="T947" s="13"/>
      <c r="U947" s="17"/>
      <c r="V947" s="13"/>
      <c r="W947" s="13"/>
      <c r="X947" s="13"/>
      <c r="Y947" s="13"/>
      <c r="Z947" s="13"/>
      <c r="AA947" s="13"/>
      <c r="AB947" s="18"/>
      <c r="AC947" s="18"/>
      <c r="AD947" s="18"/>
      <c r="AE947" s="18"/>
      <c r="AF947" s="18"/>
      <c r="AG947" s="18"/>
      <c r="AH947" s="13"/>
      <c r="AI947" s="18"/>
      <c r="AJ947" s="13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3"/>
      <c r="AY947" s="1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  <c r="BJ947" s="12"/>
      <c r="BK947" s="12"/>
      <c r="BL947" s="12"/>
      <c r="BM947" s="9"/>
      <c r="BN947" s="9"/>
      <c r="BO947" s="9"/>
      <c r="BP947" s="12"/>
      <c r="BQ947" s="12"/>
      <c r="BR947" s="12"/>
      <c r="BS947" s="12"/>
      <c r="BT947" s="12"/>
      <c r="BU947" s="12"/>
      <c r="BV947" s="12"/>
      <c r="BW947" s="12"/>
      <c r="BX947" s="12"/>
      <c r="BY947" s="9"/>
      <c r="BZ947" s="21"/>
      <c r="CA947" s="21"/>
      <c r="CB947" s="21"/>
      <c r="CC947" s="21"/>
      <c r="CD947" s="21"/>
      <c r="CE947" s="21"/>
      <c r="CF947" s="21"/>
      <c r="CG947" s="21"/>
      <c r="CH947" s="21"/>
      <c r="CI947" s="21"/>
      <c r="CJ947" s="21"/>
    </row>
    <row r="948" spans="1:88" ht="40.5" customHeight="1">
      <c r="A948" s="9"/>
      <c r="B948" s="12"/>
      <c r="C948" s="9" t="s">
        <v>2472</v>
      </c>
      <c r="D948" s="9" t="s">
        <v>2351</v>
      </c>
      <c r="E948" s="12">
        <v>0</v>
      </c>
      <c r="F948" s="12">
        <v>0</v>
      </c>
      <c r="G948" s="12" t="b">
        <v>0</v>
      </c>
      <c r="H948" s="9" t="s">
        <v>75</v>
      </c>
      <c r="I948" s="10" t="s">
        <v>2473</v>
      </c>
      <c r="J948" s="9" t="s">
        <v>75</v>
      </c>
      <c r="K948" s="11" t="s">
        <v>2474</v>
      </c>
      <c r="L948" s="12"/>
      <c r="M948" s="12"/>
      <c r="N948" s="13"/>
      <c r="O948" s="13"/>
      <c r="P948" s="17"/>
      <c r="Q948" s="13"/>
      <c r="R948" s="17"/>
      <c r="S948" s="17"/>
      <c r="T948" s="13"/>
      <c r="U948" s="17"/>
      <c r="V948" s="13"/>
      <c r="W948" s="13"/>
      <c r="X948" s="13"/>
      <c r="Y948" s="13"/>
      <c r="Z948" s="13"/>
      <c r="AA948" s="13"/>
      <c r="AB948" s="18"/>
      <c r="AC948" s="18"/>
      <c r="AD948" s="18"/>
      <c r="AE948" s="18"/>
      <c r="AF948" s="18"/>
      <c r="AG948" s="18"/>
      <c r="AH948" s="13"/>
      <c r="AI948" s="18"/>
      <c r="AJ948" s="13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3"/>
      <c r="AY948" s="1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  <c r="BJ948" s="12"/>
      <c r="BK948" s="12"/>
      <c r="BL948" s="12"/>
      <c r="BM948" s="9"/>
      <c r="BN948" s="9"/>
      <c r="BO948" s="9"/>
      <c r="BP948" s="12"/>
      <c r="BQ948" s="12"/>
      <c r="BR948" s="12"/>
      <c r="BS948" s="12"/>
      <c r="BT948" s="12"/>
      <c r="BU948" s="12"/>
      <c r="BV948" s="12"/>
      <c r="BW948" s="12"/>
      <c r="BX948" s="12"/>
      <c r="BY948" s="9"/>
      <c r="BZ948" s="21"/>
      <c r="CA948" s="21"/>
      <c r="CB948" s="21"/>
      <c r="CC948" s="21"/>
      <c r="CD948" s="21"/>
      <c r="CE948" s="21"/>
      <c r="CF948" s="21"/>
      <c r="CG948" s="21"/>
      <c r="CH948" s="21"/>
      <c r="CI948" s="21"/>
      <c r="CJ948" s="21"/>
    </row>
    <row r="949" spans="1:88" ht="40.5" customHeight="1">
      <c r="A949" s="9"/>
      <c r="B949" s="12"/>
      <c r="C949" s="9" t="s">
        <v>2475</v>
      </c>
      <c r="D949" s="9" t="s">
        <v>2351</v>
      </c>
      <c r="E949" s="12">
        <v>0</v>
      </c>
      <c r="F949" s="12">
        <v>0</v>
      </c>
      <c r="G949" s="12" t="b">
        <v>0</v>
      </c>
      <c r="H949" s="9" t="s">
        <v>75</v>
      </c>
      <c r="I949" s="10" t="s">
        <v>2476</v>
      </c>
      <c r="J949" s="9" t="s">
        <v>75</v>
      </c>
      <c r="K949" s="11" t="s">
        <v>2477</v>
      </c>
      <c r="L949" s="12"/>
      <c r="M949" s="12"/>
      <c r="N949" s="13"/>
      <c r="O949" s="13"/>
      <c r="P949" s="17"/>
      <c r="Q949" s="13"/>
      <c r="R949" s="17"/>
      <c r="S949" s="17"/>
      <c r="T949" s="13"/>
      <c r="U949" s="17"/>
      <c r="V949" s="13"/>
      <c r="W949" s="13"/>
      <c r="X949" s="13"/>
      <c r="Y949" s="13"/>
      <c r="Z949" s="13"/>
      <c r="AA949" s="13"/>
      <c r="AB949" s="18"/>
      <c r="AC949" s="18"/>
      <c r="AD949" s="18"/>
      <c r="AE949" s="18"/>
      <c r="AF949" s="18"/>
      <c r="AG949" s="18"/>
      <c r="AH949" s="13"/>
      <c r="AI949" s="18"/>
      <c r="AJ949" s="13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3"/>
      <c r="AY949" s="1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  <c r="BJ949" s="12"/>
      <c r="BK949" s="12"/>
      <c r="BL949" s="12"/>
      <c r="BM949" s="9"/>
      <c r="BN949" s="9"/>
      <c r="BO949" s="9"/>
      <c r="BP949" s="12"/>
      <c r="BQ949" s="12"/>
      <c r="BR949" s="12"/>
      <c r="BS949" s="12"/>
      <c r="BT949" s="12"/>
      <c r="BU949" s="12"/>
      <c r="BV949" s="12"/>
      <c r="BW949" s="12"/>
      <c r="BX949" s="12"/>
      <c r="BY949" s="9"/>
      <c r="BZ949" s="21"/>
      <c r="CA949" s="21"/>
      <c r="CB949" s="21"/>
      <c r="CC949" s="21"/>
      <c r="CD949" s="21"/>
      <c r="CE949" s="21"/>
      <c r="CF949" s="21"/>
      <c r="CG949" s="21"/>
      <c r="CH949" s="21"/>
      <c r="CI949" s="21"/>
      <c r="CJ949" s="21"/>
    </row>
    <row r="950" spans="1:88" ht="40.5" customHeight="1">
      <c r="A950" s="9"/>
      <c r="B950" s="12"/>
      <c r="C950" s="9" t="s">
        <v>2478</v>
      </c>
      <c r="D950" s="9" t="s">
        <v>2351</v>
      </c>
      <c r="E950" s="12">
        <v>0</v>
      </c>
      <c r="F950" s="12">
        <v>0</v>
      </c>
      <c r="G950" s="12" t="b">
        <v>0</v>
      </c>
      <c r="H950" s="9" t="s">
        <v>75</v>
      </c>
      <c r="I950" s="10" t="s">
        <v>2479</v>
      </c>
      <c r="J950" s="9" t="s">
        <v>75</v>
      </c>
      <c r="K950" s="9" t="s">
        <v>79</v>
      </c>
      <c r="L950" s="12"/>
      <c r="M950" s="12"/>
      <c r="N950" s="13"/>
      <c r="O950" s="13"/>
      <c r="P950" s="17"/>
      <c r="Q950" s="13"/>
      <c r="R950" s="17"/>
      <c r="S950" s="17"/>
      <c r="T950" s="13"/>
      <c r="U950" s="17"/>
      <c r="V950" s="13"/>
      <c r="W950" s="13"/>
      <c r="X950" s="13"/>
      <c r="Y950" s="13"/>
      <c r="Z950" s="13"/>
      <c r="AA950" s="13"/>
      <c r="AB950" s="18"/>
      <c r="AC950" s="18"/>
      <c r="AD950" s="18"/>
      <c r="AE950" s="18"/>
      <c r="AF950" s="18"/>
      <c r="AG950" s="18"/>
      <c r="AH950" s="13"/>
      <c r="AI950" s="18"/>
      <c r="AJ950" s="13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3"/>
      <c r="AY950" s="1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  <c r="BJ950" s="12"/>
      <c r="BK950" s="12"/>
      <c r="BL950" s="12"/>
      <c r="BM950" s="9"/>
      <c r="BN950" s="9"/>
      <c r="BO950" s="9"/>
      <c r="BP950" s="12"/>
      <c r="BQ950" s="12"/>
      <c r="BR950" s="12"/>
      <c r="BS950" s="12"/>
      <c r="BT950" s="12"/>
      <c r="BU950" s="12"/>
      <c r="BV950" s="12"/>
      <c r="BW950" s="12"/>
      <c r="BX950" s="12"/>
      <c r="BY950" s="9"/>
      <c r="BZ950" s="21"/>
      <c r="CA950" s="21"/>
      <c r="CB950" s="21"/>
      <c r="CC950" s="21"/>
      <c r="CD950" s="21"/>
      <c r="CE950" s="21"/>
      <c r="CF950" s="21"/>
      <c r="CG950" s="21"/>
      <c r="CH950" s="21"/>
      <c r="CI950" s="21"/>
      <c r="CJ950" s="21"/>
    </row>
    <row r="951" spans="1:88" ht="40.5" customHeight="1">
      <c r="A951" s="9"/>
      <c r="B951" s="12"/>
      <c r="C951" s="9" t="s">
        <v>2480</v>
      </c>
      <c r="D951" s="9" t="s">
        <v>2351</v>
      </c>
      <c r="E951" s="12">
        <v>0</v>
      </c>
      <c r="F951" s="12">
        <v>0</v>
      </c>
      <c r="G951" s="12" t="b">
        <v>0</v>
      </c>
      <c r="H951" s="9" t="s">
        <v>75</v>
      </c>
      <c r="I951" s="10" t="s">
        <v>2481</v>
      </c>
      <c r="J951" s="9" t="s">
        <v>75</v>
      </c>
      <c r="K951" s="11" t="s">
        <v>2482</v>
      </c>
      <c r="L951" s="12"/>
      <c r="M951" s="12"/>
      <c r="N951" s="13"/>
      <c r="O951" s="13"/>
      <c r="P951" s="17"/>
      <c r="Q951" s="13"/>
      <c r="R951" s="17"/>
      <c r="S951" s="17"/>
      <c r="T951" s="13"/>
      <c r="U951" s="17"/>
      <c r="V951" s="13"/>
      <c r="W951" s="13"/>
      <c r="X951" s="13"/>
      <c r="Y951" s="13"/>
      <c r="Z951" s="13"/>
      <c r="AA951" s="13"/>
      <c r="AB951" s="18"/>
      <c r="AC951" s="18"/>
      <c r="AD951" s="18"/>
      <c r="AE951" s="18"/>
      <c r="AF951" s="18"/>
      <c r="AG951" s="18"/>
      <c r="AH951" s="13"/>
      <c r="AI951" s="18"/>
      <c r="AJ951" s="13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3"/>
      <c r="AY951" s="1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  <c r="BJ951" s="12"/>
      <c r="BK951" s="12"/>
      <c r="BL951" s="12"/>
      <c r="BM951" s="9"/>
      <c r="BN951" s="9"/>
      <c r="BO951" s="9"/>
      <c r="BP951" s="12"/>
      <c r="BQ951" s="12"/>
      <c r="BR951" s="12"/>
      <c r="BS951" s="12"/>
      <c r="BT951" s="12"/>
      <c r="BU951" s="12"/>
      <c r="BV951" s="12"/>
      <c r="BW951" s="12"/>
      <c r="BX951" s="12"/>
      <c r="BY951" s="9"/>
      <c r="BZ951" s="21"/>
      <c r="CA951" s="21"/>
      <c r="CB951" s="21"/>
      <c r="CC951" s="21"/>
      <c r="CD951" s="21"/>
      <c r="CE951" s="21"/>
      <c r="CF951" s="21"/>
      <c r="CG951" s="21"/>
      <c r="CH951" s="21"/>
      <c r="CI951" s="21"/>
      <c r="CJ951" s="21"/>
    </row>
    <row r="952" spans="1:88" ht="40.5" customHeight="1">
      <c r="A952" s="9"/>
      <c r="B952" s="12"/>
      <c r="C952" s="9" t="s">
        <v>2483</v>
      </c>
      <c r="D952" s="9" t="s">
        <v>2351</v>
      </c>
      <c r="E952" s="12">
        <v>0</v>
      </c>
      <c r="F952" s="12">
        <v>0</v>
      </c>
      <c r="G952" s="12" t="b">
        <v>0</v>
      </c>
      <c r="H952" s="9" t="s">
        <v>75</v>
      </c>
      <c r="I952" s="10" t="s">
        <v>2484</v>
      </c>
      <c r="J952" s="9" t="s">
        <v>75</v>
      </c>
      <c r="K952" s="11" t="s">
        <v>2485</v>
      </c>
      <c r="L952" s="12"/>
      <c r="M952" s="12"/>
      <c r="N952" s="13"/>
      <c r="O952" s="13"/>
      <c r="P952" s="17"/>
      <c r="Q952" s="13"/>
      <c r="R952" s="17"/>
      <c r="S952" s="17"/>
      <c r="T952" s="13"/>
      <c r="U952" s="17"/>
      <c r="V952" s="13"/>
      <c r="W952" s="13"/>
      <c r="X952" s="13"/>
      <c r="Y952" s="13"/>
      <c r="Z952" s="13"/>
      <c r="AA952" s="13"/>
      <c r="AB952" s="18"/>
      <c r="AC952" s="18"/>
      <c r="AD952" s="18"/>
      <c r="AE952" s="18"/>
      <c r="AF952" s="18"/>
      <c r="AG952" s="18"/>
      <c r="AH952" s="13"/>
      <c r="AI952" s="18"/>
      <c r="AJ952" s="13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3"/>
      <c r="AY952" s="1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  <c r="BJ952" s="12"/>
      <c r="BK952" s="12"/>
      <c r="BL952" s="12"/>
      <c r="BM952" s="9"/>
      <c r="BN952" s="9"/>
      <c r="BO952" s="9"/>
      <c r="BP952" s="12"/>
      <c r="BQ952" s="12"/>
      <c r="BR952" s="12"/>
      <c r="BS952" s="12"/>
      <c r="BT952" s="12"/>
      <c r="BU952" s="12"/>
      <c r="BV952" s="12"/>
      <c r="BW952" s="12"/>
      <c r="BX952" s="12"/>
      <c r="BY952" s="9"/>
      <c r="BZ952" s="21"/>
      <c r="CA952" s="21"/>
      <c r="CB952" s="21"/>
      <c r="CC952" s="21"/>
      <c r="CD952" s="21"/>
      <c r="CE952" s="21"/>
      <c r="CF952" s="21"/>
      <c r="CG952" s="21"/>
      <c r="CH952" s="21"/>
      <c r="CI952" s="21"/>
      <c r="CJ952" s="21"/>
    </row>
    <row r="953" spans="1:88" ht="40.5" customHeight="1">
      <c r="A953" s="9"/>
      <c r="B953" s="12"/>
      <c r="C953" s="9" t="s">
        <v>2486</v>
      </c>
      <c r="D953" s="9" t="s">
        <v>2351</v>
      </c>
      <c r="E953" s="12">
        <v>0</v>
      </c>
      <c r="F953" s="12">
        <v>0</v>
      </c>
      <c r="G953" s="12" t="b">
        <v>0</v>
      </c>
      <c r="H953" s="9" t="s">
        <v>75</v>
      </c>
      <c r="I953" s="10" t="s">
        <v>2487</v>
      </c>
      <c r="J953" s="9" t="s">
        <v>75</v>
      </c>
      <c r="K953" s="11" t="s">
        <v>2488</v>
      </c>
      <c r="L953" s="12"/>
      <c r="M953" s="12"/>
      <c r="N953" s="13"/>
      <c r="O953" s="13"/>
      <c r="P953" s="17"/>
      <c r="Q953" s="13"/>
      <c r="R953" s="17"/>
      <c r="S953" s="17"/>
      <c r="T953" s="13"/>
      <c r="U953" s="17"/>
      <c r="V953" s="13"/>
      <c r="W953" s="13"/>
      <c r="X953" s="13"/>
      <c r="Y953" s="13"/>
      <c r="Z953" s="13"/>
      <c r="AA953" s="13"/>
      <c r="AB953" s="18"/>
      <c r="AC953" s="18"/>
      <c r="AD953" s="18"/>
      <c r="AE953" s="18"/>
      <c r="AF953" s="18"/>
      <c r="AG953" s="18"/>
      <c r="AH953" s="13"/>
      <c r="AI953" s="18"/>
      <c r="AJ953" s="13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3"/>
      <c r="AY953" s="1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  <c r="BJ953" s="12"/>
      <c r="BK953" s="12"/>
      <c r="BL953" s="12"/>
      <c r="BM953" s="9"/>
      <c r="BN953" s="9"/>
      <c r="BO953" s="9"/>
      <c r="BP953" s="12"/>
      <c r="BQ953" s="12"/>
      <c r="BR953" s="12"/>
      <c r="BS953" s="12"/>
      <c r="BT953" s="12"/>
      <c r="BU953" s="12"/>
      <c r="BV953" s="12"/>
      <c r="BW953" s="12"/>
      <c r="BX953" s="12"/>
      <c r="BY953" s="9"/>
      <c r="BZ953" s="21"/>
      <c r="CA953" s="21"/>
      <c r="CB953" s="21"/>
      <c r="CC953" s="21"/>
      <c r="CD953" s="21"/>
      <c r="CE953" s="21"/>
      <c r="CF953" s="21"/>
      <c r="CG953" s="21"/>
      <c r="CH953" s="21"/>
      <c r="CI953" s="21"/>
      <c r="CJ953" s="21"/>
    </row>
    <row r="954" spans="1:88" ht="40.5" customHeight="1">
      <c r="A954" s="9"/>
      <c r="B954" s="12"/>
      <c r="C954" s="9" t="s">
        <v>2489</v>
      </c>
      <c r="D954" s="9" t="s">
        <v>2351</v>
      </c>
      <c r="E954" s="12">
        <v>0</v>
      </c>
      <c r="F954" s="12">
        <v>0</v>
      </c>
      <c r="G954" s="12" t="b">
        <v>0</v>
      </c>
      <c r="H954" s="9" t="s">
        <v>75</v>
      </c>
      <c r="I954" s="10" t="s">
        <v>2490</v>
      </c>
      <c r="J954" s="9" t="s">
        <v>75</v>
      </c>
      <c r="K954" s="11" t="s">
        <v>2491</v>
      </c>
      <c r="L954" s="12"/>
      <c r="M954" s="12"/>
      <c r="N954" s="13"/>
      <c r="O954" s="13"/>
      <c r="P954" s="17"/>
      <c r="Q954" s="13"/>
      <c r="R954" s="17"/>
      <c r="S954" s="17"/>
      <c r="T954" s="13"/>
      <c r="U954" s="17"/>
      <c r="V954" s="13"/>
      <c r="W954" s="13"/>
      <c r="X954" s="13"/>
      <c r="Y954" s="13"/>
      <c r="Z954" s="13"/>
      <c r="AA954" s="13"/>
      <c r="AB954" s="18"/>
      <c r="AC954" s="18"/>
      <c r="AD954" s="18"/>
      <c r="AE954" s="18"/>
      <c r="AF954" s="18"/>
      <c r="AG954" s="18"/>
      <c r="AH954" s="13"/>
      <c r="AI954" s="18"/>
      <c r="AJ954" s="13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3"/>
      <c r="AY954" s="1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  <c r="BJ954" s="12"/>
      <c r="BK954" s="12"/>
      <c r="BL954" s="12"/>
      <c r="BM954" s="9"/>
      <c r="BN954" s="9"/>
      <c r="BO954" s="9"/>
      <c r="BP954" s="12"/>
      <c r="BQ954" s="12"/>
      <c r="BR954" s="12"/>
      <c r="BS954" s="12"/>
      <c r="BT954" s="12"/>
      <c r="BU954" s="12"/>
      <c r="BV954" s="12"/>
      <c r="BW954" s="12"/>
      <c r="BX954" s="12"/>
      <c r="BY954" s="9"/>
      <c r="BZ954" s="21"/>
      <c r="CA954" s="21"/>
      <c r="CB954" s="21"/>
      <c r="CC954" s="21"/>
      <c r="CD954" s="21"/>
      <c r="CE954" s="21"/>
      <c r="CF954" s="21"/>
      <c r="CG954" s="21"/>
      <c r="CH954" s="21"/>
      <c r="CI954" s="21"/>
      <c r="CJ954" s="21"/>
    </row>
    <row r="955" spans="1:88" ht="40.5" customHeight="1">
      <c r="A955" s="9"/>
      <c r="B955" s="12"/>
      <c r="C955" s="9" t="s">
        <v>2492</v>
      </c>
      <c r="D955" s="9" t="s">
        <v>2351</v>
      </c>
      <c r="E955" s="12">
        <v>0</v>
      </c>
      <c r="F955" s="12">
        <v>0</v>
      </c>
      <c r="G955" s="12" t="b">
        <v>0</v>
      </c>
      <c r="H955" s="9" t="s">
        <v>75</v>
      </c>
      <c r="I955" s="10" t="s">
        <v>2493</v>
      </c>
      <c r="J955" s="9" t="s">
        <v>75</v>
      </c>
      <c r="K955" s="9" t="s">
        <v>79</v>
      </c>
      <c r="L955" s="12"/>
      <c r="M955" s="12"/>
      <c r="N955" s="13"/>
      <c r="O955" s="13"/>
      <c r="P955" s="17"/>
      <c r="Q955" s="13"/>
      <c r="R955" s="17"/>
      <c r="S955" s="17"/>
      <c r="T955" s="13"/>
      <c r="U955" s="17"/>
      <c r="V955" s="13"/>
      <c r="W955" s="13"/>
      <c r="X955" s="13"/>
      <c r="Y955" s="13"/>
      <c r="Z955" s="13"/>
      <c r="AA955" s="13"/>
      <c r="AB955" s="18"/>
      <c r="AC955" s="18"/>
      <c r="AD955" s="18"/>
      <c r="AE955" s="18"/>
      <c r="AF955" s="18"/>
      <c r="AG955" s="18"/>
      <c r="AH955" s="13"/>
      <c r="AI955" s="18"/>
      <c r="AJ955" s="13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3"/>
      <c r="AY955" s="1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  <c r="BJ955" s="12"/>
      <c r="BK955" s="12"/>
      <c r="BL955" s="12"/>
      <c r="BM955" s="9"/>
      <c r="BN955" s="9"/>
      <c r="BO955" s="9"/>
      <c r="BP955" s="12"/>
      <c r="BQ955" s="12"/>
      <c r="BR955" s="12"/>
      <c r="BS955" s="12"/>
      <c r="BT955" s="12"/>
      <c r="BU955" s="12"/>
      <c r="BV955" s="12"/>
      <c r="BW955" s="12"/>
      <c r="BX955" s="12"/>
      <c r="BY955" s="9"/>
      <c r="BZ955" s="21"/>
      <c r="CA955" s="21"/>
      <c r="CB955" s="21"/>
      <c r="CC955" s="21"/>
      <c r="CD955" s="21"/>
      <c r="CE955" s="21"/>
      <c r="CF955" s="21"/>
      <c r="CG955" s="21"/>
      <c r="CH955" s="21"/>
      <c r="CI955" s="21"/>
      <c r="CJ955" s="21"/>
    </row>
    <row r="956" spans="1:88" ht="40.5" customHeight="1">
      <c r="A956" s="9"/>
      <c r="B956" s="12"/>
      <c r="C956" s="9" t="s">
        <v>2494</v>
      </c>
      <c r="D956" s="9" t="s">
        <v>2495</v>
      </c>
      <c r="E956" s="12">
        <v>0</v>
      </c>
      <c r="F956" s="12">
        <v>0</v>
      </c>
      <c r="G956" s="12" t="b">
        <v>0</v>
      </c>
      <c r="H956" s="9" t="s">
        <v>79</v>
      </c>
      <c r="I956" s="10" t="s">
        <v>2496</v>
      </c>
      <c r="J956" s="9" t="s">
        <v>79</v>
      </c>
      <c r="K956" s="11" t="s">
        <v>2497</v>
      </c>
      <c r="L956" s="12"/>
      <c r="M956" s="12"/>
      <c r="N956" s="13"/>
      <c r="O956" s="16" t="s">
        <v>78</v>
      </c>
      <c r="P956" s="14" t="s">
        <v>79</v>
      </c>
      <c r="Q956" s="15" t="s">
        <v>2318</v>
      </c>
      <c r="R956" s="14" t="s">
        <v>75</v>
      </c>
      <c r="S956" s="14" t="s">
        <v>75</v>
      </c>
      <c r="T956" s="16" t="s">
        <v>81</v>
      </c>
      <c r="U956" s="17"/>
      <c r="V956" s="13"/>
      <c r="W956" s="13"/>
      <c r="X956" s="13"/>
      <c r="Y956" s="13"/>
      <c r="Z956" s="13"/>
      <c r="AA956" s="13"/>
      <c r="AB956" s="18"/>
      <c r="AC956" s="18"/>
      <c r="AD956" s="18"/>
      <c r="AE956" s="18"/>
      <c r="AF956" s="18"/>
      <c r="AG956" s="18"/>
      <c r="AH956" s="13"/>
      <c r="AI956" s="18"/>
      <c r="AJ956" s="13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3"/>
      <c r="AY956" s="1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  <c r="BJ956" s="12"/>
      <c r="BK956" s="12"/>
      <c r="BL956" s="12"/>
      <c r="BM956" s="9"/>
      <c r="BN956" s="9"/>
      <c r="BO956" s="9"/>
      <c r="BP956" s="12"/>
      <c r="BQ956" s="12"/>
      <c r="BR956" s="12"/>
      <c r="BS956" s="12"/>
      <c r="BT956" s="12"/>
      <c r="BU956" s="12"/>
      <c r="BV956" s="12"/>
      <c r="BW956" s="12"/>
      <c r="BX956" s="12"/>
      <c r="BY956" s="9"/>
      <c r="BZ956" s="21"/>
      <c r="CA956" s="21"/>
      <c r="CB956" s="21"/>
      <c r="CC956" s="21"/>
      <c r="CD956" s="21"/>
      <c r="CE956" s="21"/>
      <c r="CF956" s="21"/>
      <c r="CG956" s="21"/>
      <c r="CH956" s="21"/>
      <c r="CI956" s="21"/>
      <c r="CJ956" s="21"/>
    </row>
    <row r="957" spans="1:88" ht="40.5" customHeight="1">
      <c r="A957" s="9"/>
      <c r="B957" s="12"/>
      <c r="C957" s="9" t="s">
        <v>2498</v>
      </c>
      <c r="D957" s="9" t="s">
        <v>2351</v>
      </c>
      <c r="E957" s="12">
        <v>0</v>
      </c>
      <c r="F957" s="12">
        <v>0</v>
      </c>
      <c r="G957" s="12" t="b">
        <v>0</v>
      </c>
      <c r="H957" s="9" t="s">
        <v>75</v>
      </c>
      <c r="I957" s="9" t="s">
        <v>2499</v>
      </c>
      <c r="J957" s="9" t="s">
        <v>75</v>
      </c>
      <c r="K957" s="11" t="s">
        <v>2500</v>
      </c>
      <c r="L957" s="12"/>
      <c r="M957" s="12"/>
      <c r="N957" s="13"/>
      <c r="O957" s="16" t="s">
        <v>2159</v>
      </c>
      <c r="P957" s="14" t="s">
        <v>79</v>
      </c>
      <c r="Q957" s="15" t="s">
        <v>2318</v>
      </c>
      <c r="R957" s="14" t="s">
        <v>75</v>
      </c>
      <c r="S957" s="14" t="s">
        <v>75</v>
      </c>
      <c r="T957" s="16" t="s">
        <v>4</v>
      </c>
      <c r="U957" s="17"/>
      <c r="V957" s="13"/>
      <c r="W957" s="13"/>
      <c r="X957" s="13"/>
      <c r="Y957" s="13"/>
      <c r="Z957" s="13"/>
      <c r="AA957" s="13"/>
      <c r="AB957" s="18"/>
      <c r="AC957" s="18"/>
      <c r="AD957" s="18"/>
      <c r="AE957" s="18"/>
      <c r="AF957" s="18"/>
      <c r="AG957" s="18"/>
      <c r="AH957" s="13"/>
      <c r="AI957" s="18"/>
      <c r="AJ957" s="13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3"/>
      <c r="AY957" s="1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  <c r="BJ957" s="12"/>
      <c r="BK957" s="12"/>
      <c r="BL957" s="12"/>
      <c r="BM957" s="9"/>
      <c r="BN957" s="9"/>
      <c r="BO957" s="9"/>
      <c r="BP957" s="12"/>
      <c r="BQ957" s="12"/>
      <c r="BR957" s="12"/>
      <c r="BS957" s="12"/>
      <c r="BT957" s="12"/>
      <c r="BU957" s="12"/>
      <c r="BV957" s="12"/>
      <c r="BW957" s="12"/>
      <c r="BX957" s="12"/>
      <c r="BY957" s="9"/>
      <c r="BZ957" s="21"/>
      <c r="CA957" s="21"/>
      <c r="CB957" s="21"/>
      <c r="CC957" s="21"/>
      <c r="CD957" s="21"/>
      <c r="CE957" s="21"/>
      <c r="CF957" s="21"/>
      <c r="CG957" s="21"/>
      <c r="CH957" s="21"/>
      <c r="CI957" s="21"/>
      <c r="CJ957" s="21"/>
    </row>
    <row r="958" spans="1:88" ht="40.5" customHeight="1">
      <c r="A958" s="9"/>
      <c r="B958" s="12"/>
      <c r="C958" s="9" t="s">
        <v>2501</v>
      </c>
      <c r="D958" s="9" t="s">
        <v>2351</v>
      </c>
      <c r="E958" s="12">
        <v>0</v>
      </c>
      <c r="F958" s="12">
        <v>0</v>
      </c>
      <c r="G958" s="12" t="b">
        <v>0</v>
      </c>
      <c r="H958" s="9" t="s">
        <v>75</v>
      </c>
      <c r="I958" s="9" t="s">
        <v>2502</v>
      </c>
      <c r="J958" s="9" t="s">
        <v>75</v>
      </c>
      <c r="K958" s="11" t="s">
        <v>2503</v>
      </c>
      <c r="L958" s="12"/>
      <c r="M958" s="12"/>
      <c r="N958" s="13"/>
      <c r="O958" s="16" t="s">
        <v>7</v>
      </c>
      <c r="P958" s="14" t="s">
        <v>79</v>
      </c>
      <c r="Q958" s="15" t="s">
        <v>2318</v>
      </c>
      <c r="R958" s="14" t="s">
        <v>75</v>
      </c>
      <c r="S958" s="14" t="s">
        <v>75</v>
      </c>
      <c r="T958" s="16" t="s">
        <v>81</v>
      </c>
      <c r="U958" s="17"/>
      <c r="V958" s="13"/>
      <c r="W958" s="13"/>
      <c r="X958" s="13"/>
      <c r="Y958" s="13"/>
      <c r="Z958" s="13"/>
      <c r="AA958" s="13"/>
      <c r="AB958" s="18"/>
      <c r="AC958" s="18"/>
      <c r="AD958" s="18"/>
      <c r="AE958" s="18"/>
      <c r="AF958" s="18"/>
      <c r="AG958" s="18"/>
      <c r="AH958" s="13"/>
      <c r="AI958" s="18"/>
      <c r="AJ958" s="13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3"/>
      <c r="AY958" s="1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  <c r="BJ958" s="12"/>
      <c r="BK958" s="12"/>
      <c r="BL958" s="12"/>
      <c r="BM958" s="9"/>
      <c r="BN958" s="9"/>
      <c r="BO958" s="9"/>
      <c r="BP958" s="12"/>
      <c r="BQ958" s="12"/>
      <c r="BR958" s="12"/>
      <c r="BS958" s="12"/>
      <c r="BT958" s="12"/>
      <c r="BU958" s="12"/>
      <c r="BV958" s="12"/>
      <c r="BW958" s="12"/>
      <c r="BX958" s="12"/>
      <c r="BY958" s="9"/>
      <c r="BZ958" s="21"/>
      <c r="CA958" s="21"/>
      <c r="CB958" s="21"/>
      <c r="CC958" s="21"/>
      <c r="CD958" s="21"/>
      <c r="CE958" s="21"/>
      <c r="CF958" s="21"/>
      <c r="CG958" s="21"/>
      <c r="CH958" s="21"/>
      <c r="CI958" s="21"/>
      <c r="CJ958" s="21"/>
    </row>
    <row r="959" spans="1:88" ht="40.5" customHeight="1">
      <c r="A959" s="9"/>
      <c r="B959" s="12"/>
      <c r="C959" s="9" t="s">
        <v>2504</v>
      </c>
      <c r="D959" s="9" t="s">
        <v>2351</v>
      </c>
      <c r="E959" s="12">
        <v>0</v>
      </c>
      <c r="F959" s="12">
        <v>0</v>
      </c>
      <c r="G959" s="12" t="b">
        <v>0</v>
      </c>
      <c r="H959" s="9" t="s">
        <v>75</v>
      </c>
      <c r="I959" s="9" t="s">
        <v>2505</v>
      </c>
      <c r="J959" s="9" t="s">
        <v>75</v>
      </c>
      <c r="K959" s="11" t="s">
        <v>2506</v>
      </c>
      <c r="L959" s="12"/>
      <c r="M959" s="12"/>
      <c r="N959" s="13"/>
      <c r="O959" s="16" t="s">
        <v>78</v>
      </c>
      <c r="P959" s="14" t="s">
        <v>79</v>
      </c>
      <c r="Q959" s="15" t="s">
        <v>2318</v>
      </c>
      <c r="R959" s="14" t="s">
        <v>75</v>
      </c>
      <c r="S959" s="14" t="s">
        <v>75</v>
      </c>
      <c r="T959" s="16" t="s">
        <v>81</v>
      </c>
      <c r="U959" s="17"/>
      <c r="V959" s="13"/>
      <c r="W959" s="13"/>
      <c r="X959" s="13"/>
      <c r="Y959" s="13"/>
      <c r="Z959" s="13"/>
      <c r="AA959" s="13"/>
      <c r="AB959" s="18"/>
      <c r="AC959" s="18"/>
      <c r="AD959" s="18"/>
      <c r="AE959" s="18"/>
      <c r="AF959" s="18"/>
      <c r="AG959" s="18"/>
      <c r="AH959" s="13"/>
      <c r="AI959" s="18"/>
      <c r="AJ959" s="13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3"/>
      <c r="AY959" s="1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  <c r="BJ959" s="12"/>
      <c r="BK959" s="12"/>
      <c r="BL959" s="12"/>
      <c r="BM959" s="9"/>
      <c r="BN959" s="9"/>
      <c r="BO959" s="9"/>
      <c r="BP959" s="12"/>
      <c r="BQ959" s="12"/>
      <c r="BR959" s="12"/>
      <c r="BS959" s="12"/>
      <c r="BT959" s="12"/>
      <c r="BU959" s="12"/>
      <c r="BV959" s="12"/>
      <c r="BW959" s="12"/>
      <c r="BX959" s="12"/>
      <c r="BY959" s="9"/>
      <c r="BZ959" s="21"/>
      <c r="CA959" s="21"/>
      <c r="CB959" s="21"/>
      <c r="CC959" s="21"/>
      <c r="CD959" s="21"/>
      <c r="CE959" s="21"/>
      <c r="CF959" s="21"/>
      <c r="CG959" s="21"/>
      <c r="CH959" s="21"/>
      <c r="CI959" s="21"/>
      <c r="CJ959" s="21"/>
    </row>
    <row r="960" spans="1:88" ht="40.5" customHeight="1">
      <c r="A960" s="9"/>
      <c r="B960" s="12"/>
      <c r="C960" s="9" t="s">
        <v>2507</v>
      </c>
      <c r="D960" s="9" t="s">
        <v>2351</v>
      </c>
      <c r="E960" s="12">
        <v>0</v>
      </c>
      <c r="F960" s="12">
        <v>0</v>
      </c>
      <c r="G960" s="12" t="b">
        <v>0</v>
      </c>
      <c r="H960" s="9" t="s">
        <v>75</v>
      </c>
      <c r="I960" s="10" t="s">
        <v>2508</v>
      </c>
      <c r="J960" s="9" t="s">
        <v>75</v>
      </c>
      <c r="K960" s="9" t="s">
        <v>79</v>
      </c>
      <c r="L960" s="12"/>
      <c r="M960" s="12"/>
      <c r="N960" s="13"/>
      <c r="O960" s="16" t="s">
        <v>78</v>
      </c>
      <c r="P960" s="14" t="s">
        <v>79</v>
      </c>
      <c r="Q960" s="15" t="s">
        <v>2318</v>
      </c>
      <c r="R960" s="14" t="s">
        <v>75</v>
      </c>
      <c r="S960" s="14" t="s">
        <v>75</v>
      </c>
      <c r="T960" s="16" t="s">
        <v>126</v>
      </c>
      <c r="U960" s="17"/>
      <c r="V960" s="13"/>
      <c r="W960" s="13"/>
      <c r="X960" s="13"/>
      <c r="Y960" s="13"/>
      <c r="Z960" s="13"/>
      <c r="AA960" s="13"/>
      <c r="AB960" s="18"/>
      <c r="AC960" s="18"/>
      <c r="AD960" s="18"/>
      <c r="AE960" s="18"/>
      <c r="AF960" s="18"/>
      <c r="AG960" s="18"/>
      <c r="AH960" s="13"/>
      <c r="AI960" s="18"/>
      <c r="AJ960" s="13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3"/>
      <c r="AY960" s="1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  <c r="BJ960" s="12"/>
      <c r="BK960" s="12"/>
      <c r="BL960" s="12"/>
      <c r="BM960" s="9"/>
      <c r="BN960" s="9"/>
      <c r="BO960" s="9"/>
      <c r="BP960" s="12"/>
      <c r="BQ960" s="12"/>
      <c r="BR960" s="12"/>
      <c r="BS960" s="12"/>
      <c r="BT960" s="12"/>
      <c r="BU960" s="12"/>
      <c r="BV960" s="12"/>
      <c r="BW960" s="12"/>
      <c r="BX960" s="12"/>
      <c r="BY960" s="9"/>
      <c r="BZ960" s="21"/>
      <c r="CA960" s="21"/>
      <c r="CB960" s="21"/>
      <c r="CC960" s="21"/>
      <c r="CD960" s="21"/>
      <c r="CE960" s="21"/>
      <c r="CF960" s="21"/>
      <c r="CG960" s="21"/>
      <c r="CH960" s="21"/>
      <c r="CI960" s="21"/>
      <c r="CJ960" s="21"/>
    </row>
    <row r="961" spans="1:88" ht="40.5" customHeight="1">
      <c r="A961" s="9"/>
      <c r="B961" s="12"/>
      <c r="C961" s="9" t="s">
        <v>2509</v>
      </c>
      <c r="D961" s="9" t="s">
        <v>2351</v>
      </c>
      <c r="E961" s="12">
        <v>0</v>
      </c>
      <c r="F961" s="12">
        <v>0</v>
      </c>
      <c r="G961" s="12" t="b">
        <v>0</v>
      </c>
      <c r="H961" s="9" t="s">
        <v>75</v>
      </c>
      <c r="I961" s="9" t="s">
        <v>2510</v>
      </c>
      <c r="J961" s="9" t="s">
        <v>75</v>
      </c>
      <c r="K961" s="11" t="s">
        <v>2511</v>
      </c>
      <c r="L961" s="12"/>
      <c r="M961" s="12"/>
      <c r="N961" s="13"/>
      <c r="O961" s="13"/>
      <c r="P961" s="17"/>
      <c r="Q961" s="13"/>
      <c r="R961" s="17"/>
      <c r="S961" s="17"/>
      <c r="T961" s="13"/>
      <c r="U961" s="17"/>
      <c r="V961" s="13"/>
      <c r="W961" s="13"/>
      <c r="X961" s="13"/>
      <c r="Y961" s="13"/>
      <c r="Z961" s="13"/>
      <c r="AA961" s="13"/>
      <c r="AB961" s="18"/>
      <c r="AC961" s="18"/>
      <c r="AD961" s="18"/>
      <c r="AE961" s="18"/>
      <c r="AF961" s="18"/>
      <c r="AG961" s="18"/>
      <c r="AH961" s="13"/>
      <c r="AI961" s="18"/>
      <c r="AJ961" s="13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3"/>
      <c r="AY961" s="1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  <c r="BJ961" s="12"/>
      <c r="BK961" s="12"/>
      <c r="BL961" s="12"/>
      <c r="BM961" s="9"/>
      <c r="BN961" s="9"/>
      <c r="BO961" s="9"/>
      <c r="BP961" s="12"/>
      <c r="BQ961" s="12"/>
      <c r="BR961" s="12"/>
      <c r="BS961" s="12"/>
      <c r="BT961" s="12"/>
      <c r="BU961" s="12"/>
      <c r="BV961" s="12"/>
      <c r="BW961" s="12"/>
      <c r="BX961" s="12"/>
      <c r="BY961" s="9"/>
      <c r="BZ961" s="21"/>
      <c r="CA961" s="21"/>
      <c r="CB961" s="21"/>
      <c r="CC961" s="21"/>
      <c r="CD961" s="21"/>
      <c r="CE961" s="21"/>
      <c r="CF961" s="21"/>
      <c r="CG961" s="21"/>
      <c r="CH961" s="21"/>
      <c r="CI961" s="21"/>
      <c r="CJ961" s="21"/>
    </row>
    <row r="962" spans="1:88" ht="40.5" customHeight="1">
      <c r="A962" s="9"/>
      <c r="B962" s="12"/>
      <c r="C962" s="9" t="s">
        <v>2512</v>
      </c>
      <c r="D962" s="9" t="s">
        <v>2351</v>
      </c>
      <c r="E962" s="12">
        <v>0</v>
      </c>
      <c r="F962" s="12">
        <v>0</v>
      </c>
      <c r="G962" s="12" t="b">
        <v>0</v>
      </c>
      <c r="H962" s="9" t="s">
        <v>75</v>
      </c>
      <c r="I962" s="9" t="s">
        <v>2513</v>
      </c>
      <c r="J962" s="9" t="s">
        <v>75</v>
      </c>
      <c r="K962" s="11" t="s">
        <v>2514</v>
      </c>
      <c r="L962" s="12"/>
      <c r="M962" s="12"/>
      <c r="N962" s="13"/>
      <c r="O962" s="13"/>
      <c r="P962" s="17"/>
      <c r="Q962" s="13"/>
      <c r="R962" s="17"/>
      <c r="S962" s="17"/>
      <c r="T962" s="13"/>
      <c r="U962" s="17"/>
      <c r="V962" s="13"/>
      <c r="W962" s="13"/>
      <c r="X962" s="13"/>
      <c r="Y962" s="13"/>
      <c r="Z962" s="13"/>
      <c r="AA962" s="13"/>
      <c r="AB962" s="18"/>
      <c r="AC962" s="18"/>
      <c r="AD962" s="18"/>
      <c r="AE962" s="18"/>
      <c r="AF962" s="18"/>
      <c r="AG962" s="18"/>
      <c r="AH962" s="13"/>
      <c r="AI962" s="18"/>
      <c r="AJ962" s="13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3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2"/>
      <c r="BK962" s="12"/>
      <c r="BL962" s="12"/>
      <c r="BM962" s="9"/>
      <c r="BN962" s="9"/>
      <c r="BO962" s="9"/>
      <c r="BP962" s="12"/>
      <c r="BQ962" s="12"/>
      <c r="BR962" s="12"/>
      <c r="BS962" s="12"/>
      <c r="BT962" s="12"/>
      <c r="BU962" s="12"/>
      <c r="BV962" s="12"/>
      <c r="BW962" s="12"/>
      <c r="BX962" s="12"/>
      <c r="BY962" s="9"/>
      <c r="BZ962" s="21"/>
      <c r="CA962" s="21"/>
      <c r="CB962" s="21"/>
      <c r="CC962" s="21"/>
      <c r="CD962" s="21"/>
      <c r="CE962" s="21"/>
      <c r="CF962" s="21"/>
      <c r="CG962" s="21"/>
      <c r="CH962" s="21"/>
      <c r="CI962" s="21"/>
      <c r="CJ962" s="21"/>
    </row>
    <row r="963" spans="1:88" ht="40.5" customHeight="1">
      <c r="A963" s="9"/>
      <c r="B963" s="12"/>
      <c r="C963" s="9" t="s">
        <v>2515</v>
      </c>
      <c r="D963" s="9" t="s">
        <v>2351</v>
      </c>
      <c r="E963" s="12">
        <v>0</v>
      </c>
      <c r="F963" s="12">
        <v>0</v>
      </c>
      <c r="G963" s="12" t="b">
        <v>0</v>
      </c>
      <c r="H963" s="9" t="s">
        <v>75</v>
      </c>
      <c r="I963" s="9" t="s">
        <v>2516</v>
      </c>
      <c r="J963" s="9" t="s">
        <v>75</v>
      </c>
      <c r="K963" s="11" t="s">
        <v>2517</v>
      </c>
      <c r="L963" s="12"/>
      <c r="M963" s="12"/>
      <c r="N963" s="13"/>
      <c r="O963" s="16" t="s">
        <v>78</v>
      </c>
      <c r="P963" s="14" t="s">
        <v>79</v>
      </c>
      <c r="Q963" s="15" t="s">
        <v>2318</v>
      </c>
      <c r="R963" s="14" t="s">
        <v>75</v>
      </c>
      <c r="S963" s="14" t="s">
        <v>75</v>
      </c>
      <c r="T963" s="16" t="s">
        <v>101</v>
      </c>
      <c r="U963" s="17"/>
      <c r="V963" s="13"/>
      <c r="W963" s="13"/>
      <c r="X963" s="13"/>
      <c r="Y963" s="13"/>
      <c r="Z963" s="13"/>
      <c r="AA963" s="13"/>
      <c r="AB963" s="18"/>
      <c r="AC963" s="18"/>
      <c r="AD963" s="18"/>
      <c r="AE963" s="18"/>
      <c r="AF963" s="18"/>
      <c r="AG963" s="18"/>
      <c r="AH963" s="13"/>
      <c r="AI963" s="18"/>
      <c r="AJ963" s="13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3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2"/>
      <c r="BK963" s="12"/>
      <c r="BL963" s="12"/>
      <c r="BM963" s="9"/>
      <c r="BN963" s="9"/>
      <c r="BO963" s="9"/>
      <c r="BP963" s="12"/>
      <c r="BQ963" s="12"/>
      <c r="BR963" s="12"/>
      <c r="BS963" s="12"/>
      <c r="BT963" s="12"/>
      <c r="BU963" s="12"/>
      <c r="BV963" s="12"/>
      <c r="BW963" s="12"/>
      <c r="BX963" s="12"/>
      <c r="BY963" s="9"/>
      <c r="BZ963" s="21"/>
      <c r="CA963" s="21"/>
      <c r="CB963" s="21"/>
      <c r="CC963" s="21"/>
      <c r="CD963" s="21"/>
      <c r="CE963" s="21"/>
      <c r="CF963" s="21"/>
      <c r="CG963" s="21"/>
      <c r="CH963" s="21"/>
      <c r="CI963" s="21"/>
      <c r="CJ963" s="21"/>
    </row>
    <row r="964" spans="1:88" ht="40.5" customHeight="1">
      <c r="A964" s="9"/>
      <c r="B964" s="12"/>
      <c r="C964" s="9" t="s">
        <v>2512</v>
      </c>
      <c r="D964" s="9" t="s">
        <v>2351</v>
      </c>
      <c r="E964" s="12">
        <v>0</v>
      </c>
      <c r="F964" s="12">
        <v>0</v>
      </c>
      <c r="G964" s="12" t="b">
        <v>0</v>
      </c>
      <c r="H964" s="9" t="s">
        <v>75</v>
      </c>
      <c r="I964" s="9" t="s">
        <v>2518</v>
      </c>
      <c r="J964" s="9" t="s">
        <v>75</v>
      </c>
      <c r="K964" s="11" t="s">
        <v>2506</v>
      </c>
      <c r="L964" s="12"/>
      <c r="M964" s="12"/>
      <c r="N964" s="13"/>
      <c r="O964" s="13"/>
      <c r="P964" s="17"/>
      <c r="Q964" s="13"/>
      <c r="R964" s="17"/>
      <c r="S964" s="17"/>
      <c r="T964" s="13"/>
      <c r="U964" s="17"/>
      <c r="V964" s="13"/>
      <c r="W964" s="13"/>
      <c r="X964" s="13"/>
      <c r="Y964" s="13"/>
      <c r="Z964" s="13"/>
      <c r="AA964" s="13"/>
      <c r="AB964" s="18"/>
      <c r="AC964" s="18"/>
      <c r="AD964" s="18"/>
      <c r="AE964" s="18"/>
      <c r="AF964" s="18"/>
      <c r="AG964" s="18"/>
      <c r="AH964" s="13"/>
      <c r="AI964" s="18"/>
      <c r="AJ964" s="13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3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2"/>
      <c r="BK964" s="12"/>
      <c r="BL964" s="12"/>
      <c r="BM964" s="9"/>
      <c r="BN964" s="9"/>
      <c r="BO964" s="9"/>
      <c r="BP964" s="12"/>
      <c r="BQ964" s="12"/>
      <c r="BR964" s="12"/>
      <c r="BS964" s="12"/>
      <c r="BT964" s="12"/>
      <c r="BU964" s="12"/>
      <c r="BV964" s="12"/>
      <c r="BW964" s="12"/>
      <c r="BX964" s="12"/>
      <c r="BY964" s="9"/>
      <c r="BZ964" s="21"/>
      <c r="CA964" s="21"/>
      <c r="CB964" s="21"/>
      <c r="CC964" s="21"/>
      <c r="CD964" s="21"/>
      <c r="CE964" s="21"/>
      <c r="CF964" s="21"/>
      <c r="CG964" s="21"/>
      <c r="CH964" s="21"/>
      <c r="CI964" s="21"/>
      <c r="CJ964" s="21"/>
    </row>
    <row r="965" spans="1:88" ht="40.5" customHeight="1">
      <c r="A965" s="9"/>
      <c r="B965" s="12"/>
      <c r="C965" s="11" t="s">
        <v>2519</v>
      </c>
      <c r="D965" s="9" t="s">
        <v>2351</v>
      </c>
      <c r="E965" s="12">
        <v>0</v>
      </c>
      <c r="F965" s="12">
        <v>0</v>
      </c>
      <c r="G965" s="12" t="b">
        <v>0</v>
      </c>
      <c r="H965" s="9" t="s">
        <v>75</v>
      </c>
      <c r="I965" s="9" t="s">
        <v>2520</v>
      </c>
      <c r="J965" s="9" t="s">
        <v>75</v>
      </c>
      <c r="K965" s="11" t="s">
        <v>2521</v>
      </c>
      <c r="L965" s="12"/>
      <c r="M965" s="12"/>
      <c r="N965" s="13"/>
      <c r="O965" s="16" t="s">
        <v>78</v>
      </c>
      <c r="P965" s="14" t="s">
        <v>79</v>
      </c>
      <c r="Q965" s="15" t="s">
        <v>2318</v>
      </c>
      <c r="R965" s="14" t="s">
        <v>75</v>
      </c>
      <c r="S965" s="14" t="s">
        <v>75</v>
      </c>
      <c r="T965" s="16" t="s">
        <v>4</v>
      </c>
      <c r="U965" s="17"/>
      <c r="V965" s="13"/>
      <c r="W965" s="13"/>
      <c r="X965" s="13"/>
      <c r="Y965" s="13"/>
      <c r="Z965" s="13"/>
      <c r="AA965" s="13"/>
      <c r="AB965" s="18"/>
      <c r="AC965" s="18"/>
      <c r="AD965" s="18"/>
      <c r="AE965" s="18"/>
      <c r="AF965" s="18"/>
      <c r="AG965" s="18"/>
      <c r="AH965" s="13"/>
      <c r="AI965" s="18"/>
      <c r="AJ965" s="13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3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2"/>
      <c r="BK965" s="12"/>
      <c r="BL965" s="12"/>
      <c r="BM965" s="9"/>
      <c r="BN965" s="9"/>
      <c r="BO965" s="9"/>
      <c r="BP965" s="12"/>
      <c r="BQ965" s="12"/>
      <c r="BR965" s="12"/>
      <c r="BS965" s="12"/>
      <c r="BT965" s="12"/>
      <c r="BU965" s="12"/>
      <c r="BV965" s="12"/>
      <c r="BW965" s="12"/>
      <c r="BX965" s="12"/>
      <c r="BY965" s="9"/>
      <c r="BZ965" s="21"/>
      <c r="CA965" s="21"/>
      <c r="CB965" s="21"/>
      <c r="CC965" s="21"/>
      <c r="CD965" s="21"/>
      <c r="CE965" s="21"/>
      <c r="CF965" s="21"/>
      <c r="CG965" s="21"/>
      <c r="CH965" s="21"/>
      <c r="CI965" s="21"/>
      <c r="CJ965" s="21"/>
    </row>
    <row r="966" spans="1:88" ht="40.5" customHeight="1">
      <c r="A966" s="9"/>
      <c r="B966" s="12"/>
      <c r="C966" s="9" t="s">
        <v>2522</v>
      </c>
      <c r="D966" s="9" t="s">
        <v>2351</v>
      </c>
      <c r="E966" s="12">
        <v>0</v>
      </c>
      <c r="F966" s="12">
        <v>0</v>
      </c>
      <c r="G966" s="12" t="b">
        <v>0</v>
      </c>
      <c r="H966" s="9" t="s">
        <v>75</v>
      </c>
      <c r="I966" s="9" t="s">
        <v>2523</v>
      </c>
      <c r="J966" s="9" t="s">
        <v>75</v>
      </c>
      <c r="K966" s="11" t="s">
        <v>2524</v>
      </c>
      <c r="L966" s="12"/>
      <c r="M966" s="12"/>
      <c r="N966" s="13"/>
      <c r="O966" s="16" t="s">
        <v>78</v>
      </c>
      <c r="P966" s="14" t="s">
        <v>79</v>
      </c>
      <c r="Q966" s="15" t="s">
        <v>2318</v>
      </c>
      <c r="R966" s="14" t="s">
        <v>75</v>
      </c>
      <c r="S966" s="14" t="s">
        <v>75</v>
      </c>
      <c r="T966" s="16" t="s">
        <v>81</v>
      </c>
      <c r="U966" s="17"/>
      <c r="V966" s="13"/>
      <c r="W966" s="13"/>
      <c r="X966" s="13"/>
      <c r="Y966" s="13"/>
      <c r="Z966" s="13"/>
      <c r="AA966" s="13"/>
      <c r="AB966" s="18"/>
      <c r="AC966" s="18"/>
      <c r="AD966" s="18"/>
      <c r="AE966" s="18"/>
      <c r="AF966" s="18"/>
      <c r="AG966" s="18"/>
      <c r="AH966" s="13"/>
      <c r="AI966" s="18"/>
      <c r="AJ966" s="13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3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2"/>
      <c r="BK966" s="12"/>
      <c r="BL966" s="12"/>
      <c r="BM966" s="9"/>
      <c r="BN966" s="9"/>
      <c r="BO966" s="9"/>
      <c r="BP966" s="12"/>
      <c r="BQ966" s="12"/>
      <c r="BR966" s="12"/>
      <c r="BS966" s="12"/>
      <c r="BT966" s="12"/>
      <c r="BU966" s="12"/>
      <c r="BV966" s="12"/>
      <c r="BW966" s="12"/>
      <c r="BX966" s="12"/>
      <c r="BY966" s="9"/>
      <c r="BZ966" s="21"/>
      <c r="CA966" s="21"/>
      <c r="CB966" s="21"/>
      <c r="CC966" s="21"/>
      <c r="CD966" s="21"/>
      <c r="CE966" s="21"/>
      <c r="CF966" s="21"/>
      <c r="CG966" s="21"/>
      <c r="CH966" s="21"/>
      <c r="CI966" s="21"/>
      <c r="CJ966" s="21"/>
    </row>
    <row r="967" spans="1:88" ht="40.5" customHeight="1">
      <c r="A967" s="9"/>
      <c r="B967" s="12"/>
      <c r="C967" s="9" t="s">
        <v>2525</v>
      </c>
      <c r="D967" s="9" t="s">
        <v>2351</v>
      </c>
      <c r="E967" s="12">
        <v>0</v>
      </c>
      <c r="F967" s="12">
        <v>0</v>
      </c>
      <c r="G967" s="12" t="b">
        <v>0</v>
      </c>
      <c r="H967" s="9" t="s">
        <v>75</v>
      </c>
      <c r="I967" s="9" t="s">
        <v>2526</v>
      </c>
      <c r="J967" s="9" t="s">
        <v>75</v>
      </c>
      <c r="K967" s="9" t="s">
        <v>79</v>
      </c>
      <c r="L967" s="12"/>
      <c r="M967" s="12"/>
      <c r="N967" s="13"/>
      <c r="O967" s="16" t="s">
        <v>78</v>
      </c>
      <c r="P967" s="14" t="s">
        <v>79</v>
      </c>
      <c r="Q967" s="15" t="s">
        <v>2318</v>
      </c>
      <c r="R967" s="14" t="s">
        <v>75</v>
      </c>
      <c r="S967" s="14" t="s">
        <v>75</v>
      </c>
      <c r="T967" s="16" t="s">
        <v>126</v>
      </c>
      <c r="U967" s="17"/>
      <c r="V967" s="13"/>
      <c r="W967" s="13"/>
      <c r="X967" s="13"/>
      <c r="Y967" s="13"/>
      <c r="Z967" s="13"/>
      <c r="AA967" s="13"/>
      <c r="AB967" s="18"/>
      <c r="AC967" s="18"/>
      <c r="AD967" s="18"/>
      <c r="AE967" s="18"/>
      <c r="AF967" s="18"/>
      <c r="AG967" s="18"/>
      <c r="AH967" s="13"/>
      <c r="AI967" s="18"/>
      <c r="AJ967" s="13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3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2"/>
      <c r="BK967" s="12"/>
      <c r="BL967" s="12"/>
      <c r="BM967" s="9"/>
      <c r="BN967" s="9"/>
      <c r="BO967" s="9"/>
      <c r="BP967" s="12"/>
      <c r="BQ967" s="12"/>
      <c r="BR967" s="12"/>
      <c r="BS967" s="12"/>
      <c r="BT967" s="12"/>
      <c r="BU967" s="12"/>
      <c r="BV967" s="12"/>
      <c r="BW967" s="12"/>
      <c r="BX967" s="12"/>
      <c r="BY967" s="9"/>
      <c r="BZ967" s="21"/>
      <c r="CA967" s="21"/>
      <c r="CB967" s="21"/>
      <c r="CC967" s="21"/>
      <c r="CD967" s="21"/>
      <c r="CE967" s="21"/>
      <c r="CF967" s="21"/>
      <c r="CG967" s="21"/>
      <c r="CH967" s="21"/>
      <c r="CI967" s="21"/>
      <c r="CJ967" s="21"/>
    </row>
    <row r="968" spans="1:88" ht="40.5" customHeight="1">
      <c r="A968" s="9"/>
      <c r="B968" s="12"/>
      <c r="C968" s="12"/>
      <c r="D968" s="12"/>
      <c r="E968" s="12">
        <v>0</v>
      </c>
      <c r="F968" s="12">
        <v>0</v>
      </c>
      <c r="G968" s="12" t="b">
        <v>0</v>
      </c>
      <c r="H968" s="12"/>
      <c r="I968" s="12"/>
      <c r="J968" s="12"/>
      <c r="K968" s="12"/>
      <c r="L968" s="12"/>
      <c r="M968" s="12"/>
      <c r="N968" s="13"/>
      <c r="O968" s="13"/>
      <c r="P968" s="17"/>
      <c r="Q968" s="13"/>
      <c r="R968" s="17"/>
      <c r="S968" s="17"/>
      <c r="T968" s="13"/>
      <c r="U968" s="17"/>
      <c r="V968" s="13"/>
      <c r="W968" s="13"/>
      <c r="X968" s="13"/>
      <c r="Y968" s="13"/>
      <c r="Z968" s="13"/>
      <c r="AA968" s="13"/>
      <c r="AB968" s="18"/>
      <c r="AC968" s="18"/>
      <c r="AD968" s="18"/>
      <c r="AE968" s="18"/>
      <c r="AF968" s="18"/>
      <c r="AG968" s="18"/>
      <c r="AH968" s="13"/>
      <c r="AI968" s="18"/>
      <c r="AJ968" s="13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3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2"/>
      <c r="BK968" s="12"/>
      <c r="BL968" s="12"/>
      <c r="BM968" s="9"/>
      <c r="BN968" s="9"/>
      <c r="BO968" s="9"/>
      <c r="BP968" s="12"/>
      <c r="BQ968" s="12"/>
      <c r="BR968" s="12"/>
      <c r="BS968" s="12"/>
      <c r="BT968" s="12"/>
      <c r="BU968" s="12"/>
      <c r="BV968" s="12"/>
      <c r="BW968" s="12"/>
      <c r="BX968" s="12"/>
      <c r="BY968" s="9"/>
      <c r="BZ968" s="21"/>
      <c r="CA968" s="21"/>
      <c r="CB968" s="21"/>
      <c r="CC968" s="21"/>
      <c r="CD968" s="21"/>
      <c r="CE968" s="21"/>
      <c r="CF968" s="21"/>
      <c r="CG968" s="21"/>
      <c r="CH968" s="21"/>
      <c r="CI968" s="21"/>
      <c r="CJ968" s="21"/>
    </row>
    <row r="969" spans="1:88" ht="40.5" customHeight="1">
      <c r="A969" s="9"/>
      <c r="B969" s="12"/>
      <c r="C969" s="12"/>
      <c r="D969" s="12"/>
      <c r="E969" s="12">
        <v>0</v>
      </c>
      <c r="F969" s="12">
        <v>0</v>
      </c>
      <c r="G969" s="12" t="b">
        <v>0</v>
      </c>
      <c r="H969" s="12"/>
      <c r="I969" s="12"/>
      <c r="J969" s="12"/>
      <c r="K969" s="12"/>
      <c r="L969" s="12"/>
      <c r="M969" s="12"/>
      <c r="N969" s="13"/>
      <c r="O969" s="13"/>
      <c r="P969" s="17"/>
      <c r="Q969" s="13"/>
      <c r="R969" s="17"/>
      <c r="S969" s="17"/>
      <c r="T969" s="13"/>
      <c r="U969" s="17"/>
      <c r="V969" s="13"/>
      <c r="W969" s="13"/>
      <c r="X969" s="13"/>
      <c r="Y969" s="13"/>
      <c r="Z969" s="13"/>
      <c r="AA969" s="13"/>
      <c r="AB969" s="18"/>
      <c r="AC969" s="18"/>
      <c r="AD969" s="18"/>
      <c r="AE969" s="18"/>
      <c r="AF969" s="18"/>
      <c r="AG969" s="18"/>
      <c r="AH969" s="13"/>
      <c r="AI969" s="18"/>
      <c r="AJ969" s="13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3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2"/>
      <c r="BK969" s="12"/>
      <c r="BL969" s="12"/>
      <c r="BM969" s="9"/>
      <c r="BN969" s="9"/>
      <c r="BO969" s="9"/>
      <c r="BP969" s="12"/>
      <c r="BQ969" s="12"/>
      <c r="BR969" s="12"/>
      <c r="BS969" s="12"/>
      <c r="BT969" s="12"/>
      <c r="BU969" s="12"/>
      <c r="BV969" s="12"/>
      <c r="BW969" s="12"/>
      <c r="BX969" s="12"/>
      <c r="BY969" s="9"/>
      <c r="BZ969" s="21"/>
      <c r="CA969" s="21"/>
      <c r="CB969" s="21"/>
      <c r="CC969" s="21"/>
      <c r="CD969" s="21"/>
      <c r="CE969" s="21"/>
      <c r="CF969" s="21"/>
      <c r="CG969" s="21"/>
      <c r="CH969" s="21"/>
      <c r="CI969" s="21"/>
      <c r="CJ969" s="21"/>
    </row>
    <row r="970" spans="1:88" ht="40.5" customHeight="1">
      <c r="A970" s="9"/>
      <c r="B970" s="12"/>
      <c r="C970" s="12"/>
      <c r="D970" s="12"/>
      <c r="E970" s="12">
        <v>0</v>
      </c>
      <c r="F970" s="12">
        <v>0</v>
      </c>
      <c r="G970" s="12" t="b">
        <v>0</v>
      </c>
      <c r="H970" s="12"/>
      <c r="I970" s="12"/>
      <c r="J970" s="12"/>
      <c r="K970" s="12"/>
      <c r="L970" s="12"/>
      <c r="M970" s="12"/>
      <c r="N970" s="13"/>
      <c r="O970" s="13"/>
      <c r="P970" s="17"/>
      <c r="Q970" s="13"/>
      <c r="R970" s="17"/>
      <c r="S970" s="17"/>
      <c r="T970" s="13"/>
      <c r="U970" s="17"/>
      <c r="V970" s="13"/>
      <c r="W970" s="13"/>
      <c r="X970" s="13"/>
      <c r="Y970" s="13"/>
      <c r="Z970" s="13"/>
      <c r="AA970" s="13"/>
      <c r="AB970" s="18"/>
      <c r="AC970" s="18"/>
      <c r="AD970" s="18"/>
      <c r="AE970" s="18"/>
      <c r="AF970" s="18"/>
      <c r="AG970" s="18"/>
      <c r="AH970" s="13"/>
      <c r="AI970" s="18"/>
      <c r="AJ970" s="13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3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2"/>
      <c r="BK970" s="12"/>
      <c r="BL970" s="12"/>
      <c r="BM970" s="9"/>
      <c r="BN970" s="9"/>
      <c r="BO970" s="9"/>
      <c r="BP970" s="12"/>
      <c r="BQ970" s="12"/>
      <c r="BR970" s="12"/>
      <c r="BS970" s="12"/>
      <c r="BT970" s="12"/>
      <c r="BU970" s="12"/>
      <c r="BV970" s="12"/>
      <c r="BW970" s="12"/>
      <c r="BX970" s="12"/>
      <c r="BY970" s="9"/>
      <c r="BZ970" s="21"/>
      <c r="CA970" s="21"/>
      <c r="CB970" s="21"/>
      <c r="CC970" s="21"/>
      <c r="CD970" s="21"/>
      <c r="CE970" s="21"/>
      <c r="CF970" s="21"/>
      <c r="CG970" s="21"/>
      <c r="CH970" s="21"/>
      <c r="CI970" s="21"/>
      <c r="CJ970" s="21"/>
    </row>
    <row r="971" spans="1:88" ht="40.5" customHeight="1">
      <c r="A971" s="9"/>
      <c r="B971" s="12"/>
      <c r="C971" s="12"/>
      <c r="D971" s="12"/>
      <c r="E971" s="12">
        <v>0</v>
      </c>
      <c r="F971" s="12">
        <v>0</v>
      </c>
      <c r="G971" s="12" t="b">
        <v>0</v>
      </c>
      <c r="H971" s="12"/>
      <c r="I971" s="12"/>
      <c r="J971" s="12"/>
      <c r="K971" s="12"/>
      <c r="L971" s="12"/>
      <c r="M971" s="12"/>
      <c r="N971" s="13"/>
      <c r="O971" s="13"/>
      <c r="P971" s="17"/>
      <c r="Q971" s="13"/>
      <c r="R971" s="17"/>
      <c r="S971" s="17"/>
      <c r="T971" s="13"/>
      <c r="U971" s="17"/>
      <c r="V971" s="13"/>
      <c r="W971" s="13"/>
      <c r="X971" s="13"/>
      <c r="Y971" s="13"/>
      <c r="Z971" s="13"/>
      <c r="AA971" s="13"/>
      <c r="AB971" s="18"/>
      <c r="AC971" s="18"/>
      <c r="AD971" s="18"/>
      <c r="AE971" s="18"/>
      <c r="AF971" s="18"/>
      <c r="AG971" s="18"/>
      <c r="AH971" s="13"/>
      <c r="AI971" s="18"/>
      <c r="AJ971" s="13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3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2"/>
      <c r="BK971" s="12"/>
      <c r="BL971" s="12"/>
      <c r="BM971" s="9"/>
      <c r="BN971" s="9"/>
      <c r="BO971" s="9"/>
      <c r="BP971" s="12"/>
      <c r="BQ971" s="12"/>
      <c r="BR971" s="12"/>
      <c r="BS971" s="12"/>
      <c r="BT971" s="12"/>
      <c r="BU971" s="12"/>
      <c r="BV971" s="12"/>
      <c r="BW971" s="12"/>
      <c r="BX971" s="12"/>
      <c r="BY971" s="9"/>
      <c r="BZ971" s="21"/>
      <c r="CA971" s="21"/>
      <c r="CB971" s="21"/>
      <c r="CC971" s="21"/>
      <c r="CD971" s="21"/>
      <c r="CE971" s="21"/>
      <c r="CF971" s="21"/>
      <c r="CG971" s="21"/>
      <c r="CH971" s="21"/>
      <c r="CI971" s="21"/>
      <c r="CJ971" s="21"/>
    </row>
    <row r="972" spans="1:88" ht="40.5" customHeight="1">
      <c r="A972" s="9"/>
      <c r="B972" s="12"/>
      <c r="C972" s="12"/>
      <c r="D972" s="12"/>
      <c r="E972" s="12">
        <v>0</v>
      </c>
      <c r="F972" s="12">
        <v>0</v>
      </c>
      <c r="G972" s="12" t="b">
        <v>0</v>
      </c>
      <c r="H972" s="12"/>
      <c r="I972" s="12"/>
      <c r="J972" s="12"/>
      <c r="K972" s="12"/>
      <c r="L972" s="12"/>
      <c r="M972" s="12"/>
      <c r="N972" s="13"/>
      <c r="O972" s="13"/>
      <c r="P972" s="17"/>
      <c r="Q972" s="13"/>
      <c r="R972" s="17"/>
      <c r="S972" s="17"/>
      <c r="T972" s="13"/>
      <c r="U972" s="17"/>
      <c r="V972" s="13"/>
      <c r="W972" s="13"/>
      <c r="X972" s="13"/>
      <c r="Y972" s="13"/>
      <c r="Z972" s="13"/>
      <c r="AA972" s="13"/>
      <c r="AB972" s="18"/>
      <c r="AC972" s="18"/>
      <c r="AD972" s="18"/>
      <c r="AE972" s="18"/>
      <c r="AF972" s="18"/>
      <c r="AG972" s="18"/>
      <c r="AH972" s="13"/>
      <c r="AI972" s="18"/>
      <c r="AJ972" s="13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3"/>
      <c r="AY972" s="1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  <c r="BJ972" s="12"/>
      <c r="BK972" s="12"/>
      <c r="BL972" s="12"/>
      <c r="BM972" s="9"/>
      <c r="BN972" s="9"/>
      <c r="BO972" s="9"/>
      <c r="BP972" s="12"/>
      <c r="BQ972" s="12"/>
      <c r="BR972" s="12"/>
      <c r="BS972" s="12"/>
      <c r="BT972" s="12"/>
      <c r="BU972" s="12"/>
      <c r="BV972" s="12"/>
      <c r="BW972" s="12"/>
      <c r="BX972" s="12"/>
      <c r="BY972" s="9"/>
      <c r="BZ972" s="21"/>
      <c r="CA972" s="21"/>
      <c r="CB972" s="21"/>
      <c r="CC972" s="21"/>
      <c r="CD972" s="21"/>
      <c r="CE972" s="21"/>
      <c r="CF972" s="21"/>
      <c r="CG972" s="21"/>
      <c r="CH972" s="21"/>
      <c r="CI972" s="21"/>
      <c r="CJ972" s="21"/>
    </row>
    <row r="973" spans="1:88" ht="40.5" customHeight="1">
      <c r="A973" s="9"/>
      <c r="B973" s="12"/>
      <c r="C973" s="12"/>
      <c r="D973" s="12"/>
      <c r="E973" s="12">
        <v>0</v>
      </c>
      <c r="F973" s="12">
        <v>0</v>
      </c>
      <c r="G973" s="12" t="b">
        <v>0</v>
      </c>
      <c r="H973" s="12"/>
      <c r="I973" s="12"/>
      <c r="J973" s="12"/>
      <c r="K973" s="12"/>
      <c r="L973" s="12"/>
      <c r="M973" s="12"/>
      <c r="N973" s="13"/>
      <c r="O973" s="13"/>
      <c r="P973" s="17"/>
      <c r="Q973" s="13"/>
      <c r="R973" s="17"/>
      <c r="S973" s="17"/>
      <c r="T973" s="13"/>
      <c r="U973" s="17"/>
      <c r="V973" s="13"/>
      <c r="W973" s="13"/>
      <c r="X973" s="13"/>
      <c r="Y973" s="13"/>
      <c r="Z973" s="13"/>
      <c r="AA973" s="13"/>
      <c r="AB973" s="18"/>
      <c r="AC973" s="18"/>
      <c r="AD973" s="18"/>
      <c r="AE973" s="18"/>
      <c r="AF973" s="18"/>
      <c r="AG973" s="18"/>
      <c r="AH973" s="13"/>
      <c r="AI973" s="18"/>
      <c r="AJ973" s="13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3"/>
      <c r="AY973" s="1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  <c r="BJ973" s="12"/>
      <c r="BK973" s="12"/>
      <c r="BL973" s="12"/>
      <c r="BM973" s="9"/>
      <c r="BN973" s="9"/>
      <c r="BO973" s="9"/>
      <c r="BP973" s="12"/>
      <c r="BQ973" s="12"/>
      <c r="BR973" s="12"/>
      <c r="BS973" s="12"/>
      <c r="BT973" s="12"/>
      <c r="BU973" s="12"/>
      <c r="BV973" s="12"/>
      <c r="BW973" s="12"/>
      <c r="BX973" s="12"/>
      <c r="BY973" s="9"/>
      <c r="BZ973" s="21"/>
      <c r="CA973" s="21"/>
      <c r="CB973" s="21"/>
      <c r="CC973" s="21"/>
      <c r="CD973" s="21"/>
      <c r="CE973" s="21"/>
      <c r="CF973" s="21"/>
      <c r="CG973" s="21"/>
      <c r="CH973" s="21"/>
      <c r="CI973" s="21"/>
      <c r="CJ973" s="21"/>
    </row>
    <row r="974" spans="1:88" ht="40.5" customHeight="1">
      <c r="A974" s="9"/>
      <c r="B974" s="12"/>
      <c r="C974" s="12"/>
      <c r="D974" s="12"/>
      <c r="E974" s="12">
        <v>0</v>
      </c>
      <c r="F974" s="12">
        <v>0</v>
      </c>
      <c r="G974" s="12" t="b">
        <v>0</v>
      </c>
      <c r="H974" s="12"/>
      <c r="I974" s="12"/>
      <c r="J974" s="12"/>
      <c r="K974" s="12"/>
      <c r="L974" s="12"/>
      <c r="M974" s="12"/>
      <c r="N974" s="13"/>
      <c r="O974" s="13"/>
      <c r="P974" s="17"/>
      <c r="Q974" s="13"/>
      <c r="R974" s="17"/>
      <c r="S974" s="17"/>
      <c r="T974" s="13"/>
      <c r="U974" s="17"/>
      <c r="V974" s="13"/>
      <c r="W974" s="13"/>
      <c r="X974" s="13"/>
      <c r="Y974" s="13"/>
      <c r="Z974" s="13"/>
      <c r="AA974" s="13"/>
      <c r="AB974" s="18"/>
      <c r="AC974" s="18"/>
      <c r="AD974" s="18"/>
      <c r="AE974" s="18"/>
      <c r="AF974" s="18"/>
      <c r="AG974" s="18"/>
      <c r="AH974" s="13"/>
      <c r="AI974" s="18"/>
      <c r="AJ974" s="13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3"/>
      <c r="AY974" s="1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  <c r="BJ974" s="12"/>
      <c r="BK974" s="12"/>
      <c r="BL974" s="12"/>
      <c r="BM974" s="9"/>
      <c r="BN974" s="9"/>
      <c r="BO974" s="9"/>
      <c r="BP974" s="12"/>
      <c r="BQ974" s="12"/>
      <c r="BR974" s="12"/>
      <c r="BS974" s="12"/>
      <c r="BT974" s="12"/>
      <c r="BU974" s="12"/>
      <c r="BV974" s="12"/>
      <c r="BW974" s="12"/>
      <c r="BX974" s="12"/>
      <c r="BY974" s="9"/>
      <c r="BZ974" s="21"/>
      <c r="CA974" s="21"/>
      <c r="CB974" s="21"/>
      <c r="CC974" s="21"/>
      <c r="CD974" s="21"/>
      <c r="CE974" s="21"/>
      <c r="CF974" s="21"/>
      <c r="CG974" s="21"/>
      <c r="CH974" s="21"/>
      <c r="CI974" s="21"/>
      <c r="CJ974" s="21"/>
    </row>
    <row r="975" spans="1:88" ht="40.5" customHeight="1">
      <c r="A975" s="9"/>
      <c r="B975" s="12"/>
      <c r="C975" s="12"/>
      <c r="D975" s="12"/>
      <c r="E975" s="12">
        <v>0</v>
      </c>
      <c r="F975" s="12">
        <v>0</v>
      </c>
      <c r="G975" s="12" t="b">
        <v>0</v>
      </c>
      <c r="H975" s="12"/>
      <c r="I975" s="12"/>
      <c r="J975" s="12"/>
      <c r="K975" s="12"/>
      <c r="L975" s="12"/>
      <c r="M975" s="12"/>
      <c r="N975" s="13"/>
      <c r="O975" s="13"/>
      <c r="P975" s="17"/>
      <c r="Q975" s="13"/>
      <c r="R975" s="17"/>
      <c r="S975" s="17"/>
      <c r="T975" s="13"/>
      <c r="U975" s="17"/>
      <c r="V975" s="13"/>
      <c r="W975" s="13"/>
      <c r="X975" s="13"/>
      <c r="Y975" s="13"/>
      <c r="Z975" s="13"/>
      <c r="AA975" s="13"/>
      <c r="AB975" s="18"/>
      <c r="AC975" s="18"/>
      <c r="AD975" s="18"/>
      <c r="AE975" s="18"/>
      <c r="AF975" s="18"/>
      <c r="AG975" s="18"/>
      <c r="AH975" s="13"/>
      <c r="AI975" s="18"/>
      <c r="AJ975" s="13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3"/>
      <c r="AY975" s="1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  <c r="BJ975" s="12"/>
      <c r="BK975" s="12"/>
      <c r="BL975" s="12"/>
      <c r="BM975" s="9"/>
      <c r="BN975" s="9"/>
      <c r="BO975" s="9"/>
      <c r="BP975" s="12"/>
      <c r="BQ975" s="12"/>
      <c r="BR975" s="12"/>
      <c r="BS975" s="12"/>
      <c r="BT975" s="12"/>
      <c r="BU975" s="12"/>
      <c r="BV975" s="12"/>
      <c r="BW975" s="12"/>
      <c r="BX975" s="12"/>
      <c r="BY975" s="9"/>
      <c r="BZ975" s="21"/>
      <c r="CA975" s="21"/>
      <c r="CB975" s="21"/>
      <c r="CC975" s="21"/>
      <c r="CD975" s="21"/>
      <c r="CE975" s="21"/>
      <c r="CF975" s="21"/>
      <c r="CG975" s="21"/>
      <c r="CH975" s="21"/>
      <c r="CI975" s="21"/>
      <c r="CJ975" s="21"/>
    </row>
    <row r="976" spans="1:88" ht="40.5" customHeight="1">
      <c r="A976" s="9"/>
      <c r="B976" s="12"/>
      <c r="C976" s="12"/>
      <c r="D976" s="12"/>
      <c r="E976" s="12">
        <v>0</v>
      </c>
      <c r="F976" s="12">
        <v>0</v>
      </c>
      <c r="G976" s="12" t="b">
        <v>0</v>
      </c>
      <c r="H976" s="12"/>
      <c r="I976" s="12"/>
      <c r="J976" s="12"/>
      <c r="K976" s="12"/>
      <c r="L976" s="12"/>
      <c r="M976" s="12"/>
      <c r="N976" s="13"/>
      <c r="O976" s="13"/>
      <c r="P976" s="17"/>
      <c r="Q976" s="13"/>
      <c r="R976" s="17"/>
      <c r="S976" s="17"/>
      <c r="T976" s="13"/>
      <c r="U976" s="17"/>
      <c r="V976" s="13"/>
      <c r="W976" s="13"/>
      <c r="X976" s="13"/>
      <c r="Y976" s="13"/>
      <c r="Z976" s="13"/>
      <c r="AA976" s="13"/>
      <c r="AB976" s="18"/>
      <c r="AC976" s="18"/>
      <c r="AD976" s="18"/>
      <c r="AE976" s="18"/>
      <c r="AF976" s="18"/>
      <c r="AG976" s="18"/>
      <c r="AH976" s="13"/>
      <c r="AI976" s="18"/>
      <c r="AJ976" s="13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3"/>
      <c r="AY976" s="1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  <c r="BJ976" s="12"/>
      <c r="BK976" s="12"/>
      <c r="BL976" s="12"/>
      <c r="BM976" s="9"/>
      <c r="BN976" s="9"/>
      <c r="BO976" s="9"/>
      <c r="BP976" s="12"/>
      <c r="BQ976" s="12"/>
      <c r="BR976" s="12"/>
      <c r="BS976" s="12"/>
      <c r="BT976" s="12"/>
      <c r="BU976" s="12"/>
      <c r="BV976" s="12"/>
      <c r="BW976" s="12"/>
      <c r="BX976" s="12"/>
      <c r="BY976" s="9"/>
      <c r="BZ976" s="21"/>
      <c r="CA976" s="21"/>
      <c r="CB976" s="21"/>
      <c r="CC976" s="21"/>
      <c r="CD976" s="21"/>
      <c r="CE976" s="21"/>
      <c r="CF976" s="21"/>
      <c r="CG976" s="21"/>
      <c r="CH976" s="21"/>
      <c r="CI976" s="21"/>
      <c r="CJ976" s="21"/>
    </row>
    <row r="977" spans="1:88" ht="40.5" customHeight="1">
      <c r="A977" s="9"/>
      <c r="B977" s="12"/>
      <c r="C977" s="12"/>
      <c r="D977" s="12"/>
      <c r="E977" s="12">
        <v>0</v>
      </c>
      <c r="F977" s="12">
        <v>0</v>
      </c>
      <c r="G977" s="12" t="b">
        <v>0</v>
      </c>
      <c r="H977" s="12"/>
      <c r="I977" s="12"/>
      <c r="J977" s="12"/>
      <c r="K977" s="12"/>
      <c r="L977" s="12"/>
      <c r="M977" s="12"/>
      <c r="N977" s="13"/>
      <c r="O977" s="13"/>
      <c r="P977" s="17"/>
      <c r="Q977" s="13"/>
      <c r="R977" s="17"/>
      <c r="S977" s="17"/>
      <c r="T977" s="13"/>
      <c r="U977" s="17"/>
      <c r="V977" s="13"/>
      <c r="W977" s="13"/>
      <c r="X977" s="13"/>
      <c r="Y977" s="13"/>
      <c r="Z977" s="13"/>
      <c r="AA977" s="13"/>
      <c r="AB977" s="18"/>
      <c r="AC977" s="18"/>
      <c r="AD977" s="18"/>
      <c r="AE977" s="18"/>
      <c r="AF977" s="18"/>
      <c r="AG977" s="18"/>
      <c r="AH977" s="13"/>
      <c r="AI977" s="18"/>
      <c r="AJ977" s="13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3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2"/>
      <c r="BK977" s="12"/>
      <c r="BL977" s="12"/>
      <c r="BM977" s="9"/>
      <c r="BN977" s="9"/>
      <c r="BO977" s="9"/>
      <c r="BP977" s="12"/>
      <c r="BQ977" s="12"/>
      <c r="BR977" s="12"/>
      <c r="BS977" s="12"/>
      <c r="BT977" s="12"/>
      <c r="BU977" s="12"/>
      <c r="BV977" s="12"/>
      <c r="BW977" s="12"/>
      <c r="BX977" s="12"/>
      <c r="BY977" s="9"/>
      <c r="BZ977" s="21"/>
      <c r="CA977" s="21"/>
      <c r="CB977" s="21"/>
      <c r="CC977" s="21"/>
      <c r="CD977" s="21"/>
      <c r="CE977" s="21"/>
      <c r="CF977" s="21"/>
      <c r="CG977" s="21"/>
      <c r="CH977" s="21"/>
      <c r="CI977" s="21"/>
      <c r="CJ977" s="21"/>
    </row>
    <row r="978" spans="1:88" ht="40.5" customHeight="1">
      <c r="A978" s="9"/>
      <c r="B978" s="12"/>
      <c r="C978" s="12"/>
      <c r="D978" s="12"/>
      <c r="E978" s="12">
        <v>0</v>
      </c>
      <c r="F978" s="12">
        <v>0</v>
      </c>
      <c r="G978" s="12" t="b">
        <v>0</v>
      </c>
      <c r="H978" s="12"/>
      <c r="I978" s="12"/>
      <c r="J978" s="12"/>
      <c r="K978" s="12"/>
      <c r="L978" s="12"/>
      <c r="M978" s="12"/>
      <c r="N978" s="13"/>
      <c r="O978" s="13"/>
      <c r="P978" s="17"/>
      <c r="Q978" s="13"/>
      <c r="R978" s="17"/>
      <c r="S978" s="17"/>
      <c r="T978" s="13"/>
      <c r="U978" s="17"/>
      <c r="V978" s="13"/>
      <c r="W978" s="13"/>
      <c r="X978" s="13"/>
      <c r="Y978" s="13"/>
      <c r="Z978" s="13"/>
      <c r="AA978" s="13"/>
      <c r="AB978" s="18"/>
      <c r="AC978" s="18"/>
      <c r="AD978" s="18"/>
      <c r="AE978" s="18"/>
      <c r="AF978" s="18"/>
      <c r="AG978" s="18"/>
      <c r="AH978" s="13"/>
      <c r="AI978" s="18"/>
      <c r="AJ978" s="13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3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2"/>
      <c r="BK978" s="12"/>
      <c r="BL978" s="12"/>
      <c r="BM978" s="9"/>
      <c r="BN978" s="9"/>
      <c r="BO978" s="9"/>
      <c r="BP978" s="12"/>
      <c r="BQ978" s="12"/>
      <c r="BR978" s="12"/>
      <c r="BS978" s="12"/>
      <c r="BT978" s="12"/>
      <c r="BU978" s="12"/>
      <c r="BV978" s="12"/>
      <c r="BW978" s="12"/>
      <c r="BX978" s="12"/>
      <c r="BY978" s="9"/>
      <c r="BZ978" s="21"/>
      <c r="CA978" s="21"/>
      <c r="CB978" s="21"/>
      <c r="CC978" s="21"/>
      <c r="CD978" s="21"/>
      <c r="CE978" s="21"/>
      <c r="CF978" s="21"/>
      <c r="CG978" s="21"/>
      <c r="CH978" s="21"/>
      <c r="CI978" s="21"/>
      <c r="CJ978" s="21"/>
    </row>
    <row r="979" spans="1:88" ht="40.5" customHeight="1">
      <c r="A979" s="9"/>
      <c r="B979" s="12"/>
      <c r="C979" s="12"/>
      <c r="D979" s="12"/>
      <c r="E979" s="12">
        <v>0</v>
      </c>
      <c r="F979" s="12">
        <v>0</v>
      </c>
      <c r="G979" s="12" t="b">
        <v>0</v>
      </c>
      <c r="H979" s="12"/>
      <c r="I979" s="12"/>
      <c r="J979" s="12"/>
      <c r="K979" s="12"/>
      <c r="L979" s="12"/>
      <c r="M979" s="12"/>
      <c r="N979" s="13"/>
      <c r="O979" s="13"/>
      <c r="P979" s="17"/>
      <c r="Q979" s="13"/>
      <c r="R979" s="17"/>
      <c r="S979" s="17"/>
      <c r="T979" s="13"/>
      <c r="U979" s="17"/>
      <c r="V979" s="13"/>
      <c r="W979" s="13"/>
      <c r="X979" s="13"/>
      <c r="Y979" s="13"/>
      <c r="Z979" s="13"/>
      <c r="AA979" s="13"/>
      <c r="AB979" s="18"/>
      <c r="AC979" s="18"/>
      <c r="AD979" s="18"/>
      <c r="AE979" s="18"/>
      <c r="AF979" s="18"/>
      <c r="AG979" s="18"/>
      <c r="AH979" s="13"/>
      <c r="AI979" s="18"/>
      <c r="AJ979" s="13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3"/>
      <c r="AY979" s="1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  <c r="BJ979" s="12"/>
      <c r="BK979" s="12"/>
      <c r="BL979" s="12"/>
      <c r="BM979" s="9"/>
      <c r="BN979" s="9"/>
      <c r="BO979" s="9"/>
      <c r="BP979" s="12"/>
      <c r="BQ979" s="12"/>
      <c r="BR979" s="12"/>
      <c r="BS979" s="12"/>
      <c r="BT979" s="12"/>
      <c r="BU979" s="12"/>
      <c r="BV979" s="12"/>
      <c r="BW979" s="12"/>
      <c r="BX979" s="12"/>
      <c r="BY979" s="9"/>
      <c r="BZ979" s="21"/>
      <c r="CA979" s="21"/>
      <c r="CB979" s="21"/>
      <c r="CC979" s="21"/>
      <c r="CD979" s="21"/>
      <c r="CE979" s="21"/>
      <c r="CF979" s="21"/>
      <c r="CG979" s="21"/>
      <c r="CH979" s="21"/>
      <c r="CI979" s="21"/>
      <c r="CJ979" s="21"/>
    </row>
    <row r="980" spans="1:88" ht="40.5" customHeight="1">
      <c r="A980" s="9"/>
      <c r="B980" s="12"/>
      <c r="C980" s="12"/>
      <c r="D980" s="12"/>
      <c r="E980" s="12">
        <v>0</v>
      </c>
      <c r="F980" s="12">
        <v>0</v>
      </c>
      <c r="G980" s="12" t="b">
        <v>0</v>
      </c>
      <c r="H980" s="12"/>
      <c r="I980" s="12"/>
      <c r="J980" s="12"/>
      <c r="K980" s="12"/>
      <c r="L980" s="12"/>
      <c r="M980" s="12"/>
      <c r="N980" s="13"/>
      <c r="O980" s="13"/>
      <c r="P980" s="17"/>
      <c r="Q980" s="13"/>
      <c r="R980" s="17"/>
      <c r="S980" s="17"/>
      <c r="T980" s="13"/>
      <c r="U980" s="17"/>
      <c r="V980" s="13"/>
      <c r="W980" s="13"/>
      <c r="X980" s="13"/>
      <c r="Y980" s="13"/>
      <c r="Z980" s="13"/>
      <c r="AA980" s="13"/>
      <c r="AB980" s="18"/>
      <c r="AC980" s="18"/>
      <c r="AD980" s="18"/>
      <c r="AE980" s="18"/>
      <c r="AF980" s="18"/>
      <c r="AG980" s="18"/>
      <c r="AH980" s="13"/>
      <c r="AI980" s="18"/>
      <c r="AJ980" s="13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3"/>
      <c r="AY980" s="1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  <c r="BJ980" s="12"/>
      <c r="BK980" s="12"/>
      <c r="BL980" s="12"/>
      <c r="BM980" s="9"/>
      <c r="BN980" s="9"/>
      <c r="BO980" s="9"/>
      <c r="BP980" s="12"/>
      <c r="BQ980" s="12"/>
      <c r="BR980" s="12"/>
      <c r="BS980" s="12"/>
      <c r="BT980" s="12"/>
      <c r="BU980" s="12"/>
      <c r="BV980" s="12"/>
      <c r="BW980" s="12"/>
      <c r="BX980" s="12"/>
      <c r="BY980" s="9"/>
      <c r="BZ980" s="21"/>
      <c r="CA980" s="21"/>
      <c r="CB980" s="21"/>
      <c r="CC980" s="21"/>
      <c r="CD980" s="21"/>
      <c r="CE980" s="21"/>
      <c r="CF980" s="21"/>
      <c r="CG980" s="21"/>
      <c r="CH980" s="21"/>
      <c r="CI980" s="21"/>
      <c r="CJ980" s="21"/>
    </row>
    <row r="981" spans="1:88" ht="40.5" customHeight="1">
      <c r="A981" s="9"/>
      <c r="B981" s="12"/>
      <c r="C981" s="12"/>
      <c r="D981" s="12"/>
      <c r="E981" s="12">
        <v>0</v>
      </c>
      <c r="F981" s="12">
        <v>0</v>
      </c>
      <c r="G981" s="12" t="b">
        <v>0</v>
      </c>
      <c r="H981" s="12"/>
      <c r="I981" s="12"/>
      <c r="J981" s="12"/>
      <c r="K981" s="12"/>
      <c r="L981" s="12"/>
      <c r="M981" s="12"/>
      <c r="N981" s="13"/>
      <c r="O981" s="13"/>
      <c r="P981" s="17"/>
      <c r="Q981" s="13"/>
      <c r="R981" s="17"/>
      <c r="S981" s="17"/>
      <c r="T981" s="13"/>
      <c r="U981" s="17"/>
      <c r="V981" s="13"/>
      <c r="W981" s="13"/>
      <c r="X981" s="13"/>
      <c r="Y981" s="13"/>
      <c r="Z981" s="13"/>
      <c r="AA981" s="13"/>
      <c r="AB981" s="18"/>
      <c r="AC981" s="18"/>
      <c r="AD981" s="18"/>
      <c r="AE981" s="18"/>
      <c r="AF981" s="18"/>
      <c r="AG981" s="18"/>
      <c r="AH981" s="13"/>
      <c r="AI981" s="18"/>
      <c r="AJ981" s="13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3"/>
      <c r="AY981" s="1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  <c r="BJ981" s="12"/>
      <c r="BK981" s="12"/>
      <c r="BL981" s="12"/>
      <c r="BM981" s="9"/>
      <c r="BN981" s="9"/>
      <c r="BO981" s="9"/>
      <c r="BP981" s="12"/>
      <c r="BQ981" s="12"/>
      <c r="BR981" s="12"/>
      <c r="BS981" s="12"/>
      <c r="BT981" s="12"/>
      <c r="BU981" s="12"/>
      <c r="BV981" s="12"/>
      <c r="BW981" s="12"/>
      <c r="BX981" s="12"/>
      <c r="BY981" s="9"/>
      <c r="BZ981" s="21"/>
      <c r="CA981" s="21"/>
      <c r="CB981" s="21"/>
      <c r="CC981" s="21"/>
      <c r="CD981" s="21"/>
      <c r="CE981" s="21"/>
      <c r="CF981" s="21"/>
      <c r="CG981" s="21"/>
      <c r="CH981" s="21"/>
      <c r="CI981" s="21"/>
      <c r="CJ981" s="21"/>
    </row>
    <row r="982" spans="1:88" ht="40.5" customHeight="1">
      <c r="A982" s="9"/>
      <c r="B982" s="12"/>
      <c r="C982" s="12"/>
      <c r="D982" s="12"/>
      <c r="E982" s="12">
        <v>0</v>
      </c>
      <c r="F982" s="12">
        <v>0</v>
      </c>
      <c r="G982" s="12" t="b">
        <v>0</v>
      </c>
      <c r="H982" s="12"/>
      <c r="I982" s="12"/>
      <c r="J982" s="12"/>
      <c r="K982" s="12"/>
      <c r="L982" s="12"/>
      <c r="M982" s="12"/>
      <c r="N982" s="13"/>
      <c r="O982" s="13"/>
      <c r="P982" s="17"/>
      <c r="Q982" s="13"/>
      <c r="R982" s="17"/>
      <c r="S982" s="17"/>
      <c r="T982" s="13"/>
      <c r="U982" s="17"/>
      <c r="V982" s="13"/>
      <c r="W982" s="13"/>
      <c r="X982" s="13"/>
      <c r="Y982" s="13"/>
      <c r="Z982" s="13"/>
      <c r="AA982" s="13"/>
      <c r="AB982" s="18"/>
      <c r="AC982" s="18"/>
      <c r="AD982" s="18"/>
      <c r="AE982" s="18"/>
      <c r="AF982" s="18"/>
      <c r="AG982" s="18"/>
      <c r="AH982" s="13"/>
      <c r="AI982" s="18"/>
      <c r="AJ982" s="13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3"/>
      <c r="AY982" s="1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  <c r="BJ982" s="12"/>
      <c r="BK982" s="12"/>
      <c r="BL982" s="12"/>
      <c r="BM982" s="9"/>
      <c r="BN982" s="9"/>
      <c r="BO982" s="9"/>
      <c r="BP982" s="12"/>
      <c r="BQ982" s="12"/>
      <c r="BR982" s="12"/>
      <c r="BS982" s="12"/>
      <c r="BT982" s="12"/>
      <c r="BU982" s="12"/>
      <c r="BV982" s="12"/>
      <c r="BW982" s="12"/>
      <c r="BX982" s="12"/>
      <c r="BY982" s="9"/>
      <c r="BZ982" s="21"/>
      <c r="CA982" s="21"/>
      <c r="CB982" s="21"/>
      <c r="CC982" s="21"/>
      <c r="CD982" s="21"/>
      <c r="CE982" s="21"/>
      <c r="CF982" s="21"/>
      <c r="CG982" s="21"/>
      <c r="CH982" s="21"/>
      <c r="CI982" s="21"/>
      <c r="CJ982" s="21"/>
    </row>
    <row r="983" spans="1:88" ht="40.5" customHeight="1">
      <c r="A983" s="9"/>
      <c r="B983" s="12"/>
      <c r="C983" s="12"/>
      <c r="D983" s="12"/>
      <c r="E983" s="12">
        <v>0</v>
      </c>
      <c r="F983" s="12">
        <v>0</v>
      </c>
      <c r="G983" s="12" t="b">
        <v>0</v>
      </c>
      <c r="H983" s="12"/>
      <c r="I983" s="12"/>
      <c r="J983" s="12"/>
      <c r="K983" s="12"/>
      <c r="L983" s="12"/>
      <c r="M983" s="12"/>
      <c r="N983" s="13"/>
      <c r="O983" s="13"/>
      <c r="P983" s="17"/>
      <c r="Q983" s="13"/>
      <c r="R983" s="17"/>
      <c r="S983" s="17"/>
      <c r="T983" s="13"/>
      <c r="U983" s="17"/>
      <c r="V983" s="13"/>
      <c r="W983" s="13"/>
      <c r="X983" s="13"/>
      <c r="Y983" s="13"/>
      <c r="Z983" s="13"/>
      <c r="AA983" s="13"/>
      <c r="AB983" s="18"/>
      <c r="AC983" s="18"/>
      <c r="AD983" s="18"/>
      <c r="AE983" s="18"/>
      <c r="AF983" s="18"/>
      <c r="AG983" s="18"/>
      <c r="AH983" s="13"/>
      <c r="AI983" s="18"/>
      <c r="AJ983" s="13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3"/>
      <c r="AY983" s="1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  <c r="BJ983" s="12"/>
      <c r="BK983" s="12"/>
      <c r="BL983" s="12"/>
      <c r="BM983" s="9"/>
      <c r="BN983" s="9"/>
      <c r="BO983" s="9"/>
      <c r="BP983" s="12"/>
      <c r="BQ983" s="12"/>
      <c r="BR983" s="12"/>
      <c r="BS983" s="12"/>
      <c r="BT983" s="12"/>
      <c r="BU983" s="12"/>
      <c r="BV983" s="12"/>
      <c r="BW983" s="12"/>
      <c r="BX983" s="12"/>
      <c r="BY983" s="9"/>
      <c r="BZ983" s="21"/>
      <c r="CA983" s="21"/>
      <c r="CB983" s="21"/>
      <c r="CC983" s="21"/>
      <c r="CD983" s="21"/>
      <c r="CE983" s="21"/>
      <c r="CF983" s="21"/>
      <c r="CG983" s="21"/>
      <c r="CH983" s="21"/>
      <c r="CI983" s="21"/>
      <c r="CJ983" s="21"/>
    </row>
    <row r="984" spans="1:88" ht="40.5" customHeight="1">
      <c r="A984" s="9"/>
      <c r="B984" s="12"/>
      <c r="C984" s="12"/>
      <c r="D984" s="12"/>
      <c r="E984" s="12">
        <v>0</v>
      </c>
      <c r="F984" s="12">
        <v>0</v>
      </c>
      <c r="G984" s="12" t="b">
        <v>0</v>
      </c>
      <c r="H984" s="12"/>
      <c r="I984" s="12"/>
      <c r="J984" s="12"/>
      <c r="K984" s="12"/>
      <c r="L984" s="12"/>
      <c r="M984" s="12"/>
      <c r="N984" s="13"/>
      <c r="O984" s="13"/>
      <c r="P984" s="17"/>
      <c r="Q984" s="13"/>
      <c r="R984" s="17"/>
      <c r="S984" s="17"/>
      <c r="T984" s="13"/>
      <c r="U984" s="17"/>
      <c r="V984" s="13"/>
      <c r="W984" s="13"/>
      <c r="X984" s="13"/>
      <c r="Y984" s="13"/>
      <c r="Z984" s="13"/>
      <c r="AA984" s="13"/>
      <c r="AB984" s="18"/>
      <c r="AC984" s="18"/>
      <c r="AD984" s="18"/>
      <c r="AE984" s="18"/>
      <c r="AF984" s="18"/>
      <c r="AG984" s="18"/>
      <c r="AH984" s="13"/>
      <c r="AI984" s="18"/>
      <c r="AJ984" s="13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3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2"/>
      <c r="BK984" s="12"/>
      <c r="BL984" s="12"/>
      <c r="BM984" s="9"/>
      <c r="BN984" s="9"/>
      <c r="BO984" s="9"/>
      <c r="BP984" s="12"/>
      <c r="BQ984" s="12"/>
      <c r="BR984" s="12"/>
      <c r="BS984" s="12"/>
      <c r="BT984" s="12"/>
      <c r="BU984" s="12"/>
      <c r="BV984" s="12"/>
      <c r="BW984" s="12"/>
      <c r="BX984" s="12"/>
      <c r="BY984" s="9"/>
      <c r="BZ984" s="21"/>
      <c r="CA984" s="21"/>
      <c r="CB984" s="21"/>
      <c r="CC984" s="21"/>
      <c r="CD984" s="21"/>
      <c r="CE984" s="21"/>
      <c r="CF984" s="21"/>
      <c r="CG984" s="21"/>
      <c r="CH984" s="21"/>
      <c r="CI984" s="21"/>
      <c r="CJ984" s="21"/>
    </row>
    <row r="985" spans="1:88" ht="40.5" customHeight="1">
      <c r="A985" s="9"/>
      <c r="B985" s="12"/>
      <c r="C985" s="12"/>
      <c r="D985" s="12"/>
      <c r="E985" s="12">
        <v>0</v>
      </c>
      <c r="F985" s="12">
        <v>0</v>
      </c>
      <c r="G985" s="12" t="b">
        <v>0</v>
      </c>
      <c r="H985" s="12"/>
      <c r="I985" s="12"/>
      <c r="J985" s="12"/>
      <c r="K985" s="12"/>
      <c r="L985" s="12"/>
      <c r="M985" s="12"/>
      <c r="N985" s="13"/>
      <c r="O985" s="13"/>
      <c r="P985" s="17"/>
      <c r="Q985" s="13"/>
      <c r="R985" s="17"/>
      <c r="S985" s="17"/>
      <c r="T985" s="13"/>
      <c r="U985" s="17"/>
      <c r="V985" s="13"/>
      <c r="W985" s="13"/>
      <c r="X985" s="13"/>
      <c r="Y985" s="13"/>
      <c r="Z985" s="13"/>
      <c r="AA985" s="13"/>
      <c r="AB985" s="18"/>
      <c r="AC985" s="18"/>
      <c r="AD985" s="18"/>
      <c r="AE985" s="18"/>
      <c r="AF985" s="18"/>
      <c r="AG985" s="18"/>
      <c r="AH985" s="13"/>
      <c r="AI985" s="18"/>
      <c r="AJ985" s="13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3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2"/>
      <c r="BK985" s="12"/>
      <c r="BL985" s="12"/>
      <c r="BM985" s="9"/>
      <c r="BN985" s="9"/>
      <c r="BO985" s="9"/>
      <c r="BP985" s="12"/>
      <c r="BQ985" s="12"/>
      <c r="BR985" s="12"/>
      <c r="BS985" s="12"/>
      <c r="BT985" s="12"/>
      <c r="BU985" s="12"/>
      <c r="BV985" s="12"/>
      <c r="BW985" s="12"/>
      <c r="BX985" s="12"/>
      <c r="BY985" s="9"/>
      <c r="BZ985" s="21"/>
      <c r="CA985" s="21"/>
      <c r="CB985" s="21"/>
      <c r="CC985" s="21"/>
      <c r="CD985" s="21"/>
      <c r="CE985" s="21"/>
      <c r="CF985" s="21"/>
      <c r="CG985" s="21"/>
      <c r="CH985" s="21"/>
      <c r="CI985" s="21"/>
      <c r="CJ985" s="21"/>
    </row>
    <row r="986" spans="1:88" ht="40.5" customHeight="1">
      <c r="A986" s="9"/>
      <c r="B986" s="12"/>
      <c r="C986" s="12"/>
      <c r="D986" s="12"/>
      <c r="E986" s="12">
        <v>0</v>
      </c>
      <c r="F986" s="12">
        <v>0</v>
      </c>
      <c r="G986" s="12" t="b">
        <v>0</v>
      </c>
      <c r="H986" s="12"/>
      <c r="I986" s="12"/>
      <c r="J986" s="12"/>
      <c r="K986" s="12"/>
      <c r="L986" s="12"/>
      <c r="M986" s="12"/>
      <c r="N986" s="13"/>
      <c r="O986" s="13"/>
      <c r="P986" s="17"/>
      <c r="Q986" s="13"/>
      <c r="R986" s="17"/>
      <c r="S986" s="17"/>
      <c r="T986" s="13"/>
      <c r="U986" s="17"/>
      <c r="V986" s="13"/>
      <c r="W986" s="13"/>
      <c r="X986" s="13"/>
      <c r="Y986" s="13"/>
      <c r="Z986" s="13"/>
      <c r="AA986" s="13"/>
      <c r="AB986" s="18"/>
      <c r="AC986" s="18"/>
      <c r="AD986" s="18"/>
      <c r="AE986" s="18"/>
      <c r="AF986" s="18"/>
      <c r="AG986" s="18"/>
      <c r="AH986" s="13"/>
      <c r="AI986" s="18"/>
      <c r="AJ986" s="13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3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2"/>
      <c r="BK986" s="12"/>
      <c r="BL986" s="12"/>
      <c r="BM986" s="9"/>
      <c r="BN986" s="9"/>
      <c r="BO986" s="9"/>
      <c r="BP986" s="12"/>
      <c r="BQ986" s="12"/>
      <c r="BR986" s="12"/>
      <c r="BS986" s="12"/>
      <c r="BT986" s="12"/>
      <c r="BU986" s="12"/>
      <c r="BV986" s="12"/>
      <c r="BW986" s="12"/>
      <c r="BX986" s="12"/>
      <c r="BY986" s="9"/>
      <c r="BZ986" s="21"/>
      <c r="CA986" s="21"/>
      <c r="CB986" s="21"/>
      <c r="CC986" s="21"/>
      <c r="CD986" s="21"/>
      <c r="CE986" s="21"/>
      <c r="CF986" s="21"/>
      <c r="CG986" s="21"/>
      <c r="CH986" s="21"/>
      <c r="CI986" s="21"/>
      <c r="CJ986" s="21"/>
    </row>
    <row r="987" spans="1:88" ht="40.5" customHeight="1">
      <c r="A987" s="9"/>
      <c r="B987" s="12"/>
      <c r="C987" s="12"/>
      <c r="D987" s="12"/>
      <c r="E987" s="12">
        <v>0</v>
      </c>
      <c r="F987" s="12">
        <v>0</v>
      </c>
      <c r="G987" s="12" t="b">
        <v>0</v>
      </c>
      <c r="H987" s="12"/>
      <c r="I987" s="12"/>
      <c r="J987" s="12"/>
      <c r="K987" s="12"/>
      <c r="L987" s="12"/>
      <c r="M987" s="12"/>
      <c r="N987" s="13"/>
      <c r="O987" s="13"/>
      <c r="P987" s="17"/>
      <c r="Q987" s="13"/>
      <c r="R987" s="17"/>
      <c r="S987" s="17"/>
      <c r="T987" s="13"/>
      <c r="U987" s="17"/>
      <c r="V987" s="13"/>
      <c r="W987" s="13"/>
      <c r="X987" s="13"/>
      <c r="Y987" s="13"/>
      <c r="Z987" s="13"/>
      <c r="AA987" s="13"/>
      <c r="AB987" s="18"/>
      <c r="AC987" s="18"/>
      <c r="AD987" s="18"/>
      <c r="AE987" s="18"/>
      <c r="AF987" s="18"/>
      <c r="AG987" s="18"/>
      <c r="AH987" s="13"/>
      <c r="AI987" s="18"/>
      <c r="AJ987" s="13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3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2"/>
      <c r="BK987" s="12"/>
      <c r="BL987" s="12"/>
      <c r="BM987" s="9"/>
      <c r="BN987" s="9"/>
      <c r="BO987" s="9"/>
      <c r="BP987" s="12"/>
      <c r="BQ987" s="12"/>
      <c r="BR987" s="12"/>
      <c r="BS987" s="12"/>
      <c r="BT987" s="12"/>
      <c r="BU987" s="12"/>
      <c r="BV987" s="12"/>
      <c r="BW987" s="12"/>
      <c r="BX987" s="12"/>
      <c r="BY987" s="9"/>
      <c r="BZ987" s="21"/>
      <c r="CA987" s="21"/>
      <c r="CB987" s="21"/>
      <c r="CC987" s="21"/>
      <c r="CD987" s="21"/>
      <c r="CE987" s="21"/>
      <c r="CF987" s="21"/>
      <c r="CG987" s="21"/>
      <c r="CH987" s="21"/>
      <c r="CI987" s="21"/>
      <c r="CJ987" s="21"/>
    </row>
    <row r="988" spans="1:88" ht="40.5" customHeight="1">
      <c r="A988" s="9"/>
      <c r="B988" s="12"/>
      <c r="C988" s="12"/>
      <c r="D988" s="12"/>
      <c r="E988" s="12">
        <v>0</v>
      </c>
      <c r="F988" s="12">
        <v>0</v>
      </c>
      <c r="G988" s="12" t="b">
        <v>0</v>
      </c>
      <c r="H988" s="12"/>
      <c r="I988" s="12"/>
      <c r="J988" s="12"/>
      <c r="K988" s="12"/>
      <c r="L988" s="12"/>
      <c r="M988" s="12"/>
      <c r="N988" s="13"/>
      <c r="O988" s="13"/>
      <c r="P988" s="17"/>
      <c r="Q988" s="13"/>
      <c r="R988" s="17"/>
      <c r="S988" s="17"/>
      <c r="T988" s="13"/>
      <c r="U988" s="17"/>
      <c r="V988" s="13"/>
      <c r="W988" s="13"/>
      <c r="X988" s="13"/>
      <c r="Y988" s="13"/>
      <c r="Z988" s="13"/>
      <c r="AA988" s="13"/>
      <c r="AB988" s="18"/>
      <c r="AC988" s="18"/>
      <c r="AD988" s="18"/>
      <c r="AE988" s="18"/>
      <c r="AF988" s="18"/>
      <c r="AG988" s="18"/>
      <c r="AH988" s="13"/>
      <c r="AI988" s="18"/>
      <c r="AJ988" s="13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3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2"/>
      <c r="BK988" s="12"/>
      <c r="BL988" s="12"/>
      <c r="BM988" s="9"/>
      <c r="BN988" s="9"/>
      <c r="BO988" s="9"/>
      <c r="BP988" s="12"/>
      <c r="BQ988" s="12"/>
      <c r="BR988" s="12"/>
      <c r="BS988" s="12"/>
      <c r="BT988" s="12"/>
      <c r="BU988" s="12"/>
      <c r="BV988" s="12"/>
      <c r="BW988" s="12"/>
      <c r="BX988" s="12"/>
      <c r="BY988" s="9"/>
      <c r="BZ988" s="21"/>
      <c r="CA988" s="21"/>
      <c r="CB988" s="21"/>
      <c r="CC988" s="21"/>
      <c r="CD988" s="21"/>
      <c r="CE988" s="21"/>
      <c r="CF988" s="21"/>
      <c r="CG988" s="21"/>
      <c r="CH988" s="21"/>
      <c r="CI988" s="21"/>
      <c r="CJ988" s="21"/>
    </row>
    <row r="989" spans="1:88" ht="40.5" customHeight="1">
      <c r="A989" s="9"/>
      <c r="B989" s="12"/>
      <c r="C989" s="12"/>
      <c r="D989" s="12"/>
      <c r="E989" s="12">
        <v>0</v>
      </c>
      <c r="F989" s="12">
        <v>0</v>
      </c>
      <c r="G989" s="12" t="b">
        <v>0</v>
      </c>
      <c r="H989" s="12"/>
      <c r="I989" s="12"/>
      <c r="J989" s="12"/>
      <c r="K989" s="12"/>
      <c r="L989" s="12"/>
      <c r="M989" s="12"/>
      <c r="N989" s="13"/>
      <c r="O989" s="13"/>
      <c r="P989" s="17"/>
      <c r="Q989" s="13"/>
      <c r="R989" s="17"/>
      <c r="S989" s="17"/>
      <c r="T989" s="13"/>
      <c r="U989" s="17"/>
      <c r="V989" s="13"/>
      <c r="W989" s="13"/>
      <c r="X989" s="13"/>
      <c r="Y989" s="13"/>
      <c r="Z989" s="13"/>
      <c r="AA989" s="13"/>
      <c r="AB989" s="18"/>
      <c r="AC989" s="18"/>
      <c r="AD989" s="18"/>
      <c r="AE989" s="18"/>
      <c r="AF989" s="18"/>
      <c r="AG989" s="18"/>
      <c r="AH989" s="13"/>
      <c r="AI989" s="18"/>
      <c r="AJ989" s="13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3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2"/>
      <c r="BK989" s="12"/>
      <c r="BL989" s="12"/>
      <c r="BM989" s="9"/>
      <c r="BN989" s="9"/>
      <c r="BO989" s="9"/>
      <c r="BP989" s="12"/>
      <c r="BQ989" s="12"/>
      <c r="BR989" s="12"/>
      <c r="BS989" s="12"/>
      <c r="BT989" s="12"/>
      <c r="BU989" s="12"/>
      <c r="BV989" s="12"/>
      <c r="BW989" s="12"/>
      <c r="BX989" s="12"/>
      <c r="BY989" s="9"/>
      <c r="BZ989" s="21"/>
      <c r="CA989" s="21"/>
      <c r="CB989" s="21"/>
      <c r="CC989" s="21"/>
      <c r="CD989" s="21"/>
      <c r="CE989" s="21"/>
      <c r="CF989" s="21"/>
      <c r="CG989" s="21"/>
      <c r="CH989" s="21"/>
      <c r="CI989" s="21"/>
      <c r="CJ989" s="21"/>
    </row>
    <row r="990" spans="1:88" ht="40.5" customHeight="1">
      <c r="A990" s="9"/>
      <c r="B990" s="12"/>
      <c r="C990" s="12"/>
      <c r="D990" s="12"/>
      <c r="E990" s="12">
        <v>0</v>
      </c>
      <c r="F990" s="12">
        <v>0</v>
      </c>
      <c r="G990" s="12" t="b">
        <v>0</v>
      </c>
      <c r="H990" s="12"/>
      <c r="I990" s="12"/>
      <c r="J990" s="12"/>
      <c r="K990" s="12"/>
      <c r="L990" s="12"/>
      <c r="M990" s="12"/>
      <c r="N990" s="13"/>
      <c r="O990" s="13"/>
      <c r="P990" s="17"/>
      <c r="Q990" s="13"/>
      <c r="R990" s="17"/>
      <c r="S990" s="17"/>
      <c r="T990" s="13"/>
      <c r="U990" s="17"/>
      <c r="V990" s="13"/>
      <c r="W990" s="13"/>
      <c r="X990" s="13"/>
      <c r="Y990" s="13"/>
      <c r="Z990" s="13"/>
      <c r="AA990" s="13"/>
      <c r="AB990" s="18"/>
      <c r="AC990" s="18"/>
      <c r="AD990" s="18"/>
      <c r="AE990" s="18"/>
      <c r="AF990" s="18"/>
      <c r="AG990" s="18"/>
      <c r="AH990" s="13"/>
      <c r="AI990" s="18"/>
      <c r="AJ990" s="13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3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2"/>
      <c r="BK990" s="12"/>
      <c r="BL990" s="12"/>
      <c r="BM990" s="9"/>
      <c r="BN990" s="9"/>
      <c r="BO990" s="9"/>
      <c r="BP990" s="12"/>
      <c r="BQ990" s="12"/>
      <c r="BR990" s="12"/>
      <c r="BS990" s="12"/>
      <c r="BT990" s="12"/>
      <c r="BU990" s="12"/>
      <c r="BV990" s="12"/>
      <c r="BW990" s="12"/>
      <c r="BX990" s="12"/>
      <c r="BY990" s="9"/>
      <c r="BZ990" s="21"/>
      <c r="CA990" s="21"/>
      <c r="CB990" s="21"/>
      <c r="CC990" s="21"/>
      <c r="CD990" s="21"/>
      <c r="CE990" s="21"/>
      <c r="CF990" s="21"/>
      <c r="CG990" s="21"/>
      <c r="CH990" s="21"/>
      <c r="CI990" s="21"/>
      <c r="CJ990" s="21"/>
    </row>
    <row r="991" spans="1:88" ht="40.5" customHeight="1">
      <c r="A991" s="9"/>
      <c r="B991" s="12"/>
      <c r="C991" s="12"/>
      <c r="D991" s="12"/>
      <c r="E991" s="12">
        <v>0</v>
      </c>
      <c r="F991" s="12">
        <v>0</v>
      </c>
      <c r="G991" s="12" t="b">
        <v>0</v>
      </c>
      <c r="H991" s="12"/>
      <c r="I991" s="12"/>
      <c r="J991" s="12"/>
      <c r="K991" s="12"/>
      <c r="L991" s="12"/>
      <c r="M991" s="12"/>
      <c r="N991" s="13"/>
      <c r="O991" s="13"/>
      <c r="P991" s="17"/>
      <c r="Q991" s="13"/>
      <c r="R991" s="17"/>
      <c r="S991" s="17"/>
      <c r="T991" s="13"/>
      <c r="U991" s="17"/>
      <c r="V991" s="13"/>
      <c r="W991" s="13"/>
      <c r="X991" s="13"/>
      <c r="Y991" s="13"/>
      <c r="Z991" s="13"/>
      <c r="AA991" s="13"/>
      <c r="AB991" s="18"/>
      <c r="AC991" s="18"/>
      <c r="AD991" s="18"/>
      <c r="AE991" s="18"/>
      <c r="AF991" s="18"/>
      <c r="AG991" s="18"/>
      <c r="AH991" s="13"/>
      <c r="AI991" s="18"/>
      <c r="AJ991" s="13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3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2"/>
      <c r="BK991" s="12"/>
      <c r="BL991" s="12"/>
      <c r="BM991" s="9"/>
      <c r="BN991" s="9"/>
      <c r="BO991" s="9"/>
      <c r="BP991" s="12"/>
      <c r="BQ991" s="12"/>
      <c r="BR991" s="12"/>
      <c r="BS991" s="12"/>
      <c r="BT991" s="12"/>
      <c r="BU991" s="12"/>
      <c r="BV991" s="12"/>
      <c r="BW991" s="12"/>
      <c r="BX991" s="12"/>
      <c r="BY991" s="9"/>
      <c r="BZ991" s="21"/>
      <c r="CA991" s="21"/>
      <c r="CB991" s="21"/>
      <c r="CC991" s="21"/>
      <c r="CD991" s="21"/>
      <c r="CE991" s="21"/>
      <c r="CF991" s="21"/>
      <c r="CG991" s="21"/>
      <c r="CH991" s="21"/>
      <c r="CI991" s="21"/>
      <c r="CJ991" s="21"/>
    </row>
    <row r="992" spans="1:88" ht="40.5" customHeight="1">
      <c r="A992" s="9"/>
      <c r="B992" s="12"/>
      <c r="C992" s="12"/>
      <c r="D992" s="12"/>
      <c r="E992" s="12">
        <v>0</v>
      </c>
      <c r="F992" s="12">
        <v>0</v>
      </c>
      <c r="G992" s="12" t="b">
        <v>0</v>
      </c>
      <c r="H992" s="12"/>
      <c r="I992" s="12"/>
      <c r="J992" s="12"/>
      <c r="K992" s="12"/>
      <c r="L992" s="12"/>
      <c r="M992" s="12"/>
      <c r="N992" s="13"/>
      <c r="O992" s="13"/>
      <c r="P992" s="17"/>
      <c r="Q992" s="13"/>
      <c r="R992" s="17"/>
      <c r="S992" s="17"/>
      <c r="T992" s="13"/>
      <c r="U992" s="17"/>
      <c r="V992" s="13"/>
      <c r="W992" s="13"/>
      <c r="X992" s="13"/>
      <c r="Y992" s="13"/>
      <c r="Z992" s="13"/>
      <c r="AA992" s="13"/>
      <c r="AB992" s="18"/>
      <c r="AC992" s="18"/>
      <c r="AD992" s="18"/>
      <c r="AE992" s="18"/>
      <c r="AF992" s="18"/>
      <c r="AG992" s="18"/>
      <c r="AH992" s="13"/>
      <c r="AI992" s="18"/>
      <c r="AJ992" s="13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3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2"/>
      <c r="BK992" s="12"/>
      <c r="BL992" s="12"/>
      <c r="BM992" s="9"/>
      <c r="BN992" s="9"/>
      <c r="BO992" s="9"/>
      <c r="BP992" s="12"/>
      <c r="BQ992" s="12"/>
      <c r="BR992" s="12"/>
      <c r="BS992" s="12"/>
      <c r="BT992" s="12"/>
      <c r="BU992" s="12"/>
      <c r="BV992" s="12"/>
      <c r="BW992" s="12"/>
      <c r="BX992" s="12"/>
      <c r="BY992" s="9"/>
      <c r="BZ992" s="21"/>
      <c r="CA992" s="21"/>
      <c r="CB992" s="21"/>
      <c r="CC992" s="21"/>
      <c r="CD992" s="21"/>
      <c r="CE992" s="21"/>
      <c r="CF992" s="21"/>
      <c r="CG992" s="21"/>
      <c r="CH992" s="21"/>
      <c r="CI992" s="21"/>
      <c r="CJ992" s="21"/>
    </row>
    <row r="993" spans="1:88" ht="40.5" customHeight="1">
      <c r="A993" s="9"/>
      <c r="B993" s="12"/>
      <c r="C993" s="12"/>
      <c r="D993" s="12"/>
      <c r="E993" s="12">
        <v>0</v>
      </c>
      <c r="F993" s="12">
        <v>0</v>
      </c>
      <c r="G993" s="12" t="b">
        <v>0</v>
      </c>
      <c r="H993" s="12"/>
      <c r="I993" s="12"/>
      <c r="J993" s="12"/>
      <c r="K993" s="12"/>
      <c r="L993" s="12"/>
      <c r="M993" s="12"/>
      <c r="N993" s="13"/>
      <c r="O993" s="13"/>
      <c r="P993" s="17"/>
      <c r="Q993" s="13"/>
      <c r="R993" s="17"/>
      <c r="S993" s="17"/>
      <c r="T993" s="13"/>
      <c r="U993" s="17"/>
      <c r="V993" s="13"/>
      <c r="W993" s="13"/>
      <c r="X993" s="13"/>
      <c r="Y993" s="13"/>
      <c r="Z993" s="13"/>
      <c r="AA993" s="13"/>
      <c r="AB993" s="18"/>
      <c r="AC993" s="18"/>
      <c r="AD993" s="18"/>
      <c r="AE993" s="18"/>
      <c r="AF993" s="18"/>
      <c r="AG993" s="18"/>
      <c r="AH993" s="13"/>
      <c r="AI993" s="18"/>
      <c r="AJ993" s="13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3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2"/>
      <c r="BK993" s="12"/>
      <c r="BL993" s="12"/>
      <c r="BM993" s="9"/>
      <c r="BN993" s="9"/>
      <c r="BO993" s="9"/>
      <c r="BP993" s="12"/>
      <c r="BQ993" s="12"/>
      <c r="BR993" s="12"/>
      <c r="BS993" s="12"/>
      <c r="BT993" s="12"/>
      <c r="BU993" s="12"/>
      <c r="BV993" s="12"/>
      <c r="BW993" s="12"/>
      <c r="BX993" s="12"/>
      <c r="BY993" s="9"/>
      <c r="BZ993" s="21"/>
      <c r="CA993" s="21"/>
      <c r="CB993" s="21"/>
      <c r="CC993" s="21"/>
      <c r="CD993" s="21"/>
      <c r="CE993" s="21"/>
      <c r="CF993" s="21"/>
      <c r="CG993" s="21"/>
      <c r="CH993" s="21"/>
      <c r="CI993" s="21"/>
      <c r="CJ993" s="21"/>
    </row>
    <row r="994" spans="1:88" ht="40.5" customHeight="1">
      <c r="A994" s="9"/>
      <c r="B994" s="12"/>
      <c r="C994" s="12"/>
      <c r="D994" s="12"/>
      <c r="E994" s="12">
        <v>0</v>
      </c>
      <c r="F994" s="12">
        <v>0</v>
      </c>
      <c r="G994" s="12" t="b">
        <v>0</v>
      </c>
      <c r="H994" s="12"/>
      <c r="I994" s="12"/>
      <c r="J994" s="12"/>
      <c r="K994" s="12"/>
      <c r="L994" s="12"/>
      <c r="M994" s="12"/>
      <c r="N994" s="13"/>
      <c r="O994" s="13"/>
      <c r="P994" s="17"/>
      <c r="Q994" s="13"/>
      <c r="R994" s="17"/>
      <c r="S994" s="17"/>
      <c r="T994" s="13"/>
      <c r="U994" s="17"/>
      <c r="V994" s="13"/>
      <c r="W994" s="13"/>
      <c r="X994" s="13"/>
      <c r="Y994" s="13"/>
      <c r="Z994" s="13"/>
      <c r="AA994" s="13"/>
      <c r="AB994" s="18"/>
      <c r="AC994" s="18"/>
      <c r="AD994" s="18"/>
      <c r="AE994" s="18"/>
      <c r="AF994" s="18"/>
      <c r="AG994" s="18"/>
      <c r="AH994" s="13"/>
      <c r="AI994" s="18"/>
      <c r="AJ994" s="13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3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2"/>
      <c r="BK994" s="12"/>
      <c r="BL994" s="12"/>
      <c r="BM994" s="9"/>
      <c r="BN994" s="9"/>
      <c r="BO994" s="9"/>
      <c r="BP994" s="12"/>
      <c r="BQ994" s="12"/>
      <c r="BR994" s="12"/>
      <c r="BS994" s="12"/>
      <c r="BT994" s="12"/>
      <c r="BU994" s="12"/>
      <c r="BV994" s="12"/>
      <c r="BW994" s="12"/>
      <c r="BX994" s="12"/>
      <c r="BY994" s="9"/>
      <c r="BZ994" s="21"/>
      <c r="CA994" s="21"/>
      <c r="CB994" s="21"/>
      <c r="CC994" s="21"/>
      <c r="CD994" s="21"/>
      <c r="CE994" s="21"/>
      <c r="CF994" s="21"/>
      <c r="CG994" s="21"/>
      <c r="CH994" s="21"/>
      <c r="CI994" s="21"/>
      <c r="CJ994" s="21"/>
    </row>
    <row r="995" spans="1:88" ht="40.5" customHeight="1">
      <c r="A995" s="9"/>
      <c r="B995" s="12"/>
      <c r="C995" s="12"/>
      <c r="D995" s="12"/>
      <c r="E995" s="12">
        <v>0</v>
      </c>
      <c r="F995" s="12">
        <v>0</v>
      </c>
      <c r="G995" s="12" t="b">
        <v>0</v>
      </c>
      <c r="H995" s="12"/>
      <c r="I995" s="12"/>
      <c r="J995" s="12"/>
      <c r="K995" s="12"/>
      <c r="L995" s="12"/>
      <c r="M995" s="12"/>
      <c r="N995" s="13"/>
      <c r="O995" s="13"/>
      <c r="P995" s="17"/>
      <c r="Q995" s="13"/>
      <c r="R995" s="17"/>
      <c r="S995" s="17"/>
      <c r="T995" s="13"/>
      <c r="U995" s="17"/>
      <c r="V995" s="13"/>
      <c r="W995" s="13"/>
      <c r="X995" s="13"/>
      <c r="Y995" s="13"/>
      <c r="Z995" s="13"/>
      <c r="AA995" s="13"/>
      <c r="AB995" s="18"/>
      <c r="AC995" s="18"/>
      <c r="AD995" s="18"/>
      <c r="AE995" s="18"/>
      <c r="AF995" s="18"/>
      <c r="AG995" s="18"/>
      <c r="AH995" s="13"/>
      <c r="AI995" s="18"/>
      <c r="AJ995" s="13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3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2"/>
      <c r="BK995" s="12"/>
      <c r="BL995" s="12"/>
      <c r="BM995" s="9"/>
      <c r="BN995" s="9"/>
      <c r="BO995" s="9"/>
      <c r="BP995" s="12"/>
      <c r="BQ995" s="12"/>
      <c r="BR995" s="12"/>
      <c r="BS995" s="12"/>
      <c r="BT995" s="12"/>
      <c r="BU995" s="12"/>
      <c r="BV995" s="12"/>
      <c r="BW995" s="12"/>
      <c r="BX995" s="12"/>
      <c r="BY995" s="9"/>
      <c r="BZ995" s="21"/>
      <c r="CA995" s="21"/>
      <c r="CB995" s="21"/>
      <c r="CC995" s="21"/>
      <c r="CD995" s="21"/>
      <c r="CE995" s="21"/>
      <c r="CF995" s="21"/>
      <c r="CG995" s="21"/>
      <c r="CH995" s="21"/>
      <c r="CI995" s="21"/>
      <c r="CJ995" s="21"/>
    </row>
    <row r="996" spans="1:88" ht="40.5" customHeight="1">
      <c r="A996" s="9"/>
      <c r="B996" s="12"/>
      <c r="C996" s="12"/>
      <c r="D996" s="12"/>
      <c r="E996" s="12">
        <v>0</v>
      </c>
      <c r="F996" s="12">
        <v>0</v>
      </c>
      <c r="G996" s="12" t="b">
        <v>0</v>
      </c>
      <c r="H996" s="12"/>
      <c r="I996" s="12"/>
      <c r="J996" s="12"/>
      <c r="K996" s="12"/>
      <c r="L996" s="12"/>
      <c r="M996" s="12"/>
      <c r="N996" s="13"/>
      <c r="O996" s="13"/>
      <c r="P996" s="17"/>
      <c r="Q996" s="13"/>
      <c r="R996" s="17"/>
      <c r="S996" s="17"/>
      <c r="T996" s="13"/>
      <c r="U996" s="17"/>
      <c r="V996" s="13"/>
      <c r="W996" s="13"/>
      <c r="X996" s="13"/>
      <c r="Y996" s="13"/>
      <c r="Z996" s="13"/>
      <c r="AA996" s="13"/>
      <c r="AB996" s="18"/>
      <c r="AC996" s="18"/>
      <c r="AD996" s="18"/>
      <c r="AE996" s="18"/>
      <c r="AF996" s="18"/>
      <c r="AG996" s="18"/>
      <c r="AH996" s="13"/>
      <c r="AI996" s="18"/>
      <c r="AJ996" s="13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3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2"/>
      <c r="BK996" s="12"/>
      <c r="BL996" s="12"/>
      <c r="BM996" s="9"/>
      <c r="BN996" s="9"/>
      <c r="BO996" s="9"/>
      <c r="BP996" s="12"/>
      <c r="BQ996" s="12"/>
      <c r="BR996" s="12"/>
      <c r="BS996" s="12"/>
      <c r="BT996" s="12"/>
      <c r="BU996" s="12"/>
      <c r="BV996" s="12"/>
      <c r="BW996" s="12"/>
      <c r="BX996" s="12"/>
      <c r="BY996" s="9"/>
      <c r="BZ996" s="21"/>
      <c r="CA996" s="21"/>
      <c r="CB996" s="21"/>
      <c r="CC996" s="21"/>
      <c r="CD996" s="21"/>
      <c r="CE996" s="21"/>
      <c r="CF996" s="21"/>
      <c r="CG996" s="21"/>
      <c r="CH996" s="21"/>
      <c r="CI996" s="21"/>
      <c r="CJ996" s="21"/>
    </row>
    <row r="997" spans="1:88" ht="40.5" customHeight="1">
      <c r="A997" s="9"/>
      <c r="B997" s="12"/>
      <c r="C997" s="12"/>
      <c r="D997" s="12"/>
      <c r="E997" s="12">
        <v>0</v>
      </c>
      <c r="F997" s="12">
        <v>0</v>
      </c>
      <c r="G997" s="12" t="b">
        <v>0</v>
      </c>
      <c r="H997" s="12"/>
      <c r="I997" s="12"/>
      <c r="J997" s="12"/>
      <c r="K997" s="12"/>
      <c r="L997" s="12"/>
      <c r="M997" s="12"/>
      <c r="N997" s="13"/>
      <c r="O997" s="13"/>
      <c r="P997" s="17"/>
      <c r="Q997" s="13"/>
      <c r="R997" s="17"/>
      <c r="S997" s="17"/>
      <c r="T997" s="13"/>
      <c r="U997" s="17"/>
      <c r="V997" s="13"/>
      <c r="W997" s="13"/>
      <c r="X997" s="13"/>
      <c r="Y997" s="13"/>
      <c r="Z997" s="13"/>
      <c r="AA997" s="13"/>
      <c r="AB997" s="18"/>
      <c r="AC997" s="18"/>
      <c r="AD997" s="18"/>
      <c r="AE997" s="18"/>
      <c r="AF997" s="18"/>
      <c r="AG997" s="18"/>
      <c r="AH997" s="13"/>
      <c r="AI997" s="18"/>
      <c r="AJ997" s="13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3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2"/>
      <c r="BK997" s="12"/>
      <c r="BL997" s="12"/>
      <c r="BM997" s="9"/>
      <c r="BN997" s="9"/>
      <c r="BO997" s="9"/>
      <c r="BP997" s="12"/>
      <c r="BQ997" s="12"/>
      <c r="BR997" s="12"/>
      <c r="BS997" s="12"/>
      <c r="BT997" s="12"/>
      <c r="BU997" s="12"/>
      <c r="BV997" s="12"/>
      <c r="BW997" s="12"/>
      <c r="BX997" s="12"/>
      <c r="BY997" s="9"/>
      <c r="BZ997" s="21"/>
      <c r="CA997" s="21"/>
      <c r="CB997" s="21"/>
      <c r="CC997" s="21"/>
      <c r="CD997" s="21"/>
      <c r="CE997" s="21"/>
      <c r="CF997" s="21"/>
      <c r="CG997" s="21"/>
      <c r="CH997" s="21"/>
      <c r="CI997" s="21"/>
      <c r="CJ997" s="21"/>
    </row>
    <row r="998" spans="1:88" ht="40.5" customHeight="1">
      <c r="A998" s="9"/>
      <c r="B998" s="12"/>
      <c r="C998" s="12"/>
      <c r="D998" s="12"/>
      <c r="E998" s="12">
        <v>0</v>
      </c>
      <c r="F998" s="12">
        <v>0</v>
      </c>
      <c r="G998" s="12" t="b">
        <v>0</v>
      </c>
      <c r="H998" s="12"/>
      <c r="I998" s="12"/>
      <c r="J998" s="12"/>
      <c r="K998" s="12"/>
      <c r="L998" s="12"/>
      <c r="M998" s="12"/>
      <c r="N998" s="13"/>
      <c r="O998" s="13"/>
      <c r="P998" s="17"/>
      <c r="Q998" s="13"/>
      <c r="R998" s="17"/>
      <c r="S998" s="17"/>
      <c r="T998" s="13"/>
      <c r="U998" s="17"/>
      <c r="V998" s="13"/>
      <c r="W998" s="13"/>
      <c r="X998" s="13"/>
      <c r="Y998" s="13"/>
      <c r="Z998" s="13"/>
      <c r="AA998" s="13"/>
      <c r="AB998" s="18"/>
      <c r="AC998" s="18"/>
      <c r="AD998" s="18"/>
      <c r="AE998" s="18"/>
      <c r="AF998" s="18"/>
      <c r="AG998" s="18"/>
      <c r="AH998" s="13"/>
      <c r="AI998" s="18"/>
      <c r="AJ998" s="13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3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2"/>
      <c r="BK998" s="12"/>
      <c r="BL998" s="12"/>
      <c r="BM998" s="9"/>
      <c r="BN998" s="9"/>
      <c r="BO998" s="9"/>
      <c r="BP998" s="12"/>
      <c r="BQ998" s="12"/>
      <c r="BR998" s="12"/>
      <c r="BS998" s="12"/>
      <c r="BT998" s="12"/>
      <c r="BU998" s="12"/>
      <c r="BV998" s="12"/>
      <c r="BW998" s="12"/>
      <c r="BX998" s="12"/>
      <c r="BY998" s="9"/>
      <c r="BZ998" s="21"/>
      <c r="CA998" s="21"/>
      <c r="CB998" s="21"/>
      <c r="CC998" s="21"/>
      <c r="CD998" s="21"/>
      <c r="CE998" s="21"/>
      <c r="CF998" s="21"/>
      <c r="CG998" s="21"/>
      <c r="CH998" s="21"/>
      <c r="CI998" s="21"/>
      <c r="CJ998" s="21"/>
    </row>
    <row r="999" spans="1:88" ht="40.5" customHeight="1">
      <c r="A999" s="9"/>
      <c r="B999" s="12"/>
      <c r="C999" s="12"/>
      <c r="D999" s="12"/>
      <c r="E999" s="12">
        <v>0</v>
      </c>
      <c r="F999" s="12">
        <v>0</v>
      </c>
      <c r="G999" s="12" t="b">
        <v>0</v>
      </c>
      <c r="H999" s="12"/>
      <c r="I999" s="12"/>
      <c r="J999" s="12"/>
      <c r="K999" s="12"/>
      <c r="L999" s="12"/>
      <c r="M999" s="12"/>
      <c r="N999" s="13"/>
      <c r="O999" s="13"/>
      <c r="P999" s="17"/>
      <c r="Q999" s="13"/>
      <c r="R999" s="17"/>
      <c r="S999" s="17"/>
      <c r="T999" s="13"/>
      <c r="U999" s="17"/>
      <c r="V999" s="13"/>
      <c r="W999" s="13"/>
      <c r="X999" s="13"/>
      <c r="Y999" s="13"/>
      <c r="Z999" s="13"/>
      <c r="AA999" s="13"/>
      <c r="AB999" s="18"/>
      <c r="AC999" s="18"/>
      <c r="AD999" s="18"/>
      <c r="AE999" s="18"/>
      <c r="AF999" s="18"/>
      <c r="AG999" s="18"/>
      <c r="AH999" s="13"/>
      <c r="AI999" s="18"/>
      <c r="AJ999" s="13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3"/>
      <c r="AY999" s="1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  <c r="BJ999" s="12"/>
      <c r="BK999" s="12"/>
      <c r="BL999" s="12"/>
      <c r="BM999" s="9"/>
      <c r="BN999" s="9"/>
      <c r="BO999" s="9"/>
      <c r="BP999" s="12"/>
      <c r="BQ999" s="12"/>
      <c r="BR999" s="12"/>
      <c r="BS999" s="12"/>
      <c r="BT999" s="12"/>
      <c r="BU999" s="12"/>
      <c r="BV999" s="12"/>
      <c r="BW999" s="12"/>
      <c r="BX999" s="12"/>
      <c r="BY999" s="9"/>
      <c r="BZ999" s="21"/>
      <c r="CA999" s="21"/>
      <c r="CB999" s="21"/>
      <c r="CC999" s="21"/>
      <c r="CD999" s="21"/>
      <c r="CE999" s="21"/>
      <c r="CF999" s="21"/>
      <c r="CG999" s="21"/>
      <c r="CH999" s="21"/>
      <c r="CI999" s="21"/>
      <c r="CJ999" s="21"/>
    </row>
    <row r="1000" spans="1:88" ht="40.5" customHeight="1">
      <c r="A1000" s="9"/>
      <c r="B1000" s="12"/>
      <c r="C1000" s="12"/>
      <c r="D1000" s="12"/>
      <c r="E1000" s="12">
        <v>0</v>
      </c>
      <c r="F1000" s="12">
        <v>0</v>
      </c>
      <c r="G1000" s="12" t="b">
        <v>0</v>
      </c>
      <c r="H1000" s="12"/>
      <c r="I1000" s="12"/>
      <c r="J1000" s="12"/>
      <c r="K1000" s="12"/>
      <c r="L1000" s="12"/>
      <c r="M1000" s="12"/>
      <c r="N1000" s="13"/>
      <c r="O1000" s="13"/>
      <c r="P1000" s="17"/>
      <c r="Q1000" s="13"/>
      <c r="R1000" s="17"/>
      <c r="S1000" s="17"/>
      <c r="T1000" s="13"/>
      <c r="U1000" s="17"/>
      <c r="V1000" s="13"/>
      <c r="W1000" s="13"/>
      <c r="X1000" s="13"/>
      <c r="Y1000" s="13"/>
      <c r="Z1000" s="13"/>
      <c r="AA1000" s="13"/>
      <c r="AB1000" s="18"/>
      <c r="AC1000" s="18"/>
      <c r="AD1000" s="18"/>
      <c r="AE1000" s="18"/>
      <c r="AF1000" s="18"/>
      <c r="AG1000" s="18"/>
      <c r="AH1000" s="13"/>
      <c r="AI1000" s="18"/>
      <c r="AJ1000" s="13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3"/>
      <c r="AY1000" s="18"/>
      <c r="AZ1000" s="18"/>
      <c r="BA1000" s="18"/>
      <c r="BB1000" s="18"/>
      <c r="BC1000" s="18"/>
      <c r="BD1000" s="18"/>
      <c r="BE1000" s="18"/>
      <c r="BF1000" s="18"/>
      <c r="BG1000" s="18"/>
      <c r="BH1000" s="18"/>
      <c r="BI1000" s="18"/>
      <c r="BJ1000" s="12"/>
      <c r="BK1000" s="12"/>
      <c r="BL1000" s="12"/>
      <c r="BM1000" s="9"/>
      <c r="BN1000" s="9"/>
      <c r="BO1000" s="9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9"/>
      <c r="BZ1000" s="21"/>
      <c r="CA1000" s="21"/>
      <c r="CB1000" s="21"/>
      <c r="CC1000" s="21"/>
      <c r="CD1000" s="21"/>
      <c r="CE1000" s="21"/>
      <c r="CF1000" s="21"/>
      <c r="CG1000" s="21"/>
      <c r="CH1000" s="21"/>
      <c r="CI1000" s="21"/>
      <c r="CJ1000" s="21"/>
    </row>
    <row r="1001" spans="1:88" ht="40.5" customHeight="1">
      <c r="A1001" s="9"/>
      <c r="B1001" s="12"/>
      <c r="C1001" s="12"/>
      <c r="D1001" s="12"/>
      <c r="E1001" s="12">
        <v>0</v>
      </c>
      <c r="F1001" s="12">
        <v>0</v>
      </c>
      <c r="G1001" s="12" t="b">
        <v>0</v>
      </c>
      <c r="H1001" s="12"/>
      <c r="I1001" s="12"/>
      <c r="J1001" s="12"/>
      <c r="K1001" s="12"/>
      <c r="L1001" s="12"/>
      <c r="M1001" s="12"/>
      <c r="N1001" s="13"/>
      <c r="O1001" s="13"/>
      <c r="P1001" s="17"/>
      <c r="Q1001" s="13"/>
      <c r="R1001" s="17"/>
      <c r="S1001" s="17"/>
      <c r="T1001" s="13"/>
      <c r="U1001" s="17"/>
      <c r="V1001" s="13"/>
      <c r="W1001" s="13"/>
      <c r="X1001" s="13"/>
      <c r="Y1001" s="13"/>
      <c r="Z1001" s="13"/>
      <c r="AA1001" s="13"/>
      <c r="AB1001" s="18"/>
      <c r="AC1001" s="18"/>
      <c r="AD1001" s="18"/>
      <c r="AE1001" s="18"/>
      <c r="AF1001" s="18"/>
      <c r="AG1001" s="18"/>
      <c r="AH1001" s="13"/>
      <c r="AI1001" s="18"/>
      <c r="AJ1001" s="13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3"/>
      <c r="AY1001" s="18"/>
      <c r="AZ1001" s="18"/>
      <c r="BA1001" s="18"/>
      <c r="BB1001" s="18"/>
      <c r="BC1001" s="18"/>
      <c r="BD1001" s="18"/>
      <c r="BE1001" s="18"/>
      <c r="BF1001" s="18"/>
      <c r="BG1001" s="18"/>
      <c r="BH1001" s="18"/>
      <c r="BI1001" s="18"/>
      <c r="BJ1001" s="12"/>
      <c r="BK1001" s="12"/>
      <c r="BL1001" s="12"/>
      <c r="BM1001" s="9"/>
      <c r="BN1001" s="9"/>
      <c r="BO1001" s="9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9"/>
      <c r="BZ1001" s="21"/>
      <c r="CA1001" s="21"/>
      <c r="CB1001" s="21"/>
      <c r="CC1001" s="21"/>
      <c r="CD1001" s="21"/>
      <c r="CE1001" s="21"/>
      <c r="CF1001" s="21"/>
      <c r="CG1001" s="21"/>
      <c r="CH1001" s="21"/>
      <c r="CI1001" s="21"/>
      <c r="CJ1001" s="21"/>
    </row>
    <row r="1002" spans="1:88" ht="40.5" customHeight="1">
      <c r="A1002" s="9"/>
      <c r="B1002" s="12"/>
      <c r="C1002" s="12"/>
      <c r="D1002" s="12"/>
      <c r="E1002" s="12">
        <v>0</v>
      </c>
      <c r="F1002" s="12">
        <v>0</v>
      </c>
      <c r="G1002" s="12" t="b">
        <v>0</v>
      </c>
      <c r="H1002" s="12"/>
      <c r="I1002" s="12"/>
      <c r="J1002" s="12"/>
      <c r="K1002" s="12"/>
      <c r="L1002" s="12"/>
      <c r="M1002" s="12"/>
      <c r="N1002" s="13"/>
      <c r="O1002" s="13"/>
      <c r="P1002" s="17"/>
      <c r="Q1002" s="13"/>
      <c r="R1002" s="17"/>
      <c r="S1002" s="17"/>
      <c r="T1002" s="13"/>
      <c r="U1002" s="17"/>
      <c r="V1002" s="13"/>
      <c r="W1002" s="13"/>
      <c r="X1002" s="13"/>
      <c r="Y1002" s="13"/>
      <c r="Z1002" s="13"/>
      <c r="AA1002" s="13"/>
      <c r="AB1002" s="18"/>
      <c r="AC1002" s="18"/>
      <c r="AD1002" s="18"/>
      <c r="AE1002" s="18"/>
      <c r="AF1002" s="18"/>
      <c r="AG1002" s="18"/>
      <c r="AH1002" s="13"/>
      <c r="AI1002" s="18"/>
      <c r="AJ1002" s="13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3"/>
      <c r="AY1002" s="18"/>
      <c r="AZ1002" s="18"/>
      <c r="BA1002" s="18"/>
      <c r="BB1002" s="18"/>
      <c r="BC1002" s="18"/>
      <c r="BD1002" s="18"/>
      <c r="BE1002" s="18"/>
      <c r="BF1002" s="18"/>
      <c r="BG1002" s="18"/>
      <c r="BH1002" s="18"/>
      <c r="BI1002" s="18"/>
      <c r="BJ1002" s="12"/>
      <c r="BK1002" s="12"/>
      <c r="BL1002" s="12"/>
      <c r="BM1002" s="9"/>
      <c r="BN1002" s="9"/>
      <c r="BO1002" s="9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9"/>
      <c r="BZ1002" s="21"/>
      <c r="CA1002" s="21"/>
      <c r="CB1002" s="21"/>
      <c r="CC1002" s="21"/>
      <c r="CD1002" s="21"/>
      <c r="CE1002" s="21"/>
      <c r="CF1002" s="21"/>
      <c r="CG1002" s="21"/>
      <c r="CH1002" s="21"/>
      <c r="CI1002" s="21"/>
      <c r="CJ1002" s="21"/>
    </row>
    <row r="1003" spans="1:88" ht="40.5" customHeight="1">
      <c r="A1003" s="9"/>
      <c r="B1003" s="12"/>
      <c r="C1003" s="12"/>
      <c r="D1003" s="12"/>
      <c r="E1003" s="12">
        <v>0</v>
      </c>
      <c r="F1003" s="12">
        <v>0</v>
      </c>
      <c r="G1003" s="12" t="b">
        <v>0</v>
      </c>
      <c r="H1003" s="12"/>
      <c r="I1003" s="12"/>
      <c r="J1003" s="12"/>
      <c r="K1003" s="12"/>
      <c r="L1003" s="12"/>
      <c r="M1003" s="12"/>
      <c r="N1003" s="13"/>
      <c r="O1003" s="13"/>
      <c r="P1003" s="17"/>
      <c r="Q1003" s="13"/>
      <c r="R1003" s="17"/>
      <c r="S1003" s="17"/>
      <c r="T1003" s="13"/>
      <c r="U1003" s="17"/>
      <c r="V1003" s="13"/>
      <c r="W1003" s="13"/>
      <c r="X1003" s="13"/>
      <c r="Y1003" s="13"/>
      <c r="Z1003" s="13"/>
      <c r="AA1003" s="13"/>
      <c r="AB1003" s="18"/>
      <c r="AC1003" s="18"/>
      <c r="AD1003" s="18"/>
      <c r="AE1003" s="18"/>
      <c r="AF1003" s="18"/>
      <c r="AG1003" s="18"/>
      <c r="AH1003" s="13"/>
      <c r="AI1003" s="18"/>
      <c r="AJ1003" s="13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3"/>
      <c r="AY1003" s="18"/>
      <c r="AZ1003" s="18"/>
      <c r="BA1003" s="18"/>
      <c r="BB1003" s="18"/>
      <c r="BC1003" s="18"/>
      <c r="BD1003" s="18"/>
      <c r="BE1003" s="18"/>
      <c r="BF1003" s="18"/>
      <c r="BG1003" s="18"/>
      <c r="BH1003" s="18"/>
      <c r="BI1003" s="18"/>
      <c r="BJ1003" s="12"/>
      <c r="BK1003" s="12"/>
      <c r="BL1003" s="12"/>
      <c r="BM1003" s="9"/>
      <c r="BN1003" s="9"/>
      <c r="BO1003" s="9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9"/>
      <c r="BZ1003" s="21"/>
      <c r="CA1003" s="21"/>
      <c r="CB1003" s="21"/>
      <c r="CC1003" s="21"/>
      <c r="CD1003" s="21"/>
      <c r="CE1003" s="21"/>
      <c r="CF1003" s="21"/>
      <c r="CG1003" s="21"/>
      <c r="CH1003" s="21"/>
      <c r="CI1003" s="21"/>
      <c r="CJ1003" s="21"/>
    </row>
    <row r="1004" spans="1:88" ht="40.5" customHeight="1">
      <c r="A1004" s="9"/>
      <c r="B1004" s="12"/>
      <c r="C1004" s="12"/>
      <c r="D1004" s="12"/>
      <c r="E1004" s="12">
        <v>0</v>
      </c>
      <c r="F1004" s="12">
        <v>0</v>
      </c>
      <c r="G1004" s="12" t="b">
        <v>0</v>
      </c>
      <c r="H1004" s="12"/>
      <c r="I1004" s="12"/>
      <c r="J1004" s="12"/>
      <c r="K1004" s="12"/>
      <c r="L1004" s="12"/>
      <c r="M1004" s="12"/>
      <c r="N1004" s="13"/>
      <c r="O1004" s="13"/>
      <c r="P1004" s="17"/>
      <c r="Q1004" s="13"/>
      <c r="R1004" s="17"/>
      <c r="S1004" s="17"/>
      <c r="T1004" s="13"/>
      <c r="U1004" s="17"/>
      <c r="V1004" s="13"/>
      <c r="W1004" s="13"/>
      <c r="X1004" s="13"/>
      <c r="Y1004" s="13"/>
      <c r="Z1004" s="13"/>
      <c r="AA1004" s="13"/>
      <c r="AB1004" s="18"/>
      <c r="AC1004" s="18"/>
      <c r="AD1004" s="18"/>
      <c r="AE1004" s="18"/>
      <c r="AF1004" s="18"/>
      <c r="AG1004" s="18"/>
      <c r="AH1004" s="13"/>
      <c r="AI1004" s="18"/>
      <c r="AJ1004" s="13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3"/>
      <c r="AY1004" s="18"/>
      <c r="AZ1004" s="18"/>
      <c r="BA1004" s="18"/>
      <c r="BB1004" s="18"/>
      <c r="BC1004" s="18"/>
      <c r="BD1004" s="18"/>
      <c r="BE1004" s="18"/>
      <c r="BF1004" s="18"/>
      <c r="BG1004" s="18"/>
      <c r="BH1004" s="18"/>
      <c r="BI1004" s="18"/>
      <c r="BJ1004" s="12"/>
      <c r="BK1004" s="12"/>
      <c r="BL1004" s="12"/>
      <c r="BM1004" s="9"/>
      <c r="BN1004" s="9"/>
      <c r="BO1004" s="9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9"/>
      <c r="BZ1004" s="21"/>
      <c r="CA1004" s="21"/>
      <c r="CB1004" s="21"/>
      <c r="CC1004" s="21"/>
      <c r="CD1004" s="21"/>
      <c r="CE1004" s="21"/>
      <c r="CF1004" s="21"/>
      <c r="CG1004" s="21"/>
      <c r="CH1004" s="21"/>
      <c r="CI1004" s="21"/>
      <c r="CJ1004" s="21"/>
    </row>
    <row r="1005" spans="1:88" ht="40.5" customHeight="1">
      <c r="A1005" s="9"/>
      <c r="B1005" s="12"/>
      <c r="C1005" s="12"/>
      <c r="D1005" s="12"/>
      <c r="E1005" s="12">
        <v>0</v>
      </c>
      <c r="F1005" s="12">
        <v>0</v>
      </c>
      <c r="G1005" s="12" t="b">
        <v>0</v>
      </c>
      <c r="H1005" s="12"/>
      <c r="I1005" s="12"/>
      <c r="J1005" s="12"/>
      <c r="K1005" s="12"/>
      <c r="L1005" s="12"/>
      <c r="M1005" s="12"/>
      <c r="N1005" s="13"/>
      <c r="O1005" s="13"/>
      <c r="P1005" s="17"/>
      <c r="Q1005" s="13"/>
      <c r="R1005" s="17"/>
      <c r="S1005" s="17"/>
      <c r="T1005" s="13"/>
      <c r="U1005" s="17"/>
      <c r="V1005" s="13"/>
      <c r="W1005" s="13"/>
      <c r="X1005" s="13"/>
      <c r="Y1005" s="13"/>
      <c r="Z1005" s="13"/>
      <c r="AA1005" s="13"/>
      <c r="AB1005" s="18"/>
      <c r="AC1005" s="18"/>
      <c r="AD1005" s="18"/>
      <c r="AE1005" s="18"/>
      <c r="AF1005" s="18"/>
      <c r="AG1005" s="18"/>
      <c r="AH1005" s="13"/>
      <c r="AI1005" s="18"/>
      <c r="AJ1005" s="13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3"/>
      <c r="AY1005" s="18"/>
      <c r="AZ1005" s="18"/>
      <c r="BA1005" s="18"/>
      <c r="BB1005" s="18"/>
      <c r="BC1005" s="18"/>
      <c r="BD1005" s="18"/>
      <c r="BE1005" s="18"/>
      <c r="BF1005" s="18"/>
      <c r="BG1005" s="18"/>
      <c r="BH1005" s="18"/>
      <c r="BI1005" s="18"/>
      <c r="BJ1005" s="12"/>
      <c r="BK1005" s="12"/>
      <c r="BL1005" s="12"/>
      <c r="BM1005" s="9"/>
      <c r="BN1005" s="9"/>
      <c r="BO1005" s="9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9"/>
      <c r="BZ1005" s="21"/>
      <c r="CA1005" s="21"/>
      <c r="CB1005" s="21"/>
      <c r="CC1005" s="21"/>
      <c r="CD1005" s="21"/>
      <c r="CE1005" s="21"/>
      <c r="CF1005" s="21"/>
      <c r="CG1005" s="21"/>
      <c r="CH1005" s="21"/>
      <c r="CI1005" s="21"/>
      <c r="CJ1005" s="21"/>
    </row>
    <row r="1006" spans="1:88" ht="40.5" customHeight="1">
      <c r="A1006" s="9"/>
      <c r="B1006" s="12"/>
      <c r="C1006" s="12"/>
      <c r="D1006" s="12"/>
      <c r="E1006" s="12">
        <v>0</v>
      </c>
      <c r="F1006" s="12">
        <v>0</v>
      </c>
      <c r="G1006" s="12" t="b">
        <v>0</v>
      </c>
      <c r="H1006" s="12"/>
      <c r="I1006" s="12"/>
      <c r="J1006" s="12"/>
      <c r="K1006" s="12"/>
      <c r="L1006" s="12"/>
      <c r="M1006" s="12"/>
      <c r="N1006" s="13"/>
      <c r="O1006" s="13"/>
      <c r="P1006" s="17"/>
      <c r="Q1006" s="13"/>
      <c r="R1006" s="17"/>
      <c r="S1006" s="17"/>
      <c r="T1006" s="13"/>
      <c r="U1006" s="17"/>
      <c r="V1006" s="13"/>
      <c r="W1006" s="13"/>
      <c r="X1006" s="13"/>
      <c r="Y1006" s="13"/>
      <c r="Z1006" s="13"/>
      <c r="AA1006" s="13"/>
      <c r="AB1006" s="18"/>
      <c r="AC1006" s="18"/>
      <c r="AD1006" s="18"/>
      <c r="AE1006" s="18"/>
      <c r="AF1006" s="18"/>
      <c r="AG1006" s="18"/>
      <c r="AH1006" s="13"/>
      <c r="AI1006" s="18"/>
      <c r="AJ1006" s="13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3"/>
      <c r="AY1006" s="18"/>
      <c r="AZ1006" s="18"/>
      <c r="BA1006" s="18"/>
      <c r="BB1006" s="18"/>
      <c r="BC1006" s="18"/>
      <c r="BD1006" s="18"/>
      <c r="BE1006" s="18"/>
      <c r="BF1006" s="18"/>
      <c r="BG1006" s="18"/>
      <c r="BH1006" s="18"/>
      <c r="BI1006" s="18"/>
      <c r="BJ1006" s="12"/>
      <c r="BK1006" s="12"/>
      <c r="BL1006" s="12"/>
      <c r="BM1006" s="9"/>
      <c r="BN1006" s="9"/>
      <c r="BO1006" s="9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9"/>
      <c r="BZ1006" s="21"/>
      <c r="CA1006" s="21"/>
      <c r="CB1006" s="21"/>
      <c r="CC1006" s="21"/>
      <c r="CD1006" s="21"/>
      <c r="CE1006" s="21"/>
      <c r="CF1006" s="21"/>
      <c r="CG1006" s="21"/>
      <c r="CH1006" s="21"/>
      <c r="CI1006" s="21"/>
      <c r="CJ1006" s="21"/>
    </row>
    <row r="1007" spans="1:88" ht="40.5" customHeight="1">
      <c r="A1007" s="9"/>
      <c r="B1007" s="12"/>
      <c r="C1007" s="12"/>
      <c r="D1007" s="12"/>
      <c r="E1007" s="12">
        <v>0</v>
      </c>
      <c r="F1007" s="12">
        <v>0</v>
      </c>
      <c r="G1007" s="12" t="b">
        <v>0</v>
      </c>
      <c r="H1007" s="12"/>
      <c r="I1007" s="12"/>
      <c r="J1007" s="12"/>
      <c r="K1007" s="12"/>
      <c r="L1007" s="12"/>
      <c r="M1007" s="12"/>
      <c r="N1007" s="13"/>
      <c r="O1007" s="13"/>
      <c r="P1007" s="17"/>
      <c r="Q1007" s="13"/>
      <c r="R1007" s="17"/>
      <c r="S1007" s="17"/>
      <c r="T1007" s="13"/>
      <c r="U1007" s="17"/>
      <c r="V1007" s="13"/>
      <c r="W1007" s="13"/>
      <c r="X1007" s="13"/>
      <c r="Y1007" s="13"/>
      <c r="Z1007" s="13"/>
      <c r="AA1007" s="13"/>
      <c r="AB1007" s="18"/>
      <c r="AC1007" s="18"/>
      <c r="AD1007" s="18"/>
      <c r="AE1007" s="18"/>
      <c r="AF1007" s="18"/>
      <c r="AG1007" s="18"/>
      <c r="AH1007" s="13"/>
      <c r="AI1007" s="18"/>
      <c r="AJ1007" s="13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3"/>
      <c r="AY1007" s="18"/>
      <c r="AZ1007" s="18"/>
      <c r="BA1007" s="18"/>
      <c r="BB1007" s="18"/>
      <c r="BC1007" s="18"/>
      <c r="BD1007" s="18"/>
      <c r="BE1007" s="18"/>
      <c r="BF1007" s="18"/>
      <c r="BG1007" s="18"/>
      <c r="BH1007" s="18"/>
      <c r="BI1007" s="18"/>
      <c r="BJ1007" s="12"/>
      <c r="BK1007" s="12"/>
      <c r="BL1007" s="12"/>
      <c r="BM1007" s="9"/>
      <c r="BN1007" s="9"/>
      <c r="BO1007" s="9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9"/>
      <c r="BZ1007" s="21"/>
      <c r="CA1007" s="21"/>
      <c r="CB1007" s="21"/>
      <c r="CC1007" s="21"/>
      <c r="CD1007" s="21"/>
      <c r="CE1007" s="21"/>
      <c r="CF1007" s="21"/>
      <c r="CG1007" s="21"/>
      <c r="CH1007" s="21"/>
      <c r="CI1007" s="21"/>
      <c r="CJ1007" s="21"/>
    </row>
    <row r="1008" spans="1:88" ht="40.5" customHeight="1">
      <c r="A1008" s="9"/>
      <c r="B1008" s="12"/>
      <c r="C1008" s="12"/>
      <c r="D1008" s="12"/>
      <c r="E1008" s="12">
        <v>0</v>
      </c>
      <c r="F1008" s="12">
        <v>0</v>
      </c>
      <c r="G1008" s="12" t="b">
        <v>0</v>
      </c>
      <c r="H1008" s="12"/>
      <c r="I1008" s="12"/>
      <c r="J1008" s="12"/>
      <c r="K1008" s="12"/>
      <c r="L1008" s="12"/>
      <c r="M1008" s="12"/>
      <c r="N1008" s="13"/>
      <c r="O1008" s="13"/>
      <c r="P1008" s="17"/>
      <c r="Q1008" s="13"/>
      <c r="R1008" s="17"/>
      <c r="S1008" s="17"/>
      <c r="T1008" s="13"/>
      <c r="U1008" s="17"/>
      <c r="V1008" s="13"/>
      <c r="W1008" s="13"/>
      <c r="X1008" s="13"/>
      <c r="Y1008" s="13"/>
      <c r="Z1008" s="13"/>
      <c r="AA1008" s="13"/>
      <c r="AB1008" s="18"/>
      <c r="AC1008" s="18"/>
      <c r="AD1008" s="18"/>
      <c r="AE1008" s="18"/>
      <c r="AF1008" s="18"/>
      <c r="AG1008" s="18"/>
      <c r="AH1008" s="13"/>
      <c r="AI1008" s="18"/>
      <c r="AJ1008" s="13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3"/>
      <c r="AY1008" s="18"/>
      <c r="AZ1008" s="18"/>
      <c r="BA1008" s="18"/>
      <c r="BB1008" s="18"/>
      <c r="BC1008" s="18"/>
      <c r="BD1008" s="18"/>
      <c r="BE1008" s="18"/>
      <c r="BF1008" s="18"/>
      <c r="BG1008" s="18"/>
      <c r="BH1008" s="18"/>
      <c r="BI1008" s="18"/>
      <c r="BJ1008" s="12"/>
      <c r="BK1008" s="12"/>
      <c r="BL1008" s="12"/>
      <c r="BM1008" s="9"/>
      <c r="BN1008" s="9"/>
      <c r="BO1008" s="9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9"/>
      <c r="BZ1008" s="21"/>
      <c r="CA1008" s="21"/>
      <c r="CB1008" s="21"/>
      <c r="CC1008" s="21"/>
      <c r="CD1008" s="21"/>
      <c r="CE1008" s="21"/>
      <c r="CF1008" s="21"/>
      <c r="CG1008" s="21"/>
      <c r="CH1008" s="21"/>
      <c r="CI1008" s="21"/>
      <c r="CJ1008" s="21"/>
    </row>
    <row r="1009" spans="1:88" ht="40.5" customHeight="1">
      <c r="A1009" s="9"/>
      <c r="B1009" s="12"/>
      <c r="C1009" s="12"/>
      <c r="D1009" s="12"/>
      <c r="E1009" s="12">
        <v>0</v>
      </c>
      <c r="F1009" s="12">
        <v>0</v>
      </c>
      <c r="G1009" s="12" t="b">
        <v>0</v>
      </c>
      <c r="H1009" s="12"/>
      <c r="I1009" s="12"/>
      <c r="J1009" s="12"/>
      <c r="K1009" s="12"/>
      <c r="L1009" s="12"/>
      <c r="M1009" s="12"/>
      <c r="N1009" s="13"/>
      <c r="O1009" s="13"/>
      <c r="P1009" s="17"/>
      <c r="Q1009" s="13"/>
      <c r="R1009" s="17"/>
      <c r="S1009" s="17"/>
      <c r="T1009" s="13"/>
      <c r="U1009" s="17"/>
      <c r="V1009" s="13"/>
      <c r="W1009" s="13"/>
      <c r="X1009" s="13"/>
      <c r="Y1009" s="13"/>
      <c r="Z1009" s="13"/>
      <c r="AA1009" s="13"/>
      <c r="AB1009" s="18"/>
      <c r="AC1009" s="18"/>
      <c r="AD1009" s="18"/>
      <c r="AE1009" s="18"/>
      <c r="AF1009" s="18"/>
      <c r="AG1009" s="18"/>
      <c r="AH1009" s="13"/>
      <c r="AI1009" s="18"/>
      <c r="AJ1009" s="13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3"/>
      <c r="AY1009" s="18"/>
      <c r="AZ1009" s="18"/>
      <c r="BA1009" s="18"/>
      <c r="BB1009" s="18"/>
      <c r="BC1009" s="18"/>
      <c r="BD1009" s="18"/>
      <c r="BE1009" s="18"/>
      <c r="BF1009" s="18"/>
      <c r="BG1009" s="18"/>
      <c r="BH1009" s="18"/>
      <c r="BI1009" s="18"/>
      <c r="BJ1009" s="12"/>
      <c r="BK1009" s="12"/>
      <c r="BL1009" s="12"/>
      <c r="BM1009" s="9"/>
      <c r="BN1009" s="9"/>
      <c r="BO1009" s="9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9"/>
      <c r="BZ1009" s="21"/>
      <c r="CA1009" s="21"/>
      <c r="CB1009" s="21"/>
      <c r="CC1009" s="21"/>
      <c r="CD1009" s="21"/>
      <c r="CE1009" s="21"/>
      <c r="CF1009" s="21"/>
      <c r="CG1009" s="21"/>
      <c r="CH1009" s="21"/>
      <c r="CI1009" s="21"/>
      <c r="CJ1009" s="21"/>
    </row>
    <row r="1010" spans="1:88" ht="40.5" customHeight="1">
      <c r="A1010" s="9"/>
      <c r="B1010" s="12"/>
      <c r="C1010" s="12"/>
      <c r="D1010" s="12"/>
      <c r="E1010" s="12">
        <v>0</v>
      </c>
      <c r="F1010" s="12">
        <v>0</v>
      </c>
      <c r="G1010" s="12" t="b">
        <v>0</v>
      </c>
      <c r="H1010" s="12"/>
      <c r="I1010" s="12"/>
      <c r="J1010" s="12"/>
      <c r="K1010" s="12"/>
      <c r="L1010" s="12"/>
      <c r="M1010" s="12"/>
      <c r="N1010" s="13"/>
      <c r="O1010" s="13"/>
      <c r="P1010" s="17"/>
      <c r="Q1010" s="13"/>
      <c r="R1010" s="17"/>
      <c r="S1010" s="17"/>
      <c r="T1010" s="13"/>
      <c r="U1010" s="17"/>
      <c r="V1010" s="13"/>
      <c r="W1010" s="13"/>
      <c r="X1010" s="13"/>
      <c r="Y1010" s="13"/>
      <c r="Z1010" s="13"/>
      <c r="AA1010" s="13"/>
      <c r="AB1010" s="18"/>
      <c r="AC1010" s="18"/>
      <c r="AD1010" s="18"/>
      <c r="AE1010" s="18"/>
      <c r="AF1010" s="18"/>
      <c r="AG1010" s="18"/>
      <c r="AH1010" s="13"/>
      <c r="AI1010" s="18"/>
      <c r="AJ1010" s="13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3"/>
      <c r="AY1010" s="18"/>
      <c r="AZ1010" s="18"/>
      <c r="BA1010" s="18"/>
      <c r="BB1010" s="18"/>
      <c r="BC1010" s="18"/>
      <c r="BD1010" s="18"/>
      <c r="BE1010" s="18"/>
      <c r="BF1010" s="18"/>
      <c r="BG1010" s="18"/>
      <c r="BH1010" s="18"/>
      <c r="BI1010" s="18"/>
      <c r="BJ1010" s="12"/>
      <c r="BK1010" s="12"/>
      <c r="BL1010" s="12"/>
      <c r="BM1010" s="9"/>
      <c r="BN1010" s="9"/>
      <c r="BO1010" s="9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9"/>
      <c r="BZ1010" s="21"/>
      <c r="CA1010" s="21"/>
      <c r="CB1010" s="21"/>
      <c r="CC1010" s="21"/>
      <c r="CD1010" s="21"/>
      <c r="CE1010" s="21"/>
      <c r="CF1010" s="21"/>
      <c r="CG1010" s="21"/>
      <c r="CH1010" s="21"/>
      <c r="CI1010" s="21"/>
      <c r="CJ1010" s="21"/>
    </row>
    <row r="1011" spans="1:88" ht="40.5" customHeight="1">
      <c r="A1011" s="9"/>
      <c r="B1011" s="12"/>
      <c r="C1011" s="12"/>
      <c r="D1011" s="12"/>
      <c r="E1011" s="12">
        <v>0</v>
      </c>
      <c r="F1011" s="12">
        <v>0</v>
      </c>
      <c r="G1011" s="12" t="b">
        <v>0</v>
      </c>
      <c r="H1011" s="12"/>
      <c r="I1011" s="12"/>
      <c r="J1011" s="12"/>
      <c r="K1011" s="12"/>
      <c r="L1011" s="12"/>
      <c r="M1011" s="12"/>
      <c r="N1011" s="13"/>
      <c r="O1011" s="13"/>
      <c r="P1011" s="17"/>
      <c r="Q1011" s="13"/>
      <c r="R1011" s="17"/>
      <c r="S1011" s="17"/>
      <c r="T1011" s="13"/>
      <c r="U1011" s="17"/>
      <c r="V1011" s="13"/>
      <c r="W1011" s="13"/>
      <c r="X1011" s="13"/>
      <c r="Y1011" s="13"/>
      <c r="Z1011" s="13"/>
      <c r="AA1011" s="13"/>
      <c r="AB1011" s="18"/>
      <c r="AC1011" s="18"/>
      <c r="AD1011" s="18"/>
      <c r="AE1011" s="18"/>
      <c r="AF1011" s="18"/>
      <c r="AG1011" s="18"/>
      <c r="AH1011" s="13"/>
      <c r="AI1011" s="18"/>
      <c r="AJ1011" s="13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3"/>
      <c r="AY1011" s="18"/>
      <c r="AZ1011" s="18"/>
      <c r="BA1011" s="18"/>
      <c r="BB1011" s="18"/>
      <c r="BC1011" s="18"/>
      <c r="BD1011" s="18"/>
      <c r="BE1011" s="18"/>
      <c r="BF1011" s="18"/>
      <c r="BG1011" s="18"/>
      <c r="BH1011" s="18"/>
      <c r="BI1011" s="18"/>
      <c r="BJ1011" s="12"/>
      <c r="BK1011" s="12"/>
      <c r="BL1011" s="12"/>
      <c r="BM1011" s="9"/>
      <c r="BN1011" s="9"/>
      <c r="BO1011" s="9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9"/>
      <c r="BZ1011" s="21"/>
      <c r="CA1011" s="21"/>
      <c r="CB1011" s="21"/>
      <c r="CC1011" s="21"/>
      <c r="CD1011" s="21"/>
      <c r="CE1011" s="21"/>
      <c r="CF1011" s="21"/>
      <c r="CG1011" s="21"/>
      <c r="CH1011" s="21"/>
      <c r="CI1011" s="21"/>
      <c r="CJ1011" s="21"/>
    </row>
    <row r="1012" spans="1:88" ht="40.5" customHeight="1">
      <c r="A1012" s="9"/>
      <c r="B1012" s="12"/>
      <c r="C1012" s="12"/>
      <c r="D1012" s="12"/>
      <c r="E1012" s="12">
        <v>0</v>
      </c>
      <c r="F1012" s="12">
        <v>0</v>
      </c>
      <c r="G1012" s="12" t="b">
        <v>0</v>
      </c>
      <c r="H1012" s="12"/>
      <c r="I1012" s="12"/>
      <c r="J1012" s="12"/>
      <c r="K1012" s="12"/>
      <c r="L1012" s="12"/>
      <c r="M1012" s="12"/>
      <c r="N1012" s="13"/>
      <c r="O1012" s="13"/>
      <c r="P1012" s="17"/>
      <c r="Q1012" s="13"/>
      <c r="R1012" s="17"/>
      <c r="S1012" s="17"/>
      <c r="T1012" s="13"/>
      <c r="U1012" s="17"/>
      <c r="V1012" s="13"/>
      <c r="W1012" s="13"/>
      <c r="X1012" s="13"/>
      <c r="Y1012" s="13"/>
      <c r="Z1012" s="13"/>
      <c r="AA1012" s="13"/>
      <c r="AB1012" s="18"/>
      <c r="AC1012" s="18"/>
      <c r="AD1012" s="18"/>
      <c r="AE1012" s="18"/>
      <c r="AF1012" s="18"/>
      <c r="AG1012" s="18"/>
      <c r="AH1012" s="13"/>
      <c r="AI1012" s="18"/>
      <c r="AJ1012" s="13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X1012" s="13"/>
      <c r="AY1012" s="18"/>
      <c r="AZ1012" s="18"/>
      <c r="BA1012" s="18"/>
      <c r="BB1012" s="18"/>
      <c r="BC1012" s="18"/>
      <c r="BD1012" s="18"/>
      <c r="BE1012" s="18"/>
      <c r="BF1012" s="18"/>
      <c r="BG1012" s="18"/>
      <c r="BH1012" s="18"/>
      <c r="BI1012" s="18"/>
      <c r="BJ1012" s="12"/>
      <c r="BK1012" s="12"/>
      <c r="BL1012" s="12"/>
      <c r="BM1012" s="9"/>
      <c r="BN1012" s="9"/>
      <c r="BO1012" s="9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9"/>
      <c r="BZ1012" s="21"/>
      <c r="CA1012" s="21"/>
      <c r="CB1012" s="21"/>
      <c r="CC1012" s="21"/>
      <c r="CD1012" s="21"/>
      <c r="CE1012" s="21"/>
      <c r="CF1012" s="21"/>
      <c r="CG1012" s="21"/>
      <c r="CH1012" s="21"/>
      <c r="CI1012" s="21"/>
      <c r="CJ1012" s="21"/>
    </row>
  </sheetData>
  <customSheetViews>
    <customSheetView guid="{61CC9F09-816E-4E06-AE15-6DFB60DA7C98}" filter="1" showAutoFilter="1">
      <pageMargins left="0.7" right="0.7" top="0.75" bottom="0.75" header="0.3" footer="0.3"/>
      <autoFilter ref="A2:BY335">
        <filterColumn colId="3">
          <filters>
            <filter val="Kosova"/>
            <filter val="Kuveyt"/>
            <filter val="Macaristan"/>
          </filters>
        </filterColumn>
      </autoFilter>
    </customSheetView>
    <customSheetView guid="{A39CA7B0-3B54-4899-91FA-39A12922428A}" filter="1" showAutoFilter="1">
      <pageMargins left="0.7" right="0.7" top="0.75" bottom="0.75" header="0.3" footer="0.3"/>
      <autoFilter ref="A1:M335"/>
    </customSheetView>
    <customSheetView guid="{4C6E62DE-77C1-45B6-8FD2-976AD7C65FE2}" filter="1" showAutoFilter="1">
      <pageMargins left="0.7" right="0.7" top="0.75" bottom="0.75" header="0.3" footer="0.3"/>
      <autoFilter ref="A337:L1012"/>
    </customSheetView>
    <customSheetView guid="{70E9AEF7-4E06-4D49-B714-2BBDF7D9A803}" filter="1" showAutoFilter="1">
      <pageMargins left="0.7" right="0.7" top="0.75" bottom="0.75" header="0.3" footer="0.3"/>
      <autoFilter ref="A1:M323">
        <filterColumn colId="3">
          <filters>
            <filter val="Kosova"/>
            <filter val="Macaristan"/>
            <filter val="Umman"/>
          </filters>
        </filterColumn>
      </autoFilter>
    </customSheetView>
    <customSheetView guid="{DC6C4B3F-D2E8-443E-9E31-A568A8BF7290}" filter="1" showAutoFilter="1">
      <pageMargins left="0.7" right="0.7" top="0.75" bottom="0.75" header="0.3" footer="0.3"/>
      <autoFilter ref="I911:I967"/>
    </customSheetView>
    <customSheetView guid="{B7EE3FA4-70CD-42F3-A0DC-4F676AC488E7}" filter="1" showAutoFilter="1">
      <pageMargins left="0.7" right="0.7" top="0.75" bottom="0.75" header="0.3" footer="0.3"/>
      <autoFilter ref="L224"/>
    </customSheetView>
    <customSheetView guid="{688220C4-0E87-42B0-B61B-644A95BDA2AD}" filter="1" showAutoFilter="1">
      <pageMargins left="0.7" right="0.7" top="0.75" bottom="0.75" header="0.3" footer="0.3"/>
      <autoFilter ref="A1:CJ1012">
        <filterColumn colId="3">
          <filters>
            <filter val="Arnavutluk"/>
            <filter val="Bosna-Hersek"/>
            <filter val="Cezayir"/>
            <filter val="Fas"/>
            <filter val="Hırvatistan"/>
            <filter val="Irak"/>
            <filter val="Macaristan"/>
            <filter val="Moldova"/>
            <filter val="Romanya"/>
            <filter val="Serbian"/>
          </filters>
        </filterColumn>
      </autoFilter>
    </customSheetView>
    <customSheetView guid="{0D87BB11-4249-4289-901C-D530D48D55F0}" filter="1" showAutoFilter="1">
      <pageMargins left="0.7" right="0.7" top="0.75" bottom="0.75" header="0.3" footer="0.3"/>
      <autoFilter ref="A2:BY322">
        <filterColumn colId="3">
          <filters>
            <filter val="Kosova"/>
            <filter val="Macaristan"/>
            <filter val="Umman"/>
          </filters>
        </filterColumn>
      </autoFilter>
    </customSheetView>
    <customSheetView guid="{118C3980-56E2-44FE-AB42-410A514C9A5D}" filter="1" showAutoFilter="1">
      <pageMargins left="0.7" right="0.7" top="0.75" bottom="0.75" header="0.3" footer="0.3"/>
      <autoFilter ref="A1:M323"/>
    </customSheetView>
  </customSheetViews>
  <mergeCells count="9">
    <mergeCell ref="BD1:BI1"/>
    <mergeCell ref="BJ1:BY1"/>
    <mergeCell ref="A1:M1"/>
    <mergeCell ref="O1:T1"/>
    <mergeCell ref="V1:AA1"/>
    <mergeCell ref="AC1:AH1"/>
    <mergeCell ref="AJ1:AO1"/>
    <mergeCell ref="AQ1:AV1"/>
    <mergeCell ref="AX1:BC1"/>
  </mergeCells>
  <conditionalFormatting sqref="BY2:BY1012">
    <cfRule type="notContainsBlanks" dxfId="13" priority="1">
      <formula>LEN(TRIM(BY2))&gt;0</formula>
    </cfRule>
  </conditionalFormatting>
  <conditionalFormatting sqref="C3">
    <cfRule type="colorScale" priority="2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P3:P1012 W3:W1012 AD3:AD1012 AK3:AK1012">
      <formula1>"1,2,3,4,5,6,7,8,9,10,11,12"</formula1>
    </dataValidation>
    <dataValidation type="custom" allowBlank="1" showDropDown="1" showErrorMessage="1" sqref="H3:H67 H69:H93 H95:H1012">
      <formula1>IFERROR(ISEMAIL(H3), TRUE)</formula1>
    </dataValidation>
    <dataValidation type="custom" allowBlank="1" showDropDown="1" sqref="Q3:Q1012 X3:X1012 AE3:AE1012 AL3:AL1012 AS3:AS1012">
      <formula1>OR(NOT(ISERROR(DATEVALUE(Q3))), AND(ISNUMBER(Q3), LEFT(CELL("format", Q3))="D"))</formula1>
    </dataValidation>
    <dataValidation type="list" allowBlank="1" showErrorMessage="1" sqref="R3:R335 Y3:Y335 AF3:AF335 R337:R1012 Y337:Y1012 AF337:AF1012">
      <formula1>"1,2,3,4,5"</formula1>
    </dataValidation>
  </dataValidations>
  <hyperlinks>
    <hyperlink ref="K3" r:id="rId1"/>
    <hyperlink ref="K4" r:id="rId2"/>
    <hyperlink ref="K5" r:id="rId3"/>
    <hyperlink ref="K12" r:id="rId4"/>
    <hyperlink ref="K13" r:id="rId5"/>
    <hyperlink ref="K14" r:id="rId6"/>
    <hyperlink ref="K15" r:id="rId7"/>
    <hyperlink ref="K22" r:id="rId8"/>
    <hyperlink ref="K23" r:id="rId9"/>
    <hyperlink ref="K25" r:id="rId10"/>
    <hyperlink ref="K26" r:id="rId11"/>
    <hyperlink ref="K30" r:id="rId12"/>
    <hyperlink ref="K35" r:id="rId13"/>
    <hyperlink ref="K36" r:id="rId14"/>
    <hyperlink ref="K39" r:id="rId15"/>
    <hyperlink ref="K40" r:id="rId16"/>
    <hyperlink ref="K41" r:id="rId17"/>
    <hyperlink ref="K42" r:id="rId18"/>
    <hyperlink ref="K43" r:id="rId19"/>
    <hyperlink ref="K44" r:id="rId20"/>
    <hyperlink ref="K45" r:id="rId21"/>
    <hyperlink ref="K46" r:id="rId22"/>
    <hyperlink ref="K47" r:id="rId23"/>
    <hyperlink ref="K48" r:id="rId24"/>
    <hyperlink ref="K49" r:id="rId25"/>
    <hyperlink ref="K50" r:id="rId26"/>
    <hyperlink ref="K51" r:id="rId27"/>
    <hyperlink ref="K52" r:id="rId28"/>
    <hyperlink ref="K53" r:id="rId29"/>
    <hyperlink ref="K54" r:id="rId30"/>
    <hyperlink ref="K55" r:id="rId31"/>
    <hyperlink ref="K58" r:id="rId32"/>
    <hyperlink ref="K59" r:id="rId33"/>
    <hyperlink ref="K60" r:id="rId34"/>
    <hyperlink ref="K61" r:id="rId35"/>
    <hyperlink ref="K62" r:id="rId36"/>
    <hyperlink ref="K63" r:id="rId37"/>
    <hyperlink ref="K64" r:id="rId38"/>
    <hyperlink ref="K67" r:id="rId39"/>
    <hyperlink ref="K68" r:id="rId40"/>
    <hyperlink ref="K72" r:id="rId41"/>
    <hyperlink ref="K73" r:id="rId42"/>
    <hyperlink ref="K74" r:id="rId43"/>
    <hyperlink ref="K75" r:id="rId44"/>
    <hyperlink ref="K77" r:id="rId45"/>
    <hyperlink ref="K78" r:id="rId46"/>
    <hyperlink ref="K85" r:id="rId47"/>
    <hyperlink ref="K88" r:id="rId48"/>
    <hyperlink ref="K91" r:id="rId49"/>
    <hyperlink ref="K92" r:id="rId50"/>
    <hyperlink ref="K93" r:id="rId51"/>
    <hyperlink ref="K94" r:id="rId52"/>
    <hyperlink ref="K95" r:id="rId53"/>
    <hyperlink ref="K98" r:id="rId54"/>
    <hyperlink ref="K101" r:id="rId55"/>
    <hyperlink ref="K102" r:id="rId56"/>
    <hyperlink ref="K104" r:id="rId57"/>
    <hyperlink ref="K105" r:id="rId58"/>
    <hyperlink ref="K107" r:id="rId59"/>
    <hyperlink ref="K110" r:id="rId60"/>
    <hyperlink ref="K111" r:id="rId61"/>
    <hyperlink ref="K112" r:id="rId62"/>
    <hyperlink ref="K127" r:id="rId63"/>
    <hyperlink ref="K133" r:id="rId64"/>
    <hyperlink ref="K143" r:id="rId65"/>
    <hyperlink ref="K145" r:id="rId66"/>
    <hyperlink ref="K158" r:id="rId67"/>
    <hyperlink ref="K162" r:id="rId68"/>
    <hyperlink ref="K163" r:id="rId69"/>
    <hyperlink ref="K164" r:id="rId70"/>
    <hyperlink ref="K165" r:id="rId71"/>
    <hyperlink ref="K167" r:id="rId72"/>
    <hyperlink ref="K168" r:id="rId73"/>
    <hyperlink ref="K169" r:id="rId74"/>
    <hyperlink ref="K171" r:id="rId75"/>
    <hyperlink ref="K172" r:id="rId76"/>
    <hyperlink ref="K190" r:id="rId77"/>
    <hyperlink ref="K193" r:id="rId78"/>
    <hyperlink ref="K194" r:id="rId79"/>
    <hyperlink ref="K200" r:id="rId80"/>
    <hyperlink ref="K201" r:id="rId81"/>
    <hyperlink ref="K203" r:id="rId82"/>
    <hyperlink ref="K205" r:id="rId83"/>
    <hyperlink ref="K207" r:id="rId84"/>
    <hyperlink ref="K208" r:id="rId85"/>
    <hyperlink ref="K222" r:id="rId86"/>
    <hyperlink ref="K256" r:id="rId87"/>
    <hyperlink ref="K257" r:id="rId88"/>
    <hyperlink ref="I258" r:id="rId89"/>
    <hyperlink ref="K258" r:id="rId90"/>
    <hyperlink ref="K259" r:id="rId91"/>
    <hyperlink ref="K260" r:id="rId92"/>
    <hyperlink ref="K261" r:id="rId93"/>
    <hyperlink ref="K262" r:id="rId94"/>
    <hyperlink ref="K263" r:id="rId95"/>
    <hyperlink ref="K264" r:id="rId96"/>
    <hyperlink ref="K265" r:id="rId97"/>
    <hyperlink ref="K267" r:id="rId98"/>
    <hyperlink ref="K268" r:id="rId99"/>
    <hyperlink ref="K269" r:id="rId100"/>
    <hyperlink ref="K270" r:id="rId101"/>
    <hyperlink ref="K271" r:id="rId102"/>
    <hyperlink ref="K276" r:id="rId103"/>
    <hyperlink ref="K277" r:id="rId104"/>
    <hyperlink ref="K279" r:id="rId105"/>
    <hyperlink ref="K280" r:id="rId106"/>
    <hyperlink ref="K324" r:id="rId107"/>
    <hyperlink ref="K345" r:id="rId108"/>
    <hyperlink ref="K366" r:id="rId109"/>
    <hyperlink ref="K367" r:id="rId110"/>
    <hyperlink ref="K371" r:id="rId111"/>
    <hyperlink ref="K372" r:id="rId112"/>
    <hyperlink ref="K373" r:id="rId113"/>
    <hyperlink ref="K374" r:id="rId114"/>
    <hyperlink ref="K375" r:id="rId115"/>
    <hyperlink ref="K376" r:id="rId116"/>
    <hyperlink ref="K377" r:id="rId117"/>
    <hyperlink ref="K378" r:id="rId118"/>
    <hyperlink ref="K381" r:id="rId119"/>
    <hyperlink ref="K382" r:id="rId120"/>
    <hyperlink ref="K385" r:id="rId121"/>
    <hyperlink ref="K386" r:id="rId122"/>
    <hyperlink ref="K389" r:id="rId123"/>
    <hyperlink ref="K390" r:id="rId124"/>
    <hyperlink ref="K392" r:id="rId125"/>
    <hyperlink ref="K394" r:id="rId126"/>
    <hyperlink ref="K396" r:id="rId127"/>
    <hyperlink ref="K397" r:id="rId128"/>
    <hyperlink ref="K398" r:id="rId129"/>
    <hyperlink ref="K399" r:id="rId130"/>
    <hyperlink ref="K400" r:id="rId131"/>
    <hyperlink ref="K402" r:id="rId132"/>
    <hyperlink ref="K403" r:id="rId133"/>
    <hyperlink ref="K406" r:id="rId134"/>
    <hyperlink ref="J408" r:id="rId135"/>
    <hyperlink ref="J409" r:id="rId136"/>
    <hyperlink ref="J410" r:id="rId137"/>
    <hyperlink ref="J411" r:id="rId138"/>
    <hyperlink ref="K414" r:id="rId139"/>
    <hyperlink ref="K415" r:id="rId140"/>
    <hyperlink ref="K419" r:id="rId141"/>
    <hyperlink ref="K420" r:id="rId142"/>
    <hyperlink ref="K421" r:id="rId143"/>
    <hyperlink ref="K424" r:id="rId144"/>
    <hyperlink ref="K426" r:id="rId145"/>
    <hyperlink ref="K427" r:id="rId146"/>
    <hyperlink ref="K429" r:id="rId147"/>
    <hyperlink ref="K430" r:id="rId148"/>
    <hyperlink ref="K433" r:id="rId149"/>
    <hyperlink ref="K434" r:id="rId150"/>
    <hyperlink ref="K435" r:id="rId151"/>
    <hyperlink ref="K439" r:id="rId152"/>
    <hyperlink ref="K441" r:id="rId153"/>
    <hyperlink ref="K442" r:id="rId154"/>
    <hyperlink ref="K444" r:id="rId155"/>
    <hyperlink ref="K445" r:id="rId156"/>
    <hyperlink ref="K446" r:id="rId157"/>
    <hyperlink ref="K447" r:id="rId158"/>
    <hyperlink ref="K449" r:id="rId159"/>
    <hyperlink ref="K450" r:id="rId160"/>
    <hyperlink ref="K451" r:id="rId161"/>
    <hyperlink ref="K452" r:id="rId162"/>
    <hyperlink ref="K453" r:id="rId163"/>
    <hyperlink ref="K454" r:id="rId164"/>
    <hyperlink ref="K455" r:id="rId165"/>
    <hyperlink ref="K458" r:id="rId166"/>
    <hyperlink ref="K467" r:id="rId167"/>
    <hyperlink ref="K469" r:id="rId168"/>
    <hyperlink ref="K470" r:id="rId169"/>
    <hyperlink ref="K471" r:id="rId170"/>
    <hyperlink ref="K472" r:id="rId171"/>
    <hyperlink ref="K474" r:id="rId172"/>
    <hyperlink ref="K475" r:id="rId173"/>
    <hyperlink ref="K476" r:id="rId174"/>
    <hyperlink ref="K477" r:id="rId175"/>
    <hyperlink ref="K478" r:id="rId176"/>
    <hyperlink ref="K479" r:id="rId177"/>
    <hyperlink ref="K480" r:id="rId178"/>
    <hyperlink ref="K481" r:id="rId179"/>
    <hyperlink ref="K482" r:id="rId180"/>
    <hyperlink ref="K483" r:id="rId181"/>
    <hyperlink ref="K484" r:id="rId182"/>
    <hyperlink ref="K485" r:id="rId183"/>
    <hyperlink ref="K486" r:id="rId184"/>
    <hyperlink ref="K487" r:id="rId185"/>
    <hyperlink ref="K488" r:id="rId186"/>
    <hyperlink ref="K489" r:id="rId187"/>
    <hyperlink ref="K490" r:id="rId188"/>
    <hyperlink ref="K492" r:id="rId189"/>
    <hyperlink ref="K493" r:id="rId190"/>
    <hyperlink ref="K494" r:id="rId191"/>
    <hyperlink ref="K495" r:id="rId192"/>
    <hyperlink ref="K496" r:id="rId193"/>
    <hyperlink ref="K498" r:id="rId194"/>
    <hyperlink ref="K499" r:id="rId195"/>
    <hyperlink ref="K500" r:id="rId196"/>
    <hyperlink ref="K501" r:id="rId197"/>
    <hyperlink ref="K596" r:id="rId198"/>
    <hyperlink ref="K597" r:id="rId199"/>
    <hyperlink ref="K598" r:id="rId200"/>
    <hyperlink ref="K599" r:id="rId201"/>
    <hyperlink ref="K600" r:id="rId202"/>
    <hyperlink ref="K602" r:id="rId203"/>
    <hyperlink ref="K603" r:id="rId204"/>
    <hyperlink ref="K604" r:id="rId205"/>
    <hyperlink ref="K606" r:id="rId206"/>
    <hyperlink ref="K607" r:id="rId207"/>
    <hyperlink ref="K608" r:id="rId208"/>
    <hyperlink ref="K609" r:id="rId209"/>
    <hyperlink ref="K610" r:id="rId210"/>
    <hyperlink ref="K611" r:id="rId211"/>
    <hyperlink ref="K674" r:id="rId212"/>
    <hyperlink ref="K675" r:id="rId213"/>
    <hyperlink ref="K676" r:id="rId214"/>
    <hyperlink ref="K677" r:id="rId215"/>
    <hyperlink ref="K678" r:id="rId216"/>
    <hyperlink ref="K679" r:id="rId217"/>
    <hyperlink ref="K680" r:id="rId218"/>
    <hyperlink ref="K681" r:id="rId219"/>
    <hyperlink ref="K682" r:id="rId220"/>
    <hyperlink ref="K683" r:id="rId221"/>
    <hyperlink ref="H684" r:id="rId222"/>
    <hyperlink ref="K685" r:id="rId223"/>
    <hyperlink ref="K687" r:id="rId224"/>
    <hyperlink ref="K689" r:id="rId225"/>
    <hyperlink ref="K690" r:id="rId226"/>
    <hyperlink ref="H693" r:id="rId227"/>
    <hyperlink ref="K694" r:id="rId228"/>
    <hyperlink ref="K695" r:id="rId229"/>
    <hyperlink ref="K696" r:id="rId230"/>
    <hyperlink ref="K697" r:id="rId231"/>
    <hyperlink ref="K698" r:id="rId232"/>
    <hyperlink ref="K699" r:id="rId233"/>
    <hyperlink ref="K701" r:id="rId234"/>
    <hyperlink ref="K702" r:id="rId235"/>
    <hyperlink ref="K703" r:id="rId236"/>
    <hyperlink ref="K704" r:id="rId237"/>
    <hyperlink ref="K705" r:id="rId238"/>
    <hyperlink ref="K706" r:id="rId239"/>
    <hyperlink ref="K708" r:id="rId240"/>
    <hyperlink ref="K709" r:id="rId241"/>
    <hyperlink ref="K711" r:id="rId242"/>
    <hyperlink ref="K712" r:id="rId243"/>
    <hyperlink ref="K714" r:id="rId244"/>
    <hyperlink ref="K717" r:id="rId245"/>
    <hyperlink ref="K718" r:id="rId246"/>
    <hyperlink ref="K719" r:id="rId247"/>
    <hyperlink ref="K720" r:id="rId248"/>
    <hyperlink ref="K722" r:id="rId249"/>
    <hyperlink ref="K723" r:id="rId250"/>
    <hyperlink ref="K724" r:id="rId251"/>
    <hyperlink ref="K725" r:id="rId252"/>
    <hyperlink ref="K727" r:id="rId253"/>
    <hyperlink ref="K728" r:id="rId254"/>
    <hyperlink ref="K735" r:id="rId255"/>
    <hyperlink ref="K736" r:id="rId256"/>
    <hyperlink ref="K737" r:id="rId257"/>
    <hyperlink ref="K738" r:id="rId258"/>
    <hyperlink ref="K739" r:id="rId259"/>
    <hyperlink ref="K740" r:id="rId260"/>
    <hyperlink ref="K742" r:id="rId261"/>
    <hyperlink ref="K744" r:id="rId262"/>
    <hyperlink ref="K745" r:id="rId263"/>
    <hyperlink ref="K746" r:id="rId264"/>
    <hyperlink ref="K747" r:id="rId265"/>
    <hyperlink ref="K748" r:id="rId266"/>
    <hyperlink ref="K749" r:id="rId267"/>
    <hyperlink ref="K751" r:id="rId268"/>
    <hyperlink ref="K752" r:id="rId269"/>
    <hyperlink ref="K753" r:id="rId270"/>
    <hyperlink ref="K754" r:id="rId271"/>
    <hyperlink ref="K755" r:id="rId272"/>
    <hyperlink ref="K756" r:id="rId273"/>
    <hyperlink ref="K757" r:id="rId274"/>
    <hyperlink ref="K758" r:id="rId275"/>
    <hyperlink ref="K759" r:id="rId276"/>
    <hyperlink ref="K760" r:id="rId277"/>
    <hyperlink ref="K761" r:id="rId278"/>
    <hyperlink ref="K762" r:id="rId279"/>
    <hyperlink ref="K763" r:id="rId280"/>
    <hyperlink ref="K764" r:id="rId281"/>
    <hyperlink ref="K765" r:id="rId282"/>
    <hyperlink ref="K766" r:id="rId283"/>
    <hyperlink ref="K767" r:id="rId284"/>
    <hyperlink ref="K768" r:id="rId285"/>
    <hyperlink ref="K769" r:id="rId286"/>
    <hyperlink ref="K770" r:id="rId287"/>
    <hyperlink ref="K771" r:id="rId288"/>
    <hyperlink ref="K772" r:id="rId289"/>
    <hyperlink ref="K773" r:id="rId290"/>
    <hyperlink ref="K774" r:id="rId291"/>
    <hyperlink ref="K775" r:id="rId292"/>
    <hyperlink ref="K776" r:id="rId293"/>
    <hyperlink ref="K777" r:id="rId294"/>
    <hyperlink ref="K778" r:id="rId295"/>
    <hyperlink ref="K779" r:id="rId296"/>
    <hyperlink ref="K781" r:id="rId297"/>
    <hyperlink ref="K782" r:id="rId298"/>
    <hyperlink ref="K783" r:id="rId299"/>
    <hyperlink ref="K784" r:id="rId300"/>
    <hyperlink ref="K785" r:id="rId301"/>
    <hyperlink ref="K786" r:id="rId302"/>
    <hyperlink ref="K787" r:id="rId303"/>
    <hyperlink ref="K789" r:id="rId304"/>
    <hyperlink ref="K790" r:id="rId305"/>
    <hyperlink ref="K792" r:id="rId306"/>
    <hyperlink ref="K793" r:id="rId307"/>
    <hyperlink ref="K794" r:id="rId308"/>
    <hyperlink ref="K795" r:id="rId309"/>
    <hyperlink ref="K797" r:id="rId310"/>
    <hyperlink ref="K799" r:id="rId311"/>
    <hyperlink ref="K800" r:id="rId312"/>
    <hyperlink ref="K801" r:id="rId313"/>
    <hyperlink ref="K802" r:id="rId314"/>
    <hyperlink ref="K803" r:id="rId315"/>
    <hyperlink ref="K804" r:id="rId316"/>
    <hyperlink ref="K805" r:id="rId317"/>
    <hyperlink ref="K806" r:id="rId318"/>
    <hyperlink ref="K807" r:id="rId319"/>
    <hyperlink ref="K808" r:id="rId320"/>
    <hyperlink ref="K809" r:id="rId321"/>
    <hyperlink ref="K810" r:id="rId322"/>
    <hyperlink ref="K811" r:id="rId323"/>
    <hyperlink ref="K812" r:id="rId324"/>
    <hyperlink ref="K813" r:id="rId325"/>
    <hyperlink ref="K815" r:id="rId326"/>
    <hyperlink ref="K816" r:id="rId327"/>
    <hyperlink ref="K817" r:id="rId328"/>
    <hyperlink ref="K818" r:id="rId329"/>
    <hyperlink ref="K819" r:id="rId330"/>
    <hyperlink ref="K820" r:id="rId331"/>
    <hyperlink ref="K822" r:id="rId332"/>
    <hyperlink ref="K823" r:id="rId333"/>
    <hyperlink ref="H824" r:id="rId334"/>
    <hyperlink ref="K825" r:id="rId335"/>
    <hyperlink ref="K826" r:id="rId336"/>
    <hyperlink ref="K827" r:id="rId337"/>
    <hyperlink ref="K828" r:id="rId338"/>
    <hyperlink ref="K829" r:id="rId339"/>
    <hyperlink ref="K830" r:id="rId340"/>
    <hyperlink ref="K832" r:id="rId341"/>
    <hyperlink ref="K833" r:id="rId342"/>
    <hyperlink ref="K834" r:id="rId343"/>
    <hyperlink ref="K835" r:id="rId344"/>
    <hyperlink ref="K836" r:id="rId345"/>
    <hyperlink ref="K837" r:id="rId346"/>
    <hyperlink ref="K838" r:id="rId347"/>
    <hyperlink ref="K839" r:id="rId348"/>
    <hyperlink ref="K840" r:id="rId349"/>
    <hyperlink ref="K841" r:id="rId350"/>
    <hyperlink ref="K842" r:id="rId351"/>
    <hyperlink ref="K843" r:id="rId352"/>
    <hyperlink ref="K844" r:id="rId353"/>
    <hyperlink ref="K845" r:id="rId354"/>
    <hyperlink ref="K846" r:id="rId355"/>
    <hyperlink ref="K848" r:id="rId356"/>
    <hyperlink ref="K849" r:id="rId357"/>
    <hyperlink ref="K850" r:id="rId358"/>
    <hyperlink ref="K852" r:id="rId359"/>
    <hyperlink ref="K853" r:id="rId360"/>
    <hyperlink ref="K855" r:id="rId361"/>
    <hyperlink ref="K856" r:id="rId362"/>
    <hyperlink ref="K857" r:id="rId363"/>
    <hyperlink ref="K858" r:id="rId364"/>
    <hyperlink ref="K859" r:id="rId365"/>
    <hyperlink ref="K860" r:id="rId366"/>
    <hyperlink ref="K861" r:id="rId367"/>
    <hyperlink ref="K862" r:id="rId368"/>
    <hyperlink ref="K863" r:id="rId369"/>
    <hyperlink ref="K864" r:id="rId370"/>
    <hyperlink ref="K867" r:id="rId371"/>
    <hyperlink ref="K869" r:id="rId372"/>
    <hyperlink ref="K870" r:id="rId373"/>
    <hyperlink ref="K871" r:id="rId374"/>
    <hyperlink ref="K872" r:id="rId375"/>
    <hyperlink ref="K873" r:id="rId376"/>
    <hyperlink ref="K874" r:id="rId377"/>
    <hyperlink ref="K875" r:id="rId378"/>
    <hyperlink ref="K876" r:id="rId379"/>
    <hyperlink ref="K877" r:id="rId380"/>
    <hyperlink ref="K878" r:id="rId381"/>
    <hyperlink ref="K880" r:id="rId382"/>
    <hyperlink ref="K881" r:id="rId383"/>
    <hyperlink ref="K882" r:id="rId384"/>
    <hyperlink ref="K883" r:id="rId385"/>
    <hyperlink ref="K884" r:id="rId386"/>
    <hyperlink ref="K885" r:id="rId387"/>
    <hyperlink ref="K886" r:id="rId388"/>
    <hyperlink ref="K887" r:id="rId389"/>
    <hyperlink ref="K888" r:id="rId390"/>
    <hyperlink ref="K889" r:id="rId391"/>
    <hyperlink ref="K890" r:id="rId392"/>
    <hyperlink ref="K891" r:id="rId393"/>
    <hyperlink ref="K892" r:id="rId394"/>
    <hyperlink ref="K893" r:id="rId395"/>
    <hyperlink ref="K894" r:id="rId396"/>
    <hyperlink ref="K895" r:id="rId397"/>
    <hyperlink ref="K896" r:id="rId398"/>
    <hyperlink ref="K897" r:id="rId399"/>
    <hyperlink ref="K898" r:id="rId400"/>
    <hyperlink ref="K899" r:id="rId401"/>
    <hyperlink ref="K900" r:id="rId402"/>
    <hyperlink ref="K901" r:id="rId403"/>
    <hyperlink ref="K905" r:id="rId404"/>
    <hyperlink ref="K906" r:id="rId405"/>
    <hyperlink ref="K908" r:id="rId406"/>
    <hyperlink ref="K909" r:id="rId407"/>
    <hyperlink ref="K910" r:id="rId408"/>
    <hyperlink ref="K911" r:id="rId409"/>
    <hyperlink ref="K912" r:id="rId410"/>
    <hyperlink ref="K914" r:id="rId411"/>
    <hyperlink ref="K915" r:id="rId412"/>
    <hyperlink ref="K916" r:id="rId413"/>
    <hyperlink ref="K917" r:id="rId414"/>
    <hyperlink ref="K918" r:id="rId415"/>
    <hyperlink ref="K919" r:id="rId416"/>
    <hyperlink ref="K921" r:id="rId417"/>
    <hyperlink ref="K922" r:id="rId418"/>
    <hyperlink ref="K923" r:id="rId419"/>
    <hyperlink ref="K924" r:id="rId420"/>
    <hyperlink ref="K926" r:id="rId421"/>
    <hyperlink ref="K930" r:id="rId422"/>
    <hyperlink ref="K931" r:id="rId423"/>
    <hyperlink ref="K932" r:id="rId424"/>
    <hyperlink ref="K933" r:id="rId425"/>
    <hyperlink ref="K934" r:id="rId426"/>
    <hyperlink ref="K935" r:id="rId427"/>
    <hyperlink ref="K936" r:id="rId428"/>
    <hyperlink ref="K937" r:id="rId429"/>
    <hyperlink ref="K938" r:id="rId430"/>
    <hyperlink ref="K939" r:id="rId431"/>
    <hyperlink ref="K940" r:id="rId432"/>
    <hyperlink ref="K941" r:id="rId433"/>
    <hyperlink ref="K942" r:id="rId434"/>
    <hyperlink ref="K944" r:id="rId435"/>
    <hyperlink ref="K945" r:id="rId436"/>
    <hyperlink ref="K946" r:id="rId437"/>
    <hyperlink ref="K947" r:id="rId438"/>
    <hyperlink ref="K948" r:id="rId439"/>
    <hyperlink ref="K949" r:id="rId440"/>
    <hyperlink ref="K951" r:id="rId441"/>
    <hyperlink ref="K952" r:id="rId442"/>
    <hyperlink ref="K953" r:id="rId443"/>
    <hyperlink ref="K954" r:id="rId444"/>
    <hyperlink ref="K956" r:id="rId445"/>
    <hyperlink ref="K957" r:id="rId446"/>
    <hyperlink ref="K958" r:id="rId447"/>
    <hyperlink ref="K959" r:id="rId448"/>
    <hyperlink ref="K961" r:id="rId449"/>
    <hyperlink ref="K962" r:id="rId450"/>
    <hyperlink ref="K963" r:id="rId451"/>
    <hyperlink ref="K964" r:id="rId452"/>
    <hyperlink ref="C965" r:id="rId453"/>
    <hyperlink ref="K965" r:id="rId454"/>
    <hyperlink ref="K966" r:id="rId45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'OTOMATİK LİSTE İSİMLERİ '!$S$2:$S1012</xm:f>
          </x14:formula1>
          <xm:sqref>T3 AA3:AA200 T6:T335 AA202:AA335 T337:T1012 AA337:AA1012</xm:sqref>
        </x14:dataValidation>
        <x14:dataValidation type="list" allowBlank="1" showErrorMessage="1">
          <x14:formula1>
            <xm:f>'OTOMATİK LİSTE İSİMLERİ '!$N$2:$N$5</xm:f>
          </x14:formula1>
          <xm:sqref>O3:O1012 V3:V1012 AC3:AC1012 AJ3:AJ1012 AQ3:AQ1012 AX3:AX1012</xm:sqref>
        </x14:dataValidation>
        <x14:dataValidation type="list" allowBlank="1" showInputMessage="1" showErrorMessage="1" prompt="Click and enter a value from range">
          <x14:formula1>
            <xm:f>'OTOMATİK LİSTE İSİMLERİ '!$J$2:$J$5</xm:f>
          </x14:formula1>
          <xm:sqref>G3:G1012</xm:sqref>
        </x14:dataValidation>
        <x14:dataValidation type="list" allowBlank="1" showErrorMessage="1">
          <x14:formula1>
            <xm:f>'OTOMATİK LİSTE İSİMLERİ '!$S$2:$S1012</xm:f>
          </x14:formula1>
          <xm:sqref>AH3:AH335 AO3:AO335 AV3:AV335 AH337:AH1012 AO337:AO1012 AV337:AV1012</xm:sqref>
        </x14:dataValidation>
        <x14:dataValidation type="list" allowBlank="1" showErrorMessage="1">
          <x14:formula1>
            <xm:f>'OTOMATİK LİSTE İSİMLERİ '!$S$2:$S1012</xm:f>
          </x14:formula1>
          <xm:sqref>T4</xm:sqref>
        </x14:dataValidation>
        <x14:dataValidation type="list" allowBlank="1" showErrorMessage="1">
          <x14:formula1>
            <xm:f>'OTOMATİK LİSTE İSİMLERİ '!$G$3:$G$258</xm:f>
          </x14:formula1>
          <xm:sqref>D3:D1012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2042"/>
  <sheetViews>
    <sheetView workbookViewId="0"/>
  </sheetViews>
  <sheetFormatPr defaultColWidth="12.625" defaultRowHeight="15" customHeight="1"/>
  <cols>
    <col min="3" max="3" width="34.5" customWidth="1"/>
    <col min="4" max="4" width="17.125" customWidth="1"/>
    <col min="5" max="5" width="16.75" customWidth="1"/>
    <col min="6" max="6" width="23.75" customWidth="1"/>
    <col min="7" max="7" width="19" customWidth="1"/>
    <col min="9" max="9" width="23.625" customWidth="1"/>
    <col min="10" max="10" width="37.25" customWidth="1"/>
    <col min="12" max="12" width="24.5" customWidth="1"/>
    <col min="13" max="13" width="14.125" customWidth="1"/>
    <col min="14" max="14" width="22.25" customWidth="1"/>
    <col min="17" max="17" width="19.625" customWidth="1"/>
    <col min="24" max="24" width="36.625" customWidth="1"/>
  </cols>
  <sheetData>
    <row r="1" spans="1:24" ht="40.5" customHeight="1">
      <c r="A1" s="218" t="s">
        <v>2527</v>
      </c>
      <c r="B1" s="216"/>
      <c r="C1" s="216"/>
      <c r="D1" s="216"/>
      <c r="E1" s="216"/>
      <c r="F1" s="216"/>
      <c r="G1" s="216"/>
      <c r="H1" s="216"/>
      <c r="I1" s="216"/>
      <c r="J1" s="216"/>
      <c r="K1" s="217"/>
      <c r="L1" s="219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1"/>
    </row>
    <row r="2" spans="1:24" ht="40.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73" t="s">
        <v>11</v>
      </c>
      <c r="K2" s="73" t="s">
        <v>12</v>
      </c>
      <c r="L2" s="8" t="s">
        <v>2528</v>
      </c>
      <c r="M2" s="8" t="s">
        <v>2529</v>
      </c>
      <c r="N2" s="6" t="s">
        <v>2530</v>
      </c>
      <c r="O2" s="8" t="s">
        <v>62</v>
      </c>
      <c r="P2" s="8" t="s">
        <v>63</v>
      </c>
      <c r="Q2" s="8" t="s">
        <v>64</v>
      </c>
      <c r="R2" s="8" t="s">
        <v>65</v>
      </c>
      <c r="S2" s="8" t="s">
        <v>66</v>
      </c>
      <c r="T2" s="8" t="s">
        <v>67</v>
      </c>
      <c r="U2" s="8" t="s">
        <v>68</v>
      </c>
      <c r="V2" s="8" t="s">
        <v>69</v>
      </c>
      <c r="W2" s="8" t="s">
        <v>70</v>
      </c>
      <c r="X2" s="6" t="s">
        <v>71</v>
      </c>
    </row>
    <row r="3" spans="1:24" ht="42" customHeight="1">
      <c r="A3" s="51">
        <v>1</v>
      </c>
      <c r="B3" s="51" t="s">
        <v>2531</v>
      </c>
      <c r="C3" s="74" t="s">
        <v>2532</v>
      </c>
      <c r="D3" s="51" t="s">
        <v>627</v>
      </c>
      <c r="E3" s="51" t="s">
        <v>2533</v>
      </c>
      <c r="F3" s="51" t="s">
        <v>2534</v>
      </c>
      <c r="G3" s="75" t="s">
        <v>2535</v>
      </c>
      <c r="H3" s="51" t="s">
        <v>2536</v>
      </c>
      <c r="I3" s="76"/>
      <c r="J3" s="77" t="s">
        <v>2537</v>
      </c>
      <c r="K3" s="78"/>
      <c r="L3" s="51" t="s">
        <v>78</v>
      </c>
      <c r="M3" s="79">
        <v>44804</v>
      </c>
      <c r="N3" s="51"/>
      <c r="O3" s="51" t="s">
        <v>78</v>
      </c>
      <c r="P3" s="79">
        <v>44818</v>
      </c>
      <c r="Q3" s="51" t="s">
        <v>2538</v>
      </c>
      <c r="R3" s="51" t="s">
        <v>78</v>
      </c>
      <c r="S3" s="79">
        <v>44865</v>
      </c>
      <c r="T3" s="51" t="s">
        <v>2538</v>
      </c>
      <c r="U3" s="51" t="s">
        <v>98</v>
      </c>
      <c r="V3" s="79">
        <v>44886</v>
      </c>
      <c r="W3" s="80"/>
      <c r="X3" s="80"/>
    </row>
    <row r="4" spans="1:24" ht="42" customHeight="1">
      <c r="A4" s="80">
        <f t="shared" ref="A4:A1001" si="0">IF(C4="","",A3+1)</f>
        <v>2</v>
      </c>
      <c r="B4" s="51" t="str">
        <f t="shared" ref="B4:B1001" si="1">IF(C4="","",B3)</f>
        <v>MA</v>
      </c>
      <c r="C4" s="81" t="s">
        <v>2539</v>
      </c>
      <c r="D4" s="51" t="s">
        <v>627</v>
      </c>
      <c r="E4" s="51" t="s">
        <v>2540</v>
      </c>
      <c r="F4" s="51" t="s">
        <v>2541</v>
      </c>
      <c r="G4" s="75" t="s">
        <v>2542</v>
      </c>
      <c r="H4" s="80"/>
      <c r="I4" s="54"/>
      <c r="J4" s="77" t="s">
        <v>2543</v>
      </c>
      <c r="K4" s="80"/>
      <c r="L4" s="51"/>
      <c r="M4" s="82"/>
      <c r="N4" s="51"/>
      <c r="O4" s="51" t="s">
        <v>7</v>
      </c>
      <c r="P4" s="82"/>
      <c r="Q4" s="51" t="s">
        <v>2544</v>
      </c>
      <c r="R4" s="51" t="s">
        <v>78</v>
      </c>
      <c r="S4" s="79">
        <v>44865</v>
      </c>
      <c r="T4" s="51" t="s">
        <v>2545</v>
      </c>
      <c r="U4" s="51" t="s">
        <v>78</v>
      </c>
      <c r="V4" s="79">
        <v>44886</v>
      </c>
      <c r="W4" s="51" t="s">
        <v>2538</v>
      </c>
      <c r="X4" s="80"/>
    </row>
    <row r="5" spans="1:24" ht="42" customHeight="1">
      <c r="A5" s="80">
        <f t="shared" si="0"/>
        <v>3</v>
      </c>
      <c r="B5" s="51" t="str">
        <f t="shared" si="1"/>
        <v>MA</v>
      </c>
      <c r="C5" s="83" t="s">
        <v>2546</v>
      </c>
      <c r="D5" s="51" t="s">
        <v>627</v>
      </c>
      <c r="E5" s="51" t="s">
        <v>2547</v>
      </c>
      <c r="F5" s="51" t="s">
        <v>2548</v>
      </c>
      <c r="G5" s="75" t="s">
        <v>2549</v>
      </c>
      <c r="H5" s="51" t="s">
        <v>2550</v>
      </c>
      <c r="I5" s="84"/>
      <c r="J5" s="80"/>
      <c r="K5" s="80"/>
      <c r="L5" s="51" t="s">
        <v>78</v>
      </c>
      <c r="M5" s="79">
        <v>44858</v>
      </c>
      <c r="N5" s="51" t="s">
        <v>2551</v>
      </c>
      <c r="O5" s="51" t="s">
        <v>7</v>
      </c>
      <c r="P5" s="79">
        <v>44858</v>
      </c>
      <c r="Q5" s="51" t="s">
        <v>2544</v>
      </c>
      <c r="R5" s="51" t="s">
        <v>78</v>
      </c>
      <c r="S5" s="79">
        <v>44865</v>
      </c>
      <c r="T5" s="51" t="s">
        <v>2552</v>
      </c>
      <c r="U5" s="51" t="s">
        <v>78</v>
      </c>
      <c r="V5" s="79">
        <v>44886</v>
      </c>
      <c r="W5" s="51" t="s">
        <v>2553</v>
      </c>
      <c r="X5" s="80"/>
    </row>
    <row r="6" spans="1:24" ht="42" customHeight="1">
      <c r="A6" s="80">
        <f t="shared" si="0"/>
        <v>4</v>
      </c>
      <c r="B6" s="51" t="str">
        <f t="shared" si="1"/>
        <v>MA</v>
      </c>
      <c r="C6" s="81" t="s">
        <v>2554</v>
      </c>
      <c r="D6" s="51" t="s">
        <v>627</v>
      </c>
      <c r="E6" s="51" t="s">
        <v>2533</v>
      </c>
      <c r="F6" s="51" t="s">
        <v>2555</v>
      </c>
      <c r="G6" s="75" t="s">
        <v>2556</v>
      </c>
      <c r="H6" s="51"/>
      <c r="I6" s="54"/>
      <c r="J6" s="56" t="s">
        <v>2557</v>
      </c>
      <c r="K6" s="80"/>
      <c r="L6" s="51" t="s">
        <v>78</v>
      </c>
      <c r="M6" s="79">
        <v>44804</v>
      </c>
      <c r="N6" s="51"/>
      <c r="O6" s="51" t="s">
        <v>78</v>
      </c>
      <c r="P6" s="79">
        <v>44818</v>
      </c>
      <c r="Q6" s="51" t="s">
        <v>2538</v>
      </c>
      <c r="R6" s="51" t="s">
        <v>78</v>
      </c>
      <c r="S6" s="79">
        <v>44865</v>
      </c>
      <c r="T6" s="51" t="s">
        <v>2551</v>
      </c>
      <c r="U6" s="51" t="s">
        <v>78</v>
      </c>
      <c r="V6" s="79">
        <v>44886</v>
      </c>
      <c r="W6" s="51" t="s">
        <v>2558</v>
      </c>
      <c r="X6" s="80"/>
    </row>
    <row r="7" spans="1:24" ht="42" customHeight="1">
      <c r="A7" s="80">
        <f t="shared" si="0"/>
        <v>5</v>
      </c>
      <c r="B7" s="51" t="str">
        <f t="shared" si="1"/>
        <v>MA</v>
      </c>
      <c r="C7" s="83" t="s">
        <v>968</v>
      </c>
      <c r="D7" s="51" t="s">
        <v>969</v>
      </c>
      <c r="E7" s="51" t="s">
        <v>2559</v>
      </c>
      <c r="F7" s="51"/>
      <c r="G7" s="75">
        <v>27663061612</v>
      </c>
      <c r="H7" s="80"/>
      <c r="I7" s="76"/>
      <c r="J7" s="51"/>
      <c r="K7" s="80"/>
      <c r="L7" s="51" t="s">
        <v>78</v>
      </c>
      <c r="M7" s="79"/>
      <c r="N7" s="51"/>
      <c r="O7" s="51" t="s">
        <v>98</v>
      </c>
      <c r="P7" s="79">
        <v>44862</v>
      </c>
      <c r="Q7" s="51" t="s">
        <v>2544</v>
      </c>
      <c r="R7" s="51" t="s">
        <v>98</v>
      </c>
      <c r="S7" s="79">
        <v>44865</v>
      </c>
      <c r="T7" s="51" t="s">
        <v>2560</v>
      </c>
      <c r="U7" s="51" t="s">
        <v>98</v>
      </c>
      <c r="V7" s="79">
        <v>44904</v>
      </c>
      <c r="W7" s="51" t="s">
        <v>2561</v>
      </c>
      <c r="X7" s="80"/>
    </row>
    <row r="8" spans="1:24" ht="42" customHeight="1">
      <c r="A8" s="80">
        <f t="shared" si="0"/>
        <v>6</v>
      </c>
      <c r="B8" s="51" t="str">
        <f t="shared" si="1"/>
        <v>MA</v>
      </c>
      <c r="C8" s="51" t="s">
        <v>2562</v>
      </c>
      <c r="D8" s="51" t="s">
        <v>627</v>
      </c>
      <c r="E8" s="51" t="s">
        <v>2559</v>
      </c>
      <c r="F8" s="51"/>
      <c r="G8" s="75" t="s">
        <v>2563</v>
      </c>
      <c r="H8" s="51" t="s">
        <v>2564</v>
      </c>
      <c r="I8" s="76"/>
      <c r="J8" s="77" t="s">
        <v>2565</v>
      </c>
      <c r="K8" s="80"/>
      <c r="L8" s="80"/>
      <c r="M8" s="82"/>
      <c r="N8" s="80"/>
      <c r="O8" s="51" t="s">
        <v>98</v>
      </c>
      <c r="P8" s="79">
        <v>44818</v>
      </c>
      <c r="Q8" s="51" t="s">
        <v>2566</v>
      </c>
      <c r="R8" s="51" t="s">
        <v>98</v>
      </c>
      <c r="S8" s="79">
        <v>44865</v>
      </c>
      <c r="T8" s="51" t="s">
        <v>2553</v>
      </c>
      <c r="U8" s="51" t="s">
        <v>98</v>
      </c>
      <c r="V8" s="79">
        <v>44886</v>
      </c>
      <c r="W8" s="80"/>
      <c r="X8" s="80"/>
    </row>
    <row r="9" spans="1:24" ht="42" customHeight="1">
      <c r="A9" s="80">
        <f t="shared" si="0"/>
        <v>7</v>
      </c>
      <c r="B9" s="51" t="str">
        <f t="shared" si="1"/>
        <v>MA</v>
      </c>
      <c r="C9" s="85" t="s">
        <v>2567</v>
      </c>
      <c r="D9" s="51" t="s">
        <v>397</v>
      </c>
      <c r="E9" s="80"/>
      <c r="F9" s="80"/>
      <c r="G9" s="75" t="s">
        <v>2568</v>
      </c>
      <c r="H9" s="51" t="s">
        <v>2569</v>
      </c>
      <c r="I9" s="76"/>
      <c r="J9" s="80"/>
      <c r="K9" s="80"/>
      <c r="L9" s="80"/>
      <c r="M9" s="82"/>
      <c r="N9" s="80"/>
      <c r="O9" s="51" t="s">
        <v>98</v>
      </c>
      <c r="P9" s="79">
        <v>44818</v>
      </c>
      <c r="Q9" s="80"/>
      <c r="R9" s="51" t="s">
        <v>78</v>
      </c>
      <c r="S9" s="79">
        <v>44859</v>
      </c>
      <c r="T9" s="51" t="s">
        <v>2570</v>
      </c>
      <c r="U9" s="51" t="s">
        <v>98</v>
      </c>
      <c r="V9" s="79">
        <v>44904</v>
      </c>
      <c r="W9" s="51" t="s">
        <v>2561</v>
      </c>
      <c r="X9" s="80"/>
    </row>
    <row r="10" spans="1:24" ht="42" customHeight="1">
      <c r="A10" s="80">
        <f t="shared" si="0"/>
        <v>8</v>
      </c>
      <c r="B10" s="51" t="str">
        <f t="shared" si="1"/>
        <v>MA</v>
      </c>
      <c r="C10" s="86" t="s">
        <v>2571</v>
      </c>
      <c r="D10" s="51" t="s">
        <v>95</v>
      </c>
      <c r="E10" s="51" t="s">
        <v>2547</v>
      </c>
      <c r="F10" s="80"/>
      <c r="G10" s="75" t="s">
        <v>2572</v>
      </c>
      <c r="H10" s="80"/>
      <c r="I10" s="76"/>
      <c r="J10" s="80"/>
      <c r="K10" s="80"/>
      <c r="L10" s="51" t="s">
        <v>78</v>
      </c>
      <c r="M10" s="79">
        <v>44869</v>
      </c>
      <c r="N10" s="51" t="s">
        <v>2561</v>
      </c>
      <c r="O10" s="51" t="s">
        <v>98</v>
      </c>
      <c r="P10" s="79">
        <v>44818</v>
      </c>
      <c r="Q10" s="80"/>
      <c r="R10" s="51" t="s">
        <v>78</v>
      </c>
      <c r="S10" s="79">
        <v>44859</v>
      </c>
      <c r="T10" s="51" t="s">
        <v>2552</v>
      </c>
      <c r="U10" s="51" t="s">
        <v>78</v>
      </c>
      <c r="V10" s="79">
        <v>44901</v>
      </c>
      <c r="W10" s="51" t="s">
        <v>2573</v>
      </c>
      <c r="X10" s="80"/>
    </row>
    <row r="11" spans="1:24" ht="42" customHeight="1">
      <c r="A11" s="80">
        <f t="shared" si="0"/>
        <v>9</v>
      </c>
      <c r="B11" s="51" t="str">
        <f t="shared" si="1"/>
        <v>MA</v>
      </c>
      <c r="C11" s="87" t="s">
        <v>2574</v>
      </c>
      <c r="D11" s="51" t="s">
        <v>2575</v>
      </c>
      <c r="E11" s="51" t="s">
        <v>2559</v>
      </c>
      <c r="F11" s="80"/>
      <c r="G11" s="75" t="s">
        <v>2576</v>
      </c>
      <c r="H11" s="80"/>
      <c r="I11" s="76"/>
      <c r="J11" s="80"/>
      <c r="K11" s="80"/>
      <c r="L11" s="51" t="s">
        <v>78</v>
      </c>
      <c r="M11" s="79">
        <v>44804</v>
      </c>
      <c r="N11" s="51"/>
      <c r="O11" s="80"/>
      <c r="P11" s="82"/>
      <c r="Q11" s="80"/>
      <c r="R11" s="80"/>
      <c r="S11" s="82"/>
      <c r="T11" s="80"/>
      <c r="U11" s="80"/>
      <c r="V11" s="79"/>
      <c r="W11" s="80"/>
      <c r="X11" s="80"/>
    </row>
    <row r="12" spans="1:24" ht="42" customHeight="1">
      <c r="A12" s="80">
        <f t="shared" si="0"/>
        <v>10</v>
      </c>
      <c r="B12" s="51" t="str">
        <f t="shared" si="1"/>
        <v>MA</v>
      </c>
      <c r="C12" s="88" t="s">
        <v>745</v>
      </c>
      <c r="D12" s="51" t="s">
        <v>746</v>
      </c>
      <c r="E12" s="51" t="s">
        <v>2547</v>
      </c>
      <c r="F12" s="80"/>
      <c r="G12" s="75" t="s">
        <v>747</v>
      </c>
      <c r="H12" s="51" t="s">
        <v>2577</v>
      </c>
      <c r="I12" s="89" t="s">
        <v>2578</v>
      </c>
      <c r="J12" s="80"/>
      <c r="K12" s="80"/>
      <c r="L12" s="51" t="s">
        <v>78</v>
      </c>
      <c r="M12" s="79">
        <v>44804</v>
      </c>
      <c r="N12" s="51"/>
      <c r="O12" s="51" t="s">
        <v>98</v>
      </c>
      <c r="P12" s="79">
        <v>44818</v>
      </c>
      <c r="Q12" s="51" t="s">
        <v>2553</v>
      </c>
      <c r="R12" s="51" t="s">
        <v>98</v>
      </c>
      <c r="S12" s="79">
        <v>44859</v>
      </c>
      <c r="T12" s="51" t="s">
        <v>2561</v>
      </c>
      <c r="U12" s="80"/>
      <c r="V12" s="79"/>
      <c r="W12" s="80"/>
      <c r="X12" s="80"/>
    </row>
    <row r="13" spans="1:24" ht="42" customHeight="1">
      <c r="A13" s="80">
        <f t="shared" si="0"/>
        <v>11</v>
      </c>
      <c r="B13" s="51" t="str">
        <f t="shared" si="1"/>
        <v>MA</v>
      </c>
      <c r="C13" s="83" t="s">
        <v>2579</v>
      </c>
      <c r="D13" s="51" t="s">
        <v>95</v>
      </c>
      <c r="E13" s="51" t="s">
        <v>2547</v>
      </c>
      <c r="F13" s="80"/>
      <c r="G13" s="75" t="s">
        <v>2580</v>
      </c>
      <c r="H13" s="51" t="s">
        <v>2581</v>
      </c>
      <c r="I13" s="76"/>
      <c r="J13" s="80"/>
      <c r="K13" s="80"/>
      <c r="L13" s="51" t="s">
        <v>78</v>
      </c>
      <c r="M13" s="82"/>
      <c r="N13" s="80"/>
      <c r="O13" s="51" t="s">
        <v>98</v>
      </c>
      <c r="P13" s="79">
        <v>44862</v>
      </c>
      <c r="Q13" s="51" t="s">
        <v>2560</v>
      </c>
      <c r="R13" s="51" t="s">
        <v>7</v>
      </c>
      <c r="S13" s="79">
        <v>44859</v>
      </c>
      <c r="T13" s="51" t="s">
        <v>2570</v>
      </c>
      <c r="U13" s="51" t="s">
        <v>78</v>
      </c>
      <c r="V13" s="79">
        <v>44901</v>
      </c>
      <c r="W13" s="51" t="s">
        <v>2573</v>
      </c>
      <c r="X13" s="80"/>
    </row>
    <row r="14" spans="1:24" ht="42" customHeight="1">
      <c r="A14" s="80">
        <f t="shared" si="0"/>
        <v>12</v>
      </c>
      <c r="B14" s="51" t="str">
        <f t="shared" si="1"/>
        <v>MA</v>
      </c>
      <c r="C14" s="81" t="s">
        <v>2582</v>
      </c>
      <c r="D14" s="51" t="s">
        <v>2583</v>
      </c>
      <c r="E14" s="51" t="s">
        <v>2584</v>
      </c>
      <c r="F14" s="80"/>
      <c r="G14" s="75" t="s">
        <v>2585</v>
      </c>
      <c r="H14" s="80"/>
      <c r="I14" s="89" t="s">
        <v>2586</v>
      </c>
      <c r="J14" s="80"/>
      <c r="K14" s="80"/>
      <c r="L14" s="51" t="s">
        <v>78</v>
      </c>
      <c r="M14" s="79">
        <v>44806</v>
      </c>
      <c r="N14" s="51"/>
      <c r="O14" s="80"/>
      <c r="P14" s="82"/>
      <c r="Q14" s="80"/>
      <c r="R14" s="51" t="s">
        <v>7</v>
      </c>
      <c r="S14" s="79">
        <v>44859</v>
      </c>
      <c r="T14" s="51" t="s">
        <v>2551</v>
      </c>
      <c r="U14" s="80"/>
      <c r="V14" s="79"/>
      <c r="W14" s="80"/>
      <c r="X14" s="80"/>
    </row>
    <row r="15" spans="1:24" ht="42" customHeight="1">
      <c r="A15" s="80">
        <f t="shared" si="0"/>
        <v>13</v>
      </c>
      <c r="B15" s="51" t="str">
        <f t="shared" si="1"/>
        <v>MA</v>
      </c>
      <c r="C15" s="51" t="s">
        <v>970</v>
      </c>
      <c r="D15" s="51" t="s">
        <v>725</v>
      </c>
      <c r="E15" s="51" t="s">
        <v>2533</v>
      </c>
      <c r="F15" s="80"/>
      <c r="G15" s="75" t="s">
        <v>2587</v>
      </c>
      <c r="H15" s="80"/>
      <c r="I15" s="89" t="s">
        <v>2588</v>
      </c>
      <c r="J15" s="80"/>
      <c r="K15" s="80"/>
      <c r="L15" s="51" t="s">
        <v>78</v>
      </c>
      <c r="M15" s="79">
        <v>44869</v>
      </c>
      <c r="N15" s="51" t="s">
        <v>2538</v>
      </c>
      <c r="O15" s="80"/>
      <c r="P15" s="82"/>
      <c r="Q15" s="80"/>
      <c r="R15" s="51" t="s">
        <v>78</v>
      </c>
      <c r="S15" s="79">
        <v>44865</v>
      </c>
      <c r="T15" s="51" t="s">
        <v>2545</v>
      </c>
      <c r="U15" s="51" t="s">
        <v>78</v>
      </c>
      <c r="V15" s="79">
        <v>44886</v>
      </c>
      <c r="W15" s="51" t="s">
        <v>2538</v>
      </c>
      <c r="X15" s="80"/>
    </row>
    <row r="16" spans="1:24" ht="42" customHeight="1">
      <c r="A16" s="80">
        <f t="shared" si="0"/>
        <v>14</v>
      </c>
      <c r="B16" s="51" t="str">
        <f t="shared" si="1"/>
        <v>MA</v>
      </c>
      <c r="C16" s="83" t="s">
        <v>2589</v>
      </c>
      <c r="D16" s="51" t="s">
        <v>725</v>
      </c>
      <c r="E16" s="51" t="s">
        <v>2533</v>
      </c>
      <c r="F16" s="51" t="s">
        <v>2590</v>
      </c>
      <c r="G16" s="75" t="s">
        <v>2591</v>
      </c>
      <c r="H16" s="80"/>
      <c r="I16" s="89" t="s">
        <v>2592</v>
      </c>
      <c r="J16" s="80"/>
      <c r="K16" s="80"/>
      <c r="L16" s="51" t="s">
        <v>78</v>
      </c>
      <c r="M16" s="79">
        <v>44806</v>
      </c>
      <c r="N16" s="51" t="s">
        <v>2561</v>
      </c>
      <c r="O16" s="51" t="s">
        <v>7</v>
      </c>
      <c r="P16" s="79">
        <v>44855</v>
      </c>
      <c r="Q16" s="51" t="s">
        <v>2553</v>
      </c>
      <c r="R16" s="51" t="s">
        <v>7</v>
      </c>
      <c r="S16" s="79">
        <v>44858</v>
      </c>
      <c r="T16" s="51" t="s">
        <v>2551</v>
      </c>
      <c r="U16" s="80"/>
      <c r="V16" s="79"/>
      <c r="W16" s="80"/>
      <c r="X16" s="80"/>
    </row>
    <row r="17" spans="1:24" ht="42" customHeight="1">
      <c r="A17" s="80">
        <f t="shared" si="0"/>
        <v>15</v>
      </c>
      <c r="B17" s="51" t="str">
        <f t="shared" si="1"/>
        <v>MA</v>
      </c>
      <c r="C17" s="51" t="s">
        <v>972</v>
      </c>
      <c r="D17" s="51" t="s">
        <v>725</v>
      </c>
      <c r="E17" s="51" t="s">
        <v>2547</v>
      </c>
      <c r="F17" s="51" t="s">
        <v>973</v>
      </c>
      <c r="G17" s="90" t="s">
        <v>974</v>
      </c>
      <c r="H17" s="80"/>
      <c r="I17" s="89" t="s">
        <v>2593</v>
      </c>
      <c r="J17" s="80"/>
      <c r="K17" s="80"/>
      <c r="L17" s="51" t="s">
        <v>78</v>
      </c>
      <c r="M17" s="79">
        <v>44869</v>
      </c>
      <c r="N17" s="51" t="s">
        <v>2552</v>
      </c>
      <c r="O17" s="80"/>
      <c r="P17" s="82"/>
      <c r="Q17" s="80"/>
      <c r="R17" s="51" t="s">
        <v>78</v>
      </c>
      <c r="S17" s="79">
        <v>44865</v>
      </c>
      <c r="T17" s="51" t="s">
        <v>2545</v>
      </c>
      <c r="U17" s="51" t="s">
        <v>78</v>
      </c>
      <c r="V17" s="79">
        <v>44886</v>
      </c>
      <c r="W17" s="51" t="s">
        <v>2551</v>
      </c>
      <c r="X17" s="51" t="s">
        <v>2594</v>
      </c>
    </row>
    <row r="18" spans="1:24" ht="42" customHeight="1">
      <c r="A18" s="80">
        <f t="shared" si="0"/>
        <v>16</v>
      </c>
      <c r="B18" s="51" t="str">
        <f t="shared" si="1"/>
        <v>MA</v>
      </c>
      <c r="C18" s="51" t="s">
        <v>2595</v>
      </c>
      <c r="D18" s="51" t="s">
        <v>725</v>
      </c>
      <c r="E18" s="51" t="s">
        <v>2533</v>
      </c>
      <c r="F18" s="51" t="s">
        <v>976</v>
      </c>
      <c r="G18" s="75"/>
      <c r="H18" s="80"/>
      <c r="I18" s="89" t="s">
        <v>2596</v>
      </c>
      <c r="J18" s="80"/>
      <c r="K18" s="80"/>
      <c r="L18" s="51" t="s">
        <v>78</v>
      </c>
      <c r="M18" s="79">
        <v>44869</v>
      </c>
      <c r="N18" s="51" t="s">
        <v>2538</v>
      </c>
      <c r="O18" s="80"/>
      <c r="P18" s="82"/>
      <c r="Q18" s="80"/>
      <c r="R18" s="51" t="s">
        <v>7</v>
      </c>
      <c r="S18" s="79">
        <v>44865</v>
      </c>
      <c r="T18" s="51" t="s">
        <v>2551</v>
      </c>
      <c r="U18" s="80"/>
      <c r="V18" s="79"/>
      <c r="W18" s="80"/>
      <c r="X18" s="80"/>
    </row>
    <row r="19" spans="1:24" ht="42" customHeight="1">
      <c r="A19" s="80">
        <f t="shared" si="0"/>
        <v>17</v>
      </c>
      <c r="B19" s="51" t="str">
        <f t="shared" si="1"/>
        <v>MA</v>
      </c>
      <c r="C19" s="91" t="s">
        <v>2597</v>
      </c>
      <c r="D19" s="51" t="s">
        <v>725</v>
      </c>
      <c r="E19" s="51" t="s">
        <v>2533</v>
      </c>
      <c r="F19" s="51" t="s">
        <v>2598</v>
      </c>
      <c r="G19" s="75"/>
      <c r="H19" s="80"/>
      <c r="I19" s="89" t="s">
        <v>2599</v>
      </c>
      <c r="J19" s="80"/>
      <c r="K19" s="80"/>
      <c r="L19" s="51" t="s">
        <v>7</v>
      </c>
      <c r="M19" s="79">
        <v>44869</v>
      </c>
      <c r="N19" s="51" t="s">
        <v>2538</v>
      </c>
      <c r="O19" s="80"/>
      <c r="P19" s="82"/>
      <c r="Q19" s="80"/>
      <c r="R19" s="51" t="s">
        <v>7</v>
      </c>
      <c r="S19" s="79">
        <v>44865</v>
      </c>
      <c r="T19" s="51" t="s">
        <v>2551</v>
      </c>
      <c r="U19" s="80"/>
      <c r="V19" s="79"/>
      <c r="W19" s="80"/>
      <c r="X19" s="80"/>
    </row>
    <row r="20" spans="1:24" ht="42" customHeight="1">
      <c r="A20" s="80">
        <f t="shared" si="0"/>
        <v>18</v>
      </c>
      <c r="B20" s="51" t="str">
        <f t="shared" si="1"/>
        <v>MA</v>
      </c>
      <c r="C20" s="51" t="s">
        <v>977</v>
      </c>
      <c r="D20" s="51" t="s">
        <v>725</v>
      </c>
      <c r="E20" s="51" t="s">
        <v>2533</v>
      </c>
      <c r="F20" s="51" t="s">
        <v>2600</v>
      </c>
      <c r="G20" s="75">
        <v>1722461325</v>
      </c>
      <c r="H20" s="51" t="s">
        <v>2601</v>
      </c>
      <c r="I20" s="89" t="s">
        <v>2602</v>
      </c>
      <c r="J20" s="51" t="s">
        <v>2603</v>
      </c>
      <c r="K20" s="80"/>
      <c r="L20" s="51" t="s">
        <v>7</v>
      </c>
      <c r="M20" s="79">
        <v>44887</v>
      </c>
      <c r="N20" s="51" t="s">
        <v>2551</v>
      </c>
      <c r="O20" s="80"/>
      <c r="P20" s="82"/>
      <c r="Q20" s="80"/>
      <c r="R20" s="51" t="s">
        <v>78</v>
      </c>
      <c r="S20" s="79">
        <v>44886</v>
      </c>
      <c r="T20" s="80"/>
      <c r="U20" s="51" t="s">
        <v>7</v>
      </c>
      <c r="V20" s="79">
        <v>44894</v>
      </c>
      <c r="W20" s="51" t="s">
        <v>2551</v>
      </c>
      <c r="X20" s="80"/>
    </row>
    <row r="21" spans="1:24" ht="42" customHeight="1">
      <c r="A21" s="80">
        <f t="shared" si="0"/>
        <v>19</v>
      </c>
      <c r="B21" s="51" t="str">
        <f t="shared" si="1"/>
        <v>MA</v>
      </c>
      <c r="C21" s="51" t="s">
        <v>979</v>
      </c>
      <c r="D21" s="51" t="s">
        <v>725</v>
      </c>
      <c r="E21" s="51" t="s">
        <v>2533</v>
      </c>
      <c r="F21" s="51" t="s">
        <v>980</v>
      </c>
      <c r="G21" s="75" t="s">
        <v>2604</v>
      </c>
      <c r="H21" s="80"/>
      <c r="I21" s="89" t="s">
        <v>2605</v>
      </c>
      <c r="J21" s="80"/>
      <c r="K21" s="80"/>
      <c r="L21" s="51" t="s">
        <v>7</v>
      </c>
      <c r="M21" s="79">
        <v>44887</v>
      </c>
      <c r="N21" s="51" t="s">
        <v>2551</v>
      </c>
      <c r="O21" s="80"/>
      <c r="P21" s="82"/>
      <c r="Q21" s="80"/>
      <c r="R21" s="80"/>
      <c r="S21" s="82"/>
      <c r="T21" s="80"/>
      <c r="U21" s="80"/>
      <c r="V21" s="79"/>
      <c r="W21" s="80"/>
      <c r="X21" s="51" t="s">
        <v>2606</v>
      </c>
    </row>
    <row r="22" spans="1:24" ht="42" customHeight="1">
      <c r="A22" s="80">
        <f t="shared" si="0"/>
        <v>20</v>
      </c>
      <c r="B22" s="51" t="str">
        <f t="shared" si="1"/>
        <v>MA</v>
      </c>
      <c r="C22" s="51" t="s">
        <v>2607</v>
      </c>
      <c r="D22" s="51" t="s">
        <v>992</v>
      </c>
      <c r="E22" s="51" t="s">
        <v>2547</v>
      </c>
      <c r="F22" s="51" t="s">
        <v>982</v>
      </c>
      <c r="G22" s="92" t="s">
        <v>2608</v>
      </c>
      <c r="H22" s="80"/>
      <c r="I22" s="76"/>
      <c r="J22" s="80"/>
      <c r="K22" s="80"/>
      <c r="L22" s="51" t="s">
        <v>78</v>
      </c>
      <c r="M22" s="79">
        <v>44869</v>
      </c>
      <c r="N22" s="51" t="s">
        <v>2538</v>
      </c>
      <c r="O22" s="51" t="s">
        <v>98</v>
      </c>
      <c r="P22" s="79">
        <v>44862</v>
      </c>
      <c r="Q22" s="51" t="s">
        <v>2560</v>
      </c>
      <c r="R22" s="51" t="s">
        <v>78</v>
      </c>
      <c r="S22" s="79">
        <v>44859</v>
      </c>
      <c r="T22" s="51" t="s">
        <v>2551</v>
      </c>
      <c r="U22" s="51" t="s">
        <v>98</v>
      </c>
      <c r="V22" s="79">
        <v>44904</v>
      </c>
      <c r="W22" s="51" t="s">
        <v>2561</v>
      </c>
      <c r="X22" s="80"/>
    </row>
    <row r="23" spans="1:24" ht="42" customHeight="1">
      <c r="A23" s="80">
        <f t="shared" si="0"/>
        <v>21</v>
      </c>
      <c r="B23" s="51" t="str">
        <f t="shared" si="1"/>
        <v>MA</v>
      </c>
      <c r="C23" s="81" t="s">
        <v>2609</v>
      </c>
      <c r="D23" s="51" t="s">
        <v>725</v>
      </c>
      <c r="E23" s="51" t="s">
        <v>2547</v>
      </c>
      <c r="F23" s="77" t="s">
        <v>2610</v>
      </c>
      <c r="G23" s="93"/>
      <c r="H23" s="80"/>
      <c r="I23" s="54" t="s">
        <v>2611</v>
      </c>
      <c r="J23" s="80"/>
      <c r="K23" s="80"/>
      <c r="L23" s="51" t="s">
        <v>7</v>
      </c>
      <c r="M23" s="79">
        <v>44806</v>
      </c>
      <c r="N23" s="51"/>
      <c r="O23" s="80"/>
      <c r="P23" s="82"/>
      <c r="Q23" s="80"/>
      <c r="R23" s="80"/>
      <c r="S23" s="82"/>
      <c r="T23" s="80"/>
      <c r="U23" s="80"/>
      <c r="V23" s="79"/>
      <c r="W23" s="80"/>
      <c r="X23" s="80"/>
    </row>
    <row r="24" spans="1:24" ht="42" customHeight="1">
      <c r="A24" s="80">
        <f t="shared" si="0"/>
        <v>22</v>
      </c>
      <c r="B24" s="51" t="str">
        <f t="shared" si="1"/>
        <v>MA</v>
      </c>
      <c r="C24" s="51" t="s">
        <v>983</v>
      </c>
      <c r="D24" s="51" t="s">
        <v>725</v>
      </c>
      <c r="E24" s="51" t="s">
        <v>2547</v>
      </c>
      <c r="F24" s="94" t="s">
        <v>2612</v>
      </c>
      <c r="G24" s="75" t="s">
        <v>2613</v>
      </c>
      <c r="H24" s="51" t="s">
        <v>2614</v>
      </c>
      <c r="I24" s="54" t="s">
        <v>2615</v>
      </c>
      <c r="J24" s="80"/>
      <c r="K24" s="80"/>
      <c r="L24" s="51" t="s">
        <v>7</v>
      </c>
      <c r="M24" s="79">
        <v>44869</v>
      </c>
      <c r="N24" s="51" t="s">
        <v>2551</v>
      </c>
      <c r="O24" s="80"/>
      <c r="P24" s="82"/>
      <c r="Q24" s="80"/>
      <c r="R24" s="51" t="s">
        <v>7</v>
      </c>
      <c r="S24" s="79">
        <v>44859</v>
      </c>
      <c r="T24" s="51" t="s">
        <v>2551</v>
      </c>
      <c r="U24" s="80"/>
      <c r="V24" s="79"/>
      <c r="W24" s="80"/>
      <c r="X24" s="80"/>
    </row>
    <row r="25" spans="1:24" ht="42" customHeight="1">
      <c r="A25" s="80">
        <f t="shared" si="0"/>
        <v>23</v>
      </c>
      <c r="B25" s="51" t="str">
        <f t="shared" si="1"/>
        <v>MA</v>
      </c>
      <c r="C25" s="51" t="s">
        <v>987</v>
      </c>
      <c r="D25" s="51" t="s">
        <v>969</v>
      </c>
      <c r="E25" s="51" t="s">
        <v>2533</v>
      </c>
      <c r="F25" s="77" t="s">
        <v>2616</v>
      </c>
      <c r="G25" s="75" t="s">
        <v>2617</v>
      </c>
      <c r="H25" s="51" t="s">
        <v>2618</v>
      </c>
      <c r="I25" s="54" t="s">
        <v>988</v>
      </c>
      <c r="J25" s="80"/>
      <c r="K25" s="80"/>
      <c r="L25" s="51" t="s">
        <v>78</v>
      </c>
      <c r="M25" s="79">
        <v>44869</v>
      </c>
      <c r="N25" s="51" t="s">
        <v>2551</v>
      </c>
      <c r="O25" s="51" t="s">
        <v>78</v>
      </c>
      <c r="P25" s="79">
        <v>44820</v>
      </c>
      <c r="Q25" s="51" t="s">
        <v>2544</v>
      </c>
      <c r="R25" s="51" t="s">
        <v>7</v>
      </c>
      <c r="S25" s="79">
        <v>44859</v>
      </c>
      <c r="T25" s="51" t="s">
        <v>2551</v>
      </c>
      <c r="U25" s="51" t="s">
        <v>7</v>
      </c>
      <c r="V25" s="79">
        <v>44904</v>
      </c>
      <c r="W25" s="51" t="s">
        <v>2551</v>
      </c>
      <c r="X25" s="51" t="s">
        <v>2619</v>
      </c>
    </row>
    <row r="26" spans="1:24" ht="42" customHeight="1">
      <c r="A26" s="80">
        <f t="shared" si="0"/>
        <v>24</v>
      </c>
      <c r="B26" s="51" t="str">
        <f t="shared" si="1"/>
        <v>MA</v>
      </c>
      <c r="C26" s="51" t="s">
        <v>989</v>
      </c>
      <c r="D26" s="51" t="s">
        <v>969</v>
      </c>
      <c r="E26" s="51" t="s">
        <v>2533</v>
      </c>
      <c r="F26" s="77" t="s">
        <v>2620</v>
      </c>
      <c r="G26" s="75" t="s">
        <v>2621</v>
      </c>
      <c r="H26" s="80"/>
      <c r="I26" s="54" t="s">
        <v>990</v>
      </c>
      <c r="J26" s="80"/>
      <c r="K26" s="80"/>
      <c r="L26" s="51" t="s">
        <v>78</v>
      </c>
      <c r="M26" s="79">
        <v>44869</v>
      </c>
      <c r="N26" s="51" t="s">
        <v>2545</v>
      </c>
      <c r="O26" s="51" t="s">
        <v>78</v>
      </c>
      <c r="P26" s="79">
        <v>44820</v>
      </c>
      <c r="Q26" s="51" t="s">
        <v>2544</v>
      </c>
      <c r="R26" s="51" t="s">
        <v>7</v>
      </c>
      <c r="S26" s="79">
        <v>44859</v>
      </c>
      <c r="T26" s="51" t="s">
        <v>2551</v>
      </c>
      <c r="U26" s="80"/>
      <c r="V26" s="79"/>
      <c r="W26" s="80"/>
      <c r="X26" s="80"/>
    </row>
    <row r="27" spans="1:24" ht="42" customHeight="1">
      <c r="A27" s="80">
        <f t="shared" si="0"/>
        <v>25</v>
      </c>
      <c r="B27" s="51" t="str">
        <f t="shared" si="1"/>
        <v>MA</v>
      </c>
      <c r="C27" s="83" t="s">
        <v>2622</v>
      </c>
      <c r="D27" s="51" t="s">
        <v>861</v>
      </c>
      <c r="E27" s="51" t="s">
        <v>2547</v>
      </c>
      <c r="F27" s="56" t="s">
        <v>862</v>
      </c>
      <c r="G27" s="75">
        <f>96523262698</f>
        <v>96523262698</v>
      </c>
      <c r="H27" s="80"/>
      <c r="I27" s="54" t="s">
        <v>863</v>
      </c>
      <c r="J27" s="80"/>
      <c r="K27" s="80"/>
      <c r="L27" s="51" t="s">
        <v>78</v>
      </c>
      <c r="M27" s="79">
        <v>44809</v>
      </c>
      <c r="N27" s="51"/>
      <c r="O27" s="51" t="s">
        <v>78</v>
      </c>
      <c r="P27" s="79">
        <v>44866</v>
      </c>
      <c r="Q27" s="51" t="s">
        <v>2558</v>
      </c>
      <c r="R27" s="51" t="s">
        <v>7</v>
      </c>
      <c r="S27" s="79">
        <v>44859</v>
      </c>
      <c r="T27" s="51" t="s">
        <v>2551</v>
      </c>
      <c r="U27" s="80"/>
      <c r="V27" s="79"/>
      <c r="W27" s="80"/>
      <c r="X27" s="80"/>
    </row>
    <row r="28" spans="1:24" ht="42" customHeight="1">
      <c r="A28" s="80">
        <f t="shared" si="0"/>
        <v>26</v>
      </c>
      <c r="B28" s="51" t="str">
        <f t="shared" si="1"/>
        <v>MA</v>
      </c>
      <c r="C28" s="85" t="s">
        <v>864</v>
      </c>
      <c r="D28" s="51" t="s">
        <v>861</v>
      </c>
      <c r="E28" s="51" t="s">
        <v>2547</v>
      </c>
      <c r="F28" s="77" t="s">
        <v>868</v>
      </c>
      <c r="G28" s="75" t="s">
        <v>866</v>
      </c>
      <c r="H28" s="51" t="s">
        <v>867</v>
      </c>
      <c r="I28" s="54" t="s">
        <v>865</v>
      </c>
      <c r="J28" s="80"/>
      <c r="K28" s="80"/>
      <c r="L28" s="51" t="s">
        <v>78</v>
      </c>
      <c r="M28" s="79">
        <v>44873</v>
      </c>
      <c r="N28" s="51" t="s">
        <v>2545</v>
      </c>
      <c r="O28" s="51" t="s">
        <v>78</v>
      </c>
      <c r="P28" s="79">
        <v>44891</v>
      </c>
      <c r="Q28" s="51" t="s">
        <v>2545</v>
      </c>
      <c r="R28" s="51" t="s">
        <v>7</v>
      </c>
      <c r="S28" s="79">
        <v>44859</v>
      </c>
      <c r="T28" s="51" t="s">
        <v>2551</v>
      </c>
      <c r="U28" s="51" t="s">
        <v>78</v>
      </c>
      <c r="V28" s="79">
        <v>44894</v>
      </c>
      <c r="W28" s="51" t="s">
        <v>2623</v>
      </c>
      <c r="X28" s="80"/>
    </row>
    <row r="29" spans="1:24" ht="42" customHeight="1">
      <c r="A29" s="80">
        <f t="shared" si="0"/>
        <v>27</v>
      </c>
      <c r="B29" s="51" t="str">
        <f t="shared" si="1"/>
        <v>MA</v>
      </c>
      <c r="C29" s="83" t="s">
        <v>869</v>
      </c>
      <c r="D29" s="51" t="s">
        <v>861</v>
      </c>
      <c r="E29" s="51" t="s">
        <v>2547</v>
      </c>
      <c r="F29" s="80"/>
      <c r="G29" s="75" t="s">
        <v>871</v>
      </c>
      <c r="H29" s="80"/>
      <c r="I29" s="54" t="s">
        <v>870</v>
      </c>
      <c r="J29" s="80"/>
      <c r="K29" s="80"/>
      <c r="L29" s="51" t="s">
        <v>78</v>
      </c>
      <c r="M29" s="79">
        <v>44873</v>
      </c>
      <c r="N29" s="51" t="s">
        <v>2553</v>
      </c>
      <c r="O29" s="51" t="s">
        <v>98</v>
      </c>
      <c r="P29" s="79">
        <v>44891</v>
      </c>
      <c r="Q29" s="51" t="s">
        <v>2553</v>
      </c>
      <c r="R29" s="51" t="s">
        <v>7</v>
      </c>
      <c r="S29" s="79">
        <v>44858</v>
      </c>
      <c r="T29" s="51" t="s">
        <v>2551</v>
      </c>
      <c r="U29" s="51" t="s">
        <v>98</v>
      </c>
      <c r="V29" s="79">
        <v>44886</v>
      </c>
      <c r="W29" s="80"/>
      <c r="X29" s="80"/>
    </row>
    <row r="30" spans="1:24" ht="42" customHeight="1">
      <c r="A30" s="80">
        <f t="shared" si="0"/>
        <v>28</v>
      </c>
      <c r="B30" s="51" t="str">
        <f t="shared" si="1"/>
        <v>MA</v>
      </c>
      <c r="C30" s="86" t="s">
        <v>873</v>
      </c>
      <c r="D30" s="51" t="s">
        <v>861</v>
      </c>
      <c r="E30" s="51" t="s">
        <v>2547</v>
      </c>
      <c r="F30" s="77" t="s">
        <v>876</v>
      </c>
      <c r="G30" s="75" t="s">
        <v>875</v>
      </c>
      <c r="H30" s="80"/>
      <c r="I30" s="76"/>
      <c r="J30" s="80"/>
      <c r="K30" s="85" t="s">
        <v>2624</v>
      </c>
      <c r="L30" s="51" t="s">
        <v>7</v>
      </c>
      <c r="M30" s="79">
        <v>44873</v>
      </c>
      <c r="N30" s="51" t="s">
        <v>2553</v>
      </c>
      <c r="O30" s="51" t="s">
        <v>7</v>
      </c>
      <c r="P30" s="79">
        <v>44866</v>
      </c>
      <c r="Q30" s="51" t="s">
        <v>2551</v>
      </c>
      <c r="R30" s="51" t="s">
        <v>7</v>
      </c>
      <c r="S30" s="79">
        <v>44859</v>
      </c>
      <c r="T30" s="51" t="s">
        <v>2551</v>
      </c>
      <c r="U30" s="80"/>
      <c r="V30" s="79"/>
      <c r="W30" s="80"/>
      <c r="X30" s="80"/>
    </row>
    <row r="31" spans="1:24" ht="42" customHeight="1">
      <c r="A31" s="80">
        <f t="shared" si="0"/>
        <v>29</v>
      </c>
      <c r="B31" s="51" t="str">
        <f t="shared" si="1"/>
        <v>MA</v>
      </c>
      <c r="C31" s="95" t="s">
        <v>877</v>
      </c>
      <c r="D31" s="51" t="s">
        <v>861</v>
      </c>
      <c r="E31" s="51" t="s">
        <v>2533</v>
      </c>
      <c r="F31" s="77" t="s">
        <v>878</v>
      </c>
      <c r="G31" s="75">
        <v>96550104101</v>
      </c>
      <c r="H31" s="80"/>
      <c r="I31" s="76"/>
      <c r="J31" s="80"/>
      <c r="K31" s="51" t="s">
        <v>695</v>
      </c>
      <c r="L31" s="51" t="s">
        <v>78</v>
      </c>
      <c r="M31" s="79">
        <v>44809</v>
      </c>
      <c r="N31" s="51"/>
      <c r="O31" s="51" t="s">
        <v>78</v>
      </c>
      <c r="P31" s="79">
        <v>44866</v>
      </c>
      <c r="Q31" s="51" t="s">
        <v>2553</v>
      </c>
      <c r="R31" s="51" t="s">
        <v>78</v>
      </c>
      <c r="S31" s="79">
        <v>44859</v>
      </c>
      <c r="T31" s="51" t="s">
        <v>2545</v>
      </c>
      <c r="U31" s="80"/>
      <c r="V31" s="79"/>
      <c r="W31" s="51"/>
      <c r="X31" s="80"/>
    </row>
    <row r="32" spans="1:24" ht="42" customHeight="1">
      <c r="A32" s="80">
        <f t="shared" si="0"/>
        <v>30</v>
      </c>
      <c r="B32" s="51" t="str">
        <f t="shared" si="1"/>
        <v>MA</v>
      </c>
      <c r="C32" s="51" t="s">
        <v>2625</v>
      </c>
      <c r="D32" s="51" t="s">
        <v>627</v>
      </c>
      <c r="E32" s="51" t="s">
        <v>2547</v>
      </c>
      <c r="F32" s="96" t="s">
        <v>723</v>
      </c>
      <c r="G32" s="75" t="s">
        <v>722</v>
      </c>
      <c r="H32" s="80"/>
      <c r="I32" s="76"/>
      <c r="J32" s="80"/>
      <c r="K32" s="80"/>
      <c r="L32" s="51" t="s">
        <v>78</v>
      </c>
      <c r="M32" s="79">
        <v>44809</v>
      </c>
      <c r="N32" s="51"/>
      <c r="O32" s="51" t="s">
        <v>98</v>
      </c>
      <c r="P32" s="79">
        <v>44818</v>
      </c>
      <c r="Q32" s="80"/>
      <c r="R32" s="51" t="s">
        <v>78</v>
      </c>
      <c r="S32" s="79">
        <v>44859</v>
      </c>
      <c r="T32" s="51" t="s">
        <v>2551</v>
      </c>
      <c r="U32" s="51" t="s">
        <v>98</v>
      </c>
      <c r="V32" s="79">
        <v>44904</v>
      </c>
      <c r="W32" s="51" t="s">
        <v>2561</v>
      </c>
      <c r="X32" s="80"/>
    </row>
    <row r="33" spans="1:24" ht="42" customHeight="1">
      <c r="A33" s="80">
        <f t="shared" si="0"/>
        <v>31</v>
      </c>
      <c r="B33" s="51" t="str">
        <f t="shared" si="1"/>
        <v>MA</v>
      </c>
      <c r="C33" s="81" t="s">
        <v>2626</v>
      </c>
      <c r="D33" s="51"/>
      <c r="E33" s="80"/>
      <c r="F33" s="51"/>
      <c r="G33" s="75"/>
      <c r="H33" s="80"/>
      <c r="I33" s="76"/>
      <c r="J33" s="80"/>
      <c r="K33" s="80"/>
      <c r="L33" s="51" t="s">
        <v>78</v>
      </c>
      <c r="M33" s="79">
        <v>44810</v>
      </c>
      <c r="N33" s="51"/>
      <c r="O33" s="80"/>
      <c r="P33" s="82"/>
      <c r="Q33" s="80"/>
      <c r="R33" s="80"/>
      <c r="S33" s="82"/>
      <c r="T33" s="80"/>
      <c r="U33" s="80"/>
      <c r="V33" s="79"/>
      <c r="W33" s="80"/>
      <c r="X33" s="80"/>
    </row>
    <row r="34" spans="1:24" ht="42" customHeight="1">
      <c r="A34" s="80">
        <f t="shared" si="0"/>
        <v>32</v>
      </c>
      <c r="B34" s="51" t="str">
        <f t="shared" si="1"/>
        <v>MA</v>
      </c>
      <c r="C34" s="81" t="s">
        <v>2627</v>
      </c>
      <c r="D34" s="80"/>
      <c r="E34" s="80"/>
      <c r="F34" s="80"/>
      <c r="G34" s="75"/>
      <c r="H34" s="80"/>
      <c r="I34" s="76"/>
      <c r="J34" s="80"/>
      <c r="K34" s="80"/>
      <c r="L34" s="51" t="s">
        <v>78</v>
      </c>
      <c r="M34" s="79">
        <v>44810</v>
      </c>
      <c r="N34" s="51"/>
      <c r="O34" s="80"/>
      <c r="P34" s="82"/>
      <c r="Q34" s="80"/>
      <c r="R34" s="80"/>
      <c r="S34" s="82"/>
      <c r="T34" s="80"/>
      <c r="U34" s="80"/>
      <c r="V34" s="79"/>
      <c r="W34" s="80"/>
      <c r="X34" s="80"/>
    </row>
    <row r="35" spans="1:24" ht="42" customHeight="1">
      <c r="A35" s="80">
        <f t="shared" si="0"/>
        <v>33</v>
      </c>
      <c r="B35" s="51" t="str">
        <f t="shared" si="1"/>
        <v>MA</v>
      </c>
      <c r="C35" s="87" t="s">
        <v>2628</v>
      </c>
      <c r="D35" s="80"/>
      <c r="E35" s="80"/>
      <c r="F35" s="80"/>
      <c r="G35" s="75">
        <v>96555050048</v>
      </c>
      <c r="H35" s="80"/>
      <c r="I35" s="76"/>
      <c r="J35" s="80"/>
      <c r="K35" s="80"/>
      <c r="L35" s="51" t="s">
        <v>78</v>
      </c>
      <c r="M35" s="79">
        <v>44810</v>
      </c>
      <c r="N35" s="51"/>
      <c r="O35" s="80"/>
      <c r="P35" s="82"/>
      <c r="Q35" s="80"/>
      <c r="R35" s="80"/>
      <c r="S35" s="82"/>
      <c r="T35" s="80"/>
      <c r="U35" s="80"/>
      <c r="V35" s="79"/>
      <c r="W35" s="80"/>
      <c r="X35" s="80"/>
    </row>
    <row r="36" spans="1:24" ht="42" customHeight="1">
      <c r="A36" s="80">
        <f t="shared" si="0"/>
        <v>34</v>
      </c>
      <c r="B36" s="51" t="str">
        <f t="shared" si="1"/>
        <v>MA</v>
      </c>
      <c r="C36" s="87" t="s">
        <v>2629</v>
      </c>
      <c r="D36" s="80"/>
      <c r="E36" s="80"/>
      <c r="F36" s="80"/>
      <c r="G36" s="75"/>
      <c r="H36" s="80"/>
      <c r="I36" s="76"/>
      <c r="J36" s="80"/>
      <c r="K36" s="80"/>
      <c r="L36" s="51" t="s">
        <v>78</v>
      </c>
      <c r="M36" s="79">
        <v>44810</v>
      </c>
      <c r="N36" s="51"/>
      <c r="O36" s="80"/>
      <c r="P36" s="82"/>
      <c r="Q36" s="80"/>
      <c r="R36" s="80"/>
      <c r="S36" s="82"/>
      <c r="T36" s="80"/>
      <c r="U36" s="80"/>
      <c r="V36" s="79"/>
      <c r="W36" s="80"/>
      <c r="X36" s="80"/>
    </row>
    <row r="37" spans="1:24" ht="42" customHeight="1">
      <c r="A37" s="80">
        <f t="shared" si="0"/>
        <v>35</v>
      </c>
      <c r="B37" s="51" t="str">
        <f t="shared" si="1"/>
        <v>MA</v>
      </c>
      <c r="C37" s="81" t="s">
        <v>2630</v>
      </c>
      <c r="D37" s="51" t="s">
        <v>861</v>
      </c>
      <c r="E37" s="51" t="s">
        <v>2547</v>
      </c>
      <c r="F37" s="56" t="s">
        <v>2631</v>
      </c>
      <c r="G37" s="75">
        <v>96596005000</v>
      </c>
      <c r="H37" s="80"/>
      <c r="I37" s="54" t="s">
        <v>880</v>
      </c>
      <c r="J37" s="80"/>
      <c r="K37" s="80"/>
      <c r="L37" s="51" t="s">
        <v>78</v>
      </c>
      <c r="M37" s="79">
        <v>44873</v>
      </c>
      <c r="N37" s="51" t="s">
        <v>2632</v>
      </c>
      <c r="O37" s="51" t="s">
        <v>78</v>
      </c>
      <c r="P37" s="79">
        <v>44891</v>
      </c>
      <c r="Q37" s="51" t="s">
        <v>2560</v>
      </c>
      <c r="R37" s="51" t="s">
        <v>78</v>
      </c>
      <c r="S37" s="79">
        <v>44859</v>
      </c>
      <c r="T37" s="51" t="s">
        <v>2545</v>
      </c>
      <c r="U37" s="51" t="s">
        <v>78</v>
      </c>
      <c r="V37" s="79">
        <v>44894</v>
      </c>
      <c r="W37" s="51" t="s">
        <v>2560</v>
      </c>
      <c r="X37" s="80"/>
    </row>
    <row r="38" spans="1:24" ht="42" customHeight="1">
      <c r="A38" s="80">
        <f t="shared" si="0"/>
        <v>36</v>
      </c>
      <c r="B38" s="51" t="str">
        <f t="shared" si="1"/>
        <v>MA</v>
      </c>
      <c r="C38" s="87" t="s">
        <v>2633</v>
      </c>
      <c r="D38" s="51" t="s">
        <v>861</v>
      </c>
      <c r="E38" s="51" t="s">
        <v>2533</v>
      </c>
      <c r="F38" s="80"/>
      <c r="G38" s="75">
        <v>96596960651</v>
      </c>
      <c r="H38" s="80"/>
      <c r="I38" s="76"/>
      <c r="J38" s="80"/>
      <c r="K38" s="80"/>
      <c r="L38" s="51" t="s">
        <v>78</v>
      </c>
      <c r="M38" s="79">
        <v>44810</v>
      </c>
      <c r="N38" s="51"/>
      <c r="O38" s="80"/>
      <c r="P38" s="82"/>
      <c r="Q38" s="80"/>
      <c r="R38" s="80"/>
      <c r="S38" s="82"/>
      <c r="T38" s="80"/>
      <c r="U38" s="80"/>
      <c r="V38" s="79"/>
      <c r="W38" s="80"/>
      <c r="X38" s="80"/>
    </row>
    <row r="39" spans="1:24" ht="42" customHeight="1">
      <c r="A39" s="80">
        <f t="shared" si="0"/>
        <v>37</v>
      </c>
      <c r="B39" s="51" t="str">
        <f t="shared" si="1"/>
        <v>MA</v>
      </c>
      <c r="C39" s="87" t="s">
        <v>2634</v>
      </c>
      <c r="D39" s="51" t="s">
        <v>861</v>
      </c>
      <c r="E39" s="51" t="s">
        <v>2533</v>
      </c>
      <c r="F39" s="80"/>
      <c r="G39" s="75">
        <v>96599990214</v>
      </c>
      <c r="H39" s="80"/>
      <c r="I39" s="76"/>
      <c r="J39" s="80"/>
      <c r="K39" s="80"/>
      <c r="L39" s="51" t="s">
        <v>78</v>
      </c>
      <c r="M39" s="79">
        <v>44873</v>
      </c>
      <c r="N39" s="51" t="s">
        <v>2538</v>
      </c>
      <c r="O39" s="51" t="s">
        <v>78</v>
      </c>
      <c r="P39" s="79">
        <v>44866</v>
      </c>
      <c r="Q39" s="51" t="s">
        <v>2635</v>
      </c>
      <c r="R39" s="51" t="s">
        <v>78</v>
      </c>
      <c r="S39" s="82"/>
      <c r="T39" s="80"/>
      <c r="U39" s="51" t="s">
        <v>78</v>
      </c>
      <c r="V39" s="79">
        <v>44886</v>
      </c>
      <c r="W39" s="51" t="s">
        <v>2558</v>
      </c>
      <c r="X39" s="80"/>
    </row>
    <row r="40" spans="1:24" ht="42" customHeight="1">
      <c r="A40" s="80">
        <f t="shared" si="0"/>
        <v>38</v>
      </c>
      <c r="B40" s="51" t="str">
        <f t="shared" si="1"/>
        <v>MA</v>
      </c>
      <c r="C40" s="87" t="s">
        <v>2636</v>
      </c>
      <c r="D40" s="80"/>
      <c r="E40" s="51" t="s">
        <v>2533</v>
      </c>
      <c r="F40" s="80"/>
      <c r="G40" s="75"/>
      <c r="H40" s="80"/>
      <c r="I40" s="54" t="s">
        <v>2637</v>
      </c>
      <c r="J40" s="80"/>
      <c r="K40" s="80"/>
      <c r="L40" s="51" t="s">
        <v>7</v>
      </c>
      <c r="M40" s="79">
        <v>44873</v>
      </c>
      <c r="N40" s="51" t="s">
        <v>2551</v>
      </c>
      <c r="O40" s="80"/>
      <c r="P40" s="82"/>
      <c r="Q40" s="80"/>
      <c r="R40" s="80"/>
      <c r="S40" s="82"/>
      <c r="T40" s="80"/>
      <c r="U40" s="80"/>
      <c r="V40" s="79"/>
      <c r="W40" s="80"/>
      <c r="X40" s="80"/>
    </row>
    <row r="41" spans="1:24" ht="42" customHeight="1">
      <c r="A41" s="80">
        <f t="shared" si="0"/>
        <v>39</v>
      </c>
      <c r="B41" s="51" t="str">
        <f t="shared" si="1"/>
        <v>MA</v>
      </c>
      <c r="C41" s="97" t="s">
        <v>884</v>
      </c>
      <c r="D41" s="98" t="s">
        <v>861</v>
      </c>
      <c r="E41" s="80"/>
      <c r="F41" s="80"/>
      <c r="G41" s="75" t="s">
        <v>885</v>
      </c>
      <c r="H41" s="80"/>
      <c r="I41" s="54" t="s">
        <v>2638</v>
      </c>
      <c r="J41" s="77" t="s">
        <v>2639</v>
      </c>
      <c r="K41" s="80"/>
      <c r="L41" s="51" t="s">
        <v>7</v>
      </c>
      <c r="M41" s="79">
        <v>44873</v>
      </c>
      <c r="N41" s="51" t="s">
        <v>2551</v>
      </c>
      <c r="O41" s="51" t="s">
        <v>98</v>
      </c>
      <c r="P41" s="79">
        <v>44904</v>
      </c>
      <c r="Q41" s="51" t="s">
        <v>2561</v>
      </c>
      <c r="R41" s="80"/>
      <c r="S41" s="82"/>
      <c r="T41" s="80"/>
      <c r="U41" s="51" t="s">
        <v>78</v>
      </c>
      <c r="V41" s="79">
        <v>44886</v>
      </c>
      <c r="W41" s="51" t="s">
        <v>2538</v>
      </c>
      <c r="X41" s="80"/>
    </row>
    <row r="42" spans="1:24" ht="42" customHeight="1">
      <c r="A42" s="80">
        <f t="shared" si="0"/>
        <v>40</v>
      </c>
      <c r="B42" s="51" t="str">
        <f t="shared" si="1"/>
        <v>MA</v>
      </c>
      <c r="C42" s="99" t="s">
        <v>2640</v>
      </c>
      <c r="D42" s="51" t="s">
        <v>861</v>
      </c>
      <c r="E42" s="51" t="s">
        <v>2533</v>
      </c>
      <c r="F42" s="51" t="s">
        <v>79</v>
      </c>
      <c r="G42" s="75" t="s">
        <v>888</v>
      </c>
      <c r="H42" s="80"/>
      <c r="I42" s="76"/>
      <c r="J42" s="80"/>
      <c r="K42" s="80"/>
      <c r="L42" s="51" t="s">
        <v>78</v>
      </c>
      <c r="M42" s="79">
        <v>44873</v>
      </c>
      <c r="N42" s="51" t="s">
        <v>2538</v>
      </c>
      <c r="O42" s="51" t="s">
        <v>78</v>
      </c>
      <c r="P42" s="79">
        <v>44891</v>
      </c>
      <c r="Q42" s="51" t="s">
        <v>2561</v>
      </c>
      <c r="R42" s="80"/>
      <c r="S42" s="82"/>
      <c r="T42" s="80"/>
      <c r="U42" s="51" t="s">
        <v>78</v>
      </c>
      <c r="V42" s="79">
        <v>44894</v>
      </c>
      <c r="W42" s="51" t="s">
        <v>2635</v>
      </c>
      <c r="X42" s="80"/>
    </row>
    <row r="43" spans="1:24" ht="42" customHeight="1">
      <c r="A43" s="80">
        <f t="shared" si="0"/>
        <v>41</v>
      </c>
      <c r="B43" s="51" t="str">
        <f t="shared" si="1"/>
        <v>MA</v>
      </c>
      <c r="C43" s="87" t="s">
        <v>2641</v>
      </c>
      <c r="D43" s="51" t="s">
        <v>861</v>
      </c>
      <c r="E43" s="51" t="s">
        <v>2533</v>
      </c>
      <c r="F43" s="80"/>
      <c r="G43" s="75">
        <v>96596960651</v>
      </c>
      <c r="H43" s="80"/>
      <c r="I43" s="76"/>
      <c r="J43" s="80"/>
      <c r="K43" s="80"/>
      <c r="L43" s="51" t="s">
        <v>78</v>
      </c>
      <c r="M43" s="79">
        <v>44873</v>
      </c>
      <c r="N43" s="51" t="s">
        <v>2635</v>
      </c>
      <c r="O43" s="51" t="s">
        <v>78</v>
      </c>
      <c r="P43" s="79">
        <v>44866</v>
      </c>
      <c r="Q43" s="51" t="s">
        <v>2561</v>
      </c>
      <c r="R43" s="80"/>
      <c r="S43" s="82"/>
      <c r="T43" s="80"/>
      <c r="U43" s="51" t="s">
        <v>78</v>
      </c>
      <c r="V43" s="79">
        <v>44886</v>
      </c>
      <c r="W43" s="51" t="s">
        <v>2538</v>
      </c>
      <c r="X43" s="80"/>
    </row>
    <row r="44" spans="1:24" ht="42" customHeight="1">
      <c r="A44" s="80">
        <f t="shared" si="0"/>
        <v>42</v>
      </c>
      <c r="B44" s="51" t="str">
        <f t="shared" si="1"/>
        <v>MA</v>
      </c>
      <c r="C44" s="87" t="s">
        <v>2642</v>
      </c>
      <c r="D44" s="51" t="s">
        <v>861</v>
      </c>
      <c r="E44" s="51" t="s">
        <v>2533</v>
      </c>
      <c r="F44" s="80"/>
      <c r="G44" s="100" t="s">
        <v>890</v>
      </c>
      <c r="H44" s="80"/>
      <c r="I44" s="76"/>
      <c r="J44" s="80"/>
      <c r="K44" s="80"/>
      <c r="L44" s="51" t="s">
        <v>78</v>
      </c>
      <c r="M44" s="79">
        <v>44873</v>
      </c>
      <c r="N44" s="51" t="s">
        <v>2538</v>
      </c>
      <c r="O44" s="51" t="s">
        <v>78</v>
      </c>
      <c r="P44" s="79">
        <v>44866</v>
      </c>
      <c r="Q44" s="51" t="s">
        <v>2538</v>
      </c>
      <c r="R44" s="80"/>
      <c r="S44" s="82"/>
      <c r="T44" s="80"/>
      <c r="U44" s="51" t="s">
        <v>78</v>
      </c>
      <c r="V44" s="79">
        <v>44886</v>
      </c>
      <c r="W44" s="51" t="s">
        <v>2538</v>
      </c>
      <c r="X44" s="80"/>
    </row>
    <row r="45" spans="1:24" ht="42" customHeight="1">
      <c r="A45" s="80">
        <f t="shared" si="0"/>
        <v>43</v>
      </c>
      <c r="B45" s="51" t="str">
        <f t="shared" si="1"/>
        <v>MA</v>
      </c>
      <c r="C45" s="81" t="s">
        <v>2643</v>
      </c>
      <c r="D45" s="51" t="s">
        <v>861</v>
      </c>
      <c r="E45" s="51" t="s">
        <v>2547</v>
      </c>
      <c r="F45" s="80"/>
      <c r="G45" s="75"/>
      <c r="H45" s="80"/>
      <c r="I45" s="76"/>
      <c r="J45" s="80"/>
      <c r="K45" s="80"/>
      <c r="L45" s="51" t="s">
        <v>78</v>
      </c>
      <c r="M45" s="79">
        <v>44810</v>
      </c>
      <c r="N45" s="51"/>
      <c r="O45" s="51" t="s">
        <v>78</v>
      </c>
      <c r="P45" s="79">
        <v>44866</v>
      </c>
      <c r="Q45" s="51" t="s">
        <v>2570</v>
      </c>
      <c r="R45" s="80"/>
      <c r="S45" s="82"/>
      <c r="T45" s="80"/>
      <c r="U45" s="51" t="s">
        <v>78</v>
      </c>
      <c r="V45" s="79"/>
      <c r="W45" s="51"/>
      <c r="X45" s="80"/>
    </row>
    <row r="46" spans="1:24" ht="42" customHeight="1">
      <c r="A46" s="80">
        <f t="shared" si="0"/>
        <v>44</v>
      </c>
      <c r="B46" s="51" t="str">
        <f t="shared" si="1"/>
        <v>MA</v>
      </c>
      <c r="C46" s="101" t="s">
        <v>2644</v>
      </c>
      <c r="D46" s="51" t="s">
        <v>861</v>
      </c>
      <c r="E46" s="80"/>
      <c r="F46" s="80"/>
      <c r="G46" s="75">
        <v>96590946679</v>
      </c>
      <c r="H46" s="80"/>
      <c r="I46" s="76"/>
      <c r="J46" s="80"/>
      <c r="K46" s="80"/>
      <c r="L46" s="51" t="s">
        <v>78</v>
      </c>
      <c r="M46" s="79">
        <v>44873</v>
      </c>
      <c r="N46" s="51" t="s">
        <v>2561</v>
      </c>
      <c r="O46" s="51" t="s">
        <v>98</v>
      </c>
      <c r="P46" s="79">
        <v>44904</v>
      </c>
      <c r="Q46" s="51" t="s">
        <v>2561</v>
      </c>
      <c r="R46" s="80"/>
      <c r="S46" s="82"/>
      <c r="T46" s="80"/>
      <c r="U46" s="51" t="s">
        <v>78</v>
      </c>
      <c r="V46" s="79">
        <v>44886</v>
      </c>
      <c r="W46" s="51" t="s">
        <v>2635</v>
      </c>
      <c r="X46" s="80"/>
    </row>
    <row r="47" spans="1:24" ht="42" customHeight="1">
      <c r="A47" s="80">
        <f t="shared" si="0"/>
        <v>45</v>
      </c>
      <c r="B47" s="51" t="str">
        <f t="shared" si="1"/>
        <v>MA</v>
      </c>
      <c r="C47" s="102" t="s">
        <v>2645</v>
      </c>
      <c r="D47" s="51" t="s">
        <v>861</v>
      </c>
      <c r="E47" s="51" t="s">
        <v>2547</v>
      </c>
      <c r="F47" s="80"/>
      <c r="G47" s="75">
        <v>96560003630</v>
      </c>
      <c r="H47" s="80"/>
      <c r="I47" s="76"/>
      <c r="J47" s="80"/>
      <c r="K47" s="80"/>
      <c r="L47" s="51" t="s">
        <v>78</v>
      </c>
      <c r="M47" s="79">
        <v>44873</v>
      </c>
      <c r="N47" s="51" t="s">
        <v>2635</v>
      </c>
      <c r="O47" s="51" t="s">
        <v>78</v>
      </c>
      <c r="P47" s="79">
        <v>44891</v>
      </c>
      <c r="Q47" s="51" t="s">
        <v>2538</v>
      </c>
      <c r="R47" s="80"/>
      <c r="S47" s="82"/>
      <c r="T47" s="80"/>
      <c r="U47" s="51" t="s">
        <v>78</v>
      </c>
      <c r="V47" s="79">
        <v>44894</v>
      </c>
      <c r="W47" s="51" t="s">
        <v>2538</v>
      </c>
      <c r="X47" s="80"/>
    </row>
    <row r="48" spans="1:24" ht="42" customHeight="1">
      <c r="A48" s="80">
        <f t="shared" si="0"/>
        <v>46</v>
      </c>
      <c r="B48" s="51" t="str">
        <f t="shared" si="1"/>
        <v>MA</v>
      </c>
      <c r="C48" s="101" t="s">
        <v>2646</v>
      </c>
      <c r="D48" s="51" t="s">
        <v>861</v>
      </c>
      <c r="E48" s="51" t="s">
        <v>2547</v>
      </c>
      <c r="F48" s="80"/>
      <c r="G48" s="75" t="s">
        <v>2647</v>
      </c>
      <c r="H48" s="51" t="s">
        <v>2648</v>
      </c>
      <c r="I48" s="76"/>
      <c r="J48" s="80"/>
      <c r="K48" s="80"/>
      <c r="L48" s="51" t="s">
        <v>78</v>
      </c>
      <c r="M48" s="79">
        <v>44887</v>
      </c>
      <c r="N48" s="51" t="s">
        <v>2538</v>
      </c>
      <c r="O48" s="51" t="s">
        <v>78</v>
      </c>
      <c r="P48" s="79">
        <v>44891</v>
      </c>
      <c r="Q48" s="51" t="s">
        <v>2635</v>
      </c>
      <c r="R48" s="51" t="s">
        <v>78</v>
      </c>
      <c r="S48" s="79">
        <v>44900</v>
      </c>
      <c r="T48" s="51" t="s">
        <v>2538</v>
      </c>
      <c r="U48" s="51" t="s">
        <v>98</v>
      </c>
      <c r="V48" s="79">
        <v>44907</v>
      </c>
      <c r="W48" s="51" t="s">
        <v>2623</v>
      </c>
      <c r="X48" s="80"/>
    </row>
    <row r="49" spans="1:24" ht="42" customHeight="1">
      <c r="A49" s="80">
        <f t="shared" si="0"/>
        <v>47</v>
      </c>
      <c r="B49" s="51" t="str">
        <f t="shared" si="1"/>
        <v>MA</v>
      </c>
      <c r="C49" s="102" t="s">
        <v>2649</v>
      </c>
      <c r="D49" s="51" t="s">
        <v>861</v>
      </c>
      <c r="E49" s="51" t="s">
        <v>2533</v>
      </c>
      <c r="F49" s="80"/>
      <c r="G49" s="103">
        <v>96599382563</v>
      </c>
      <c r="H49" s="80"/>
      <c r="I49" s="76"/>
      <c r="J49" s="80"/>
      <c r="K49" s="80"/>
      <c r="L49" s="51" t="s">
        <v>78</v>
      </c>
      <c r="M49" s="79">
        <v>44873</v>
      </c>
      <c r="N49" s="51" t="s">
        <v>2635</v>
      </c>
      <c r="O49" s="51" t="s">
        <v>78</v>
      </c>
      <c r="P49" s="79">
        <v>44891</v>
      </c>
      <c r="Q49" s="51" t="s">
        <v>2538</v>
      </c>
      <c r="R49" s="80"/>
      <c r="S49" s="82"/>
      <c r="T49" s="80"/>
      <c r="U49" s="51" t="s">
        <v>78</v>
      </c>
      <c r="V49" s="79">
        <v>44886</v>
      </c>
      <c r="W49" s="51" t="s">
        <v>2538</v>
      </c>
      <c r="X49" s="80"/>
    </row>
    <row r="50" spans="1:24" ht="42" customHeight="1">
      <c r="A50" s="80">
        <f t="shared" si="0"/>
        <v>48</v>
      </c>
      <c r="B50" s="51" t="str">
        <f t="shared" si="1"/>
        <v>MA</v>
      </c>
      <c r="C50" s="87" t="s">
        <v>2650</v>
      </c>
      <c r="D50" s="51" t="s">
        <v>861</v>
      </c>
      <c r="E50" s="51" t="s">
        <v>2533</v>
      </c>
      <c r="F50" s="80"/>
      <c r="G50" s="75">
        <v>96550510067</v>
      </c>
      <c r="H50" s="80"/>
      <c r="I50" s="76"/>
      <c r="J50" s="80"/>
      <c r="K50" s="80"/>
      <c r="L50" s="51" t="s">
        <v>78</v>
      </c>
      <c r="M50" s="79">
        <v>44873</v>
      </c>
      <c r="N50" s="51" t="s">
        <v>2635</v>
      </c>
      <c r="O50" s="51" t="s">
        <v>78</v>
      </c>
      <c r="P50" s="79">
        <v>44866</v>
      </c>
      <c r="Q50" s="51" t="s">
        <v>2538</v>
      </c>
      <c r="R50" s="80"/>
      <c r="S50" s="82"/>
      <c r="T50" s="80"/>
      <c r="U50" s="51" t="s">
        <v>78</v>
      </c>
      <c r="V50" s="79">
        <v>44886</v>
      </c>
      <c r="W50" s="51" t="s">
        <v>2558</v>
      </c>
      <c r="X50" s="80"/>
    </row>
    <row r="51" spans="1:24" ht="42" customHeight="1">
      <c r="A51" s="80">
        <f t="shared" si="0"/>
        <v>49</v>
      </c>
      <c r="B51" s="51" t="str">
        <f t="shared" si="1"/>
        <v>MA</v>
      </c>
      <c r="C51" s="101" t="s">
        <v>2651</v>
      </c>
      <c r="D51" s="51" t="s">
        <v>861</v>
      </c>
      <c r="E51" s="51" t="s">
        <v>2547</v>
      </c>
      <c r="F51" s="80"/>
      <c r="G51" s="75">
        <v>96565022248</v>
      </c>
      <c r="H51" s="80"/>
      <c r="I51" s="76"/>
      <c r="J51" s="80"/>
      <c r="K51" s="80"/>
      <c r="L51" s="51" t="s">
        <v>78</v>
      </c>
      <c r="M51" s="79">
        <v>44873</v>
      </c>
      <c r="N51" s="51" t="s">
        <v>2635</v>
      </c>
      <c r="O51" s="51" t="s">
        <v>78</v>
      </c>
      <c r="P51" s="79">
        <v>44891</v>
      </c>
      <c r="Q51" s="51" t="s">
        <v>2538</v>
      </c>
      <c r="R51" s="80"/>
      <c r="S51" s="82"/>
      <c r="T51" s="80"/>
      <c r="U51" s="51" t="s">
        <v>78</v>
      </c>
      <c r="V51" s="79">
        <v>44886</v>
      </c>
      <c r="W51" s="51" t="s">
        <v>2538</v>
      </c>
      <c r="X51" s="80"/>
    </row>
    <row r="52" spans="1:24" ht="42" customHeight="1">
      <c r="A52" s="80">
        <f t="shared" si="0"/>
        <v>50</v>
      </c>
      <c r="B52" s="51" t="str">
        <f t="shared" si="1"/>
        <v>MA</v>
      </c>
      <c r="C52" s="102" t="s">
        <v>2652</v>
      </c>
      <c r="D52" s="51" t="s">
        <v>861</v>
      </c>
      <c r="E52" s="51" t="s">
        <v>2547</v>
      </c>
      <c r="F52" s="80"/>
      <c r="G52" s="75">
        <v>96522064428</v>
      </c>
      <c r="H52" s="80"/>
      <c r="I52" s="76"/>
      <c r="J52" s="80"/>
      <c r="K52" s="80"/>
      <c r="L52" s="51" t="s">
        <v>78</v>
      </c>
      <c r="M52" s="79">
        <v>44812</v>
      </c>
      <c r="N52" s="51" t="s">
        <v>2635</v>
      </c>
      <c r="O52" s="51" t="s">
        <v>78</v>
      </c>
      <c r="P52" s="79">
        <v>44891</v>
      </c>
      <c r="Q52" s="51" t="s">
        <v>2538</v>
      </c>
      <c r="R52" s="80"/>
      <c r="S52" s="82"/>
      <c r="T52" s="80"/>
      <c r="U52" s="80"/>
      <c r="V52" s="79"/>
      <c r="W52" s="80"/>
      <c r="X52" s="80"/>
    </row>
    <row r="53" spans="1:24" ht="42" customHeight="1">
      <c r="A53" s="80">
        <f t="shared" si="0"/>
        <v>51</v>
      </c>
      <c r="B53" s="51" t="str">
        <f t="shared" si="1"/>
        <v>MA</v>
      </c>
      <c r="C53" s="81" t="s">
        <v>899</v>
      </c>
      <c r="D53" s="51" t="s">
        <v>861</v>
      </c>
      <c r="E53" s="51" t="s">
        <v>2547</v>
      </c>
      <c r="F53" s="80"/>
      <c r="G53" s="75" t="s">
        <v>900</v>
      </c>
      <c r="H53" s="80"/>
      <c r="I53" s="76"/>
      <c r="J53" s="80"/>
      <c r="K53" s="80"/>
      <c r="L53" s="51" t="s">
        <v>78</v>
      </c>
      <c r="M53" s="79">
        <v>44873</v>
      </c>
      <c r="N53" s="51" t="s">
        <v>2635</v>
      </c>
      <c r="O53" s="51" t="s">
        <v>78</v>
      </c>
      <c r="P53" s="79">
        <v>44835</v>
      </c>
      <c r="Q53" s="51" t="s">
        <v>2553</v>
      </c>
      <c r="R53" s="80"/>
      <c r="S53" s="82"/>
      <c r="T53" s="80"/>
      <c r="U53" s="80"/>
      <c r="V53" s="79"/>
      <c r="W53" s="80"/>
      <c r="X53" s="80"/>
    </row>
    <row r="54" spans="1:24" ht="42" customHeight="1">
      <c r="A54" s="80">
        <f t="shared" si="0"/>
        <v>52</v>
      </c>
      <c r="B54" s="51" t="str">
        <f t="shared" si="1"/>
        <v>MA</v>
      </c>
      <c r="C54" s="87" t="s">
        <v>2653</v>
      </c>
      <c r="D54" s="51" t="s">
        <v>861</v>
      </c>
      <c r="E54" s="80"/>
      <c r="F54" s="80"/>
      <c r="G54" s="75"/>
      <c r="H54" s="80"/>
      <c r="I54" s="76"/>
      <c r="J54" s="80"/>
      <c r="K54" s="80"/>
      <c r="L54" s="80"/>
      <c r="M54" s="79">
        <v>44810</v>
      </c>
      <c r="N54" s="51"/>
      <c r="O54" s="80"/>
      <c r="P54" s="82"/>
      <c r="Q54" s="80"/>
      <c r="R54" s="80"/>
      <c r="S54" s="82"/>
      <c r="T54" s="80"/>
      <c r="U54" s="80"/>
      <c r="V54" s="79"/>
      <c r="W54" s="80"/>
      <c r="X54" s="80"/>
    </row>
    <row r="55" spans="1:24" ht="42" customHeight="1">
      <c r="A55" s="80">
        <f t="shared" si="0"/>
        <v>53</v>
      </c>
      <c r="B55" s="51" t="str">
        <f t="shared" si="1"/>
        <v>MA</v>
      </c>
      <c r="C55" s="83" t="s">
        <v>901</v>
      </c>
      <c r="D55" s="51" t="s">
        <v>861</v>
      </c>
      <c r="E55" s="51" t="s">
        <v>2547</v>
      </c>
      <c r="F55" s="80"/>
      <c r="G55" s="75" t="s">
        <v>902</v>
      </c>
      <c r="H55" s="80"/>
      <c r="I55" s="76"/>
      <c r="J55" s="80"/>
      <c r="K55" s="80"/>
      <c r="L55" s="51" t="s">
        <v>78</v>
      </c>
      <c r="M55" s="79">
        <v>44873</v>
      </c>
      <c r="N55" s="51" t="s">
        <v>2635</v>
      </c>
      <c r="O55" s="51" t="s">
        <v>78</v>
      </c>
      <c r="P55" s="79">
        <v>44866</v>
      </c>
      <c r="Q55" s="51" t="s">
        <v>2545</v>
      </c>
      <c r="R55" s="80"/>
      <c r="S55" s="82"/>
      <c r="T55" s="80"/>
      <c r="U55" s="80"/>
      <c r="V55" s="79"/>
      <c r="W55" s="80"/>
      <c r="X55" s="80"/>
    </row>
    <row r="56" spans="1:24" ht="42" customHeight="1">
      <c r="A56" s="80">
        <f t="shared" si="0"/>
        <v>54</v>
      </c>
      <c r="B56" s="51" t="str">
        <f t="shared" si="1"/>
        <v>MA</v>
      </c>
      <c r="C56" s="83" t="s">
        <v>2654</v>
      </c>
      <c r="D56" s="51" t="s">
        <v>861</v>
      </c>
      <c r="E56" s="51" t="s">
        <v>2547</v>
      </c>
      <c r="F56" s="80"/>
      <c r="G56" s="75" t="s">
        <v>904</v>
      </c>
      <c r="H56" s="80"/>
      <c r="I56" s="76"/>
      <c r="J56" s="80"/>
      <c r="K56" s="80"/>
      <c r="L56" s="51" t="s">
        <v>98</v>
      </c>
      <c r="M56" s="79">
        <v>44873</v>
      </c>
      <c r="N56" s="51" t="s">
        <v>2553</v>
      </c>
      <c r="O56" s="51" t="s">
        <v>98</v>
      </c>
      <c r="P56" s="79">
        <v>44866</v>
      </c>
      <c r="Q56" s="51" t="s">
        <v>2561</v>
      </c>
      <c r="R56" s="80"/>
      <c r="S56" s="82"/>
      <c r="T56" s="80"/>
      <c r="U56" s="80"/>
      <c r="V56" s="79"/>
      <c r="W56" s="80"/>
      <c r="X56" s="80"/>
    </row>
    <row r="57" spans="1:24" ht="42" customHeight="1">
      <c r="A57" s="80">
        <f t="shared" si="0"/>
        <v>55</v>
      </c>
      <c r="B57" s="51" t="str">
        <f t="shared" si="1"/>
        <v>MA</v>
      </c>
      <c r="C57" s="81" t="s">
        <v>2655</v>
      </c>
      <c r="D57" s="51" t="s">
        <v>725</v>
      </c>
      <c r="E57" s="51" t="s">
        <v>2547</v>
      </c>
      <c r="F57" s="80"/>
      <c r="G57" s="75" t="s">
        <v>2656</v>
      </c>
      <c r="H57" s="80"/>
      <c r="I57" s="76"/>
      <c r="J57" s="80"/>
      <c r="K57" s="80"/>
      <c r="L57" s="51" t="s">
        <v>78</v>
      </c>
      <c r="M57" s="79">
        <v>44810</v>
      </c>
      <c r="N57" s="51"/>
      <c r="O57" s="80"/>
      <c r="P57" s="82"/>
      <c r="Q57" s="80"/>
      <c r="R57" s="80"/>
      <c r="S57" s="82"/>
      <c r="T57" s="80"/>
      <c r="U57" s="80"/>
      <c r="V57" s="79"/>
      <c r="W57" s="80"/>
      <c r="X57" s="80"/>
    </row>
    <row r="58" spans="1:24" ht="42" customHeight="1">
      <c r="A58" s="80">
        <f t="shared" si="0"/>
        <v>56</v>
      </c>
      <c r="B58" s="51" t="str">
        <f t="shared" si="1"/>
        <v>MA</v>
      </c>
      <c r="C58" s="87" t="s">
        <v>2657</v>
      </c>
      <c r="D58" s="51" t="s">
        <v>861</v>
      </c>
      <c r="E58" s="51" t="s">
        <v>2533</v>
      </c>
      <c r="F58" s="80"/>
      <c r="G58" s="75"/>
      <c r="H58" s="80"/>
      <c r="I58" s="76"/>
      <c r="J58" s="80"/>
      <c r="K58" s="80"/>
      <c r="L58" s="80"/>
      <c r="M58" s="79">
        <v>44810</v>
      </c>
      <c r="N58" s="51"/>
      <c r="O58" s="80"/>
      <c r="P58" s="82"/>
      <c r="Q58" s="80"/>
      <c r="R58" s="80"/>
      <c r="S58" s="82"/>
      <c r="T58" s="80"/>
      <c r="U58" s="80"/>
      <c r="V58" s="79"/>
      <c r="W58" s="80"/>
      <c r="X58" s="80"/>
    </row>
    <row r="59" spans="1:24" ht="42" customHeight="1">
      <c r="A59" s="80">
        <f t="shared" si="0"/>
        <v>57</v>
      </c>
      <c r="B59" s="51" t="str">
        <f t="shared" si="1"/>
        <v>MA</v>
      </c>
      <c r="C59" s="87" t="s">
        <v>2658</v>
      </c>
      <c r="D59" s="51" t="s">
        <v>861</v>
      </c>
      <c r="E59" s="51" t="s">
        <v>2533</v>
      </c>
      <c r="F59" s="80"/>
      <c r="G59" s="75">
        <v>96552224355</v>
      </c>
      <c r="H59" s="80"/>
      <c r="I59" s="76"/>
      <c r="J59" s="80"/>
      <c r="K59" s="51" t="s">
        <v>906</v>
      </c>
      <c r="L59" s="51" t="s">
        <v>78</v>
      </c>
      <c r="M59" s="79">
        <v>44810</v>
      </c>
      <c r="N59" s="51"/>
      <c r="O59" s="51" t="s">
        <v>98</v>
      </c>
      <c r="P59" s="79">
        <v>44818</v>
      </c>
      <c r="Q59" s="51" t="s">
        <v>2544</v>
      </c>
      <c r="R59" s="51" t="s">
        <v>98</v>
      </c>
      <c r="S59" s="79">
        <v>44818</v>
      </c>
      <c r="T59" s="80"/>
      <c r="U59" s="80"/>
      <c r="V59" s="79"/>
      <c r="W59" s="80"/>
      <c r="X59" s="80"/>
    </row>
    <row r="60" spans="1:24" ht="42" customHeight="1">
      <c r="A60" s="80">
        <f t="shared" si="0"/>
        <v>58</v>
      </c>
      <c r="B60" s="51" t="str">
        <f t="shared" si="1"/>
        <v>MA</v>
      </c>
      <c r="C60" s="81" t="s">
        <v>907</v>
      </c>
      <c r="D60" s="51" t="s">
        <v>861</v>
      </c>
      <c r="E60" s="51" t="s">
        <v>2533</v>
      </c>
      <c r="F60" s="80"/>
      <c r="G60" s="75">
        <v>96599012046</v>
      </c>
      <c r="H60" s="80"/>
      <c r="I60" s="76"/>
      <c r="J60" s="80"/>
      <c r="K60" s="80"/>
      <c r="L60" s="51" t="s">
        <v>78</v>
      </c>
      <c r="M60" s="79">
        <v>44873</v>
      </c>
      <c r="N60" s="51" t="s">
        <v>2561</v>
      </c>
      <c r="O60" s="51" t="s">
        <v>78</v>
      </c>
      <c r="P60" s="79">
        <v>44891</v>
      </c>
      <c r="Q60" s="81" t="s">
        <v>2538</v>
      </c>
      <c r="R60" s="80"/>
      <c r="S60" s="82"/>
      <c r="T60" s="80"/>
      <c r="U60" s="51" t="s">
        <v>98</v>
      </c>
      <c r="V60" s="79">
        <v>44886</v>
      </c>
      <c r="W60" s="51" t="s">
        <v>2561</v>
      </c>
      <c r="X60" s="80"/>
    </row>
    <row r="61" spans="1:24" ht="42" customHeight="1">
      <c r="A61" s="80">
        <f t="shared" si="0"/>
        <v>59</v>
      </c>
      <c r="B61" s="51" t="str">
        <f t="shared" si="1"/>
        <v>MA</v>
      </c>
      <c r="C61" s="104" t="s">
        <v>2659</v>
      </c>
      <c r="D61" s="51" t="s">
        <v>95</v>
      </c>
      <c r="E61" s="51" t="s">
        <v>2547</v>
      </c>
      <c r="F61" s="80"/>
      <c r="G61" s="75" t="s">
        <v>2660</v>
      </c>
      <c r="H61" s="80"/>
      <c r="I61" s="89" t="s">
        <v>2661</v>
      </c>
      <c r="J61" s="80"/>
      <c r="K61" s="51" t="s">
        <v>2662</v>
      </c>
      <c r="L61" s="51" t="s">
        <v>98</v>
      </c>
      <c r="M61" s="79">
        <v>44869</v>
      </c>
      <c r="N61" s="80"/>
      <c r="O61" s="51" t="s">
        <v>98</v>
      </c>
      <c r="P61" s="79">
        <v>44869</v>
      </c>
      <c r="Q61" s="51" t="s">
        <v>2560</v>
      </c>
      <c r="R61" s="51" t="s">
        <v>98</v>
      </c>
      <c r="S61" s="79">
        <v>44904</v>
      </c>
      <c r="T61" s="51" t="s">
        <v>2561</v>
      </c>
      <c r="U61" s="51" t="s">
        <v>78</v>
      </c>
      <c r="V61" s="79">
        <v>44901</v>
      </c>
      <c r="W61" s="51" t="s">
        <v>2538</v>
      </c>
      <c r="X61" s="51" t="s">
        <v>2663</v>
      </c>
    </row>
    <row r="62" spans="1:24" ht="42" customHeight="1">
      <c r="A62" s="80">
        <f t="shared" si="0"/>
        <v>60</v>
      </c>
      <c r="B62" s="51" t="str">
        <f t="shared" si="1"/>
        <v>MA</v>
      </c>
      <c r="C62" s="81" t="s">
        <v>2664</v>
      </c>
      <c r="D62" s="51" t="s">
        <v>861</v>
      </c>
      <c r="E62" s="51" t="s">
        <v>2533</v>
      </c>
      <c r="F62" s="80"/>
      <c r="G62" s="75" t="s">
        <v>909</v>
      </c>
      <c r="H62" s="80"/>
      <c r="I62" s="76"/>
      <c r="J62" s="80"/>
      <c r="K62" s="80"/>
      <c r="L62" s="51" t="s">
        <v>78</v>
      </c>
      <c r="M62" s="79">
        <v>44873</v>
      </c>
      <c r="N62" s="51" t="s">
        <v>2561</v>
      </c>
      <c r="O62" s="51" t="s">
        <v>78</v>
      </c>
      <c r="P62" s="79">
        <v>44891</v>
      </c>
      <c r="Q62" s="51" t="s">
        <v>2538</v>
      </c>
      <c r="R62" s="80"/>
      <c r="S62" s="82"/>
      <c r="T62" s="80"/>
      <c r="U62" s="51" t="s">
        <v>78</v>
      </c>
      <c r="V62" s="79">
        <v>44886</v>
      </c>
      <c r="W62" s="51" t="s">
        <v>2561</v>
      </c>
      <c r="X62" s="80"/>
    </row>
    <row r="63" spans="1:24" ht="42" customHeight="1">
      <c r="A63" s="80">
        <f t="shared" si="0"/>
        <v>61</v>
      </c>
      <c r="B63" s="51" t="str">
        <f t="shared" si="1"/>
        <v>MA</v>
      </c>
      <c r="C63" s="105" t="s">
        <v>2665</v>
      </c>
      <c r="D63" s="51" t="s">
        <v>861</v>
      </c>
      <c r="E63" s="51" t="s">
        <v>2547</v>
      </c>
      <c r="F63" s="80"/>
      <c r="G63" s="75">
        <v>96566330045</v>
      </c>
      <c r="H63" s="80"/>
      <c r="I63" s="76"/>
      <c r="J63" s="80"/>
      <c r="K63" s="80"/>
      <c r="L63" s="51" t="s">
        <v>78</v>
      </c>
      <c r="M63" s="79">
        <v>44873</v>
      </c>
      <c r="N63" s="51" t="s">
        <v>2561</v>
      </c>
      <c r="O63" s="51" t="s">
        <v>78</v>
      </c>
      <c r="P63" s="79">
        <v>44891</v>
      </c>
      <c r="Q63" s="51" t="s">
        <v>2561</v>
      </c>
      <c r="R63" s="80"/>
      <c r="S63" s="82"/>
      <c r="T63" s="80"/>
      <c r="U63" s="51" t="s">
        <v>78</v>
      </c>
      <c r="V63" s="79">
        <v>44886</v>
      </c>
      <c r="W63" s="51" t="s">
        <v>2538</v>
      </c>
      <c r="X63" s="80"/>
    </row>
    <row r="64" spans="1:24" ht="42" customHeight="1">
      <c r="A64" s="80">
        <f t="shared" si="0"/>
        <v>62</v>
      </c>
      <c r="B64" s="51" t="str">
        <f t="shared" si="1"/>
        <v>MA</v>
      </c>
      <c r="C64" s="83" t="s">
        <v>2666</v>
      </c>
      <c r="D64" s="51" t="s">
        <v>861</v>
      </c>
      <c r="E64" s="80"/>
      <c r="F64" s="80"/>
      <c r="G64" s="75" t="s">
        <v>912</v>
      </c>
      <c r="H64" s="51" t="s">
        <v>2667</v>
      </c>
      <c r="I64" s="76"/>
      <c r="J64" s="80"/>
      <c r="K64" s="80"/>
      <c r="L64" s="51" t="s">
        <v>78</v>
      </c>
      <c r="M64" s="79">
        <v>44873</v>
      </c>
      <c r="N64" s="51" t="s">
        <v>2561</v>
      </c>
      <c r="O64" s="51" t="s">
        <v>78</v>
      </c>
      <c r="P64" s="79">
        <v>44818</v>
      </c>
      <c r="Q64" s="51" t="s">
        <v>2560</v>
      </c>
      <c r="R64" s="80"/>
      <c r="S64" s="82"/>
      <c r="T64" s="80"/>
      <c r="U64" s="51" t="s">
        <v>78</v>
      </c>
      <c r="V64" s="79">
        <v>44886</v>
      </c>
      <c r="W64" s="51" t="s">
        <v>2635</v>
      </c>
      <c r="X64" s="80"/>
    </row>
    <row r="65" spans="1:24" ht="42" customHeight="1">
      <c r="A65" s="80">
        <f t="shared" si="0"/>
        <v>63</v>
      </c>
      <c r="B65" s="51" t="str">
        <f t="shared" si="1"/>
        <v>MA</v>
      </c>
      <c r="C65" s="101" t="s">
        <v>2668</v>
      </c>
      <c r="D65" s="51" t="s">
        <v>861</v>
      </c>
      <c r="E65" s="80"/>
      <c r="F65" s="80"/>
      <c r="G65" s="75">
        <v>96567087646</v>
      </c>
      <c r="H65" s="80"/>
      <c r="I65" s="76"/>
      <c r="J65" s="80"/>
      <c r="K65" s="80"/>
      <c r="L65" s="51" t="s">
        <v>78</v>
      </c>
      <c r="M65" s="79">
        <v>44887</v>
      </c>
      <c r="N65" s="51" t="s">
        <v>2538</v>
      </c>
      <c r="O65" s="51" t="s">
        <v>78</v>
      </c>
      <c r="P65" s="79">
        <v>44891</v>
      </c>
      <c r="Q65" s="51" t="s">
        <v>2560</v>
      </c>
      <c r="R65" s="80"/>
      <c r="S65" s="82"/>
      <c r="T65" s="80"/>
      <c r="U65" s="51" t="s">
        <v>78</v>
      </c>
      <c r="V65" s="79">
        <v>44886</v>
      </c>
      <c r="W65" s="51" t="s">
        <v>2561</v>
      </c>
      <c r="X65" s="51" t="s">
        <v>2669</v>
      </c>
    </row>
    <row r="66" spans="1:24" ht="42" customHeight="1">
      <c r="A66" s="80">
        <f t="shared" si="0"/>
        <v>64</v>
      </c>
      <c r="B66" s="51" t="str">
        <f t="shared" si="1"/>
        <v>MA</v>
      </c>
      <c r="C66" s="101" t="s">
        <v>2670</v>
      </c>
      <c r="D66" s="51" t="s">
        <v>861</v>
      </c>
      <c r="E66" s="51" t="s">
        <v>2547</v>
      </c>
      <c r="F66" s="80"/>
      <c r="G66" s="75">
        <v>96524717662</v>
      </c>
      <c r="H66" s="80"/>
      <c r="I66" s="76"/>
      <c r="J66" s="80"/>
      <c r="K66" s="80"/>
      <c r="L66" s="51" t="s">
        <v>78</v>
      </c>
      <c r="M66" s="79">
        <v>44887</v>
      </c>
      <c r="N66" s="51" t="s">
        <v>2538</v>
      </c>
      <c r="O66" s="51" t="s">
        <v>78</v>
      </c>
      <c r="P66" s="79">
        <v>44891</v>
      </c>
      <c r="Q66" s="51" t="s">
        <v>2538</v>
      </c>
      <c r="R66" s="80"/>
      <c r="S66" s="82"/>
      <c r="T66" s="80"/>
      <c r="U66" s="51" t="s">
        <v>78</v>
      </c>
      <c r="V66" s="79">
        <v>44886</v>
      </c>
      <c r="W66" s="51" t="s">
        <v>2538</v>
      </c>
      <c r="X66" s="51" t="s">
        <v>2671</v>
      </c>
    </row>
    <row r="67" spans="1:24" ht="42" customHeight="1">
      <c r="A67" s="80">
        <f t="shared" si="0"/>
        <v>65</v>
      </c>
      <c r="B67" s="51" t="str">
        <f t="shared" si="1"/>
        <v>MA</v>
      </c>
      <c r="C67" s="101" t="s">
        <v>2672</v>
      </c>
      <c r="D67" s="51" t="s">
        <v>861</v>
      </c>
      <c r="E67" s="80"/>
      <c r="F67" s="80"/>
      <c r="G67" s="75">
        <v>96550944249</v>
      </c>
      <c r="H67" s="80"/>
      <c r="I67" s="54" t="s">
        <v>2673</v>
      </c>
      <c r="J67" s="80"/>
      <c r="K67" s="80"/>
      <c r="L67" s="51" t="s">
        <v>78</v>
      </c>
      <c r="M67" s="79">
        <v>44887</v>
      </c>
      <c r="N67" s="51" t="s">
        <v>2561</v>
      </c>
      <c r="O67" s="51" t="s">
        <v>78</v>
      </c>
      <c r="P67" s="79">
        <v>44891</v>
      </c>
      <c r="Q67" s="51" t="s">
        <v>2635</v>
      </c>
      <c r="R67" s="80"/>
      <c r="S67" s="82"/>
      <c r="T67" s="80"/>
      <c r="U67" s="51" t="s">
        <v>78</v>
      </c>
      <c r="V67" s="79">
        <v>44886</v>
      </c>
      <c r="W67" s="51" t="s">
        <v>2538</v>
      </c>
      <c r="X67" s="80"/>
    </row>
    <row r="68" spans="1:24" ht="42" customHeight="1">
      <c r="A68" s="80">
        <f t="shared" si="0"/>
        <v>66</v>
      </c>
      <c r="B68" s="51" t="str">
        <f t="shared" si="1"/>
        <v>MA</v>
      </c>
      <c r="C68" s="101" t="s">
        <v>2674</v>
      </c>
      <c r="D68" s="51" t="s">
        <v>861</v>
      </c>
      <c r="E68" s="80"/>
      <c r="F68" s="80"/>
      <c r="G68" s="75" t="s">
        <v>917</v>
      </c>
      <c r="H68" s="80"/>
      <c r="I68" s="89" t="s">
        <v>2675</v>
      </c>
      <c r="J68" s="77" t="s">
        <v>2676</v>
      </c>
      <c r="K68" s="80"/>
      <c r="L68" s="51" t="s">
        <v>78</v>
      </c>
      <c r="M68" s="79">
        <v>44887</v>
      </c>
      <c r="N68" s="51" t="s">
        <v>2561</v>
      </c>
      <c r="O68" s="51" t="s">
        <v>78</v>
      </c>
      <c r="P68" s="79">
        <v>44891</v>
      </c>
      <c r="Q68" s="51" t="s">
        <v>2635</v>
      </c>
      <c r="R68" s="80"/>
      <c r="S68" s="82"/>
      <c r="T68" s="80"/>
      <c r="U68" s="51" t="s">
        <v>78</v>
      </c>
      <c r="V68" s="79">
        <v>44886</v>
      </c>
      <c r="W68" s="51" t="s">
        <v>2545</v>
      </c>
      <c r="X68" s="80"/>
    </row>
    <row r="69" spans="1:24" ht="42" customHeight="1">
      <c r="A69" s="80">
        <f t="shared" si="0"/>
        <v>67</v>
      </c>
      <c r="B69" s="51" t="str">
        <f t="shared" si="1"/>
        <v>MA</v>
      </c>
      <c r="C69" s="101" t="s">
        <v>2677</v>
      </c>
      <c r="D69" s="51" t="s">
        <v>861</v>
      </c>
      <c r="E69" s="80"/>
      <c r="F69" s="80"/>
      <c r="G69" s="75" t="s">
        <v>919</v>
      </c>
      <c r="H69" s="80"/>
      <c r="I69" s="76"/>
      <c r="J69" s="80"/>
      <c r="K69" s="80"/>
      <c r="L69" s="51" t="s">
        <v>78</v>
      </c>
      <c r="M69" s="79">
        <v>44887</v>
      </c>
      <c r="N69" s="51" t="s">
        <v>2635</v>
      </c>
      <c r="O69" s="51" t="s">
        <v>78</v>
      </c>
      <c r="P69" s="79">
        <v>44891</v>
      </c>
      <c r="Q69" s="51" t="s">
        <v>2538</v>
      </c>
      <c r="R69" s="80"/>
      <c r="S69" s="82"/>
      <c r="T69" s="80"/>
      <c r="U69" s="80"/>
      <c r="V69" s="79"/>
      <c r="W69" s="80"/>
      <c r="X69" s="80"/>
    </row>
    <row r="70" spans="1:24" ht="42" customHeight="1">
      <c r="A70" s="80">
        <f t="shared" si="0"/>
        <v>68</v>
      </c>
      <c r="B70" s="51" t="str">
        <f t="shared" si="1"/>
        <v>MA</v>
      </c>
      <c r="C70" s="87" t="s">
        <v>2678</v>
      </c>
      <c r="D70" s="51" t="s">
        <v>861</v>
      </c>
      <c r="E70" s="80"/>
      <c r="F70" s="80"/>
      <c r="G70" s="75">
        <v>96522233311</v>
      </c>
      <c r="H70" s="80"/>
      <c r="I70" s="76"/>
      <c r="J70" s="80"/>
      <c r="K70" s="80"/>
      <c r="L70" s="51" t="s">
        <v>78</v>
      </c>
      <c r="M70" s="79">
        <v>44887</v>
      </c>
      <c r="N70" s="51" t="s">
        <v>2560</v>
      </c>
      <c r="O70" s="51" t="s">
        <v>78</v>
      </c>
      <c r="P70" s="79">
        <v>44866</v>
      </c>
      <c r="Q70" s="51" t="s">
        <v>2635</v>
      </c>
      <c r="R70" s="80"/>
      <c r="S70" s="82"/>
      <c r="T70" s="80"/>
      <c r="U70" s="80"/>
      <c r="V70" s="79"/>
      <c r="W70" s="80"/>
      <c r="X70" s="80"/>
    </row>
    <row r="71" spans="1:24" ht="42" customHeight="1">
      <c r="A71" s="80">
        <f t="shared" si="0"/>
        <v>69</v>
      </c>
      <c r="B71" s="51" t="str">
        <f t="shared" si="1"/>
        <v>MA</v>
      </c>
      <c r="C71" s="101" t="s">
        <v>2679</v>
      </c>
      <c r="D71" s="51" t="s">
        <v>861</v>
      </c>
      <c r="E71" s="80"/>
      <c r="F71" s="80"/>
      <c r="G71" s="75">
        <f>96555452322</f>
        <v>96555452322</v>
      </c>
      <c r="H71" s="80"/>
      <c r="I71" s="76"/>
      <c r="J71" s="80"/>
      <c r="K71" s="80"/>
      <c r="L71" s="51" t="s">
        <v>78</v>
      </c>
      <c r="M71" s="79">
        <v>44887</v>
      </c>
      <c r="N71" s="51" t="s">
        <v>2553</v>
      </c>
      <c r="O71" s="51" t="s">
        <v>78</v>
      </c>
      <c r="P71" s="79">
        <v>44891</v>
      </c>
      <c r="Q71" s="51" t="s">
        <v>2635</v>
      </c>
      <c r="R71" s="80"/>
      <c r="S71" s="82"/>
      <c r="T71" s="80"/>
      <c r="U71" s="80"/>
      <c r="V71" s="79"/>
      <c r="W71" s="80"/>
      <c r="X71" s="80"/>
    </row>
    <row r="72" spans="1:24" ht="42" customHeight="1">
      <c r="A72" s="80">
        <f t="shared" si="0"/>
        <v>70</v>
      </c>
      <c r="B72" s="51" t="str">
        <f t="shared" si="1"/>
        <v>MA</v>
      </c>
      <c r="C72" s="106" t="s">
        <v>2680</v>
      </c>
      <c r="D72" s="51" t="s">
        <v>861</v>
      </c>
      <c r="E72" s="80"/>
      <c r="F72" s="80"/>
      <c r="G72" s="107">
        <v>96522064428</v>
      </c>
      <c r="H72" s="80"/>
      <c r="I72" s="89" t="s">
        <v>2681</v>
      </c>
      <c r="J72" s="80"/>
      <c r="K72" s="80"/>
      <c r="L72" s="51" t="s">
        <v>78</v>
      </c>
      <c r="M72" s="79">
        <v>44812</v>
      </c>
      <c r="N72" s="51"/>
      <c r="O72" s="51" t="s">
        <v>78</v>
      </c>
      <c r="P72" s="79">
        <v>44866</v>
      </c>
      <c r="Q72" s="51" t="s">
        <v>2538</v>
      </c>
      <c r="R72" s="80"/>
      <c r="S72" s="82"/>
      <c r="T72" s="80"/>
      <c r="U72" s="80"/>
      <c r="V72" s="79"/>
      <c r="W72" s="80"/>
      <c r="X72" s="80"/>
    </row>
    <row r="73" spans="1:24" ht="42" customHeight="1">
      <c r="A73" s="80">
        <f t="shared" si="0"/>
        <v>71</v>
      </c>
      <c r="B73" s="51" t="str">
        <f t="shared" si="1"/>
        <v>MA</v>
      </c>
      <c r="C73" s="81" t="s">
        <v>2682</v>
      </c>
      <c r="D73" s="51" t="s">
        <v>861</v>
      </c>
      <c r="E73" s="80"/>
      <c r="F73" s="80"/>
      <c r="G73" s="75">
        <v>96555289940</v>
      </c>
      <c r="H73" s="80"/>
      <c r="I73" s="76"/>
      <c r="J73" s="80"/>
      <c r="K73" s="80"/>
      <c r="L73" s="51" t="s">
        <v>78</v>
      </c>
      <c r="M73" s="79">
        <v>44887</v>
      </c>
      <c r="N73" s="51" t="s">
        <v>2558</v>
      </c>
      <c r="O73" s="51" t="s">
        <v>78</v>
      </c>
      <c r="P73" s="79">
        <v>44866</v>
      </c>
      <c r="Q73" s="51" t="s">
        <v>2538</v>
      </c>
      <c r="R73" s="80"/>
      <c r="S73" s="82"/>
      <c r="T73" s="80"/>
      <c r="U73" s="80"/>
      <c r="V73" s="79"/>
      <c r="W73" s="80"/>
      <c r="X73" s="80"/>
    </row>
    <row r="74" spans="1:24" ht="42" customHeight="1">
      <c r="A74" s="80">
        <f t="shared" si="0"/>
        <v>72</v>
      </c>
      <c r="B74" s="51" t="str">
        <f t="shared" si="1"/>
        <v>MA</v>
      </c>
      <c r="C74" s="108" t="s">
        <v>922</v>
      </c>
      <c r="D74" s="51" t="s">
        <v>861</v>
      </c>
      <c r="E74" s="80"/>
      <c r="F74" s="80"/>
      <c r="G74" s="75">
        <f>96524747733</f>
        <v>96524747733</v>
      </c>
      <c r="H74" s="80"/>
      <c r="I74" s="76"/>
      <c r="J74" s="80"/>
      <c r="K74" s="80"/>
      <c r="L74" s="51" t="s">
        <v>78</v>
      </c>
      <c r="M74" s="79">
        <v>44887</v>
      </c>
      <c r="N74" s="51" t="s">
        <v>2538</v>
      </c>
      <c r="O74" s="51" t="s">
        <v>78</v>
      </c>
      <c r="P74" s="79">
        <v>44891</v>
      </c>
      <c r="Q74" s="51" t="s">
        <v>2538</v>
      </c>
      <c r="R74" s="80"/>
      <c r="S74" s="82"/>
      <c r="T74" s="80"/>
      <c r="U74" s="80"/>
      <c r="V74" s="79"/>
      <c r="W74" s="80"/>
      <c r="X74" s="80"/>
    </row>
    <row r="75" spans="1:24" ht="42" customHeight="1">
      <c r="A75" s="80">
        <f t="shared" si="0"/>
        <v>73</v>
      </c>
      <c r="B75" s="51" t="str">
        <f t="shared" si="1"/>
        <v>MA</v>
      </c>
      <c r="C75" s="101" t="s">
        <v>2643</v>
      </c>
      <c r="D75" s="51" t="s">
        <v>861</v>
      </c>
      <c r="E75" s="80"/>
      <c r="F75" s="80"/>
      <c r="G75" s="75">
        <f>96566992692</f>
        <v>96566992692</v>
      </c>
      <c r="H75" s="80"/>
      <c r="I75" s="76"/>
      <c r="J75" s="80"/>
      <c r="K75" s="80"/>
      <c r="L75" s="51" t="s">
        <v>78</v>
      </c>
      <c r="M75" s="79">
        <v>44887</v>
      </c>
      <c r="N75" s="51" t="s">
        <v>2561</v>
      </c>
      <c r="O75" s="51" t="s">
        <v>78</v>
      </c>
      <c r="P75" s="79">
        <v>44891</v>
      </c>
      <c r="Q75" s="51" t="s">
        <v>2635</v>
      </c>
      <c r="R75" s="80"/>
      <c r="S75" s="82"/>
      <c r="T75" s="80"/>
      <c r="U75" s="80"/>
      <c r="V75" s="79"/>
      <c r="W75" s="80"/>
      <c r="X75" s="80"/>
    </row>
    <row r="76" spans="1:24" ht="42" customHeight="1">
      <c r="A76" s="80">
        <f t="shared" si="0"/>
        <v>74</v>
      </c>
      <c r="B76" s="51" t="str">
        <f t="shared" si="1"/>
        <v>MA</v>
      </c>
      <c r="C76" s="104" t="s">
        <v>2683</v>
      </c>
      <c r="D76" s="51" t="s">
        <v>627</v>
      </c>
      <c r="E76" s="80"/>
      <c r="F76" s="80"/>
      <c r="G76" s="75">
        <f>971507196820</f>
        <v>971507196820</v>
      </c>
      <c r="H76" s="80"/>
      <c r="I76" s="76"/>
      <c r="J76" s="80"/>
      <c r="K76" s="80"/>
      <c r="L76" s="51" t="s">
        <v>78</v>
      </c>
      <c r="M76" s="79">
        <v>44812</v>
      </c>
      <c r="N76" s="51"/>
      <c r="O76" s="80"/>
      <c r="P76" s="82"/>
      <c r="Q76" s="80"/>
      <c r="R76" s="80"/>
      <c r="S76" s="82"/>
      <c r="T76" s="80"/>
      <c r="U76" s="80"/>
      <c r="V76" s="79"/>
      <c r="W76" s="80"/>
      <c r="X76" s="80"/>
    </row>
    <row r="77" spans="1:24" ht="42" customHeight="1">
      <c r="A77" s="80">
        <f t="shared" si="0"/>
        <v>75</v>
      </c>
      <c r="B77" s="51" t="str">
        <f t="shared" si="1"/>
        <v>MA</v>
      </c>
      <c r="C77" s="51" t="s">
        <v>471</v>
      </c>
      <c r="D77" s="51" t="s">
        <v>370</v>
      </c>
      <c r="E77" s="80"/>
      <c r="F77" s="80"/>
      <c r="G77" s="75" t="s">
        <v>2684</v>
      </c>
      <c r="H77" s="80"/>
      <c r="I77" s="76"/>
      <c r="J77" s="80"/>
      <c r="K77" s="80"/>
      <c r="L77" s="51" t="s">
        <v>78</v>
      </c>
      <c r="M77" s="79">
        <v>44812</v>
      </c>
      <c r="N77" s="51"/>
      <c r="O77" s="80"/>
      <c r="P77" s="82"/>
      <c r="Q77" s="80"/>
      <c r="R77" s="51" t="s">
        <v>78</v>
      </c>
      <c r="S77" s="79">
        <v>44859</v>
      </c>
      <c r="T77" s="51" t="s">
        <v>2538</v>
      </c>
      <c r="U77" s="80"/>
      <c r="V77" s="79"/>
      <c r="W77" s="80"/>
      <c r="X77" s="80"/>
    </row>
    <row r="78" spans="1:24" ht="42" customHeight="1">
      <c r="A78" s="80">
        <f t="shared" si="0"/>
        <v>76</v>
      </c>
      <c r="B78" s="51" t="str">
        <f t="shared" si="1"/>
        <v>MA</v>
      </c>
      <c r="C78" s="51" t="s">
        <v>2685</v>
      </c>
      <c r="D78" s="51" t="s">
        <v>370</v>
      </c>
      <c r="E78" s="80"/>
      <c r="F78" s="80"/>
      <c r="G78" s="75">
        <v>97444161231</v>
      </c>
      <c r="H78" s="51" t="s">
        <v>2686</v>
      </c>
      <c r="I78" s="89" t="s">
        <v>2687</v>
      </c>
      <c r="J78" s="80"/>
      <c r="K78" s="80"/>
      <c r="L78" s="51" t="s">
        <v>78</v>
      </c>
      <c r="M78" s="79">
        <v>44812</v>
      </c>
      <c r="N78" s="51"/>
      <c r="O78" s="80"/>
      <c r="P78" s="82"/>
      <c r="Q78" s="80"/>
      <c r="R78" s="51" t="s">
        <v>78</v>
      </c>
      <c r="S78" s="79">
        <v>44859</v>
      </c>
      <c r="T78" s="51" t="s">
        <v>2551</v>
      </c>
      <c r="U78" s="80"/>
      <c r="V78" s="79"/>
      <c r="W78" s="80"/>
      <c r="X78" s="80"/>
    </row>
    <row r="79" spans="1:24" ht="42" customHeight="1">
      <c r="A79" s="80">
        <f t="shared" si="0"/>
        <v>77</v>
      </c>
      <c r="B79" s="51" t="str">
        <f t="shared" si="1"/>
        <v>MA</v>
      </c>
      <c r="C79" s="51" t="s">
        <v>2688</v>
      </c>
      <c r="D79" s="51" t="s">
        <v>370</v>
      </c>
      <c r="E79" s="80"/>
      <c r="F79" s="80"/>
      <c r="G79" s="75">
        <f>97433366192</f>
        <v>97433366192</v>
      </c>
      <c r="H79" s="80"/>
      <c r="I79" s="76"/>
      <c r="J79" s="80"/>
      <c r="K79" s="80"/>
      <c r="L79" s="51" t="s">
        <v>78</v>
      </c>
      <c r="M79" s="79">
        <v>44812</v>
      </c>
      <c r="N79" s="51"/>
      <c r="O79" s="51" t="s">
        <v>98</v>
      </c>
      <c r="P79" s="79">
        <v>44818</v>
      </c>
      <c r="Q79" s="80"/>
      <c r="R79" s="51" t="s">
        <v>98</v>
      </c>
      <c r="S79" s="79">
        <v>44859</v>
      </c>
      <c r="T79" s="51" t="s">
        <v>2551</v>
      </c>
      <c r="U79" s="80"/>
      <c r="V79" s="79"/>
      <c r="W79" s="80"/>
      <c r="X79" s="80"/>
    </row>
    <row r="80" spans="1:24" ht="42" customHeight="1">
      <c r="A80" s="80">
        <f t="shared" si="0"/>
        <v>78</v>
      </c>
      <c r="B80" s="51" t="str">
        <f t="shared" si="1"/>
        <v>MA</v>
      </c>
      <c r="C80" s="51" t="s">
        <v>2689</v>
      </c>
      <c r="D80" s="51" t="s">
        <v>370</v>
      </c>
      <c r="E80" s="80"/>
      <c r="F80" s="80"/>
      <c r="G80" s="75">
        <v>97444600294</v>
      </c>
      <c r="H80" s="80"/>
      <c r="I80" s="76"/>
      <c r="J80" s="80"/>
      <c r="K80" s="80"/>
      <c r="L80" s="51" t="s">
        <v>78</v>
      </c>
      <c r="M80" s="79">
        <v>44812</v>
      </c>
      <c r="N80" s="51"/>
      <c r="O80" s="80"/>
      <c r="P80" s="82"/>
      <c r="Q80" s="80"/>
      <c r="R80" s="51" t="s">
        <v>78</v>
      </c>
      <c r="S80" s="79">
        <v>44859</v>
      </c>
      <c r="T80" s="51" t="s">
        <v>2538</v>
      </c>
      <c r="U80" s="80"/>
      <c r="V80" s="79"/>
      <c r="W80" s="80"/>
      <c r="X80" s="80"/>
    </row>
    <row r="81" spans="1:24" ht="42" customHeight="1">
      <c r="A81" s="80">
        <f t="shared" si="0"/>
        <v>79</v>
      </c>
      <c r="B81" s="51" t="str">
        <f t="shared" si="1"/>
        <v>MA</v>
      </c>
      <c r="C81" s="101" t="s">
        <v>2690</v>
      </c>
      <c r="D81" s="51" t="s">
        <v>370</v>
      </c>
      <c r="E81" s="80"/>
      <c r="F81" s="80"/>
      <c r="G81" s="75">
        <f>97430160774</f>
        <v>97430160774</v>
      </c>
      <c r="H81" s="80"/>
      <c r="I81" s="76"/>
      <c r="J81" s="80"/>
      <c r="K81" s="80"/>
      <c r="L81" s="51" t="s">
        <v>78</v>
      </c>
      <c r="M81" s="79">
        <v>44812</v>
      </c>
      <c r="N81" s="51"/>
      <c r="O81" s="80"/>
      <c r="P81" s="82"/>
      <c r="Q81" s="80"/>
      <c r="R81" s="80"/>
      <c r="S81" s="82"/>
      <c r="T81" s="80"/>
      <c r="U81" s="80"/>
      <c r="V81" s="79"/>
      <c r="W81" s="80"/>
      <c r="X81" s="80"/>
    </row>
    <row r="82" spans="1:24" ht="42" customHeight="1">
      <c r="A82" s="80">
        <f t="shared" si="0"/>
        <v>80</v>
      </c>
      <c r="B82" s="51" t="str">
        <f t="shared" si="1"/>
        <v>MA</v>
      </c>
      <c r="C82" s="101" t="s">
        <v>2691</v>
      </c>
      <c r="D82" s="51" t="s">
        <v>370</v>
      </c>
      <c r="E82" s="80"/>
      <c r="F82" s="80"/>
      <c r="G82" s="75">
        <f>97433336192</f>
        <v>97433336192</v>
      </c>
      <c r="H82" s="80"/>
      <c r="I82" s="76"/>
      <c r="J82" s="80"/>
      <c r="K82" s="80"/>
      <c r="L82" s="51" t="s">
        <v>78</v>
      </c>
      <c r="M82" s="79">
        <v>44812</v>
      </c>
      <c r="N82" s="51"/>
      <c r="O82" s="51" t="s">
        <v>98</v>
      </c>
      <c r="P82" s="79">
        <v>44818</v>
      </c>
      <c r="Q82" s="80"/>
      <c r="R82" s="80"/>
      <c r="S82" s="82"/>
      <c r="T82" s="80"/>
      <c r="U82" s="80"/>
      <c r="V82" s="79"/>
      <c r="W82" s="80"/>
      <c r="X82" s="80"/>
    </row>
    <row r="83" spans="1:24" ht="42" customHeight="1">
      <c r="A83" s="80">
        <f t="shared" si="0"/>
        <v>81</v>
      </c>
      <c r="B83" s="51" t="str">
        <f t="shared" si="1"/>
        <v>MA</v>
      </c>
      <c r="C83" s="101" t="s">
        <v>2692</v>
      </c>
      <c r="D83" s="51" t="s">
        <v>370</v>
      </c>
      <c r="E83" s="80"/>
      <c r="F83" s="80"/>
      <c r="G83" s="75" t="s">
        <v>2693</v>
      </c>
      <c r="H83" s="80"/>
      <c r="I83" s="76"/>
      <c r="J83" s="80"/>
      <c r="K83" s="80"/>
      <c r="L83" s="51" t="s">
        <v>78</v>
      </c>
      <c r="M83" s="79">
        <v>44812</v>
      </c>
      <c r="N83" s="51"/>
      <c r="O83" s="80"/>
      <c r="P83" s="82"/>
      <c r="Q83" s="80"/>
      <c r="R83" s="80"/>
      <c r="S83" s="82"/>
      <c r="T83" s="80"/>
      <c r="U83" s="80"/>
      <c r="V83" s="79"/>
      <c r="W83" s="80"/>
      <c r="X83" s="80"/>
    </row>
    <row r="84" spans="1:24" ht="42" customHeight="1">
      <c r="A84" s="80">
        <f t="shared" si="0"/>
        <v>82</v>
      </c>
      <c r="B84" s="51" t="str">
        <f t="shared" si="1"/>
        <v>MA</v>
      </c>
      <c r="C84" s="101" t="s">
        <v>2694</v>
      </c>
      <c r="D84" s="51" t="s">
        <v>370</v>
      </c>
      <c r="E84" s="80"/>
      <c r="F84" s="80"/>
      <c r="G84" s="75">
        <f>97444114892</f>
        <v>97444114892</v>
      </c>
      <c r="H84" s="80"/>
      <c r="I84" s="54" t="s">
        <v>2695</v>
      </c>
      <c r="J84" s="94" t="s">
        <v>2696</v>
      </c>
      <c r="K84" s="80"/>
      <c r="L84" s="51" t="s">
        <v>78</v>
      </c>
      <c r="M84" s="79">
        <v>44812</v>
      </c>
      <c r="N84" s="51" t="s">
        <v>2538</v>
      </c>
      <c r="O84" s="51" t="s">
        <v>7</v>
      </c>
      <c r="P84" s="79">
        <v>44862</v>
      </c>
      <c r="Q84" s="51" t="s">
        <v>2551</v>
      </c>
      <c r="R84" s="80"/>
      <c r="S84" s="82"/>
      <c r="T84" s="80"/>
      <c r="U84" s="80"/>
      <c r="V84" s="79"/>
      <c r="W84" s="80"/>
      <c r="X84" s="80"/>
    </row>
    <row r="85" spans="1:24" ht="42" customHeight="1">
      <c r="A85" s="80">
        <f t="shared" si="0"/>
        <v>83</v>
      </c>
      <c r="B85" s="51" t="str">
        <f t="shared" si="1"/>
        <v>MA</v>
      </c>
      <c r="C85" s="81" t="s">
        <v>2697</v>
      </c>
      <c r="D85" s="51" t="s">
        <v>370</v>
      </c>
      <c r="E85" s="80"/>
      <c r="F85" s="80"/>
      <c r="G85" s="75">
        <f>97444816388</f>
        <v>97444816388</v>
      </c>
      <c r="H85" s="80"/>
      <c r="I85" s="76"/>
      <c r="J85" s="80"/>
      <c r="K85" s="80"/>
      <c r="L85" s="51" t="s">
        <v>78</v>
      </c>
      <c r="M85" s="79">
        <v>44812</v>
      </c>
      <c r="N85" s="51"/>
      <c r="O85" s="80"/>
      <c r="P85" s="82"/>
      <c r="Q85" s="80"/>
      <c r="R85" s="80"/>
      <c r="S85" s="82"/>
      <c r="T85" s="80"/>
      <c r="U85" s="80"/>
      <c r="V85" s="79"/>
      <c r="W85" s="80"/>
      <c r="X85" s="80"/>
    </row>
    <row r="86" spans="1:24" ht="42" customHeight="1">
      <c r="A86" s="80">
        <f t="shared" si="0"/>
        <v>84</v>
      </c>
      <c r="B86" s="51" t="str">
        <f t="shared" si="1"/>
        <v>MA</v>
      </c>
      <c r="C86" s="87" t="s">
        <v>2698</v>
      </c>
      <c r="D86" s="51" t="s">
        <v>861</v>
      </c>
      <c r="E86" s="80"/>
      <c r="F86" s="80"/>
      <c r="G86" s="75">
        <f>96599644096</f>
        <v>96599644096</v>
      </c>
      <c r="H86" s="80"/>
      <c r="I86" s="76"/>
      <c r="J86" s="80"/>
      <c r="K86" s="80"/>
      <c r="L86" s="51" t="s">
        <v>78</v>
      </c>
      <c r="M86" s="79">
        <v>44887</v>
      </c>
      <c r="N86" s="51" t="s">
        <v>2699</v>
      </c>
      <c r="O86" s="80"/>
      <c r="P86" s="82"/>
      <c r="Q86" s="80"/>
      <c r="R86" s="80"/>
      <c r="S86" s="82"/>
      <c r="T86" s="80"/>
      <c r="U86" s="80"/>
      <c r="V86" s="79"/>
      <c r="W86" s="80"/>
      <c r="X86" s="80"/>
    </row>
    <row r="87" spans="1:24" ht="42" customHeight="1">
      <c r="A87" s="80">
        <f t="shared" si="0"/>
        <v>85</v>
      </c>
      <c r="B87" s="51" t="str">
        <f t="shared" si="1"/>
        <v>MA</v>
      </c>
      <c r="C87" s="81" t="s">
        <v>2700</v>
      </c>
      <c r="D87" s="51" t="s">
        <v>861</v>
      </c>
      <c r="E87" s="80"/>
      <c r="F87" s="80"/>
      <c r="G87" s="75">
        <f>96597202636</f>
        <v>96597202636</v>
      </c>
      <c r="H87" s="80"/>
      <c r="I87" s="76"/>
      <c r="J87" s="80"/>
      <c r="K87" s="80"/>
      <c r="L87" s="51" t="s">
        <v>78</v>
      </c>
      <c r="M87" s="79">
        <v>44887</v>
      </c>
      <c r="N87" s="51" t="s">
        <v>2701</v>
      </c>
      <c r="O87" s="80"/>
      <c r="P87" s="82"/>
      <c r="Q87" s="80"/>
      <c r="R87" s="80"/>
      <c r="S87" s="82"/>
      <c r="T87" s="80"/>
      <c r="U87" s="80"/>
      <c r="V87" s="79"/>
      <c r="W87" s="80"/>
      <c r="X87" s="80"/>
    </row>
    <row r="88" spans="1:24" ht="42" customHeight="1">
      <c r="A88" s="80">
        <f t="shared" si="0"/>
        <v>86</v>
      </c>
      <c r="B88" s="51" t="str">
        <f t="shared" si="1"/>
        <v>MA</v>
      </c>
      <c r="C88" s="81" t="s">
        <v>2702</v>
      </c>
      <c r="D88" s="51" t="s">
        <v>861</v>
      </c>
      <c r="E88" s="80"/>
      <c r="F88" s="80"/>
      <c r="G88" s="75">
        <f>96599124571</f>
        <v>96599124571</v>
      </c>
      <c r="H88" s="80"/>
      <c r="I88" s="76"/>
      <c r="J88" s="80"/>
      <c r="K88" s="80"/>
      <c r="L88" s="51" t="s">
        <v>78</v>
      </c>
      <c r="M88" s="79">
        <v>44887</v>
      </c>
      <c r="N88" s="51" t="s">
        <v>2699</v>
      </c>
      <c r="O88" s="80"/>
      <c r="P88" s="82"/>
      <c r="Q88" s="80"/>
      <c r="R88" s="80"/>
      <c r="S88" s="82"/>
      <c r="T88" s="80"/>
      <c r="U88" s="80"/>
      <c r="V88" s="79"/>
      <c r="W88" s="80"/>
      <c r="X88" s="80"/>
    </row>
    <row r="89" spans="1:24" ht="42" customHeight="1">
      <c r="A89" s="80">
        <f t="shared" si="0"/>
        <v>87</v>
      </c>
      <c r="B89" s="51" t="str">
        <f t="shared" si="1"/>
        <v>MA</v>
      </c>
      <c r="C89" s="101" t="s">
        <v>2703</v>
      </c>
      <c r="D89" s="51" t="s">
        <v>861</v>
      </c>
      <c r="E89" s="80"/>
      <c r="F89" s="80"/>
      <c r="G89" s="75">
        <f>96566224533</f>
        <v>96566224533</v>
      </c>
      <c r="H89" s="80"/>
      <c r="I89" s="76"/>
      <c r="J89" s="80"/>
      <c r="K89" s="80"/>
      <c r="L89" s="51" t="s">
        <v>78</v>
      </c>
      <c r="M89" s="79">
        <v>44887</v>
      </c>
      <c r="N89" s="51" t="s">
        <v>2538</v>
      </c>
      <c r="O89" s="51" t="s">
        <v>78</v>
      </c>
      <c r="P89" s="79">
        <v>44891</v>
      </c>
      <c r="Q89" s="51" t="s">
        <v>2538</v>
      </c>
      <c r="R89" s="80"/>
      <c r="S89" s="82"/>
      <c r="T89" s="80"/>
      <c r="U89" s="80"/>
      <c r="V89" s="79"/>
      <c r="W89" s="80"/>
      <c r="X89" s="80"/>
    </row>
    <row r="90" spans="1:24" ht="42" customHeight="1">
      <c r="A90" s="80">
        <f t="shared" si="0"/>
        <v>88</v>
      </c>
      <c r="B90" s="51" t="str">
        <f t="shared" si="1"/>
        <v>MA</v>
      </c>
      <c r="C90" s="81" t="s">
        <v>2704</v>
      </c>
      <c r="D90" s="51" t="s">
        <v>861</v>
      </c>
      <c r="E90" s="80"/>
      <c r="F90" s="80"/>
      <c r="G90" s="75">
        <f>96565555359</f>
        <v>96565555359</v>
      </c>
      <c r="H90" s="80"/>
      <c r="I90" s="76"/>
      <c r="J90" s="80"/>
      <c r="K90" s="80"/>
      <c r="L90" s="51" t="s">
        <v>78</v>
      </c>
      <c r="M90" s="79">
        <v>44887</v>
      </c>
      <c r="N90" s="51" t="s">
        <v>2558</v>
      </c>
      <c r="O90" s="80"/>
      <c r="P90" s="82"/>
      <c r="Q90" s="80"/>
      <c r="R90" s="80"/>
      <c r="S90" s="82"/>
      <c r="T90" s="80"/>
      <c r="U90" s="80"/>
      <c r="V90" s="79"/>
      <c r="W90" s="80"/>
      <c r="X90" s="80"/>
    </row>
    <row r="91" spans="1:24" ht="42" customHeight="1">
      <c r="A91" s="80">
        <f t="shared" si="0"/>
        <v>89</v>
      </c>
      <c r="B91" s="51" t="str">
        <f t="shared" si="1"/>
        <v>MA</v>
      </c>
      <c r="C91" s="101" t="s">
        <v>2705</v>
      </c>
      <c r="D91" s="51" t="s">
        <v>861</v>
      </c>
      <c r="E91" s="80"/>
      <c r="F91" s="80"/>
      <c r="G91" s="75" t="s">
        <v>929</v>
      </c>
      <c r="H91" s="80"/>
      <c r="I91" s="109" t="s">
        <v>2706</v>
      </c>
      <c r="J91" s="77" t="s">
        <v>2707</v>
      </c>
      <c r="K91" s="80"/>
      <c r="L91" s="51" t="s">
        <v>78</v>
      </c>
      <c r="M91" s="79">
        <v>44887</v>
      </c>
      <c r="N91" s="51" t="s">
        <v>2635</v>
      </c>
      <c r="O91" s="51" t="s">
        <v>78</v>
      </c>
      <c r="P91" s="79">
        <v>44891</v>
      </c>
      <c r="Q91" s="51" t="s">
        <v>2635</v>
      </c>
      <c r="R91" s="80"/>
      <c r="S91" s="82"/>
      <c r="T91" s="80"/>
      <c r="U91" s="80"/>
      <c r="V91" s="79"/>
      <c r="W91" s="80"/>
      <c r="X91" s="80"/>
    </row>
    <row r="92" spans="1:24" ht="42" customHeight="1">
      <c r="A92" s="80">
        <f t="shared" si="0"/>
        <v>90</v>
      </c>
      <c r="B92" s="51" t="str">
        <f t="shared" si="1"/>
        <v>MA</v>
      </c>
      <c r="C92" s="87" t="s">
        <v>2708</v>
      </c>
      <c r="D92" s="51" t="s">
        <v>861</v>
      </c>
      <c r="E92" s="80"/>
      <c r="F92" s="80"/>
      <c r="G92" s="75" t="s">
        <v>2709</v>
      </c>
      <c r="H92" s="80"/>
      <c r="I92" s="76"/>
      <c r="J92" s="80"/>
      <c r="K92" s="80"/>
      <c r="L92" s="51" t="s">
        <v>78</v>
      </c>
      <c r="M92" s="79">
        <v>44812</v>
      </c>
      <c r="N92" s="51"/>
      <c r="O92" s="80"/>
      <c r="P92" s="82"/>
      <c r="Q92" s="80"/>
      <c r="R92" s="80"/>
      <c r="S92" s="82"/>
      <c r="T92" s="80"/>
      <c r="U92" s="80"/>
      <c r="V92" s="79"/>
      <c r="W92" s="80"/>
      <c r="X92" s="80"/>
    </row>
    <row r="93" spans="1:24" ht="42" customHeight="1">
      <c r="A93" s="80">
        <f t="shared" si="0"/>
        <v>91</v>
      </c>
      <c r="B93" s="51" t="str">
        <f t="shared" si="1"/>
        <v>MA</v>
      </c>
      <c r="C93" s="101" t="s">
        <v>2710</v>
      </c>
      <c r="D93" s="51" t="s">
        <v>861</v>
      </c>
      <c r="E93" s="80"/>
      <c r="F93" s="80"/>
      <c r="G93" s="75" t="s">
        <v>931</v>
      </c>
      <c r="H93" s="80"/>
      <c r="I93" s="54" t="s">
        <v>2637</v>
      </c>
      <c r="J93" s="77" t="s">
        <v>2711</v>
      </c>
      <c r="K93" s="80"/>
      <c r="L93" s="51" t="s">
        <v>78</v>
      </c>
      <c r="M93" s="79">
        <v>44887</v>
      </c>
      <c r="N93" s="51" t="s">
        <v>2570</v>
      </c>
      <c r="O93" s="51" t="s">
        <v>98</v>
      </c>
      <c r="P93" s="79">
        <v>44818</v>
      </c>
      <c r="Q93" s="80"/>
      <c r="R93" s="80"/>
      <c r="S93" s="82"/>
      <c r="T93" s="80"/>
      <c r="U93" s="80"/>
      <c r="V93" s="79"/>
      <c r="W93" s="80"/>
      <c r="X93" s="51" t="s">
        <v>2712</v>
      </c>
    </row>
    <row r="94" spans="1:24" ht="42" customHeight="1">
      <c r="A94" s="80">
        <f t="shared" si="0"/>
        <v>92</v>
      </c>
      <c r="B94" s="51" t="str">
        <f t="shared" si="1"/>
        <v>MA</v>
      </c>
      <c r="C94" s="102" t="s">
        <v>932</v>
      </c>
      <c r="D94" s="51" t="s">
        <v>861</v>
      </c>
      <c r="E94" s="80"/>
      <c r="F94" s="80"/>
      <c r="G94" s="75">
        <f>96524729071</f>
        <v>96524729071</v>
      </c>
      <c r="H94" s="80"/>
      <c r="I94" s="76"/>
      <c r="J94" s="80"/>
      <c r="K94" s="80"/>
      <c r="L94" s="51" t="s">
        <v>78</v>
      </c>
      <c r="M94" s="79">
        <v>44887</v>
      </c>
      <c r="N94" s="51" t="s">
        <v>2560</v>
      </c>
      <c r="O94" s="51" t="s">
        <v>78</v>
      </c>
      <c r="P94" s="79">
        <v>44891</v>
      </c>
      <c r="Q94" s="51" t="s">
        <v>2560</v>
      </c>
      <c r="R94" s="80"/>
      <c r="S94" s="82"/>
      <c r="T94" s="80"/>
      <c r="U94" s="80"/>
      <c r="V94" s="79"/>
      <c r="W94" s="80"/>
      <c r="X94" s="51" t="s">
        <v>2713</v>
      </c>
    </row>
    <row r="95" spans="1:24" ht="42" customHeight="1">
      <c r="A95" s="80">
        <f t="shared" si="0"/>
        <v>93</v>
      </c>
      <c r="B95" s="51" t="str">
        <f t="shared" si="1"/>
        <v>MA</v>
      </c>
      <c r="C95" s="81" t="s">
        <v>2714</v>
      </c>
      <c r="D95" s="51" t="s">
        <v>861</v>
      </c>
      <c r="E95" s="80"/>
      <c r="F95" s="80"/>
      <c r="G95" s="75">
        <f>96524725247</f>
        <v>96524725247</v>
      </c>
      <c r="H95" s="80"/>
      <c r="I95" s="76"/>
      <c r="J95" s="80"/>
      <c r="K95" s="80"/>
      <c r="L95" s="51" t="s">
        <v>78</v>
      </c>
      <c r="M95" s="79">
        <v>44887</v>
      </c>
      <c r="N95" s="51" t="s">
        <v>2701</v>
      </c>
      <c r="O95" s="80"/>
      <c r="P95" s="82"/>
      <c r="Q95" s="80"/>
      <c r="R95" s="80"/>
      <c r="S95" s="82"/>
      <c r="T95" s="80"/>
      <c r="U95" s="80"/>
      <c r="V95" s="79"/>
      <c r="W95" s="80"/>
      <c r="X95" s="80"/>
    </row>
    <row r="96" spans="1:24" ht="42" customHeight="1">
      <c r="A96" s="80">
        <f t="shared" si="0"/>
        <v>94</v>
      </c>
      <c r="B96" s="51" t="str">
        <f t="shared" si="1"/>
        <v>MA</v>
      </c>
      <c r="C96" s="51" t="s">
        <v>2715</v>
      </c>
      <c r="D96" s="51" t="s">
        <v>861</v>
      </c>
      <c r="E96" s="80"/>
      <c r="F96" s="80"/>
      <c r="G96" s="75" t="s">
        <v>935</v>
      </c>
      <c r="H96" s="80"/>
      <c r="I96" s="76"/>
      <c r="J96" s="80"/>
      <c r="K96" s="80"/>
      <c r="L96" s="51" t="s">
        <v>78</v>
      </c>
      <c r="M96" s="79">
        <v>44812</v>
      </c>
      <c r="N96" s="51"/>
      <c r="O96" s="51" t="s">
        <v>78</v>
      </c>
      <c r="P96" s="79">
        <v>44891</v>
      </c>
      <c r="Q96" s="51" t="s">
        <v>2538</v>
      </c>
      <c r="R96" s="51" t="s">
        <v>78</v>
      </c>
      <c r="S96" s="79">
        <v>44859</v>
      </c>
      <c r="T96" s="51" t="s">
        <v>2566</v>
      </c>
      <c r="U96" s="80"/>
      <c r="V96" s="79"/>
      <c r="W96" s="80"/>
      <c r="X96" s="80"/>
    </row>
    <row r="97" spans="1:24" ht="42" customHeight="1">
      <c r="A97" s="80">
        <f t="shared" si="0"/>
        <v>95</v>
      </c>
      <c r="B97" s="51" t="str">
        <f t="shared" si="1"/>
        <v>MA</v>
      </c>
      <c r="C97" s="110" t="s">
        <v>936</v>
      </c>
      <c r="D97" s="51" t="s">
        <v>861</v>
      </c>
      <c r="E97" s="80"/>
      <c r="F97" s="80"/>
      <c r="G97" s="75">
        <v>96590911826</v>
      </c>
      <c r="H97" s="80"/>
      <c r="I97" s="89" t="s">
        <v>2716</v>
      </c>
      <c r="J97" s="80"/>
      <c r="K97" s="80"/>
      <c r="L97" s="51" t="s">
        <v>78</v>
      </c>
      <c r="M97" s="79">
        <v>44887</v>
      </c>
      <c r="N97" s="51" t="s">
        <v>2561</v>
      </c>
      <c r="O97" s="51" t="s">
        <v>78</v>
      </c>
      <c r="P97" s="79">
        <v>44891</v>
      </c>
      <c r="Q97" s="51" t="s">
        <v>2538</v>
      </c>
      <c r="R97" s="51" t="s">
        <v>78</v>
      </c>
      <c r="S97" s="79">
        <v>44859</v>
      </c>
      <c r="T97" s="51" t="s">
        <v>2545</v>
      </c>
      <c r="U97" s="80"/>
      <c r="V97" s="79"/>
      <c r="W97" s="80"/>
      <c r="X97" s="80"/>
    </row>
    <row r="98" spans="1:24" ht="42" customHeight="1">
      <c r="A98" s="80">
        <f t="shared" si="0"/>
        <v>96</v>
      </c>
      <c r="B98" s="51" t="str">
        <f t="shared" si="1"/>
        <v>MA</v>
      </c>
      <c r="C98" s="111" t="s">
        <v>2717</v>
      </c>
      <c r="D98" s="51" t="s">
        <v>861</v>
      </c>
      <c r="E98" s="80"/>
      <c r="F98" s="80"/>
      <c r="G98" s="75">
        <f>96524755969</f>
        <v>96524755969</v>
      </c>
      <c r="H98" s="51" t="s">
        <v>938</v>
      </c>
      <c r="I98" s="76"/>
      <c r="J98" s="80"/>
      <c r="K98" s="80"/>
      <c r="L98" s="51" t="s">
        <v>78</v>
      </c>
      <c r="M98" s="79">
        <v>44887</v>
      </c>
      <c r="N98" s="51" t="s">
        <v>2718</v>
      </c>
      <c r="O98" s="51" t="s">
        <v>78</v>
      </c>
      <c r="P98" s="79">
        <v>44891</v>
      </c>
      <c r="Q98" s="51" t="s">
        <v>2561</v>
      </c>
      <c r="R98" s="51" t="s">
        <v>78</v>
      </c>
      <c r="S98" s="79">
        <v>44859</v>
      </c>
      <c r="T98" s="51" t="s">
        <v>2538</v>
      </c>
      <c r="U98" s="80"/>
      <c r="V98" s="79"/>
      <c r="W98" s="80"/>
      <c r="X98" s="80"/>
    </row>
    <row r="99" spans="1:24" ht="42" customHeight="1">
      <c r="A99" s="80">
        <f t="shared" si="0"/>
        <v>97</v>
      </c>
      <c r="B99" s="51" t="str">
        <f t="shared" si="1"/>
        <v>MA</v>
      </c>
      <c r="C99" s="81" t="s">
        <v>2719</v>
      </c>
      <c r="D99" s="51" t="s">
        <v>861</v>
      </c>
      <c r="E99" s="80"/>
      <c r="F99" s="80"/>
      <c r="G99" s="75">
        <f>96596739430</f>
        <v>96596739430</v>
      </c>
      <c r="H99" s="80"/>
      <c r="I99" s="76"/>
      <c r="J99" s="80"/>
      <c r="K99" s="80"/>
      <c r="L99" s="51" t="s">
        <v>78</v>
      </c>
      <c r="M99" s="79">
        <v>44887</v>
      </c>
      <c r="N99" s="51" t="s">
        <v>2558</v>
      </c>
      <c r="O99" s="80"/>
      <c r="P99" s="82"/>
      <c r="Q99" s="80"/>
      <c r="R99" s="80"/>
      <c r="S99" s="82"/>
      <c r="T99" s="80"/>
      <c r="U99" s="80"/>
      <c r="V99" s="79"/>
      <c r="W99" s="80"/>
      <c r="X99" s="80"/>
    </row>
    <row r="100" spans="1:24" ht="42" customHeight="1">
      <c r="A100" s="80">
        <f t="shared" si="0"/>
        <v>98</v>
      </c>
      <c r="B100" s="51" t="str">
        <f t="shared" si="1"/>
        <v>MA</v>
      </c>
      <c r="C100" s="81" t="s">
        <v>2720</v>
      </c>
      <c r="D100" s="51" t="s">
        <v>861</v>
      </c>
      <c r="E100" s="80"/>
      <c r="F100" s="80"/>
      <c r="G100" s="75">
        <f>9651890090</f>
        <v>9651890090</v>
      </c>
      <c r="H100" s="80"/>
      <c r="I100" s="54" t="s">
        <v>2721</v>
      </c>
      <c r="J100" s="80"/>
      <c r="K100" s="80"/>
      <c r="L100" s="51" t="s">
        <v>78</v>
      </c>
      <c r="M100" s="79">
        <v>44812</v>
      </c>
      <c r="N100" s="51"/>
      <c r="O100" s="80"/>
      <c r="P100" s="82"/>
      <c r="Q100" s="80"/>
      <c r="R100" s="80"/>
      <c r="S100" s="82"/>
      <c r="T100" s="80"/>
      <c r="U100" s="80"/>
      <c r="V100" s="79"/>
      <c r="W100" s="80"/>
      <c r="X100" s="80"/>
    </row>
    <row r="101" spans="1:24" ht="42" customHeight="1">
      <c r="A101" s="80">
        <f t="shared" si="0"/>
        <v>99</v>
      </c>
      <c r="B101" s="51" t="str">
        <f t="shared" si="1"/>
        <v>MA</v>
      </c>
      <c r="C101" s="102" t="s">
        <v>941</v>
      </c>
      <c r="D101" s="51" t="s">
        <v>861</v>
      </c>
      <c r="E101" s="80"/>
      <c r="F101" s="80"/>
      <c r="G101" s="75">
        <f>96594026555</f>
        <v>96594026555</v>
      </c>
      <c r="H101" s="80"/>
      <c r="I101" s="54" t="s">
        <v>2722</v>
      </c>
      <c r="J101" s="77" t="s">
        <v>943</v>
      </c>
      <c r="K101" s="80"/>
      <c r="L101" s="51" t="s">
        <v>78</v>
      </c>
      <c r="M101" s="79">
        <v>44887</v>
      </c>
      <c r="N101" s="51" t="s">
        <v>2545</v>
      </c>
      <c r="O101" s="51" t="s">
        <v>78</v>
      </c>
      <c r="P101" s="79">
        <v>44891</v>
      </c>
      <c r="Q101" s="51" t="s">
        <v>2538</v>
      </c>
      <c r="R101" s="51" t="s">
        <v>78</v>
      </c>
      <c r="S101" s="79">
        <v>44859</v>
      </c>
      <c r="T101" s="51" t="s">
        <v>2545</v>
      </c>
      <c r="U101" s="80"/>
      <c r="V101" s="79"/>
      <c r="W101" s="80"/>
      <c r="X101" s="80"/>
    </row>
    <row r="102" spans="1:24" ht="42" customHeight="1">
      <c r="A102" s="80">
        <f t="shared" si="0"/>
        <v>100</v>
      </c>
      <c r="B102" s="51" t="str">
        <f t="shared" si="1"/>
        <v>MA</v>
      </c>
      <c r="C102" s="51" t="s">
        <v>2723</v>
      </c>
      <c r="D102" s="51" t="s">
        <v>861</v>
      </c>
      <c r="E102" s="80"/>
      <c r="F102" s="112" t="s">
        <v>2724</v>
      </c>
      <c r="G102" s="75" t="s">
        <v>2725</v>
      </c>
      <c r="H102" s="80"/>
      <c r="I102" s="54" t="s">
        <v>945</v>
      </c>
      <c r="J102" s="80"/>
      <c r="K102" s="80"/>
      <c r="L102" s="51" t="s">
        <v>78</v>
      </c>
      <c r="M102" s="79">
        <v>44812</v>
      </c>
      <c r="N102" s="51" t="s">
        <v>2538</v>
      </c>
      <c r="O102" s="51" t="s">
        <v>7</v>
      </c>
      <c r="P102" s="79">
        <v>44862</v>
      </c>
      <c r="Q102" s="51" t="s">
        <v>2551</v>
      </c>
      <c r="R102" s="51" t="s">
        <v>78</v>
      </c>
      <c r="S102" s="79">
        <v>44859</v>
      </c>
      <c r="T102" s="51" t="s">
        <v>2561</v>
      </c>
      <c r="U102" s="80"/>
      <c r="V102" s="79"/>
      <c r="W102" s="80"/>
      <c r="X102" s="80"/>
    </row>
    <row r="103" spans="1:24" ht="42" customHeight="1">
      <c r="A103" s="80">
        <f t="shared" si="0"/>
        <v>101</v>
      </c>
      <c r="B103" s="51" t="str">
        <f t="shared" si="1"/>
        <v>MA</v>
      </c>
      <c r="C103" s="81" t="s">
        <v>492</v>
      </c>
      <c r="D103" s="51" t="s">
        <v>861</v>
      </c>
      <c r="E103" s="80"/>
      <c r="F103" s="80"/>
      <c r="G103" s="75">
        <f>97444382000</f>
        <v>97444382000</v>
      </c>
      <c r="H103" s="80"/>
      <c r="I103" s="54" t="s">
        <v>948</v>
      </c>
      <c r="J103" s="80"/>
      <c r="K103" s="80"/>
      <c r="L103" s="51" t="s">
        <v>78</v>
      </c>
      <c r="M103" s="79">
        <v>44812</v>
      </c>
      <c r="N103" s="51"/>
      <c r="O103" s="80"/>
      <c r="P103" s="82"/>
      <c r="Q103" s="80"/>
      <c r="R103" s="51" t="s">
        <v>78</v>
      </c>
      <c r="S103" s="79">
        <v>44859</v>
      </c>
      <c r="T103" s="51" t="s">
        <v>2545</v>
      </c>
      <c r="U103" s="80"/>
      <c r="V103" s="79"/>
      <c r="W103" s="80"/>
      <c r="X103" s="80"/>
    </row>
    <row r="104" spans="1:24" ht="42" customHeight="1">
      <c r="A104" s="80">
        <f t="shared" si="0"/>
        <v>102</v>
      </c>
      <c r="B104" s="51" t="str">
        <f t="shared" si="1"/>
        <v>MA</v>
      </c>
      <c r="C104" s="85" t="s">
        <v>2726</v>
      </c>
      <c r="D104" s="51" t="s">
        <v>746</v>
      </c>
      <c r="E104" s="80"/>
      <c r="F104" s="80"/>
      <c r="G104" s="75" t="s">
        <v>2727</v>
      </c>
      <c r="H104" s="80"/>
      <c r="I104" s="76"/>
      <c r="J104" s="80"/>
      <c r="K104" s="80"/>
      <c r="L104" s="51" t="s">
        <v>78</v>
      </c>
      <c r="M104" s="79">
        <v>44812</v>
      </c>
      <c r="N104" s="51"/>
      <c r="O104" s="80"/>
      <c r="P104" s="82"/>
      <c r="Q104" s="80"/>
      <c r="R104" s="51" t="s">
        <v>7</v>
      </c>
      <c r="S104" s="79">
        <v>44859</v>
      </c>
      <c r="T104" s="51" t="s">
        <v>2551</v>
      </c>
      <c r="U104" s="80"/>
      <c r="V104" s="79"/>
      <c r="W104" s="80"/>
      <c r="X104" s="80"/>
    </row>
    <row r="105" spans="1:24" ht="42" customHeight="1">
      <c r="A105" s="80">
        <f t="shared" si="0"/>
        <v>103</v>
      </c>
      <c r="B105" s="51" t="str">
        <f t="shared" si="1"/>
        <v>MA</v>
      </c>
      <c r="C105" s="87" t="s">
        <v>2728</v>
      </c>
      <c r="D105" s="51" t="s">
        <v>1428</v>
      </c>
      <c r="E105" s="80"/>
      <c r="F105" s="80"/>
      <c r="G105" s="75">
        <v>212615210007</v>
      </c>
      <c r="H105" s="80"/>
      <c r="I105" s="76"/>
      <c r="J105" s="80"/>
      <c r="K105" s="80"/>
      <c r="L105" s="51" t="s">
        <v>78</v>
      </c>
      <c r="M105" s="79">
        <v>44812</v>
      </c>
      <c r="N105" s="51"/>
      <c r="O105" s="80"/>
      <c r="P105" s="82"/>
      <c r="Q105" s="80"/>
      <c r="R105" s="80"/>
      <c r="S105" s="82"/>
      <c r="T105" s="80"/>
      <c r="U105" s="80"/>
      <c r="V105" s="79"/>
      <c r="W105" s="80"/>
      <c r="X105" s="80"/>
    </row>
    <row r="106" spans="1:24" ht="42" customHeight="1">
      <c r="A106" s="80">
        <f t="shared" si="0"/>
        <v>104</v>
      </c>
      <c r="B106" s="51" t="str">
        <f t="shared" si="1"/>
        <v>MA</v>
      </c>
      <c r="C106" s="81" t="s">
        <v>2729</v>
      </c>
      <c r="D106" s="51" t="s">
        <v>1428</v>
      </c>
      <c r="E106" s="80"/>
      <c r="F106" s="80"/>
      <c r="G106" s="113">
        <v>212678887781</v>
      </c>
      <c r="H106" s="80"/>
      <c r="I106" s="76"/>
      <c r="J106" s="80"/>
      <c r="K106" s="80"/>
      <c r="L106" s="51" t="s">
        <v>78</v>
      </c>
      <c r="M106" s="79">
        <v>44812</v>
      </c>
      <c r="N106" s="51"/>
      <c r="O106" s="80"/>
      <c r="P106" s="82"/>
      <c r="Q106" s="80"/>
      <c r="R106" s="80"/>
      <c r="S106" s="82"/>
      <c r="T106" s="80"/>
      <c r="U106" s="80"/>
      <c r="V106" s="79"/>
      <c r="W106" s="80"/>
      <c r="X106" s="80"/>
    </row>
    <row r="107" spans="1:24" ht="42" customHeight="1">
      <c r="A107" s="80">
        <f t="shared" si="0"/>
        <v>105</v>
      </c>
      <c r="B107" s="51" t="str">
        <f t="shared" si="1"/>
        <v>MA</v>
      </c>
      <c r="C107" s="51" t="s">
        <v>951</v>
      </c>
      <c r="D107" s="51" t="s">
        <v>861</v>
      </c>
      <c r="E107" s="80"/>
      <c r="F107" s="80"/>
      <c r="G107" s="75" t="s">
        <v>952</v>
      </c>
      <c r="H107" s="80"/>
      <c r="I107" s="76"/>
      <c r="J107" s="80"/>
      <c r="K107" s="80"/>
      <c r="L107" s="51" t="s">
        <v>78</v>
      </c>
      <c r="M107" s="79">
        <v>44887</v>
      </c>
      <c r="N107" s="51" t="s">
        <v>2635</v>
      </c>
      <c r="O107" s="51" t="s">
        <v>78</v>
      </c>
      <c r="P107" s="79">
        <v>44891</v>
      </c>
      <c r="Q107" s="51" t="s">
        <v>2561</v>
      </c>
      <c r="R107" s="51" t="s">
        <v>78</v>
      </c>
      <c r="S107" s="79">
        <v>44859</v>
      </c>
      <c r="T107" s="51" t="s">
        <v>2538</v>
      </c>
      <c r="U107" s="80"/>
      <c r="V107" s="79"/>
      <c r="W107" s="80"/>
      <c r="X107" s="80"/>
    </row>
    <row r="108" spans="1:24" ht="42" customHeight="1">
      <c r="A108" s="80">
        <f t="shared" si="0"/>
        <v>106</v>
      </c>
      <c r="B108" s="51" t="str">
        <f t="shared" si="1"/>
        <v>MA</v>
      </c>
      <c r="C108" s="51" t="s">
        <v>2730</v>
      </c>
      <c r="D108" s="51" t="s">
        <v>861</v>
      </c>
      <c r="E108" s="80"/>
      <c r="F108" s="80"/>
      <c r="G108" s="75">
        <f>96599770044</f>
        <v>96599770044</v>
      </c>
      <c r="H108" s="80"/>
      <c r="I108" s="54"/>
      <c r="J108" s="80"/>
      <c r="K108" s="80"/>
      <c r="L108" s="51" t="s">
        <v>78</v>
      </c>
      <c r="M108" s="79">
        <v>44887</v>
      </c>
      <c r="N108" s="51" t="s">
        <v>2635</v>
      </c>
      <c r="O108" s="51" t="s">
        <v>78</v>
      </c>
      <c r="P108" s="79">
        <v>44891</v>
      </c>
      <c r="Q108" s="51" t="s">
        <v>2538</v>
      </c>
      <c r="R108" s="51" t="s">
        <v>78</v>
      </c>
      <c r="S108" s="79">
        <v>44859</v>
      </c>
      <c r="T108" s="51" t="s">
        <v>2561</v>
      </c>
      <c r="U108" s="80"/>
      <c r="V108" s="79"/>
      <c r="W108" s="80"/>
      <c r="X108" s="80"/>
    </row>
    <row r="109" spans="1:24" ht="42" customHeight="1">
      <c r="A109" s="80">
        <f t="shared" si="0"/>
        <v>107</v>
      </c>
      <c r="B109" s="51" t="str">
        <f t="shared" si="1"/>
        <v>MA</v>
      </c>
      <c r="C109" s="51" t="s">
        <v>2731</v>
      </c>
      <c r="D109" s="51" t="s">
        <v>861</v>
      </c>
      <c r="E109" s="80"/>
      <c r="F109" s="80"/>
      <c r="G109" s="75" t="s">
        <v>956</v>
      </c>
      <c r="H109" s="80"/>
      <c r="I109" s="54" t="s">
        <v>955</v>
      </c>
      <c r="J109" s="80"/>
      <c r="K109" s="80"/>
      <c r="L109" s="51" t="s">
        <v>78</v>
      </c>
      <c r="M109" s="79">
        <v>44887</v>
      </c>
      <c r="N109" s="51" t="s">
        <v>2635</v>
      </c>
      <c r="O109" s="51" t="s">
        <v>78</v>
      </c>
      <c r="P109" s="79">
        <v>44891</v>
      </c>
      <c r="Q109" s="51" t="s">
        <v>2635</v>
      </c>
      <c r="R109" s="51" t="s">
        <v>78</v>
      </c>
      <c r="S109" s="79">
        <v>44859</v>
      </c>
      <c r="T109" s="51" t="s">
        <v>2545</v>
      </c>
      <c r="U109" s="80"/>
      <c r="V109" s="79"/>
      <c r="W109" s="80"/>
      <c r="X109" s="80"/>
    </row>
    <row r="110" spans="1:24" ht="42" customHeight="1">
      <c r="A110" s="80">
        <f t="shared" si="0"/>
        <v>108</v>
      </c>
      <c r="B110" s="51" t="str">
        <f t="shared" si="1"/>
        <v>MA</v>
      </c>
      <c r="C110" s="101" t="s">
        <v>2732</v>
      </c>
      <c r="D110" s="51" t="s">
        <v>861</v>
      </c>
      <c r="E110" s="80"/>
      <c r="F110" s="80"/>
      <c r="G110" s="75" t="s">
        <v>958</v>
      </c>
      <c r="H110" s="80"/>
      <c r="I110" s="76"/>
      <c r="J110" s="80"/>
      <c r="K110" s="80"/>
      <c r="L110" s="51" t="s">
        <v>78</v>
      </c>
      <c r="M110" s="79">
        <v>44887</v>
      </c>
      <c r="N110" s="51" t="s">
        <v>2635</v>
      </c>
      <c r="O110" s="51" t="s">
        <v>78</v>
      </c>
      <c r="P110" s="79">
        <v>44891</v>
      </c>
      <c r="Q110" s="51" t="s">
        <v>2538</v>
      </c>
      <c r="R110" s="80"/>
      <c r="S110" s="82"/>
      <c r="T110" s="80"/>
      <c r="U110" s="80"/>
      <c r="V110" s="79"/>
      <c r="W110" s="80"/>
      <c r="X110" s="80"/>
    </row>
    <row r="111" spans="1:24" ht="42" customHeight="1">
      <c r="A111" s="80">
        <f t="shared" si="0"/>
        <v>109</v>
      </c>
      <c r="B111" s="51" t="str">
        <f t="shared" si="1"/>
        <v>MA</v>
      </c>
      <c r="C111" s="83" t="s">
        <v>2733</v>
      </c>
      <c r="D111" s="51" t="s">
        <v>861</v>
      </c>
      <c r="E111" s="80"/>
      <c r="F111" s="80"/>
      <c r="G111" s="75">
        <f>96599796871</f>
        <v>96599796871</v>
      </c>
      <c r="H111" s="80"/>
      <c r="I111" s="76"/>
      <c r="J111" s="80"/>
      <c r="K111" s="80"/>
      <c r="L111" s="51" t="s">
        <v>78</v>
      </c>
      <c r="M111" s="79">
        <v>44816</v>
      </c>
      <c r="N111" s="51"/>
      <c r="O111" s="80"/>
      <c r="P111" s="82"/>
      <c r="Q111" s="80"/>
      <c r="R111" s="80"/>
      <c r="S111" s="82"/>
      <c r="T111" s="80"/>
      <c r="U111" s="80"/>
      <c r="V111" s="79"/>
      <c r="W111" s="80"/>
      <c r="X111" s="80"/>
    </row>
    <row r="112" spans="1:24" ht="42" customHeight="1">
      <c r="A112" s="80">
        <f t="shared" si="0"/>
        <v>110</v>
      </c>
      <c r="B112" s="51" t="str">
        <f t="shared" si="1"/>
        <v>MA</v>
      </c>
      <c r="C112" s="81" t="s">
        <v>960</v>
      </c>
      <c r="D112" s="51" t="s">
        <v>861</v>
      </c>
      <c r="E112" s="80"/>
      <c r="F112" s="80"/>
      <c r="G112" s="75">
        <f>96555099999</f>
        <v>96555099999</v>
      </c>
      <c r="H112" s="80"/>
      <c r="I112" s="76"/>
      <c r="J112" s="80"/>
      <c r="K112" s="80"/>
      <c r="L112" s="51" t="s">
        <v>78</v>
      </c>
      <c r="M112" s="79">
        <v>44816</v>
      </c>
      <c r="N112" s="51"/>
      <c r="O112" s="80"/>
      <c r="P112" s="82"/>
      <c r="Q112" s="80"/>
      <c r="R112" s="80"/>
      <c r="S112" s="82"/>
      <c r="T112" s="80"/>
      <c r="U112" s="80"/>
      <c r="V112" s="79"/>
      <c r="W112" s="80"/>
      <c r="X112" s="80"/>
    </row>
    <row r="113" spans="1:24" ht="42" customHeight="1">
      <c r="A113" s="80">
        <f t="shared" si="0"/>
        <v>111</v>
      </c>
      <c r="B113" s="51" t="str">
        <f t="shared" si="1"/>
        <v>MA</v>
      </c>
      <c r="C113" s="81" t="s">
        <v>2734</v>
      </c>
      <c r="D113" s="51" t="s">
        <v>861</v>
      </c>
      <c r="E113" s="80"/>
      <c r="F113" s="80"/>
      <c r="G113" s="75">
        <f>96598084455</f>
        <v>96598084455</v>
      </c>
      <c r="H113" s="80"/>
      <c r="I113" s="76"/>
      <c r="J113" s="80"/>
      <c r="K113" s="80"/>
      <c r="L113" s="51" t="s">
        <v>78</v>
      </c>
      <c r="M113" s="79">
        <v>44816</v>
      </c>
      <c r="N113" s="51" t="s">
        <v>2701</v>
      </c>
      <c r="O113" s="80"/>
      <c r="P113" s="82"/>
      <c r="Q113" s="80"/>
      <c r="R113" s="80"/>
      <c r="S113" s="82"/>
      <c r="T113" s="80"/>
      <c r="U113" s="80"/>
      <c r="V113" s="79"/>
      <c r="W113" s="80"/>
      <c r="X113" s="80"/>
    </row>
    <row r="114" spans="1:24" ht="42" customHeight="1">
      <c r="A114" s="80">
        <f t="shared" si="0"/>
        <v>112</v>
      </c>
      <c r="B114" s="51" t="str">
        <f t="shared" si="1"/>
        <v>MA</v>
      </c>
      <c r="C114" s="81" t="s">
        <v>2735</v>
      </c>
      <c r="D114" s="114" t="s">
        <v>861</v>
      </c>
      <c r="E114" s="80"/>
      <c r="F114" s="80"/>
      <c r="G114" s="75">
        <f>96524751120</f>
        <v>96524751120</v>
      </c>
      <c r="H114" s="80"/>
      <c r="I114" s="76"/>
      <c r="J114" s="80"/>
      <c r="K114" s="80"/>
      <c r="L114" s="51" t="s">
        <v>78</v>
      </c>
      <c r="M114" s="79">
        <v>44826</v>
      </c>
      <c r="N114" s="51" t="s">
        <v>2558</v>
      </c>
      <c r="O114" s="80"/>
      <c r="P114" s="82"/>
      <c r="Q114" s="80"/>
      <c r="R114" s="80"/>
      <c r="S114" s="82"/>
      <c r="T114" s="80"/>
      <c r="U114" s="80"/>
      <c r="V114" s="79"/>
      <c r="W114" s="80"/>
      <c r="X114" s="80"/>
    </row>
    <row r="115" spans="1:24" ht="42" customHeight="1">
      <c r="A115" s="80">
        <f t="shared" si="0"/>
        <v>113</v>
      </c>
      <c r="B115" s="51" t="str">
        <f t="shared" si="1"/>
        <v>MA</v>
      </c>
      <c r="C115" s="101" t="s">
        <v>492</v>
      </c>
      <c r="D115" s="51" t="s">
        <v>370</v>
      </c>
      <c r="E115" s="80"/>
      <c r="F115" s="80"/>
      <c r="G115" s="75">
        <v>9744438200</v>
      </c>
      <c r="H115" s="80"/>
      <c r="I115" s="76"/>
      <c r="J115" s="80"/>
      <c r="K115" s="80"/>
      <c r="L115" s="51" t="s">
        <v>78</v>
      </c>
      <c r="M115" s="79">
        <v>44816</v>
      </c>
      <c r="N115" s="51"/>
      <c r="O115" s="80"/>
      <c r="P115" s="82"/>
      <c r="Q115" s="80"/>
      <c r="R115" s="80"/>
      <c r="S115" s="82"/>
      <c r="T115" s="80"/>
      <c r="U115" s="80"/>
      <c r="V115" s="79"/>
      <c r="W115" s="80"/>
      <c r="X115" s="80"/>
    </row>
    <row r="116" spans="1:24" ht="42" customHeight="1">
      <c r="A116" s="80">
        <f t="shared" si="0"/>
        <v>114</v>
      </c>
      <c r="B116" s="51" t="str">
        <f t="shared" si="1"/>
        <v>MA</v>
      </c>
      <c r="C116" s="101" t="s">
        <v>2736</v>
      </c>
      <c r="D116" s="51" t="s">
        <v>370</v>
      </c>
      <c r="E116" s="80"/>
      <c r="F116" s="80"/>
      <c r="G116" s="75">
        <f>97455509913</f>
        <v>97455509913</v>
      </c>
      <c r="H116" s="80"/>
      <c r="I116" s="76"/>
      <c r="J116" s="80"/>
      <c r="K116" s="80"/>
      <c r="L116" s="51" t="s">
        <v>78</v>
      </c>
      <c r="M116" s="79">
        <v>44816</v>
      </c>
      <c r="N116" s="51"/>
      <c r="O116" s="80"/>
      <c r="P116" s="82"/>
      <c r="Q116" s="80"/>
      <c r="R116" s="80"/>
      <c r="S116" s="82"/>
      <c r="T116" s="80"/>
      <c r="U116" s="80"/>
      <c r="V116" s="79"/>
      <c r="W116" s="80"/>
      <c r="X116" s="80"/>
    </row>
    <row r="117" spans="1:24" ht="42" customHeight="1">
      <c r="A117" s="80">
        <f t="shared" si="0"/>
        <v>115</v>
      </c>
      <c r="B117" s="51" t="str">
        <f t="shared" si="1"/>
        <v>MA</v>
      </c>
      <c r="C117" s="101" t="s">
        <v>2737</v>
      </c>
      <c r="D117" s="51" t="s">
        <v>370</v>
      </c>
      <c r="E117" s="80"/>
      <c r="F117" s="80"/>
      <c r="G117" s="75" t="s">
        <v>496</v>
      </c>
      <c r="H117" s="80"/>
      <c r="I117" s="76"/>
      <c r="J117" s="80"/>
      <c r="K117" s="80"/>
      <c r="L117" s="51" t="s">
        <v>78</v>
      </c>
      <c r="M117" s="79">
        <v>44816</v>
      </c>
      <c r="N117" s="51"/>
      <c r="O117" s="80"/>
      <c r="P117" s="82"/>
      <c r="Q117" s="80"/>
      <c r="R117" s="80"/>
      <c r="S117" s="82"/>
      <c r="T117" s="80"/>
      <c r="U117" s="80"/>
      <c r="V117" s="79"/>
      <c r="W117" s="80"/>
      <c r="X117" s="80"/>
    </row>
    <row r="118" spans="1:24" ht="42" customHeight="1">
      <c r="A118" s="80">
        <f t="shared" si="0"/>
        <v>116</v>
      </c>
      <c r="B118" s="51" t="str">
        <f t="shared" si="1"/>
        <v>MA</v>
      </c>
      <c r="C118" s="51" t="s">
        <v>499</v>
      </c>
      <c r="D118" s="51" t="s">
        <v>370</v>
      </c>
      <c r="E118" s="80"/>
      <c r="F118" s="80"/>
      <c r="G118" s="75" t="s">
        <v>2738</v>
      </c>
      <c r="H118" s="80"/>
      <c r="I118" s="76"/>
      <c r="J118" s="80"/>
      <c r="K118" s="80"/>
      <c r="L118" s="51" t="s">
        <v>78</v>
      </c>
      <c r="M118" s="79">
        <v>44816</v>
      </c>
      <c r="N118" s="51"/>
      <c r="O118" s="51" t="s">
        <v>98</v>
      </c>
      <c r="P118" s="79">
        <v>44818</v>
      </c>
      <c r="Q118" s="80"/>
      <c r="R118" s="51" t="s">
        <v>78</v>
      </c>
      <c r="S118" s="79">
        <v>44859</v>
      </c>
      <c r="T118" s="51" t="s">
        <v>2561</v>
      </c>
      <c r="U118" s="80"/>
      <c r="V118" s="79"/>
      <c r="W118" s="80"/>
      <c r="X118" s="80"/>
    </row>
    <row r="119" spans="1:24" ht="42" customHeight="1">
      <c r="A119" s="80">
        <f t="shared" si="0"/>
        <v>117</v>
      </c>
      <c r="B119" s="51" t="str">
        <f t="shared" si="1"/>
        <v>MA</v>
      </c>
      <c r="C119" s="51" t="s">
        <v>2739</v>
      </c>
      <c r="D119" s="51" t="s">
        <v>370</v>
      </c>
      <c r="E119" s="80"/>
      <c r="F119" s="80"/>
      <c r="G119" s="75">
        <f>97455563661</f>
        <v>97455563661</v>
      </c>
      <c r="H119" s="80"/>
      <c r="I119" s="76"/>
      <c r="J119" s="80"/>
      <c r="K119" s="80"/>
      <c r="L119" s="51" t="s">
        <v>78</v>
      </c>
      <c r="M119" s="79">
        <v>44816</v>
      </c>
      <c r="N119" s="51"/>
      <c r="O119" s="80"/>
      <c r="P119" s="82"/>
      <c r="Q119" s="80"/>
      <c r="R119" s="51" t="s">
        <v>78</v>
      </c>
      <c r="S119" s="79">
        <v>44859</v>
      </c>
      <c r="T119" s="51" t="s">
        <v>2545</v>
      </c>
      <c r="U119" s="80"/>
      <c r="V119" s="79"/>
      <c r="W119" s="80"/>
      <c r="X119" s="80"/>
    </row>
    <row r="120" spans="1:24" ht="42" customHeight="1">
      <c r="A120" s="80">
        <f t="shared" si="0"/>
        <v>118</v>
      </c>
      <c r="B120" s="51" t="str">
        <f t="shared" si="1"/>
        <v>MA</v>
      </c>
      <c r="C120" s="51" t="s">
        <v>2740</v>
      </c>
      <c r="D120" s="51" t="s">
        <v>370</v>
      </c>
      <c r="E120" s="80"/>
      <c r="F120" s="80"/>
      <c r="G120" s="75">
        <f>97477450943</f>
        <v>97477450943</v>
      </c>
      <c r="H120" s="80"/>
      <c r="I120" s="76"/>
      <c r="J120" s="80"/>
      <c r="K120" s="80"/>
      <c r="L120" s="51" t="s">
        <v>78</v>
      </c>
      <c r="M120" s="79">
        <v>44816</v>
      </c>
      <c r="N120" s="51"/>
      <c r="O120" s="80"/>
      <c r="P120" s="82"/>
      <c r="Q120" s="80"/>
      <c r="R120" s="51" t="s">
        <v>78</v>
      </c>
      <c r="S120" s="79">
        <v>44859</v>
      </c>
      <c r="T120" s="51" t="s">
        <v>2545</v>
      </c>
      <c r="U120" s="80"/>
      <c r="V120" s="79"/>
      <c r="W120" s="80"/>
      <c r="X120" s="80"/>
    </row>
    <row r="121" spans="1:24" ht="42" customHeight="1">
      <c r="A121" s="80">
        <f t="shared" si="0"/>
        <v>119</v>
      </c>
      <c r="B121" s="51" t="str">
        <f t="shared" si="1"/>
        <v>MA</v>
      </c>
      <c r="C121" s="51" t="s">
        <v>504</v>
      </c>
      <c r="D121" s="51" t="s">
        <v>370</v>
      </c>
      <c r="E121" s="80"/>
      <c r="F121" s="80"/>
      <c r="G121" s="75">
        <f>97444713717</f>
        <v>97444713717</v>
      </c>
      <c r="H121" s="80"/>
      <c r="I121" s="76"/>
      <c r="J121" s="80"/>
      <c r="K121" s="80"/>
      <c r="L121" s="51" t="s">
        <v>78</v>
      </c>
      <c r="M121" s="79">
        <v>44816</v>
      </c>
      <c r="N121" s="51"/>
      <c r="O121" s="80"/>
      <c r="P121" s="82"/>
      <c r="Q121" s="80"/>
      <c r="R121" s="51" t="s">
        <v>78</v>
      </c>
      <c r="S121" s="79">
        <v>44859</v>
      </c>
      <c r="T121" s="51" t="s">
        <v>2538</v>
      </c>
      <c r="U121" s="80"/>
      <c r="V121" s="79"/>
      <c r="W121" s="80"/>
      <c r="X121" s="80"/>
    </row>
    <row r="122" spans="1:24" ht="42" customHeight="1">
      <c r="A122" s="80">
        <f t="shared" si="0"/>
        <v>120</v>
      </c>
      <c r="B122" s="51" t="str">
        <f t="shared" si="1"/>
        <v>MA</v>
      </c>
      <c r="C122" s="85" t="s">
        <v>2741</v>
      </c>
      <c r="D122" s="51" t="s">
        <v>370</v>
      </c>
      <c r="E122" s="80"/>
      <c r="F122" s="80"/>
      <c r="G122" s="75">
        <f>97477788873</f>
        <v>97477788873</v>
      </c>
      <c r="H122" s="80"/>
      <c r="I122" s="76"/>
      <c r="J122" s="80"/>
      <c r="K122" s="80"/>
      <c r="L122" s="51" t="s">
        <v>78</v>
      </c>
      <c r="M122" s="79">
        <v>44816</v>
      </c>
      <c r="N122" s="51"/>
      <c r="O122" s="80"/>
      <c r="P122" s="82"/>
      <c r="Q122" s="80"/>
      <c r="R122" s="51" t="s">
        <v>78</v>
      </c>
      <c r="S122" s="79">
        <v>44859</v>
      </c>
      <c r="T122" s="51" t="s">
        <v>2742</v>
      </c>
      <c r="U122" s="80"/>
      <c r="V122" s="79"/>
      <c r="W122" s="80"/>
      <c r="X122" s="80"/>
    </row>
    <row r="123" spans="1:24" ht="42" customHeight="1">
      <c r="A123" s="80">
        <f t="shared" si="0"/>
        <v>121</v>
      </c>
      <c r="B123" s="51" t="str">
        <f t="shared" si="1"/>
        <v>MA</v>
      </c>
      <c r="C123" s="81" t="s">
        <v>2743</v>
      </c>
      <c r="D123" s="51" t="s">
        <v>370</v>
      </c>
      <c r="E123" s="80"/>
      <c r="F123" s="80"/>
      <c r="G123" s="75">
        <f>97462679286</f>
        <v>97462679286</v>
      </c>
      <c r="H123" s="80"/>
      <c r="I123" s="76"/>
      <c r="J123" s="80"/>
      <c r="K123" s="80"/>
      <c r="L123" s="51" t="s">
        <v>78</v>
      </c>
      <c r="M123" s="79">
        <v>44816</v>
      </c>
      <c r="N123" s="51"/>
      <c r="O123" s="80"/>
      <c r="P123" s="82"/>
      <c r="Q123" s="80"/>
      <c r="R123" s="80"/>
      <c r="S123" s="82"/>
      <c r="T123" s="80"/>
      <c r="U123" s="80"/>
      <c r="V123" s="79"/>
      <c r="W123" s="80"/>
      <c r="X123" s="80"/>
    </row>
    <row r="124" spans="1:24" ht="42" customHeight="1">
      <c r="A124" s="80">
        <f t="shared" si="0"/>
        <v>122</v>
      </c>
      <c r="B124" s="51" t="str">
        <f t="shared" si="1"/>
        <v>MA</v>
      </c>
      <c r="C124" s="51" t="s">
        <v>2744</v>
      </c>
      <c r="D124" s="51" t="s">
        <v>370</v>
      </c>
      <c r="E124" s="80"/>
      <c r="F124" s="80"/>
      <c r="G124" s="75" t="s">
        <v>508</v>
      </c>
      <c r="H124" s="80"/>
      <c r="I124" s="54" t="s">
        <v>507</v>
      </c>
      <c r="J124" s="96" t="s">
        <v>509</v>
      </c>
      <c r="K124" s="80"/>
      <c r="L124" s="51" t="s">
        <v>78</v>
      </c>
      <c r="M124" s="79">
        <v>44816</v>
      </c>
      <c r="N124" s="51"/>
      <c r="O124" s="80"/>
      <c r="P124" s="82"/>
      <c r="Q124" s="80"/>
      <c r="R124" s="51" t="s">
        <v>78</v>
      </c>
      <c r="S124" s="79">
        <v>44859</v>
      </c>
      <c r="T124" s="51" t="s">
        <v>2545</v>
      </c>
      <c r="U124" s="80"/>
      <c r="V124" s="79"/>
      <c r="W124" s="80"/>
      <c r="X124" s="80"/>
    </row>
    <row r="125" spans="1:24" ht="42" customHeight="1">
      <c r="A125" s="80">
        <f t="shared" si="0"/>
        <v>123</v>
      </c>
      <c r="B125" s="51" t="str">
        <f t="shared" si="1"/>
        <v>MA</v>
      </c>
      <c r="C125" s="101" t="s">
        <v>2745</v>
      </c>
      <c r="D125" s="51" t="s">
        <v>370</v>
      </c>
      <c r="E125" s="80"/>
      <c r="F125" s="80"/>
      <c r="G125" s="75">
        <f>97433009244</f>
        <v>97433009244</v>
      </c>
      <c r="H125" s="80"/>
      <c r="I125" s="76"/>
      <c r="J125" s="80"/>
      <c r="K125" s="80"/>
      <c r="L125" s="51" t="s">
        <v>78</v>
      </c>
      <c r="M125" s="79">
        <v>44816</v>
      </c>
      <c r="N125" s="51"/>
      <c r="O125" s="80"/>
      <c r="P125" s="82"/>
      <c r="Q125" s="80"/>
      <c r="R125" s="80"/>
      <c r="S125" s="82"/>
      <c r="T125" s="80"/>
      <c r="U125" s="80"/>
      <c r="V125" s="79"/>
      <c r="W125" s="80"/>
      <c r="X125" s="80"/>
    </row>
    <row r="126" spans="1:24" ht="42" customHeight="1">
      <c r="A126" s="80">
        <f t="shared" si="0"/>
        <v>124</v>
      </c>
      <c r="B126" s="51" t="str">
        <f t="shared" si="1"/>
        <v>MA</v>
      </c>
      <c r="C126" s="101" t="s">
        <v>2746</v>
      </c>
      <c r="D126" s="51" t="s">
        <v>370</v>
      </c>
      <c r="E126" s="80"/>
      <c r="F126" s="80"/>
      <c r="G126" s="75">
        <v>97466997568</v>
      </c>
      <c r="H126" s="80"/>
      <c r="I126" s="54" t="s">
        <v>513</v>
      </c>
      <c r="J126" s="96" t="s">
        <v>514</v>
      </c>
      <c r="K126" s="80"/>
      <c r="L126" s="51" t="s">
        <v>78</v>
      </c>
      <c r="M126" s="79">
        <v>44816</v>
      </c>
      <c r="N126" s="51" t="s">
        <v>2538</v>
      </c>
      <c r="O126" s="51" t="s">
        <v>7</v>
      </c>
      <c r="P126" s="79">
        <v>44862</v>
      </c>
      <c r="Q126" s="51" t="s">
        <v>2551</v>
      </c>
      <c r="R126" s="80"/>
      <c r="S126" s="82"/>
      <c r="T126" s="80"/>
      <c r="U126" s="80"/>
      <c r="V126" s="79"/>
      <c r="W126" s="80"/>
      <c r="X126" s="80"/>
    </row>
    <row r="127" spans="1:24" ht="42" customHeight="1">
      <c r="A127" s="80">
        <f t="shared" si="0"/>
        <v>125</v>
      </c>
      <c r="B127" s="51" t="str">
        <f t="shared" si="1"/>
        <v>MA</v>
      </c>
      <c r="C127" s="101" t="s">
        <v>2747</v>
      </c>
      <c r="D127" s="51" t="s">
        <v>370</v>
      </c>
      <c r="E127" s="80"/>
      <c r="F127" s="80"/>
      <c r="G127" s="75">
        <f>97433366192</f>
        <v>97433366192</v>
      </c>
      <c r="H127" s="80"/>
      <c r="I127" s="76"/>
      <c r="J127" s="80"/>
      <c r="K127" s="80"/>
      <c r="L127" s="51" t="s">
        <v>78</v>
      </c>
      <c r="M127" s="79">
        <v>44816</v>
      </c>
      <c r="N127" s="51"/>
      <c r="O127" s="80"/>
      <c r="P127" s="82"/>
      <c r="Q127" s="80"/>
      <c r="R127" s="80"/>
      <c r="S127" s="82"/>
      <c r="T127" s="80"/>
      <c r="U127" s="80"/>
      <c r="V127" s="79"/>
      <c r="W127" s="80"/>
      <c r="X127" s="80"/>
    </row>
    <row r="128" spans="1:24" ht="42" customHeight="1">
      <c r="A128" s="80">
        <f t="shared" si="0"/>
        <v>126</v>
      </c>
      <c r="B128" s="51" t="str">
        <f t="shared" si="1"/>
        <v>MA</v>
      </c>
      <c r="C128" s="101" t="s">
        <v>515</v>
      </c>
      <c r="D128" s="51" t="s">
        <v>370</v>
      </c>
      <c r="E128" s="80"/>
      <c r="F128" s="80"/>
      <c r="G128" s="75">
        <f>97444889185</f>
        <v>97444889185</v>
      </c>
      <c r="H128" s="80"/>
      <c r="I128" s="76"/>
      <c r="J128" s="80"/>
      <c r="K128" s="80"/>
      <c r="L128" s="51" t="s">
        <v>78</v>
      </c>
      <c r="M128" s="79">
        <v>44816</v>
      </c>
      <c r="N128" s="51"/>
      <c r="O128" s="80"/>
      <c r="P128" s="82"/>
      <c r="Q128" s="80"/>
      <c r="R128" s="80"/>
      <c r="S128" s="82"/>
      <c r="T128" s="80"/>
      <c r="U128" s="80"/>
      <c r="V128" s="79"/>
      <c r="W128" s="80"/>
      <c r="X128" s="80"/>
    </row>
    <row r="129" spans="1:24" ht="42" customHeight="1">
      <c r="A129" s="80">
        <f t="shared" si="0"/>
        <v>127</v>
      </c>
      <c r="B129" s="51" t="str">
        <f t="shared" si="1"/>
        <v>MA</v>
      </c>
      <c r="C129" s="101" t="s">
        <v>2748</v>
      </c>
      <c r="D129" s="51" t="s">
        <v>370</v>
      </c>
      <c r="E129" s="80"/>
      <c r="F129" s="80"/>
      <c r="G129" s="75">
        <f>97433349995</f>
        <v>97433349995</v>
      </c>
      <c r="H129" s="80"/>
      <c r="I129" s="76"/>
      <c r="J129" s="80"/>
      <c r="K129" s="80"/>
      <c r="L129" s="51" t="s">
        <v>78</v>
      </c>
      <c r="M129" s="79">
        <v>44816</v>
      </c>
      <c r="N129" s="51"/>
      <c r="O129" s="80"/>
      <c r="P129" s="82"/>
      <c r="Q129" s="80"/>
      <c r="R129" s="80"/>
      <c r="S129" s="82"/>
      <c r="T129" s="80"/>
      <c r="U129" s="80"/>
      <c r="V129" s="79"/>
      <c r="W129" s="80"/>
      <c r="X129" s="80"/>
    </row>
    <row r="130" spans="1:24" ht="42" customHeight="1">
      <c r="A130" s="80">
        <f t="shared" si="0"/>
        <v>128</v>
      </c>
      <c r="B130" s="51" t="str">
        <f t="shared" si="1"/>
        <v>MA</v>
      </c>
      <c r="C130" s="102" t="s">
        <v>2749</v>
      </c>
      <c r="D130" s="51" t="s">
        <v>370</v>
      </c>
      <c r="E130" s="80"/>
      <c r="F130" s="80"/>
      <c r="G130" s="75">
        <f>97430202424</f>
        <v>97430202424</v>
      </c>
      <c r="H130" s="80"/>
      <c r="I130" s="76"/>
      <c r="J130" s="80"/>
      <c r="K130" s="80"/>
      <c r="L130" s="51" t="s">
        <v>78</v>
      </c>
      <c r="M130" s="79">
        <v>44816</v>
      </c>
      <c r="N130" s="51"/>
      <c r="O130" s="80"/>
      <c r="P130" s="82"/>
      <c r="Q130" s="80"/>
      <c r="R130" s="80"/>
      <c r="S130" s="82"/>
      <c r="T130" s="80"/>
      <c r="U130" s="80"/>
      <c r="V130" s="79"/>
      <c r="W130" s="80"/>
      <c r="X130" s="80"/>
    </row>
    <row r="131" spans="1:24" ht="42" customHeight="1">
      <c r="A131" s="80">
        <f t="shared" si="0"/>
        <v>129</v>
      </c>
      <c r="B131" s="51" t="str">
        <f t="shared" si="1"/>
        <v>MA</v>
      </c>
      <c r="C131" s="101" t="s">
        <v>2750</v>
      </c>
      <c r="D131" s="51" t="s">
        <v>370</v>
      </c>
      <c r="E131" s="80"/>
      <c r="F131" s="80"/>
      <c r="G131" s="75" t="s">
        <v>521</v>
      </c>
      <c r="H131" s="80"/>
      <c r="I131" s="76"/>
      <c r="J131" s="80"/>
      <c r="K131" s="80"/>
      <c r="L131" s="51" t="s">
        <v>78</v>
      </c>
      <c r="M131" s="79">
        <v>44816</v>
      </c>
      <c r="N131" s="51"/>
      <c r="O131" s="80"/>
      <c r="P131" s="82"/>
      <c r="Q131" s="80"/>
      <c r="R131" s="80"/>
      <c r="S131" s="82"/>
      <c r="T131" s="80"/>
      <c r="U131" s="80"/>
      <c r="V131" s="79"/>
      <c r="W131" s="80"/>
      <c r="X131" s="80"/>
    </row>
    <row r="132" spans="1:24" ht="42" customHeight="1">
      <c r="A132" s="80">
        <f t="shared" si="0"/>
        <v>130</v>
      </c>
      <c r="B132" s="51" t="str">
        <f t="shared" si="1"/>
        <v>MA</v>
      </c>
      <c r="C132" s="81" t="s">
        <v>2751</v>
      </c>
      <c r="D132" s="51" t="s">
        <v>370</v>
      </c>
      <c r="E132" s="80"/>
      <c r="F132" s="80"/>
      <c r="G132" s="75">
        <f>97455843127</f>
        <v>97455843127</v>
      </c>
      <c r="H132" s="80"/>
      <c r="I132" s="76"/>
      <c r="J132" s="80"/>
      <c r="K132" s="80"/>
      <c r="L132" s="51" t="s">
        <v>78</v>
      </c>
      <c r="M132" s="79">
        <v>44816</v>
      </c>
      <c r="N132" s="51"/>
      <c r="O132" s="80"/>
      <c r="P132" s="82"/>
      <c r="Q132" s="80"/>
      <c r="R132" s="80"/>
      <c r="S132" s="82"/>
      <c r="T132" s="80"/>
      <c r="U132" s="80"/>
      <c r="V132" s="79"/>
      <c r="W132" s="80"/>
      <c r="X132" s="80"/>
    </row>
    <row r="133" spans="1:24" ht="42" customHeight="1">
      <c r="A133" s="80">
        <f t="shared" si="0"/>
        <v>131</v>
      </c>
      <c r="B133" s="51" t="str">
        <f t="shared" si="1"/>
        <v>MA</v>
      </c>
      <c r="C133" s="101" t="s">
        <v>522</v>
      </c>
      <c r="D133" s="51" t="s">
        <v>370</v>
      </c>
      <c r="E133" s="80"/>
      <c r="F133" s="80"/>
      <c r="G133" s="75">
        <f>97444962888</f>
        <v>97444962888</v>
      </c>
      <c r="H133" s="80"/>
      <c r="I133" s="76"/>
      <c r="J133" s="80"/>
      <c r="K133" s="80"/>
      <c r="L133" s="51" t="s">
        <v>78</v>
      </c>
      <c r="M133" s="79">
        <v>44816</v>
      </c>
      <c r="N133" s="51"/>
      <c r="O133" s="80"/>
      <c r="P133" s="82"/>
      <c r="Q133" s="80"/>
      <c r="R133" s="80"/>
      <c r="S133" s="82"/>
      <c r="T133" s="80"/>
      <c r="U133" s="80"/>
      <c r="V133" s="79"/>
      <c r="W133" s="80"/>
      <c r="X133" s="80"/>
    </row>
    <row r="134" spans="1:24" ht="42" customHeight="1">
      <c r="A134" s="80">
        <f t="shared" si="0"/>
        <v>132</v>
      </c>
      <c r="B134" s="51" t="str">
        <f t="shared" si="1"/>
        <v>MA</v>
      </c>
      <c r="C134" s="101" t="s">
        <v>2752</v>
      </c>
      <c r="D134" s="51" t="s">
        <v>370</v>
      </c>
      <c r="E134" s="80"/>
      <c r="F134" s="80"/>
      <c r="G134" s="75">
        <f>97466750202</f>
        <v>97466750202</v>
      </c>
      <c r="H134" s="80"/>
      <c r="I134" s="76"/>
      <c r="J134" s="80"/>
      <c r="K134" s="80"/>
      <c r="L134" s="51" t="s">
        <v>78</v>
      </c>
      <c r="M134" s="79">
        <v>44816</v>
      </c>
      <c r="N134" s="51"/>
      <c r="O134" s="80"/>
      <c r="P134" s="82"/>
      <c r="Q134" s="80"/>
      <c r="R134" s="80"/>
      <c r="S134" s="82"/>
      <c r="T134" s="80"/>
      <c r="U134" s="80"/>
      <c r="V134" s="79"/>
      <c r="W134" s="80"/>
      <c r="X134" s="80"/>
    </row>
    <row r="135" spans="1:24" ht="42" customHeight="1">
      <c r="A135" s="80">
        <f t="shared" si="0"/>
        <v>133</v>
      </c>
      <c r="B135" s="51" t="str">
        <f t="shared" si="1"/>
        <v>MA</v>
      </c>
      <c r="C135" s="101" t="s">
        <v>525</v>
      </c>
      <c r="D135" s="51" t="s">
        <v>370</v>
      </c>
      <c r="E135" s="80"/>
      <c r="F135" s="80"/>
      <c r="G135" s="75">
        <f>97440397101</f>
        <v>97440397101</v>
      </c>
      <c r="H135" s="80"/>
      <c r="I135" s="76"/>
      <c r="J135" s="80"/>
      <c r="K135" s="80"/>
      <c r="L135" s="51" t="s">
        <v>78</v>
      </c>
      <c r="M135" s="79">
        <v>44816</v>
      </c>
      <c r="N135" s="51"/>
      <c r="O135" s="80"/>
      <c r="P135" s="82"/>
      <c r="Q135" s="80"/>
      <c r="R135" s="80"/>
      <c r="S135" s="82"/>
      <c r="T135" s="80"/>
      <c r="U135" s="80"/>
      <c r="V135" s="79"/>
      <c r="W135" s="80"/>
      <c r="X135" s="80"/>
    </row>
    <row r="136" spans="1:24" ht="42" customHeight="1">
      <c r="A136" s="80">
        <f t="shared" si="0"/>
        <v>134</v>
      </c>
      <c r="B136" s="51" t="str">
        <f t="shared" si="1"/>
        <v>MA</v>
      </c>
      <c r="C136" s="101" t="s">
        <v>2753</v>
      </c>
      <c r="D136" s="51" t="s">
        <v>370</v>
      </c>
      <c r="E136" s="80"/>
      <c r="F136" s="80"/>
      <c r="G136" s="75">
        <f>97433022672</f>
        <v>97433022672</v>
      </c>
      <c r="H136" s="80"/>
      <c r="I136" s="76"/>
      <c r="J136" s="80"/>
      <c r="K136" s="80"/>
      <c r="L136" s="51" t="s">
        <v>78</v>
      </c>
      <c r="M136" s="79">
        <v>44816</v>
      </c>
      <c r="N136" s="51"/>
      <c r="O136" s="80"/>
      <c r="P136" s="82"/>
      <c r="Q136" s="80"/>
      <c r="R136" s="80"/>
      <c r="S136" s="82"/>
      <c r="T136" s="80"/>
      <c r="U136" s="80"/>
      <c r="V136" s="79"/>
      <c r="W136" s="80"/>
      <c r="X136" s="80"/>
    </row>
    <row r="137" spans="1:24" ht="42" customHeight="1">
      <c r="A137" s="80">
        <f t="shared" si="0"/>
        <v>135</v>
      </c>
      <c r="B137" s="51" t="str">
        <f t="shared" si="1"/>
        <v>MA</v>
      </c>
      <c r="C137" s="101" t="s">
        <v>2754</v>
      </c>
      <c r="D137" s="51" t="s">
        <v>370</v>
      </c>
      <c r="E137" s="80"/>
      <c r="F137" s="80"/>
      <c r="G137" s="75">
        <f>97455519324</f>
        <v>97455519324</v>
      </c>
      <c r="H137" s="80"/>
      <c r="I137" s="76"/>
      <c r="J137" s="80"/>
      <c r="K137" s="80"/>
      <c r="L137" s="51" t="s">
        <v>78</v>
      </c>
      <c r="M137" s="79">
        <v>44816</v>
      </c>
      <c r="N137" s="51"/>
      <c r="O137" s="51" t="s">
        <v>98</v>
      </c>
      <c r="P137" s="79">
        <v>44818</v>
      </c>
      <c r="Q137" s="80"/>
      <c r="R137" s="80"/>
      <c r="S137" s="82"/>
      <c r="T137" s="80"/>
      <c r="U137" s="80"/>
      <c r="V137" s="79"/>
      <c r="W137" s="80"/>
      <c r="X137" s="80"/>
    </row>
    <row r="138" spans="1:24" ht="42" customHeight="1">
      <c r="A138" s="80">
        <f t="shared" si="0"/>
        <v>136</v>
      </c>
      <c r="B138" s="51" t="str">
        <f t="shared" si="1"/>
        <v>MA</v>
      </c>
      <c r="C138" s="101" t="s">
        <v>2755</v>
      </c>
      <c r="D138" s="51" t="s">
        <v>370</v>
      </c>
      <c r="E138" s="80"/>
      <c r="F138" s="80"/>
      <c r="G138" s="75">
        <f>97450358840</f>
        <v>97450358840</v>
      </c>
      <c r="H138" s="80"/>
      <c r="I138" s="76"/>
      <c r="J138" s="80"/>
      <c r="K138" s="80"/>
      <c r="L138" s="51" t="s">
        <v>78</v>
      </c>
      <c r="M138" s="79">
        <v>44816</v>
      </c>
      <c r="N138" s="51"/>
      <c r="O138" s="80"/>
      <c r="P138" s="82"/>
      <c r="Q138" s="80"/>
      <c r="R138" s="80"/>
      <c r="S138" s="82"/>
      <c r="T138" s="80"/>
      <c r="U138" s="80"/>
      <c r="V138" s="79"/>
      <c r="W138" s="80"/>
      <c r="X138" s="80"/>
    </row>
    <row r="139" spans="1:24" ht="42" customHeight="1">
      <c r="A139" s="80">
        <f t="shared" si="0"/>
        <v>137</v>
      </c>
      <c r="B139" s="51" t="str">
        <f t="shared" si="1"/>
        <v>MA</v>
      </c>
      <c r="C139" s="81" t="s">
        <v>2756</v>
      </c>
      <c r="D139" s="51" t="s">
        <v>370</v>
      </c>
      <c r="E139" s="80"/>
      <c r="F139" s="80"/>
      <c r="G139" s="75" t="s">
        <v>532</v>
      </c>
      <c r="H139" s="80"/>
      <c r="I139" s="76"/>
      <c r="J139" s="80"/>
      <c r="K139" s="80"/>
      <c r="L139" s="51" t="s">
        <v>78</v>
      </c>
      <c r="M139" s="79">
        <v>44816</v>
      </c>
      <c r="N139" s="51"/>
      <c r="O139" s="51" t="s">
        <v>98</v>
      </c>
      <c r="P139" s="79">
        <v>44818</v>
      </c>
      <c r="Q139" s="80"/>
      <c r="R139" s="80"/>
      <c r="S139" s="82"/>
      <c r="T139" s="80"/>
      <c r="U139" s="80"/>
      <c r="V139" s="79"/>
      <c r="W139" s="80"/>
      <c r="X139" s="80"/>
    </row>
    <row r="140" spans="1:24" ht="42" customHeight="1">
      <c r="A140" s="80">
        <f t="shared" si="0"/>
        <v>138</v>
      </c>
      <c r="B140" s="51" t="str">
        <f t="shared" si="1"/>
        <v>MA</v>
      </c>
      <c r="C140" s="101" t="s">
        <v>623</v>
      </c>
      <c r="D140" s="51" t="s">
        <v>370</v>
      </c>
      <c r="E140" s="80"/>
      <c r="F140" s="80"/>
      <c r="G140" s="75">
        <v>97444502517</v>
      </c>
      <c r="H140" s="80"/>
      <c r="I140" s="76"/>
      <c r="J140" s="80"/>
      <c r="K140" s="80"/>
      <c r="L140" s="51" t="s">
        <v>78</v>
      </c>
      <c r="M140" s="79">
        <v>44816</v>
      </c>
      <c r="N140" s="51"/>
      <c r="O140" s="80"/>
      <c r="P140" s="82"/>
      <c r="Q140" s="80"/>
      <c r="R140" s="80"/>
      <c r="S140" s="82"/>
      <c r="T140" s="80"/>
      <c r="U140" s="80"/>
      <c r="V140" s="79"/>
      <c r="W140" s="80"/>
      <c r="X140" s="80"/>
    </row>
    <row r="141" spans="1:24" ht="42" customHeight="1">
      <c r="A141" s="80">
        <f t="shared" si="0"/>
        <v>139</v>
      </c>
      <c r="B141" s="51" t="str">
        <f t="shared" si="1"/>
        <v>MA</v>
      </c>
      <c r="C141" s="104" t="s">
        <v>2757</v>
      </c>
      <c r="D141" s="51" t="s">
        <v>370</v>
      </c>
      <c r="E141" s="80"/>
      <c r="F141" s="80"/>
      <c r="G141" s="75">
        <f>97430162213</f>
        <v>97430162213</v>
      </c>
      <c r="H141" s="80"/>
      <c r="I141" s="76"/>
      <c r="J141" s="80"/>
      <c r="K141" s="80"/>
      <c r="L141" s="51" t="s">
        <v>78</v>
      </c>
      <c r="M141" s="79">
        <v>44816</v>
      </c>
      <c r="N141" s="51"/>
      <c r="O141" s="80"/>
      <c r="P141" s="82"/>
      <c r="Q141" s="80"/>
      <c r="R141" s="80"/>
      <c r="S141" s="82"/>
      <c r="T141" s="80"/>
      <c r="U141" s="80"/>
      <c r="V141" s="79"/>
      <c r="W141" s="80"/>
      <c r="X141" s="80"/>
    </row>
    <row r="142" spans="1:24" ht="42" customHeight="1">
      <c r="A142" s="80">
        <f t="shared" si="0"/>
        <v>140</v>
      </c>
      <c r="B142" s="51" t="str">
        <f t="shared" si="1"/>
        <v>MA</v>
      </c>
      <c r="C142" s="104" t="s">
        <v>618</v>
      </c>
      <c r="D142" s="51" t="s">
        <v>370</v>
      </c>
      <c r="E142" s="80"/>
      <c r="F142" s="80"/>
      <c r="G142" s="75">
        <f>97444580499</f>
        <v>97444580499</v>
      </c>
      <c r="H142" s="80"/>
      <c r="I142" s="76"/>
      <c r="J142" s="80"/>
      <c r="K142" s="80"/>
      <c r="L142" s="51" t="s">
        <v>78</v>
      </c>
      <c r="M142" s="79">
        <v>44816</v>
      </c>
      <c r="N142" s="51"/>
      <c r="O142" s="80"/>
      <c r="P142" s="82"/>
      <c r="Q142" s="80"/>
      <c r="R142" s="80"/>
      <c r="S142" s="82"/>
      <c r="T142" s="80"/>
      <c r="U142" s="80"/>
      <c r="V142" s="79"/>
      <c r="W142" s="80"/>
      <c r="X142" s="80"/>
    </row>
    <row r="143" spans="1:24" ht="42" customHeight="1">
      <c r="A143" s="80">
        <f t="shared" si="0"/>
        <v>141</v>
      </c>
      <c r="B143" s="51" t="str">
        <f t="shared" si="1"/>
        <v>MA</v>
      </c>
      <c r="C143" s="104" t="s">
        <v>2758</v>
      </c>
      <c r="D143" s="51" t="s">
        <v>370</v>
      </c>
      <c r="E143" s="80"/>
      <c r="F143" s="80"/>
      <c r="G143" s="75">
        <f>97466443315</f>
        <v>97466443315</v>
      </c>
      <c r="H143" s="80"/>
      <c r="I143" s="76"/>
      <c r="J143" s="80"/>
      <c r="K143" s="80"/>
      <c r="L143" s="51" t="s">
        <v>78</v>
      </c>
      <c r="M143" s="79">
        <v>44816</v>
      </c>
      <c r="N143" s="51"/>
      <c r="O143" s="80"/>
      <c r="P143" s="82"/>
      <c r="Q143" s="80"/>
      <c r="R143" s="80"/>
      <c r="S143" s="82"/>
      <c r="T143" s="80"/>
      <c r="U143" s="80"/>
      <c r="V143" s="79"/>
      <c r="W143" s="80"/>
      <c r="X143" s="80"/>
    </row>
    <row r="144" spans="1:24" ht="42" customHeight="1">
      <c r="A144" s="80">
        <f t="shared" si="0"/>
        <v>142</v>
      </c>
      <c r="B144" s="51" t="str">
        <f t="shared" si="1"/>
        <v>MA</v>
      </c>
      <c r="C144" s="81" t="s">
        <v>2759</v>
      </c>
      <c r="D144" s="51" t="s">
        <v>370</v>
      </c>
      <c r="E144" s="80"/>
      <c r="F144" s="80"/>
      <c r="G144" s="75">
        <f>97466817799</f>
        <v>97466817799</v>
      </c>
      <c r="H144" s="80"/>
      <c r="I144" s="76"/>
      <c r="J144" s="80"/>
      <c r="K144" s="80"/>
      <c r="L144" s="51" t="s">
        <v>78</v>
      </c>
      <c r="M144" s="79">
        <v>44816</v>
      </c>
      <c r="N144" s="51"/>
      <c r="O144" s="80"/>
      <c r="P144" s="82"/>
      <c r="Q144" s="80"/>
      <c r="R144" s="80"/>
      <c r="S144" s="82"/>
      <c r="T144" s="80"/>
      <c r="U144" s="80"/>
      <c r="V144" s="79"/>
      <c r="W144" s="80"/>
      <c r="X144" s="80"/>
    </row>
    <row r="145" spans="1:24" ht="42" customHeight="1">
      <c r="A145" s="80">
        <f t="shared" si="0"/>
        <v>143</v>
      </c>
      <c r="B145" s="51" t="str">
        <f t="shared" si="1"/>
        <v>MA</v>
      </c>
      <c r="C145" s="81" t="s">
        <v>615</v>
      </c>
      <c r="D145" s="51" t="s">
        <v>370</v>
      </c>
      <c r="E145" s="80"/>
      <c r="F145" s="80"/>
      <c r="G145" s="75" t="s">
        <v>616</v>
      </c>
      <c r="H145" s="80"/>
      <c r="I145" s="76"/>
      <c r="J145" s="80"/>
      <c r="K145" s="80"/>
      <c r="L145" s="51" t="s">
        <v>78</v>
      </c>
      <c r="M145" s="79">
        <v>44816</v>
      </c>
      <c r="N145" s="51"/>
      <c r="O145" s="80"/>
      <c r="P145" s="82"/>
      <c r="Q145" s="80"/>
      <c r="R145" s="80"/>
      <c r="S145" s="82"/>
      <c r="T145" s="80"/>
      <c r="U145" s="80"/>
      <c r="V145" s="79"/>
      <c r="W145" s="80"/>
      <c r="X145" s="80"/>
    </row>
    <row r="146" spans="1:24" ht="42" customHeight="1">
      <c r="A146" s="80">
        <f t="shared" si="0"/>
        <v>144</v>
      </c>
      <c r="B146" s="51" t="str">
        <f t="shared" si="1"/>
        <v>MA</v>
      </c>
      <c r="C146" s="101" t="s">
        <v>614</v>
      </c>
      <c r="D146" s="51" t="s">
        <v>370</v>
      </c>
      <c r="E146" s="80"/>
      <c r="F146" s="80"/>
      <c r="G146" s="75">
        <f>97433009244</f>
        <v>97433009244</v>
      </c>
      <c r="H146" s="80"/>
      <c r="I146" s="76"/>
      <c r="J146" s="80"/>
      <c r="K146" s="80"/>
      <c r="L146" s="51" t="s">
        <v>78</v>
      </c>
      <c r="M146" s="79">
        <v>44816</v>
      </c>
      <c r="N146" s="51"/>
      <c r="O146" s="80"/>
      <c r="P146" s="82"/>
      <c r="Q146" s="80"/>
      <c r="R146" s="80"/>
      <c r="S146" s="82"/>
      <c r="T146" s="80"/>
      <c r="U146" s="80"/>
      <c r="V146" s="79"/>
      <c r="W146" s="80"/>
      <c r="X146" s="80"/>
    </row>
    <row r="147" spans="1:24" ht="42" customHeight="1">
      <c r="A147" s="80">
        <f t="shared" si="0"/>
        <v>145</v>
      </c>
      <c r="B147" s="51" t="str">
        <f t="shared" si="1"/>
        <v>MA</v>
      </c>
      <c r="C147" s="81" t="s">
        <v>2760</v>
      </c>
      <c r="D147" s="51" t="s">
        <v>984</v>
      </c>
      <c r="E147" s="80"/>
      <c r="F147" s="80"/>
      <c r="G147" s="75">
        <f>441206766744</f>
        <v>441206766744</v>
      </c>
      <c r="H147" s="80"/>
      <c r="I147" s="76"/>
      <c r="J147" s="80"/>
      <c r="K147" s="80"/>
      <c r="L147" s="51" t="s">
        <v>78</v>
      </c>
      <c r="M147" s="79">
        <v>44816</v>
      </c>
      <c r="N147" s="51"/>
      <c r="O147" s="80"/>
      <c r="P147" s="82"/>
      <c r="Q147" s="80"/>
      <c r="R147" s="80"/>
      <c r="S147" s="82"/>
      <c r="T147" s="80"/>
      <c r="U147" s="80"/>
      <c r="V147" s="79"/>
      <c r="W147" s="80"/>
      <c r="X147" s="80"/>
    </row>
    <row r="148" spans="1:24" ht="42" customHeight="1">
      <c r="A148" s="80">
        <f t="shared" si="0"/>
        <v>146</v>
      </c>
      <c r="B148" s="51" t="str">
        <f t="shared" si="1"/>
        <v>MA</v>
      </c>
      <c r="C148" s="81" t="s">
        <v>2761</v>
      </c>
      <c r="D148" s="51" t="s">
        <v>984</v>
      </c>
      <c r="E148" s="80"/>
      <c r="F148" s="80"/>
      <c r="G148" s="75">
        <f>441473288898</f>
        <v>441473288898</v>
      </c>
      <c r="H148" s="80"/>
      <c r="I148" s="76"/>
      <c r="J148" s="80"/>
      <c r="K148" s="80"/>
      <c r="L148" s="51" t="s">
        <v>78</v>
      </c>
      <c r="M148" s="79">
        <v>44816</v>
      </c>
      <c r="N148" s="51"/>
      <c r="O148" s="80"/>
      <c r="P148" s="82"/>
      <c r="Q148" s="80"/>
      <c r="R148" s="80"/>
      <c r="S148" s="82"/>
      <c r="T148" s="80"/>
      <c r="U148" s="80"/>
      <c r="V148" s="79"/>
      <c r="W148" s="80"/>
      <c r="X148" s="80"/>
    </row>
    <row r="149" spans="1:24" ht="42" customHeight="1">
      <c r="A149" s="80">
        <f t="shared" si="0"/>
        <v>147</v>
      </c>
      <c r="B149" s="51" t="str">
        <f t="shared" si="1"/>
        <v>MA</v>
      </c>
      <c r="C149" s="81" t="s">
        <v>2762</v>
      </c>
      <c r="D149" s="51" t="s">
        <v>984</v>
      </c>
      <c r="E149" s="80"/>
      <c r="F149" s="80"/>
      <c r="G149" s="75">
        <f>441206931472</f>
        <v>441206931472</v>
      </c>
      <c r="H149" s="80"/>
      <c r="I149" s="76"/>
      <c r="J149" s="80"/>
      <c r="K149" s="80"/>
      <c r="L149" s="51" t="s">
        <v>78</v>
      </c>
      <c r="M149" s="79">
        <v>44816</v>
      </c>
      <c r="N149" s="51"/>
      <c r="O149" s="80"/>
      <c r="P149" s="82"/>
      <c r="Q149" s="80"/>
      <c r="R149" s="80"/>
      <c r="S149" s="82"/>
      <c r="T149" s="80"/>
      <c r="U149" s="80"/>
      <c r="V149" s="79"/>
      <c r="W149" s="80"/>
      <c r="X149" s="80"/>
    </row>
    <row r="150" spans="1:24" ht="42" customHeight="1">
      <c r="A150" s="80">
        <f t="shared" si="0"/>
        <v>148</v>
      </c>
      <c r="B150" s="51" t="str">
        <f t="shared" si="1"/>
        <v>MA</v>
      </c>
      <c r="C150" s="51" t="s">
        <v>2763</v>
      </c>
      <c r="D150" s="51" t="s">
        <v>984</v>
      </c>
      <c r="E150" s="80"/>
      <c r="F150" s="80"/>
      <c r="G150" s="75">
        <f>441473557780</f>
        <v>441473557780</v>
      </c>
      <c r="H150" s="80"/>
      <c r="I150" s="76"/>
      <c r="J150" s="80"/>
      <c r="K150" s="80"/>
      <c r="L150" s="51" t="s">
        <v>78</v>
      </c>
      <c r="M150" s="79">
        <v>44816</v>
      </c>
      <c r="N150" s="51"/>
      <c r="O150" s="80"/>
      <c r="P150" s="82"/>
      <c r="Q150" s="80"/>
      <c r="R150" s="51" t="s">
        <v>78</v>
      </c>
      <c r="S150" s="79">
        <v>44859</v>
      </c>
      <c r="T150" s="51" t="s">
        <v>2538</v>
      </c>
      <c r="U150" s="80"/>
      <c r="V150" s="79"/>
      <c r="W150" s="80"/>
      <c r="X150" s="80"/>
    </row>
    <row r="151" spans="1:24" ht="42" customHeight="1">
      <c r="A151" s="80">
        <f t="shared" si="0"/>
        <v>149</v>
      </c>
      <c r="B151" s="51" t="str">
        <f t="shared" si="1"/>
        <v>MA</v>
      </c>
      <c r="C151" s="51" t="s">
        <v>2764</v>
      </c>
      <c r="D151" s="51" t="s">
        <v>2765</v>
      </c>
      <c r="E151" s="80"/>
      <c r="F151" s="80"/>
      <c r="G151" s="75">
        <f>18634532543</f>
        <v>18634532543</v>
      </c>
      <c r="H151" s="80"/>
      <c r="I151" s="76"/>
      <c r="J151" s="80"/>
      <c r="K151" s="80"/>
      <c r="L151" s="51" t="s">
        <v>78</v>
      </c>
      <c r="M151" s="79">
        <v>44816</v>
      </c>
      <c r="N151" s="51"/>
      <c r="O151" s="80"/>
      <c r="P151" s="82"/>
      <c r="Q151" s="80"/>
      <c r="R151" s="80"/>
      <c r="S151" s="82"/>
      <c r="T151" s="80"/>
      <c r="U151" s="80"/>
      <c r="V151" s="79"/>
      <c r="W151" s="80"/>
      <c r="X151" s="80"/>
    </row>
    <row r="152" spans="1:24" ht="42" customHeight="1">
      <c r="A152" s="80">
        <f t="shared" si="0"/>
        <v>150</v>
      </c>
      <c r="B152" s="51" t="str">
        <f t="shared" si="1"/>
        <v>MA</v>
      </c>
      <c r="C152" s="51" t="s">
        <v>2766</v>
      </c>
      <c r="D152" s="51" t="s">
        <v>2765</v>
      </c>
      <c r="E152" s="80"/>
      <c r="F152" s="80"/>
      <c r="G152" s="75">
        <f>18634000633</f>
        <v>18634000633</v>
      </c>
      <c r="H152" s="80"/>
      <c r="I152" s="76"/>
      <c r="J152" s="80"/>
      <c r="K152" s="80"/>
      <c r="L152" s="51" t="s">
        <v>78</v>
      </c>
      <c r="M152" s="79">
        <v>44816</v>
      </c>
      <c r="N152" s="51"/>
      <c r="O152" s="80"/>
      <c r="P152" s="82"/>
      <c r="Q152" s="80"/>
      <c r="R152" s="80"/>
      <c r="S152" s="82"/>
      <c r="T152" s="80"/>
      <c r="U152" s="80"/>
      <c r="V152" s="79"/>
      <c r="W152" s="80"/>
      <c r="X152" s="80"/>
    </row>
    <row r="153" spans="1:24" ht="42" customHeight="1">
      <c r="A153" s="80">
        <f t="shared" si="0"/>
        <v>151</v>
      </c>
      <c r="B153" s="51" t="str">
        <f t="shared" si="1"/>
        <v>MA</v>
      </c>
      <c r="C153" s="51" t="s">
        <v>2767</v>
      </c>
      <c r="D153" s="51" t="s">
        <v>370</v>
      </c>
      <c r="E153" s="80"/>
      <c r="F153" s="80"/>
      <c r="G153" s="75"/>
      <c r="H153" s="80"/>
      <c r="I153" s="76"/>
      <c r="J153" s="80"/>
      <c r="K153" s="80"/>
      <c r="L153" s="51" t="s">
        <v>78</v>
      </c>
      <c r="M153" s="79">
        <v>44818</v>
      </c>
      <c r="N153" s="51"/>
      <c r="O153" s="80"/>
      <c r="P153" s="82"/>
      <c r="Q153" s="80"/>
      <c r="R153" s="80"/>
      <c r="S153" s="82"/>
      <c r="T153" s="80"/>
      <c r="U153" s="80"/>
      <c r="V153" s="79"/>
      <c r="W153" s="80"/>
      <c r="X153" s="80"/>
    </row>
    <row r="154" spans="1:24" ht="42" customHeight="1">
      <c r="A154" s="80">
        <f t="shared" si="0"/>
        <v>152</v>
      </c>
      <c r="B154" s="51" t="str">
        <f t="shared" si="1"/>
        <v>MA</v>
      </c>
      <c r="C154" s="51" t="s">
        <v>613</v>
      </c>
      <c r="D154" s="51" t="s">
        <v>370</v>
      </c>
      <c r="E154" s="80"/>
      <c r="F154" s="80"/>
      <c r="G154" s="75">
        <f>97450266629</f>
        <v>97450266629</v>
      </c>
      <c r="H154" s="80"/>
      <c r="I154" s="76"/>
      <c r="J154" s="80"/>
      <c r="K154" s="80"/>
      <c r="L154" s="51" t="s">
        <v>78</v>
      </c>
      <c r="M154" s="79">
        <v>44818</v>
      </c>
      <c r="N154" s="51"/>
      <c r="O154" s="80"/>
      <c r="P154" s="82"/>
      <c r="Q154" s="80"/>
      <c r="R154" s="80"/>
      <c r="S154" s="82"/>
      <c r="T154" s="80"/>
      <c r="U154" s="80"/>
      <c r="V154" s="79"/>
      <c r="W154" s="80"/>
      <c r="X154" s="80"/>
    </row>
    <row r="155" spans="1:24" ht="42" customHeight="1">
      <c r="A155" s="80">
        <f t="shared" si="0"/>
        <v>153</v>
      </c>
      <c r="B155" s="51" t="str">
        <f t="shared" si="1"/>
        <v>MA</v>
      </c>
      <c r="C155" s="81" t="s">
        <v>2768</v>
      </c>
      <c r="D155" s="51" t="s">
        <v>370</v>
      </c>
      <c r="E155" s="80"/>
      <c r="F155" s="80"/>
      <c r="G155" s="75">
        <f>97466633098</f>
        <v>97466633098</v>
      </c>
      <c r="H155" s="80"/>
      <c r="I155" s="76"/>
      <c r="J155" s="80"/>
      <c r="K155" s="80"/>
      <c r="L155" s="51" t="s">
        <v>78</v>
      </c>
      <c r="M155" s="79">
        <v>44818</v>
      </c>
      <c r="N155" s="51"/>
      <c r="O155" s="80"/>
      <c r="P155" s="82"/>
      <c r="Q155" s="80"/>
      <c r="R155" s="80"/>
      <c r="S155" s="82"/>
      <c r="T155" s="80"/>
      <c r="U155" s="80"/>
      <c r="V155" s="79"/>
      <c r="W155" s="80"/>
      <c r="X155" s="80"/>
    </row>
    <row r="156" spans="1:24" ht="42" customHeight="1">
      <c r="A156" s="80">
        <f t="shared" si="0"/>
        <v>154</v>
      </c>
      <c r="B156" s="51" t="str">
        <f t="shared" si="1"/>
        <v>MA</v>
      </c>
      <c r="C156" s="51" t="s">
        <v>2769</v>
      </c>
      <c r="D156" s="51" t="s">
        <v>370</v>
      </c>
      <c r="E156" s="80"/>
      <c r="F156" s="80"/>
      <c r="G156" s="75">
        <f>97444169448</f>
        <v>97444169448</v>
      </c>
      <c r="H156" s="80"/>
      <c r="I156" s="76"/>
      <c r="J156" s="80"/>
      <c r="K156" s="80"/>
      <c r="L156" s="51" t="s">
        <v>78</v>
      </c>
      <c r="M156" s="79">
        <v>44818</v>
      </c>
      <c r="N156" s="51"/>
      <c r="O156" s="80"/>
      <c r="P156" s="82"/>
      <c r="Q156" s="80"/>
      <c r="R156" s="80"/>
      <c r="S156" s="82"/>
      <c r="T156" s="80"/>
      <c r="U156" s="80"/>
      <c r="V156" s="79"/>
      <c r="W156" s="80"/>
      <c r="X156" s="80"/>
    </row>
    <row r="157" spans="1:24" ht="42" customHeight="1">
      <c r="A157" s="80">
        <f t="shared" si="0"/>
        <v>155</v>
      </c>
      <c r="B157" s="51" t="str">
        <f t="shared" si="1"/>
        <v>MA</v>
      </c>
      <c r="C157" s="51" t="s">
        <v>610</v>
      </c>
      <c r="D157" s="51" t="s">
        <v>370</v>
      </c>
      <c r="E157" s="80"/>
      <c r="F157" s="80"/>
      <c r="G157" s="75">
        <f>97444602842</f>
        <v>97444602842</v>
      </c>
      <c r="H157" s="80"/>
      <c r="I157" s="76"/>
      <c r="J157" s="80"/>
      <c r="K157" s="80"/>
      <c r="L157" s="51" t="s">
        <v>78</v>
      </c>
      <c r="M157" s="79">
        <v>44818</v>
      </c>
      <c r="N157" s="51"/>
      <c r="O157" s="80"/>
      <c r="P157" s="82"/>
      <c r="Q157" s="80"/>
      <c r="R157" s="80"/>
      <c r="S157" s="82"/>
      <c r="T157" s="80"/>
      <c r="U157" s="80"/>
      <c r="V157" s="79"/>
      <c r="W157" s="80"/>
      <c r="X157" s="80"/>
    </row>
    <row r="158" spans="1:24" ht="42" customHeight="1">
      <c r="A158" s="80">
        <f t="shared" si="0"/>
        <v>156</v>
      </c>
      <c r="B158" s="51" t="str">
        <f t="shared" si="1"/>
        <v>MA</v>
      </c>
      <c r="C158" s="51" t="s">
        <v>608</v>
      </c>
      <c r="D158" s="51" t="s">
        <v>370</v>
      </c>
      <c r="E158" s="80"/>
      <c r="F158" s="80"/>
      <c r="G158" s="75">
        <f>97455163629</f>
        <v>97455163629</v>
      </c>
      <c r="H158" s="80"/>
      <c r="I158" s="76"/>
      <c r="J158" s="80"/>
      <c r="K158" s="80"/>
      <c r="L158" s="51" t="s">
        <v>78</v>
      </c>
      <c r="M158" s="79">
        <v>44818</v>
      </c>
      <c r="N158" s="51"/>
      <c r="O158" s="80"/>
      <c r="P158" s="82"/>
      <c r="Q158" s="80"/>
      <c r="R158" s="80"/>
      <c r="S158" s="82"/>
      <c r="T158" s="80"/>
      <c r="U158" s="80"/>
      <c r="V158" s="79"/>
      <c r="W158" s="80"/>
      <c r="X158" s="80"/>
    </row>
    <row r="159" spans="1:24" ht="42" customHeight="1">
      <c r="A159" s="80">
        <f t="shared" si="0"/>
        <v>157</v>
      </c>
      <c r="B159" s="51" t="str">
        <f t="shared" si="1"/>
        <v>MA</v>
      </c>
      <c r="C159" s="51" t="s">
        <v>2770</v>
      </c>
      <c r="D159" s="51" t="s">
        <v>370</v>
      </c>
      <c r="E159" s="80"/>
      <c r="F159" s="80"/>
      <c r="G159" s="75">
        <f>97455662245</f>
        <v>97455662245</v>
      </c>
      <c r="H159" s="80"/>
      <c r="I159" s="76"/>
      <c r="J159" s="80"/>
      <c r="K159" s="80"/>
      <c r="L159" s="51" t="s">
        <v>78</v>
      </c>
      <c r="M159" s="79">
        <v>44818</v>
      </c>
      <c r="N159" s="51"/>
      <c r="O159" s="80"/>
      <c r="P159" s="82"/>
      <c r="Q159" s="80"/>
      <c r="R159" s="80"/>
      <c r="S159" s="82"/>
      <c r="T159" s="80"/>
      <c r="U159" s="80"/>
      <c r="V159" s="79"/>
      <c r="W159" s="80"/>
      <c r="X159" s="80"/>
    </row>
    <row r="160" spans="1:24" ht="42" customHeight="1">
      <c r="A160" s="80">
        <f t="shared" si="0"/>
        <v>158</v>
      </c>
      <c r="B160" s="51" t="str">
        <f t="shared" si="1"/>
        <v>MA</v>
      </c>
      <c r="C160" s="51" t="s">
        <v>2771</v>
      </c>
      <c r="D160" s="51" t="s">
        <v>370</v>
      </c>
      <c r="E160" s="80"/>
      <c r="F160" s="80"/>
      <c r="G160" s="75">
        <f>97444600787</f>
        <v>97444600787</v>
      </c>
      <c r="H160" s="80"/>
      <c r="I160" s="76"/>
      <c r="J160" s="80"/>
      <c r="K160" s="80"/>
      <c r="L160" s="51" t="s">
        <v>78</v>
      </c>
      <c r="M160" s="79">
        <v>44818</v>
      </c>
      <c r="N160" s="51"/>
      <c r="O160" s="80"/>
      <c r="P160" s="82"/>
      <c r="Q160" s="80"/>
      <c r="R160" s="80"/>
      <c r="S160" s="82"/>
      <c r="T160" s="80"/>
      <c r="U160" s="80"/>
      <c r="V160" s="79"/>
      <c r="W160" s="80"/>
      <c r="X160" s="80"/>
    </row>
    <row r="161" spans="1:24" ht="42" customHeight="1">
      <c r="A161" s="80">
        <f t="shared" si="0"/>
        <v>159</v>
      </c>
      <c r="B161" s="51" t="str">
        <f t="shared" si="1"/>
        <v>MA</v>
      </c>
      <c r="C161" s="81" t="s">
        <v>2685</v>
      </c>
      <c r="D161" s="51" t="s">
        <v>370</v>
      </c>
      <c r="E161" s="80"/>
      <c r="F161" s="80"/>
      <c r="G161" s="75">
        <f>97444161231</f>
        <v>97444161231</v>
      </c>
      <c r="H161" s="80"/>
      <c r="I161" s="76"/>
      <c r="J161" s="80"/>
      <c r="K161" s="80"/>
      <c r="L161" s="51" t="s">
        <v>78</v>
      </c>
      <c r="M161" s="79">
        <v>44818</v>
      </c>
      <c r="N161" s="51"/>
      <c r="O161" s="80"/>
      <c r="P161" s="82"/>
      <c r="Q161" s="80"/>
      <c r="R161" s="80"/>
      <c r="S161" s="82"/>
      <c r="T161" s="80"/>
      <c r="U161" s="80"/>
      <c r="V161" s="79"/>
      <c r="W161" s="80"/>
      <c r="X161" s="80"/>
    </row>
    <row r="162" spans="1:24" ht="42" customHeight="1">
      <c r="A162" s="80">
        <f t="shared" si="0"/>
        <v>160</v>
      </c>
      <c r="B162" s="51" t="str">
        <f t="shared" si="1"/>
        <v>MA</v>
      </c>
      <c r="C162" s="81" t="s">
        <v>2772</v>
      </c>
      <c r="D162" s="51" t="s">
        <v>119</v>
      </c>
      <c r="E162" s="80"/>
      <c r="F162" s="80"/>
      <c r="G162" s="75">
        <v>96878143162</v>
      </c>
      <c r="H162" s="80"/>
      <c r="I162" s="76"/>
      <c r="J162" s="80"/>
      <c r="K162" s="80"/>
      <c r="L162" s="51" t="s">
        <v>78</v>
      </c>
      <c r="M162" s="79">
        <v>44818</v>
      </c>
      <c r="N162" s="51"/>
      <c r="O162" s="80"/>
      <c r="P162" s="82"/>
      <c r="Q162" s="80"/>
      <c r="R162" s="51" t="s">
        <v>98</v>
      </c>
      <c r="S162" s="79">
        <v>44865</v>
      </c>
      <c r="T162" s="51" t="s">
        <v>2551</v>
      </c>
      <c r="U162" s="80"/>
      <c r="V162" s="79"/>
      <c r="W162" s="80"/>
      <c r="X162" s="80"/>
    </row>
    <row r="163" spans="1:24" ht="42" customHeight="1">
      <c r="A163" s="80">
        <f t="shared" si="0"/>
        <v>161</v>
      </c>
      <c r="B163" s="51" t="str">
        <f t="shared" si="1"/>
        <v>MA</v>
      </c>
      <c r="C163" s="51" t="s">
        <v>345</v>
      </c>
      <c r="D163" s="51" t="s">
        <v>119</v>
      </c>
      <c r="E163" s="80"/>
      <c r="F163" s="80"/>
      <c r="G163" s="75">
        <f>96896765276</f>
        <v>96896765276</v>
      </c>
      <c r="H163" s="80"/>
      <c r="I163" s="76"/>
      <c r="J163" s="80"/>
      <c r="K163" s="80"/>
      <c r="L163" s="51" t="s">
        <v>78</v>
      </c>
      <c r="M163" s="79">
        <v>44818</v>
      </c>
      <c r="N163" s="51" t="s">
        <v>2538</v>
      </c>
      <c r="O163" s="51" t="s">
        <v>78</v>
      </c>
      <c r="P163" s="79">
        <v>44891</v>
      </c>
      <c r="Q163" s="51" t="s">
        <v>2538</v>
      </c>
      <c r="R163" s="51" t="s">
        <v>78</v>
      </c>
      <c r="S163" s="79">
        <v>44900</v>
      </c>
      <c r="T163" s="51" t="s">
        <v>2635</v>
      </c>
      <c r="U163" s="51" t="s">
        <v>98</v>
      </c>
      <c r="V163" s="79">
        <v>44908</v>
      </c>
      <c r="W163" s="51" t="s">
        <v>2635</v>
      </c>
      <c r="X163" s="80"/>
    </row>
    <row r="164" spans="1:24" ht="42" customHeight="1">
      <c r="A164" s="80">
        <f t="shared" si="0"/>
        <v>162</v>
      </c>
      <c r="B164" s="51" t="str">
        <f t="shared" si="1"/>
        <v>MA</v>
      </c>
      <c r="C164" s="115" t="s">
        <v>2773</v>
      </c>
      <c r="D164" s="51" t="s">
        <v>119</v>
      </c>
      <c r="E164" s="80"/>
      <c r="F164" s="80"/>
      <c r="G164" s="75">
        <f>96899210520</f>
        <v>96899210520</v>
      </c>
      <c r="H164" s="80"/>
      <c r="I164" s="76"/>
      <c r="J164" s="80"/>
      <c r="K164" s="80"/>
      <c r="L164" s="51" t="s">
        <v>78</v>
      </c>
      <c r="M164" s="79">
        <v>44818</v>
      </c>
      <c r="N164" s="51"/>
      <c r="O164" s="80"/>
      <c r="P164" s="82"/>
      <c r="Q164" s="80"/>
      <c r="R164" s="80"/>
      <c r="S164" s="82"/>
      <c r="T164" s="80"/>
      <c r="U164" s="80"/>
      <c r="V164" s="79"/>
      <c r="W164" s="80"/>
      <c r="X164" s="80"/>
    </row>
    <row r="165" spans="1:24" ht="42" customHeight="1">
      <c r="A165" s="80">
        <f t="shared" si="0"/>
        <v>163</v>
      </c>
      <c r="B165" s="51" t="str">
        <f t="shared" si="1"/>
        <v>MA</v>
      </c>
      <c r="C165" s="111" t="s">
        <v>2774</v>
      </c>
      <c r="D165" s="51" t="s">
        <v>627</v>
      </c>
      <c r="E165" s="80"/>
      <c r="F165" s="80"/>
      <c r="G165" s="75" t="s">
        <v>2775</v>
      </c>
      <c r="H165" s="80"/>
      <c r="I165" s="76"/>
      <c r="J165" s="80"/>
      <c r="K165" s="80"/>
      <c r="L165" s="51" t="s">
        <v>78</v>
      </c>
      <c r="M165" s="79">
        <v>44818</v>
      </c>
      <c r="N165" s="51" t="s">
        <v>2538</v>
      </c>
      <c r="O165" s="51" t="s">
        <v>78</v>
      </c>
      <c r="P165" s="79">
        <v>44900</v>
      </c>
      <c r="Q165" s="51" t="s">
        <v>2635</v>
      </c>
      <c r="R165" s="80"/>
      <c r="S165" s="82"/>
      <c r="T165" s="80"/>
      <c r="U165" s="80"/>
      <c r="V165" s="79"/>
      <c r="W165" s="80"/>
      <c r="X165" s="80"/>
    </row>
    <row r="166" spans="1:24" ht="42" customHeight="1">
      <c r="A166" s="80">
        <f t="shared" si="0"/>
        <v>164</v>
      </c>
      <c r="B166" s="51" t="str">
        <f t="shared" si="1"/>
        <v>MA</v>
      </c>
      <c r="C166" s="81" t="s">
        <v>2776</v>
      </c>
      <c r="D166" s="51" t="s">
        <v>119</v>
      </c>
      <c r="E166" s="80"/>
      <c r="F166" s="80"/>
      <c r="G166" s="75">
        <f>96895396048</f>
        <v>96895396048</v>
      </c>
      <c r="H166" s="80"/>
      <c r="I166" s="76"/>
      <c r="J166" s="80"/>
      <c r="K166" s="80"/>
      <c r="L166" s="51" t="s">
        <v>78</v>
      </c>
      <c r="M166" s="79">
        <v>44818</v>
      </c>
      <c r="N166" s="51" t="s">
        <v>2538</v>
      </c>
      <c r="O166" s="51" t="s">
        <v>78</v>
      </c>
      <c r="P166" s="79">
        <v>44891</v>
      </c>
      <c r="Q166" s="51" t="s">
        <v>2538</v>
      </c>
      <c r="R166" s="51" t="s">
        <v>78</v>
      </c>
      <c r="S166" s="79">
        <v>44900</v>
      </c>
      <c r="T166" s="51" t="s">
        <v>2699</v>
      </c>
      <c r="U166" s="80"/>
      <c r="V166" s="79"/>
      <c r="W166" s="80"/>
      <c r="X166" s="80"/>
    </row>
    <row r="167" spans="1:24" ht="42" customHeight="1">
      <c r="A167" s="80">
        <f t="shared" si="0"/>
        <v>165</v>
      </c>
      <c r="B167" s="51" t="str">
        <f t="shared" si="1"/>
        <v>MA</v>
      </c>
      <c r="C167" s="81" t="s">
        <v>2777</v>
      </c>
      <c r="D167" s="51" t="s">
        <v>119</v>
      </c>
      <c r="E167" s="80"/>
      <c r="F167" s="80"/>
      <c r="G167" s="75">
        <f>96899076277</f>
        <v>96899076277</v>
      </c>
      <c r="H167" s="80"/>
      <c r="I167" s="76"/>
      <c r="J167" s="80"/>
      <c r="K167" s="80"/>
      <c r="L167" s="51" t="s">
        <v>78</v>
      </c>
      <c r="M167" s="79">
        <v>44818</v>
      </c>
      <c r="N167" s="51"/>
      <c r="O167" s="51" t="s">
        <v>78</v>
      </c>
      <c r="P167" s="79">
        <v>44891</v>
      </c>
      <c r="Q167" s="51"/>
      <c r="R167" s="80"/>
      <c r="S167" s="82"/>
      <c r="T167" s="80"/>
      <c r="U167" s="80"/>
      <c r="V167" s="79"/>
      <c r="W167" s="80"/>
      <c r="X167" s="80"/>
    </row>
    <row r="168" spans="1:24" ht="42" customHeight="1">
      <c r="A168" s="80">
        <f t="shared" si="0"/>
        <v>166</v>
      </c>
      <c r="B168" s="51" t="str">
        <f t="shared" si="1"/>
        <v>MA</v>
      </c>
      <c r="C168" s="51" t="s">
        <v>2778</v>
      </c>
      <c r="D168" s="51" t="s">
        <v>627</v>
      </c>
      <c r="E168" s="80"/>
      <c r="F168" s="80"/>
      <c r="G168" s="75">
        <f>971506186785</f>
        <v>971506186785</v>
      </c>
      <c r="H168" s="80"/>
      <c r="I168" s="76"/>
      <c r="J168" s="80"/>
      <c r="K168" s="80"/>
      <c r="L168" s="51" t="s">
        <v>78</v>
      </c>
      <c r="M168" s="79">
        <v>44818</v>
      </c>
      <c r="N168" s="51"/>
      <c r="O168" s="80"/>
      <c r="P168" s="82"/>
      <c r="Q168" s="80"/>
      <c r="R168" s="80"/>
      <c r="S168" s="82"/>
      <c r="T168" s="80"/>
      <c r="U168" s="80"/>
      <c r="V168" s="79"/>
      <c r="W168" s="80"/>
      <c r="X168" s="80"/>
    </row>
    <row r="169" spans="1:24" ht="42" customHeight="1">
      <c r="A169" s="80">
        <f t="shared" si="0"/>
        <v>167</v>
      </c>
      <c r="B169" s="51" t="str">
        <f t="shared" si="1"/>
        <v>MA</v>
      </c>
      <c r="C169" s="51" t="s">
        <v>2779</v>
      </c>
      <c r="D169" s="51" t="s">
        <v>627</v>
      </c>
      <c r="E169" s="80"/>
      <c r="F169" s="80"/>
      <c r="G169" s="75">
        <f>97137847748</f>
        <v>97137847748</v>
      </c>
      <c r="H169" s="80"/>
      <c r="I169" s="76"/>
      <c r="J169" s="80"/>
      <c r="K169" s="80"/>
      <c r="L169" s="51" t="s">
        <v>78</v>
      </c>
      <c r="M169" s="79">
        <v>44818</v>
      </c>
      <c r="N169" s="51" t="s">
        <v>2538</v>
      </c>
      <c r="O169" s="51" t="s">
        <v>78</v>
      </c>
      <c r="P169" s="79">
        <v>44891</v>
      </c>
      <c r="Q169" s="51" t="s">
        <v>2538</v>
      </c>
      <c r="R169" s="51" t="s">
        <v>78</v>
      </c>
      <c r="S169" s="79">
        <v>44900</v>
      </c>
      <c r="T169" s="51" t="s">
        <v>2552</v>
      </c>
      <c r="U169" s="51" t="s">
        <v>78</v>
      </c>
      <c r="V169" s="79">
        <v>44908</v>
      </c>
      <c r="W169" s="51" t="s">
        <v>2538</v>
      </c>
      <c r="X169" s="80"/>
    </row>
    <row r="170" spans="1:24" ht="42" customHeight="1">
      <c r="A170" s="80">
        <f t="shared" si="0"/>
        <v>168</v>
      </c>
      <c r="B170" s="51" t="str">
        <f t="shared" si="1"/>
        <v>MA</v>
      </c>
      <c r="C170" s="51" t="s">
        <v>2780</v>
      </c>
      <c r="D170" s="51" t="s">
        <v>627</v>
      </c>
      <c r="E170" s="80"/>
      <c r="F170" s="80"/>
      <c r="G170" s="75">
        <f>97137839522</f>
        <v>97137839522</v>
      </c>
      <c r="H170" s="80"/>
      <c r="I170" s="76"/>
      <c r="J170" s="80"/>
      <c r="K170" s="80"/>
      <c r="L170" s="51" t="s">
        <v>78</v>
      </c>
      <c r="M170" s="79">
        <v>44818</v>
      </c>
      <c r="N170" s="51"/>
      <c r="O170" s="80"/>
      <c r="P170" s="82"/>
      <c r="Q170" s="80"/>
      <c r="R170" s="80"/>
      <c r="S170" s="82"/>
      <c r="T170" s="80"/>
      <c r="U170" s="80"/>
      <c r="V170" s="79"/>
      <c r="W170" s="80"/>
      <c r="X170" s="80"/>
    </row>
    <row r="171" spans="1:24" ht="42" customHeight="1">
      <c r="A171" s="80">
        <f t="shared" si="0"/>
        <v>169</v>
      </c>
      <c r="B171" s="51" t="str">
        <f t="shared" si="1"/>
        <v>MA</v>
      </c>
      <c r="C171" s="87" t="s">
        <v>2781</v>
      </c>
      <c r="D171" s="51" t="s">
        <v>119</v>
      </c>
      <c r="E171" s="80"/>
      <c r="F171" s="80"/>
      <c r="G171" s="75">
        <f>96899336960</f>
        <v>96899336960</v>
      </c>
      <c r="H171" s="80"/>
      <c r="I171" s="76"/>
      <c r="J171" s="80"/>
      <c r="K171" s="80"/>
      <c r="L171" s="51" t="s">
        <v>78</v>
      </c>
      <c r="M171" s="79">
        <v>44818</v>
      </c>
      <c r="N171" s="51" t="s">
        <v>2538</v>
      </c>
      <c r="O171" s="51" t="s">
        <v>78</v>
      </c>
      <c r="P171" s="79">
        <v>44891</v>
      </c>
      <c r="Q171" s="51" t="s">
        <v>2538</v>
      </c>
      <c r="R171" s="51" t="s">
        <v>78</v>
      </c>
      <c r="S171" s="79">
        <v>44900</v>
      </c>
      <c r="T171" s="51" t="s">
        <v>2699</v>
      </c>
      <c r="U171" s="80"/>
      <c r="V171" s="79"/>
      <c r="W171" s="80"/>
      <c r="X171" s="80"/>
    </row>
    <row r="172" spans="1:24" ht="42" customHeight="1">
      <c r="A172" s="80">
        <f t="shared" si="0"/>
        <v>170</v>
      </c>
      <c r="B172" s="51" t="str">
        <f t="shared" si="1"/>
        <v>MA</v>
      </c>
      <c r="C172" s="81" t="s">
        <v>2782</v>
      </c>
      <c r="D172" s="51" t="s">
        <v>627</v>
      </c>
      <c r="E172" s="80"/>
      <c r="F172" s="80"/>
      <c r="G172" s="75">
        <f>97137213800</f>
        <v>97137213800</v>
      </c>
      <c r="H172" s="80"/>
      <c r="I172" s="76"/>
      <c r="J172" s="51" t="s">
        <v>2783</v>
      </c>
      <c r="K172" s="80"/>
      <c r="L172" s="51" t="s">
        <v>78</v>
      </c>
      <c r="M172" s="79">
        <v>44818</v>
      </c>
      <c r="N172" s="51" t="s">
        <v>2538</v>
      </c>
      <c r="O172" s="51" t="s">
        <v>78</v>
      </c>
      <c r="P172" s="79">
        <v>44891</v>
      </c>
      <c r="Q172" s="51" t="s">
        <v>2545</v>
      </c>
      <c r="R172" s="51" t="s">
        <v>78</v>
      </c>
      <c r="S172" s="79">
        <v>44900</v>
      </c>
      <c r="T172" s="51" t="s">
        <v>2538</v>
      </c>
      <c r="U172" s="80"/>
      <c r="V172" s="79"/>
      <c r="W172" s="80"/>
      <c r="X172" s="80"/>
    </row>
    <row r="173" spans="1:24" ht="42" customHeight="1">
      <c r="A173" s="80">
        <f t="shared" si="0"/>
        <v>171</v>
      </c>
      <c r="B173" s="51" t="str">
        <f t="shared" si="1"/>
        <v>MA</v>
      </c>
      <c r="C173" s="51" t="s">
        <v>2784</v>
      </c>
      <c r="D173" s="51" t="s">
        <v>627</v>
      </c>
      <c r="E173" s="80"/>
      <c r="F173" s="80"/>
      <c r="G173" s="75">
        <f>97137857271</f>
        <v>97137857271</v>
      </c>
      <c r="H173" s="80"/>
      <c r="I173" s="76"/>
      <c r="J173" s="80"/>
      <c r="K173" s="80"/>
      <c r="L173" s="51" t="s">
        <v>78</v>
      </c>
      <c r="M173" s="79">
        <v>44818</v>
      </c>
      <c r="N173" s="51"/>
      <c r="O173" s="80"/>
      <c r="P173" s="82"/>
      <c r="Q173" s="80"/>
      <c r="R173" s="80"/>
      <c r="S173" s="82"/>
      <c r="T173" s="80"/>
      <c r="U173" s="80"/>
      <c r="V173" s="79"/>
      <c r="W173" s="80"/>
      <c r="X173" s="80"/>
    </row>
    <row r="174" spans="1:24" ht="42" customHeight="1">
      <c r="A174" s="80">
        <f t="shared" si="0"/>
        <v>172</v>
      </c>
      <c r="B174" s="51" t="str">
        <f t="shared" si="1"/>
        <v>MA</v>
      </c>
      <c r="C174" s="51" t="s">
        <v>2785</v>
      </c>
      <c r="D174" s="51" t="s">
        <v>627</v>
      </c>
      <c r="E174" s="80"/>
      <c r="F174" s="80"/>
      <c r="G174" s="75">
        <f>97137822227</f>
        <v>97137822227</v>
      </c>
      <c r="H174" s="80"/>
      <c r="I174" s="76"/>
      <c r="J174" s="80"/>
      <c r="K174" s="80"/>
      <c r="L174" s="51" t="s">
        <v>78</v>
      </c>
      <c r="M174" s="79">
        <v>44818</v>
      </c>
      <c r="N174" s="51"/>
      <c r="O174" s="80"/>
      <c r="P174" s="82"/>
      <c r="Q174" s="80"/>
      <c r="R174" s="80"/>
      <c r="S174" s="82"/>
      <c r="T174" s="80"/>
      <c r="U174" s="80"/>
      <c r="V174" s="79"/>
      <c r="W174" s="80"/>
      <c r="X174" s="80"/>
    </row>
    <row r="175" spans="1:24" ht="42" customHeight="1">
      <c r="A175" s="80">
        <f t="shared" si="0"/>
        <v>173</v>
      </c>
      <c r="B175" s="51" t="str">
        <f t="shared" si="1"/>
        <v>MA</v>
      </c>
      <c r="C175" s="51" t="s">
        <v>2786</v>
      </c>
      <c r="D175" s="51" t="s">
        <v>1428</v>
      </c>
      <c r="E175" s="80"/>
      <c r="F175" s="80"/>
      <c r="G175" s="75"/>
      <c r="H175" s="80"/>
      <c r="I175" s="76"/>
      <c r="J175" s="80"/>
      <c r="K175" s="80"/>
      <c r="L175" s="51" t="s">
        <v>78</v>
      </c>
      <c r="M175" s="79">
        <v>44818</v>
      </c>
      <c r="N175" s="51"/>
      <c r="O175" s="80"/>
      <c r="P175" s="82"/>
      <c r="Q175" s="80"/>
      <c r="R175" s="80"/>
      <c r="S175" s="82"/>
      <c r="T175" s="80"/>
      <c r="U175" s="80"/>
      <c r="V175" s="79"/>
      <c r="W175" s="80"/>
      <c r="X175" s="80"/>
    </row>
    <row r="176" spans="1:24" ht="42" customHeight="1">
      <c r="A176" s="80">
        <f t="shared" si="0"/>
        <v>174</v>
      </c>
      <c r="B176" s="51" t="str">
        <f t="shared" si="1"/>
        <v>MA</v>
      </c>
      <c r="C176" s="51" t="s">
        <v>2787</v>
      </c>
      <c r="D176" s="51" t="s">
        <v>1428</v>
      </c>
      <c r="E176" s="80"/>
      <c r="F176" s="80"/>
      <c r="G176" s="75">
        <f>212523322462</f>
        <v>212523322462</v>
      </c>
      <c r="H176" s="80"/>
      <c r="I176" s="76"/>
      <c r="J176" s="80"/>
      <c r="K176" s="80"/>
      <c r="L176" s="51" t="s">
        <v>78</v>
      </c>
      <c r="M176" s="79">
        <v>44818</v>
      </c>
      <c r="N176" s="51"/>
      <c r="O176" s="80"/>
      <c r="P176" s="82"/>
      <c r="Q176" s="80"/>
      <c r="R176" s="80"/>
      <c r="S176" s="82"/>
      <c r="T176" s="80"/>
      <c r="U176" s="80"/>
      <c r="V176" s="79"/>
      <c r="W176" s="80"/>
      <c r="X176" s="80"/>
    </row>
    <row r="177" spans="1:24" ht="42" customHeight="1">
      <c r="A177" s="80">
        <f t="shared" si="0"/>
        <v>175</v>
      </c>
      <c r="B177" s="51" t="str">
        <f t="shared" si="1"/>
        <v>MA</v>
      </c>
      <c r="C177" s="51" t="s">
        <v>2788</v>
      </c>
      <c r="D177" s="51" t="s">
        <v>1428</v>
      </c>
      <c r="E177" s="80"/>
      <c r="F177" s="80"/>
      <c r="G177" s="75"/>
      <c r="H177" s="80"/>
      <c r="I177" s="76"/>
      <c r="J177" s="80"/>
      <c r="K177" s="80"/>
      <c r="L177" s="51" t="s">
        <v>78</v>
      </c>
      <c r="M177" s="79">
        <v>44818</v>
      </c>
      <c r="N177" s="51"/>
      <c r="O177" s="80"/>
      <c r="P177" s="82"/>
      <c r="Q177" s="80"/>
      <c r="R177" s="80"/>
      <c r="S177" s="82"/>
      <c r="T177" s="80"/>
      <c r="U177" s="80"/>
      <c r="V177" s="79"/>
      <c r="W177" s="80"/>
      <c r="X177" s="80"/>
    </row>
    <row r="178" spans="1:24" ht="42" customHeight="1">
      <c r="A178" s="80">
        <f t="shared" si="0"/>
        <v>176</v>
      </c>
      <c r="B178" s="51" t="str">
        <f t="shared" si="1"/>
        <v>MA</v>
      </c>
      <c r="C178" s="81" t="s">
        <v>2789</v>
      </c>
      <c r="D178" s="51" t="s">
        <v>725</v>
      </c>
      <c r="E178" s="80"/>
      <c r="F178" s="80"/>
      <c r="G178" s="75">
        <f>49610475012</f>
        <v>49610475012</v>
      </c>
      <c r="H178" s="51" t="s">
        <v>2790</v>
      </c>
      <c r="I178" s="76"/>
      <c r="J178" s="80"/>
      <c r="K178" s="80"/>
      <c r="L178" s="51"/>
      <c r="M178" s="79">
        <v>44828</v>
      </c>
      <c r="N178" s="80"/>
      <c r="O178" s="80"/>
      <c r="P178" s="82"/>
      <c r="Q178" s="80"/>
      <c r="R178" s="80"/>
      <c r="S178" s="82"/>
      <c r="T178" s="80"/>
      <c r="U178" s="80"/>
      <c r="V178" s="79"/>
      <c r="W178" s="80"/>
      <c r="X178" s="80"/>
    </row>
    <row r="179" spans="1:24" ht="42" customHeight="1">
      <c r="A179" s="80">
        <f t="shared" si="0"/>
        <v>177</v>
      </c>
      <c r="B179" s="51" t="str">
        <f t="shared" si="1"/>
        <v>MA</v>
      </c>
      <c r="C179" s="81" t="s">
        <v>2791</v>
      </c>
      <c r="D179" s="51" t="s">
        <v>725</v>
      </c>
      <c r="E179" s="80"/>
      <c r="F179" s="80"/>
      <c r="G179" s="75">
        <f>496980885057</f>
        <v>496980885057</v>
      </c>
      <c r="H179" s="51" t="s">
        <v>2792</v>
      </c>
      <c r="I179" s="76"/>
      <c r="J179" s="80"/>
      <c r="K179" s="80"/>
      <c r="L179" s="80"/>
      <c r="M179" s="79">
        <v>44828</v>
      </c>
      <c r="N179" s="80"/>
      <c r="O179" s="80"/>
      <c r="P179" s="82"/>
      <c r="Q179" s="80"/>
      <c r="R179" s="80"/>
      <c r="S179" s="82"/>
      <c r="T179" s="80"/>
      <c r="U179" s="80"/>
      <c r="V179" s="79"/>
      <c r="W179" s="80"/>
      <c r="X179" s="80"/>
    </row>
    <row r="180" spans="1:24" ht="42" customHeight="1">
      <c r="A180" s="80">
        <f t="shared" si="0"/>
        <v>178</v>
      </c>
      <c r="B180" s="51" t="str">
        <f t="shared" si="1"/>
        <v>MA</v>
      </c>
      <c r="C180" s="51" t="s">
        <v>2793</v>
      </c>
      <c r="D180" s="51" t="s">
        <v>1363</v>
      </c>
      <c r="E180" s="80"/>
      <c r="F180" s="80"/>
      <c r="G180" s="75">
        <f>213553926999</f>
        <v>213553926999</v>
      </c>
      <c r="H180" s="80"/>
      <c r="I180" s="76"/>
      <c r="J180" s="80"/>
      <c r="K180" s="80"/>
      <c r="L180" s="51" t="s">
        <v>78</v>
      </c>
      <c r="M180" s="79">
        <v>44818</v>
      </c>
      <c r="N180" s="51"/>
      <c r="O180" s="80"/>
      <c r="P180" s="82"/>
      <c r="Q180" s="80"/>
      <c r="R180" s="80"/>
      <c r="S180" s="82"/>
      <c r="T180" s="80"/>
      <c r="U180" s="80"/>
      <c r="V180" s="79"/>
      <c r="W180" s="80"/>
      <c r="X180" s="80"/>
    </row>
    <row r="181" spans="1:24" ht="42" customHeight="1">
      <c r="A181" s="80">
        <f t="shared" si="0"/>
        <v>179</v>
      </c>
      <c r="B181" s="51" t="str">
        <f t="shared" si="1"/>
        <v>MA</v>
      </c>
      <c r="C181" s="51" t="s">
        <v>2794</v>
      </c>
      <c r="D181" s="51" t="s">
        <v>992</v>
      </c>
      <c r="E181" s="80"/>
      <c r="F181" s="80"/>
      <c r="G181" s="75" t="s">
        <v>2795</v>
      </c>
      <c r="H181" s="80"/>
      <c r="I181" s="54" t="s">
        <v>2796</v>
      </c>
      <c r="J181" s="80"/>
      <c r="K181" s="51" t="s">
        <v>2797</v>
      </c>
      <c r="L181" s="51" t="s">
        <v>78</v>
      </c>
      <c r="M181" s="79">
        <v>44869</v>
      </c>
      <c r="N181" s="51" t="s">
        <v>2552</v>
      </c>
      <c r="O181" s="51" t="s">
        <v>78</v>
      </c>
      <c r="P181" s="79">
        <v>44862</v>
      </c>
      <c r="Q181" s="51" t="s">
        <v>2551</v>
      </c>
      <c r="R181" s="51" t="s">
        <v>7</v>
      </c>
      <c r="S181" s="79">
        <v>44904</v>
      </c>
      <c r="T181" s="51" t="s">
        <v>2551</v>
      </c>
      <c r="U181" s="80"/>
      <c r="V181" s="79"/>
      <c r="W181" s="80"/>
      <c r="X181" s="51" t="s">
        <v>2798</v>
      </c>
    </row>
    <row r="182" spans="1:24" ht="42" customHeight="1">
      <c r="A182" s="80">
        <f t="shared" si="0"/>
        <v>180</v>
      </c>
      <c r="B182" s="51" t="str">
        <f t="shared" si="1"/>
        <v>MA</v>
      </c>
      <c r="C182" s="51" t="s">
        <v>2799</v>
      </c>
      <c r="D182" s="51" t="s">
        <v>2800</v>
      </c>
      <c r="E182" s="80"/>
      <c r="F182" s="80"/>
      <c r="G182" s="75" t="s">
        <v>2801</v>
      </c>
      <c r="H182" s="80"/>
      <c r="I182" s="54"/>
      <c r="J182" s="80"/>
      <c r="K182" s="80"/>
      <c r="L182" s="51" t="s">
        <v>78</v>
      </c>
      <c r="M182" s="79">
        <v>44820</v>
      </c>
      <c r="N182" s="51" t="s">
        <v>2538</v>
      </c>
      <c r="O182" s="51" t="s">
        <v>78</v>
      </c>
      <c r="P182" s="79">
        <v>44862</v>
      </c>
      <c r="Q182" s="51" t="s">
        <v>2551</v>
      </c>
      <c r="R182" s="80"/>
      <c r="S182" s="82"/>
      <c r="T182" s="80"/>
      <c r="U182" s="80"/>
      <c r="V182" s="79"/>
      <c r="W182" s="80"/>
      <c r="X182" s="80"/>
    </row>
    <row r="183" spans="1:24" ht="42" customHeight="1">
      <c r="A183" s="80">
        <f t="shared" si="0"/>
        <v>181</v>
      </c>
      <c r="B183" s="51" t="str">
        <f t="shared" si="1"/>
        <v>MA</v>
      </c>
      <c r="C183" s="116" t="s">
        <v>2802</v>
      </c>
      <c r="D183" s="51" t="s">
        <v>2803</v>
      </c>
      <c r="E183" s="80"/>
      <c r="F183" s="80"/>
      <c r="G183" s="75" t="s">
        <v>2804</v>
      </c>
      <c r="H183" s="51" t="s">
        <v>2805</v>
      </c>
      <c r="I183" s="76"/>
      <c r="J183" s="80"/>
      <c r="K183" s="80"/>
      <c r="L183" s="51" t="s">
        <v>78</v>
      </c>
      <c r="M183" s="79">
        <v>44869</v>
      </c>
      <c r="N183" s="51" t="s">
        <v>2561</v>
      </c>
      <c r="O183" s="51" t="s">
        <v>78</v>
      </c>
      <c r="P183" s="79">
        <v>44862</v>
      </c>
      <c r="Q183" s="51" t="s">
        <v>2551</v>
      </c>
      <c r="R183" s="80"/>
      <c r="S183" s="82"/>
      <c r="T183" s="80"/>
      <c r="U183" s="80"/>
      <c r="V183" s="79"/>
      <c r="W183" s="80"/>
      <c r="X183" s="51" t="s">
        <v>2806</v>
      </c>
    </row>
    <row r="184" spans="1:24" ht="42" customHeight="1">
      <c r="A184" s="80">
        <f t="shared" si="0"/>
        <v>182</v>
      </c>
      <c r="B184" s="51" t="str">
        <f t="shared" si="1"/>
        <v>MA</v>
      </c>
      <c r="C184" s="51" t="s">
        <v>2807</v>
      </c>
      <c r="D184" s="51" t="s">
        <v>2803</v>
      </c>
      <c r="E184" s="80"/>
      <c r="F184" s="80"/>
      <c r="G184" s="75" t="s">
        <v>2808</v>
      </c>
      <c r="H184" s="51" t="s">
        <v>2809</v>
      </c>
      <c r="I184" s="76"/>
      <c r="J184" s="80"/>
      <c r="K184" s="80"/>
      <c r="L184" s="51" t="s">
        <v>78</v>
      </c>
      <c r="M184" s="79">
        <v>44820</v>
      </c>
      <c r="N184" s="51"/>
      <c r="O184" s="51" t="s">
        <v>98</v>
      </c>
      <c r="P184" s="79">
        <v>44862</v>
      </c>
      <c r="Q184" s="51" t="s">
        <v>2561</v>
      </c>
      <c r="R184" s="80"/>
      <c r="S184" s="82"/>
      <c r="T184" s="80"/>
      <c r="U184" s="80"/>
      <c r="V184" s="79"/>
      <c r="W184" s="80"/>
      <c r="X184" s="80"/>
    </row>
    <row r="185" spans="1:24" ht="42" customHeight="1">
      <c r="A185" s="80">
        <f t="shared" si="0"/>
        <v>183</v>
      </c>
      <c r="B185" s="51" t="str">
        <f t="shared" si="1"/>
        <v>MA</v>
      </c>
      <c r="C185" s="51" t="s">
        <v>2810</v>
      </c>
      <c r="D185" s="51" t="s">
        <v>2803</v>
      </c>
      <c r="E185" s="80"/>
      <c r="F185" s="80"/>
      <c r="G185" s="75" t="s">
        <v>2811</v>
      </c>
      <c r="H185" s="80"/>
      <c r="I185" s="76"/>
      <c r="J185" s="80"/>
      <c r="K185" s="80"/>
      <c r="L185" s="51" t="s">
        <v>78</v>
      </c>
      <c r="M185" s="79">
        <v>44820</v>
      </c>
      <c r="N185" s="51"/>
      <c r="O185" s="51" t="s">
        <v>78</v>
      </c>
      <c r="P185" s="79">
        <v>44838</v>
      </c>
      <c r="Q185" s="51" t="s">
        <v>2538</v>
      </c>
      <c r="R185" s="80"/>
      <c r="S185" s="82"/>
      <c r="T185" s="80"/>
      <c r="U185" s="80"/>
      <c r="V185" s="79"/>
      <c r="W185" s="80"/>
      <c r="X185" s="80"/>
    </row>
    <row r="186" spans="1:24" ht="42" customHeight="1">
      <c r="A186" s="80">
        <f t="shared" si="0"/>
        <v>184</v>
      </c>
      <c r="B186" s="51" t="str">
        <f t="shared" si="1"/>
        <v>MA</v>
      </c>
      <c r="C186" s="51" t="s">
        <v>2812</v>
      </c>
      <c r="D186" s="51" t="s">
        <v>2803</v>
      </c>
      <c r="E186" s="80"/>
      <c r="F186" s="80"/>
      <c r="G186" s="75"/>
      <c r="H186" s="80"/>
      <c r="I186" s="76"/>
      <c r="J186" s="80"/>
      <c r="K186" s="80"/>
      <c r="L186" s="51" t="s">
        <v>78</v>
      </c>
      <c r="M186" s="79">
        <v>44820</v>
      </c>
      <c r="N186" s="51"/>
      <c r="O186" s="80"/>
      <c r="P186" s="82"/>
      <c r="Q186" s="80"/>
      <c r="R186" s="80"/>
      <c r="S186" s="82"/>
      <c r="T186" s="80"/>
      <c r="U186" s="80"/>
      <c r="V186" s="79"/>
      <c r="W186" s="80"/>
      <c r="X186" s="80"/>
    </row>
    <row r="187" spans="1:24" ht="42" customHeight="1">
      <c r="A187" s="80">
        <f t="shared" si="0"/>
        <v>185</v>
      </c>
      <c r="B187" s="51" t="str">
        <f t="shared" si="1"/>
        <v>MA</v>
      </c>
      <c r="C187" s="51" t="s">
        <v>2813</v>
      </c>
      <c r="D187" s="51" t="s">
        <v>2803</v>
      </c>
      <c r="E187" s="80"/>
      <c r="F187" s="80"/>
      <c r="G187" s="75" t="s">
        <v>2814</v>
      </c>
      <c r="H187" s="80"/>
      <c r="I187" s="54" t="s">
        <v>2815</v>
      </c>
      <c r="J187" s="80"/>
      <c r="K187" s="80"/>
      <c r="L187" s="51" t="s">
        <v>78</v>
      </c>
      <c r="M187" s="79">
        <v>44820</v>
      </c>
      <c r="N187" s="51"/>
      <c r="O187" s="51" t="s">
        <v>78</v>
      </c>
      <c r="P187" s="79">
        <v>44838</v>
      </c>
      <c r="Q187" s="51" t="s">
        <v>2552</v>
      </c>
      <c r="R187" s="80"/>
      <c r="S187" s="82"/>
      <c r="T187" s="80"/>
      <c r="U187" s="80"/>
      <c r="V187" s="79"/>
      <c r="W187" s="80"/>
      <c r="X187" s="80"/>
    </row>
    <row r="188" spans="1:24" ht="42" customHeight="1">
      <c r="A188" s="80">
        <f t="shared" si="0"/>
        <v>186</v>
      </c>
      <c r="B188" s="51" t="str">
        <f t="shared" si="1"/>
        <v>MA</v>
      </c>
      <c r="C188" s="51" t="s">
        <v>2816</v>
      </c>
      <c r="D188" s="51" t="s">
        <v>2803</v>
      </c>
      <c r="E188" s="80"/>
      <c r="F188" s="80"/>
      <c r="G188" s="117" t="s">
        <v>2817</v>
      </c>
      <c r="H188" s="51" t="s">
        <v>2818</v>
      </c>
      <c r="I188" s="76"/>
      <c r="J188" s="80"/>
      <c r="K188" s="80"/>
      <c r="L188" s="51" t="s">
        <v>78</v>
      </c>
      <c r="M188" s="79">
        <v>44820</v>
      </c>
      <c r="N188" s="51"/>
      <c r="O188" s="51" t="s">
        <v>78</v>
      </c>
      <c r="P188" s="79">
        <v>44838</v>
      </c>
      <c r="Q188" s="51" t="s">
        <v>2538</v>
      </c>
      <c r="R188" s="80"/>
      <c r="S188" s="82"/>
      <c r="T188" s="80"/>
      <c r="U188" s="80"/>
      <c r="V188" s="79"/>
      <c r="W188" s="80"/>
      <c r="X188" s="80"/>
    </row>
    <row r="189" spans="1:24" ht="42" customHeight="1">
      <c r="A189" s="80">
        <f t="shared" si="0"/>
        <v>187</v>
      </c>
      <c r="B189" s="51" t="str">
        <f t="shared" si="1"/>
        <v>MA</v>
      </c>
      <c r="C189" s="51" t="s">
        <v>2819</v>
      </c>
      <c r="D189" s="51" t="s">
        <v>2803</v>
      </c>
      <c r="E189" s="80"/>
      <c r="F189" s="80"/>
      <c r="G189" s="75" t="s">
        <v>2820</v>
      </c>
      <c r="H189" s="51" t="s">
        <v>2821</v>
      </c>
      <c r="I189" s="76"/>
      <c r="J189" s="96" t="s">
        <v>2822</v>
      </c>
      <c r="K189" s="118" t="s">
        <v>2823</v>
      </c>
      <c r="L189" s="51" t="s">
        <v>78</v>
      </c>
      <c r="M189" s="79">
        <v>44820</v>
      </c>
      <c r="N189" s="51"/>
      <c r="O189" s="51" t="s">
        <v>78</v>
      </c>
      <c r="P189" s="79">
        <v>44838</v>
      </c>
      <c r="Q189" s="51" t="s">
        <v>2742</v>
      </c>
      <c r="R189" s="80"/>
      <c r="S189" s="82"/>
      <c r="T189" s="80"/>
      <c r="U189" s="80"/>
      <c r="V189" s="79"/>
      <c r="W189" s="80"/>
      <c r="X189" s="80"/>
    </row>
    <row r="190" spans="1:24" ht="42" customHeight="1">
      <c r="A190" s="80">
        <f t="shared" si="0"/>
        <v>188</v>
      </c>
      <c r="B190" s="51" t="str">
        <f t="shared" si="1"/>
        <v>MA</v>
      </c>
      <c r="C190" s="51" t="s">
        <v>2824</v>
      </c>
      <c r="D190" s="51" t="s">
        <v>2803</v>
      </c>
      <c r="E190" s="80"/>
      <c r="F190" s="80"/>
      <c r="G190" s="75" t="s">
        <v>2825</v>
      </c>
      <c r="H190" s="55" t="s">
        <v>2826</v>
      </c>
      <c r="I190" s="54" t="s">
        <v>2827</v>
      </c>
      <c r="J190" s="96" t="s">
        <v>2828</v>
      </c>
      <c r="K190" s="80"/>
      <c r="L190" s="51" t="s">
        <v>78</v>
      </c>
      <c r="M190" s="79">
        <v>44820</v>
      </c>
      <c r="N190" s="51"/>
      <c r="O190" s="51" t="s">
        <v>78</v>
      </c>
      <c r="P190" s="79">
        <v>44838</v>
      </c>
      <c r="Q190" s="51" t="s">
        <v>2538</v>
      </c>
      <c r="R190" s="80"/>
      <c r="S190" s="82"/>
      <c r="T190" s="80"/>
      <c r="U190" s="80"/>
      <c r="V190" s="79"/>
      <c r="W190" s="80"/>
      <c r="X190" s="80"/>
    </row>
    <row r="191" spans="1:24" ht="42" customHeight="1">
      <c r="A191" s="80">
        <f t="shared" si="0"/>
        <v>189</v>
      </c>
      <c r="B191" s="51" t="str">
        <f t="shared" si="1"/>
        <v>MA</v>
      </c>
      <c r="C191" s="51" t="s">
        <v>2829</v>
      </c>
      <c r="D191" s="51" t="s">
        <v>2803</v>
      </c>
      <c r="E191" s="80"/>
      <c r="F191" s="80"/>
      <c r="G191" s="75" t="s">
        <v>2830</v>
      </c>
      <c r="H191" s="119" t="s">
        <v>2831</v>
      </c>
      <c r="I191" s="76"/>
      <c r="J191" s="80"/>
      <c r="K191" s="80"/>
      <c r="L191" s="51" t="s">
        <v>78</v>
      </c>
      <c r="M191" s="79">
        <v>44820</v>
      </c>
      <c r="N191" s="51"/>
      <c r="O191" s="51" t="s">
        <v>78</v>
      </c>
      <c r="P191" s="79">
        <v>44838</v>
      </c>
      <c r="Q191" s="51" t="s">
        <v>2538</v>
      </c>
      <c r="R191" s="80"/>
      <c r="S191" s="82"/>
      <c r="T191" s="80"/>
      <c r="U191" s="80"/>
      <c r="V191" s="79"/>
      <c r="W191" s="80"/>
      <c r="X191" s="80"/>
    </row>
    <row r="192" spans="1:24" ht="42" customHeight="1">
      <c r="A192" s="80">
        <f t="shared" si="0"/>
        <v>190</v>
      </c>
      <c r="B192" s="51" t="str">
        <f t="shared" si="1"/>
        <v>MA</v>
      </c>
      <c r="C192" s="51" t="s">
        <v>2832</v>
      </c>
      <c r="D192" s="51" t="s">
        <v>2803</v>
      </c>
      <c r="E192" s="80"/>
      <c r="F192" s="80"/>
      <c r="G192" s="75" t="s">
        <v>2833</v>
      </c>
      <c r="H192" s="80"/>
      <c r="I192" s="76"/>
      <c r="J192" s="80"/>
      <c r="K192" s="80"/>
      <c r="L192" s="51" t="s">
        <v>78</v>
      </c>
      <c r="M192" s="79">
        <v>44820</v>
      </c>
      <c r="N192" s="51"/>
      <c r="O192" s="80"/>
      <c r="P192" s="82"/>
      <c r="Q192" s="80"/>
      <c r="R192" s="80"/>
      <c r="S192" s="82"/>
      <c r="T192" s="80"/>
      <c r="U192" s="80"/>
      <c r="V192" s="79"/>
      <c r="W192" s="80"/>
      <c r="X192" s="80"/>
    </row>
    <row r="193" spans="1:24" ht="42" customHeight="1">
      <c r="A193" s="80">
        <f t="shared" si="0"/>
        <v>191</v>
      </c>
      <c r="B193" s="51" t="str">
        <f t="shared" si="1"/>
        <v>MA</v>
      </c>
      <c r="C193" s="51" t="s">
        <v>2834</v>
      </c>
      <c r="D193" s="51" t="s">
        <v>2803</v>
      </c>
      <c r="E193" s="80"/>
      <c r="F193" s="80"/>
      <c r="G193" s="75" t="s">
        <v>2835</v>
      </c>
      <c r="H193" s="80"/>
      <c r="I193" s="76"/>
      <c r="J193" s="80"/>
      <c r="K193" s="80"/>
      <c r="L193" s="51" t="s">
        <v>78</v>
      </c>
      <c r="M193" s="79">
        <v>44820</v>
      </c>
      <c r="N193" s="51"/>
      <c r="O193" s="80"/>
      <c r="P193" s="82"/>
      <c r="Q193" s="80"/>
      <c r="R193" s="80"/>
      <c r="S193" s="82"/>
      <c r="T193" s="80"/>
      <c r="U193" s="80"/>
      <c r="V193" s="79"/>
      <c r="W193" s="80"/>
      <c r="X193" s="80"/>
    </row>
    <row r="194" spans="1:24" ht="42" customHeight="1">
      <c r="A194" s="80">
        <f t="shared" si="0"/>
        <v>192</v>
      </c>
      <c r="B194" s="51" t="str">
        <f t="shared" si="1"/>
        <v>MA</v>
      </c>
      <c r="C194" s="51" t="s">
        <v>2836</v>
      </c>
      <c r="D194" s="51" t="s">
        <v>2803</v>
      </c>
      <c r="E194" s="80"/>
      <c r="F194" s="80"/>
      <c r="G194" s="75"/>
      <c r="H194" s="80"/>
      <c r="I194" s="76"/>
      <c r="J194" s="80"/>
      <c r="K194" s="80"/>
      <c r="L194" s="51" t="s">
        <v>78</v>
      </c>
      <c r="M194" s="79">
        <v>44820</v>
      </c>
      <c r="N194" s="51"/>
      <c r="O194" s="80"/>
      <c r="P194" s="82"/>
      <c r="Q194" s="80"/>
      <c r="R194" s="80"/>
      <c r="S194" s="82"/>
      <c r="T194" s="80"/>
      <c r="U194" s="80"/>
      <c r="V194" s="79"/>
      <c r="W194" s="80"/>
      <c r="X194" s="51" t="s">
        <v>2837</v>
      </c>
    </row>
    <row r="195" spans="1:24" ht="42" customHeight="1">
      <c r="A195" s="80">
        <f t="shared" si="0"/>
        <v>193</v>
      </c>
      <c r="B195" s="51" t="str">
        <f t="shared" si="1"/>
        <v>MA</v>
      </c>
      <c r="C195" s="51" t="s">
        <v>2838</v>
      </c>
      <c r="D195" s="51" t="s">
        <v>2839</v>
      </c>
      <c r="E195" s="80"/>
      <c r="F195" s="80"/>
      <c r="G195" s="120" t="s">
        <v>2840</v>
      </c>
      <c r="H195" s="51" t="s">
        <v>2841</v>
      </c>
      <c r="I195" s="76"/>
      <c r="J195" s="80"/>
      <c r="K195" s="80"/>
      <c r="L195" s="51" t="s">
        <v>78</v>
      </c>
      <c r="M195" s="79">
        <v>44820</v>
      </c>
      <c r="N195" s="51"/>
      <c r="O195" s="51" t="s">
        <v>78</v>
      </c>
      <c r="P195" s="79">
        <v>44852</v>
      </c>
      <c r="Q195" s="51" t="s">
        <v>2566</v>
      </c>
      <c r="R195" s="80"/>
      <c r="S195" s="82"/>
      <c r="T195" s="80"/>
      <c r="U195" s="80"/>
      <c r="V195" s="79"/>
      <c r="W195" s="80"/>
      <c r="X195" s="51" t="s">
        <v>2842</v>
      </c>
    </row>
    <row r="196" spans="1:24" ht="42" customHeight="1">
      <c r="A196" s="80">
        <f t="shared" si="0"/>
        <v>194</v>
      </c>
      <c r="B196" s="51" t="str">
        <f t="shared" si="1"/>
        <v>MA</v>
      </c>
      <c r="C196" s="51" t="s">
        <v>2843</v>
      </c>
      <c r="D196" s="51" t="s">
        <v>2839</v>
      </c>
      <c r="E196" s="80"/>
      <c r="F196" s="80"/>
      <c r="G196" s="75" t="s">
        <v>2844</v>
      </c>
      <c r="H196" s="51" t="s">
        <v>2845</v>
      </c>
      <c r="I196" s="76"/>
      <c r="J196" s="80"/>
      <c r="K196" s="80"/>
      <c r="L196" s="51" t="s">
        <v>78</v>
      </c>
      <c r="M196" s="79">
        <v>44820</v>
      </c>
      <c r="N196" s="51"/>
      <c r="O196" s="80"/>
      <c r="P196" s="82"/>
      <c r="Q196" s="80"/>
      <c r="R196" s="80"/>
      <c r="S196" s="82"/>
      <c r="T196" s="80"/>
      <c r="U196" s="80"/>
      <c r="V196" s="79"/>
      <c r="W196" s="80"/>
      <c r="X196" s="51" t="s">
        <v>2846</v>
      </c>
    </row>
    <row r="197" spans="1:24" ht="42" customHeight="1">
      <c r="A197" s="80">
        <f t="shared" si="0"/>
        <v>195</v>
      </c>
      <c r="B197" s="51" t="str">
        <f t="shared" si="1"/>
        <v>MA</v>
      </c>
      <c r="C197" s="51" t="s">
        <v>2847</v>
      </c>
      <c r="D197" s="51" t="s">
        <v>2839</v>
      </c>
      <c r="E197" s="80"/>
      <c r="F197" s="80"/>
      <c r="G197" s="75" t="s">
        <v>2848</v>
      </c>
      <c r="H197" s="80"/>
      <c r="I197" s="76"/>
      <c r="J197" s="80"/>
      <c r="K197" s="80"/>
      <c r="L197" s="51" t="s">
        <v>78</v>
      </c>
      <c r="M197" s="79">
        <v>44820</v>
      </c>
      <c r="N197" s="51"/>
      <c r="O197" s="80"/>
      <c r="P197" s="82"/>
      <c r="Q197" s="80"/>
      <c r="R197" s="80"/>
      <c r="S197" s="82"/>
      <c r="T197" s="80"/>
      <c r="U197" s="80"/>
      <c r="V197" s="79"/>
      <c r="W197" s="80"/>
      <c r="X197" s="80"/>
    </row>
    <row r="198" spans="1:24" ht="42" customHeight="1">
      <c r="A198" s="80">
        <f t="shared" si="0"/>
        <v>196</v>
      </c>
      <c r="B198" s="51" t="str">
        <f t="shared" si="1"/>
        <v>MA</v>
      </c>
      <c r="C198" s="51" t="s">
        <v>2849</v>
      </c>
      <c r="D198" s="51" t="s">
        <v>2839</v>
      </c>
      <c r="E198" s="80"/>
      <c r="F198" s="80"/>
      <c r="G198" s="75" t="s">
        <v>2850</v>
      </c>
      <c r="H198" s="51" t="s">
        <v>2851</v>
      </c>
      <c r="I198" s="76"/>
      <c r="J198" s="80"/>
      <c r="K198" s="80"/>
      <c r="L198" s="51" t="s">
        <v>78</v>
      </c>
      <c r="M198" s="79">
        <v>44820</v>
      </c>
      <c r="N198" s="51"/>
      <c r="O198" s="80"/>
      <c r="P198" s="82"/>
      <c r="Q198" s="80"/>
      <c r="R198" s="80"/>
      <c r="S198" s="82"/>
      <c r="T198" s="80"/>
      <c r="U198" s="80"/>
      <c r="V198" s="79"/>
      <c r="W198" s="80"/>
      <c r="X198" s="80"/>
    </row>
    <row r="199" spans="1:24" ht="42" customHeight="1">
      <c r="A199" s="80">
        <f t="shared" si="0"/>
        <v>197</v>
      </c>
      <c r="B199" s="51" t="str">
        <f t="shared" si="1"/>
        <v>MA</v>
      </c>
      <c r="C199" s="121" t="s">
        <v>2852</v>
      </c>
      <c r="D199" s="51" t="s">
        <v>2839</v>
      </c>
      <c r="E199" s="80"/>
      <c r="F199" s="80"/>
      <c r="G199" s="75" t="s">
        <v>2853</v>
      </c>
      <c r="H199" s="80"/>
      <c r="I199" s="76"/>
      <c r="J199" s="80"/>
      <c r="K199" s="80"/>
      <c r="L199" s="51" t="s">
        <v>78</v>
      </c>
      <c r="M199" s="79">
        <v>44820</v>
      </c>
      <c r="N199" s="51"/>
      <c r="O199" s="80"/>
      <c r="P199" s="82"/>
      <c r="Q199" s="80"/>
      <c r="R199" s="80"/>
      <c r="S199" s="82"/>
      <c r="T199" s="80"/>
      <c r="U199" s="80"/>
      <c r="V199" s="79"/>
      <c r="W199" s="80"/>
      <c r="X199" s="80"/>
    </row>
    <row r="200" spans="1:24" ht="42" customHeight="1">
      <c r="A200" s="80">
        <f t="shared" si="0"/>
        <v>198</v>
      </c>
      <c r="B200" s="51" t="str">
        <f t="shared" si="1"/>
        <v>MA</v>
      </c>
      <c r="C200" s="81" t="s">
        <v>2854</v>
      </c>
      <c r="D200" s="51" t="s">
        <v>995</v>
      </c>
      <c r="E200" s="80"/>
      <c r="F200" s="80"/>
      <c r="G200" s="75"/>
      <c r="H200" s="80"/>
      <c r="I200" s="76"/>
      <c r="J200" s="80"/>
      <c r="K200" s="80"/>
      <c r="L200" s="51" t="s">
        <v>78</v>
      </c>
      <c r="M200" s="79">
        <v>44820</v>
      </c>
      <c r="N200" s="51"/>
      <c r="O200" s="80"/>
      <c r="P200" s="82"/>
      <c r="Q200" s="80"/>
      <c r="R200" s="80"/>
      <c r="S200" s="82"/>
      <c r="T200" s="80"/>
      <c r="U200" s="80"/>
      <c r="V200" s="79"/>
      <c r="W200" s="80"/>
      <c r="X200" s="80"/>
    </row>
    <row r="201" spans="1:24" ht="42" customHeight="1">
      <c r="A201" s="80">
        <f t="shared" si="0"/>
        <v>199</v>
      </c>
      <c r="B201" s="51" t="str">
        <f t="shared" si="1"/>
        <v>MA</v>
      </c>
      <c r="C201" s="116" t="s">
        <v>994</v>
      </c>
      <c r="D201" s="51" t="s">
        <v>995</v>
      </c>
      <c r="E201" s="80"/>
      <c r="F201" s="80"/>
      <c r="G201" s="75" t="s">
        <v>2855</v>
      </c>
      <c r="H201" s="80"/>
      <c r="I201" s="76"/>
      <c r="J201" s="80"/>
      <c r="K201" s="80"/>
      <c r="L201" s="51" t="s">
        <v>78</v>
      </c>
      <c r="M201" s="79">
        <v>44820</v>
      </c>
      <c r="N201" s="51" t="s">
        <v>2551</v>
      </c>
      <c r="O201" s="51" t="s">
        <v>98</v>
      </c>
      <c r="P201" s="79">
        <v>44862</v>
      </c>
      <c r="Q201" s="51" t="s">
        <v>2560</v>
      </c>
      <c r="R201" s="51" t="s">
        <v>78</v>
      </c>
      <c r="S201" s="79">
        <v>44904</v>
      </c>
      <c r="T201" s="51" t="s">
        <v>2635</v>
      </c>
      <c r="U201" s="80"/>
      <c r="V201" s="79"/>
      <c r="W201" s="80"/>
      <c r="X201" s="80"/>
    </row>
    <row r="202" spans="1:24" ht="42" customHeight="1">
      <c r="A202" s="80">
        <f t="shared" si="0"/>
        <v>200</v>
      </c>
      <c r="B202" s="51" t="str">
        <f t="shared" si="1"/>
        <v>MA</v>
      </c>
      <c r="C202" s="81" t="s">
        <v>2856</v>
      </c>
      <c r="D202" s="51" t="s">
        <v>995</v>
      </c>
      <c r="E202" s="80"/>
      <c r="F202" s="80"/>
      <c r="G202" s="75" t="s">
        <v>2857</v>
      </c>
      <c r="H202" s="80"/>
      <c r="I202" s="76"/>
      <c r="J202" s="80"/>
      <c r="K202" s="80"/>
      <c r="L202" s="51" t="s">
        <v>78</v>
      </c>
      <c r="M202" s="79">
        <v>44820</v>
      </c>
      <c r="N202" s="51" t="s">
        <v>2538</v>
      </c>
      <c r="O202" s="51" t="s">
        <v>78</v>
      </c>
      <c r="P202" s="79">
        <v>44904</v>
      </c>
      <c r="Q202" s="51" t="s">
        <v>2858</v>
      </c>
      <c r="R202" s="80"/>
      <c r="S202" s="82"/>
      <c r="T202" s="80"/>
      <c r="U202" s="80"/>
      <c r="V202" s="79"/>
      <c r="W202" s="80"/>
      <c r="X202" s="80"/>
    </row>
    <row r="203" spans="1:24" ht="42" customHeight="1">
      <c r="A203" s="80">
        <f t="shared" si="0"/>
        <v>201</v>
      </c>
      <c r="B203" s="51" t="str">
        <f t="shared" si="1"/>
        <v>MA</v>
      </c>
      <c r="C203" s="81" t="s">
        <v>2859</v>
      </c>
      <c r="D203" s="51" t="s">
        <v>2860</v>
      </c>
      <c r="E203" s="80"/>
      <c r="F203" s="80"/>
      <c r="G203" s="75"/>
      <c r="H203" s="80"/>
      <c r="I203" s="76"/>
      <c r="J203" s="80"/>
      <c r="K203" s="80"/>
      <c r="L203" s="51" t="s">
        <v>78</v>
      </c>
      <c r="M203" s="79">
        <v>44820</v>
      </c>
      <c r="N203" s="51"/>
      <c r="O203" s="80"/>
      <c r="P203" s="82"/>
      <c r="Q203" s="80"/>
      <c r="R203" s="80"/>
      <c r="S203" s="82"/>
      <c r="T203" s="80"/>
      <c r="U203" s="80"/>
      <c r="V203" s="79"/>
      <c r="W203" s="80"/>
      <c r="X203" s="80"/>
    </row>
    <row r="204" spans="1:24" ht="42" customHeight="1">
      <c r="A204" s="80">
        <f t="shared" si="0"/>
        <v>202</v>
      </c>
      <c r="B204" s="51" t="str">
        <f t="shared" si="1"/>
        <v>MA</v>
      </c>
      <c r="C204" s="81" t="s">
        <v>2861</v>
      </c>
      <c r="D204" s="51" t="s">
        <v>2860</v>
      </c>
      <c r="E204" s="80"/>
      <c r="F204" s="80"/>
      <c r="G204" s="75" t="s">
        <v>2862</v>
      </c>
      <c r="H204" s="80"/>
      <c r="I204" s="76"/>
      <c r="J204" s="80"/>
      <c r="K204" s="80"/>
      <c r="L204" s="51" t="s">
        <v>78</v>
      </c>
      <c r="M204" s="79">
        <v>44820</v>
      </c>
      <c r="N204" s="51"/>
      <c r="O204" s="80"/>
      <c r="P204" s="82"/>
      <c r="Q204" s="80"/>
      <c r="R204" s="80"/>
      <c r="S204" s="82"/>
      <c r="T204" s="80"/>
      <c r="U204" s="80"/>
      <c r="V204" s="79"/>
      <c r="W204" s="80"/>
      <c r="X204" s="80"/>
    </row>
    <row r="205" spans="1:24" ht="42" customHeight="1">
      <c r="A205" s="80">
        <f t="shared" si="0"/>
        <v>203</v>
      </c>
      <c r="B205" s="51" t="str">
        <f t="shared" si="1"/>
        <v>MA</v>
      </c>
      <c r="C205" s="51" t="s">
        <v>2863</v>
      </c>
      <c r="D205" s="51" t="s">
        <v>2864</v>
      </c>
      <c r="E205" s="80"/>
      <c r="F205" s="80"/>
      <c r="G205" s="75" t="s">
        <v>2865</v>
      </c>
      <c r="H205" s="80"/>
      <c r="I205" s="76"/>
      <c r="J205" s="80"/>
      <c r="K205" s="80"/>
      <c r="L205" s="51" t="s">
        <v>78</v>
      </c>
      <c r="M205" s="79">
        <v>44820</v>
      </c>
      <c r="N205" s="51"/>
      <c r="O205" s="80"/>
      <c r="P205" s="82"/>
      <c r="Q205" s="80"/>
      <c r="R205" s="80"/>
      <c r="S205" s="82"/>
      <c r="T205" s="80"/>
      <c r="U205" s="80"/>
      <c r="V205" s="79"/>
      <c r="W205" s="80"/>
      <c r="X205" s="80"/>
    </row>
    <row r="206" spans="1:24" ht="42" customHeight="1">
      <c r="A206" s="80">
        <f t="shared" si="0"/>
        <v>204</v>
      </c>
      <c r="B206" s="51" t="str">
        <f t="shared" si="1"/>
        <v>MA</v>
      </c>
      <c r="C206" s="51" t="s">
        <v>2866</v>
      </c>
      <c r="D206" s="51" t="s">
        <v>2864</v>
      </c>
      <c r="E206" s="80"/>
      <c r="F206" s="80"/>
      <c r="G206" s="75" t="s">
        <v>2867</v>
      </c>
      <c r="H206" s="80"/>
      <c r="I206" s="76"/>
      <c r="J206" s="80"/>
      <c r="K206" s="80"/>
      <c r="L206" s="51" t="s">
        <v>78</v>
      </c>
      <c r="M206" s="79">
        <v>44820</v>
      </c>
      <c r="N206" s="51"/>
      <c r="O206" s="80"/>
      <c r="P206" s="82"/>
      <c r="Q206" s="80"/>
      <c r="R206" s="80"/>
      <c r="S206" s="82"/>
      <c r="T206" s="80"/>
      <c r="U206" s="80"/>
      <c r="V206" s="79"/>
      <c r="W206" s="80"/>
      <c r="X206" s="80"/>
    </row>
    <row r="207" spans="1:24" ht="42" customHeight="1">
      <c r="A207" s="80">
        <f t="shared" si="0"/>
        <v>205</v>
      </c>
      <c r="B207" s="51" t="str">
        <f t="shared" si="1"/>
        <v>MA</v>
      </c>
      <c r="C207" s="51" t="s">
        <v>2868</v>
      </c>
      <c r="D207" s="51" t="s">
        <v>2869</v>
      </c>
      <c r="E207" s="80"/>
      <c r="F207" s="80"/>
      <c r="G207" s="75" t="s">
        <v>2870</v>
      </c>
      <c r="H207" s="80"/>
      <c r="I207" s="76"/>
      <c r="J207" s="80"/>
      <c r="K207" s="80"/>
      <c r="L207" s="51" t="s">
        <v>78</v>
      </c>
      <c r="M207" s="79">
        <v>44820</v>
      </c>
      <c r="N207" s="51"/>
      <c r="O207" s="80"/>
      <c r="P207" s="82"/>
      <c r="Q207" s="80"/>
      <c r="R207" s="80"/>
      <c r="S207" s="82"/>
      <c r="T207" s="80"/>
      <c r="U207" s="80"/>
      <c r="V207" s="79"/>
      <c r="W207" s="80"/>
      <c r="X207" s="80"/>
    </row>
    <row r="208" spans="1:24" ht="42" customHeight="1">
      <c r="A208" s="80">
        <f t="shared" si="0"/>
        <v>206</v>
      </c>
      <c r="B208" s="51" t="str">
        <f t="shared" si="1"/>
        <v>MA</v>
      </c>
      <c r="C208" s="51" t="s">
        <v>2871</v>
      </c>
      <c r="D208" s="51" t="s">
        <v>998</v>
      </c>
      <c r="E208" s="80"/>
      <c r="F208" s="51">
        <v>255788360048</v>
      </c>
      <c r="G208" s="120" t="s">
        <v>2872</v>
      </c>
      <c r="H208" s="51" t="s">
        <v>2873</v>
      </c>
      <c r="I208" s="76"/>
      <c r="J208" s="80"/>
      <c r="K208" s="80"/>
      <c r="L208" s="51" t="s">
        <v>78</v>
      </c>
      <c r="M208" s="79">
        <v>44820</v>
      </c>
      <c r="N208" s="51" t="s">
        <v>2538</v>
      </c>
      <c r="O208" s="51" t="s">
        <v>78</v>
      </c>
      <c r="P208" s="79">
        <v>44862</v>
      </c>
      <c r="Q208" s="51" t="s">
        <v>2560</v>
      </c>
      <c r="R208" s="80"/>
      <c r="S208" s="82"/>
      <c r="T208" s="80"/>
      <c r="U208" s="80"/>
      <c r="V208" s="79"/>
      <c r="W208" s="80"/>
      <c r="X208" s="80"/>
    </row>
    <row r="209" spans="1:24" ht="42" customHeight="1">
      <c r="A209" s="80">
        <f t="shared" si="0"/>
        <v>207</v>
      </c>
      <c r="B209" s="51" t="str">
        <f t="shared" si="1"/>
        <v>MA</v>
      </c>
      <c r="C209" s="51" t="s">
        <v>2874</v>
      </c>
      <c r="D209" s="51" t="s">
        <v>1000</v>
      </c>
      <c r="E209" s="80"/>
      <c r="F209" s="80"/>
      <c r="G209" s="75" t="s">
        <v>2875</v>
      </c>
      <c r="H209" s="80"/>
      <c r="I209" s="122" t="s">
        <v>2876</v>
      </c>
      <c r="J209" s="80"/>
      <c r="K209" s="80"/>
      <c r="L209" s="51" t="s">
        <v>78</v>
      </c>
      <c r="M209" s="79">
        <v>44820</v>
      </c>
      <c r="N209" s="51" t="s">
        <v>2561</v>
      </c>
      <c r="O209" s="51" t="s">
        <v>98</v>
      </c>
      <c r="P209" s="79">
        <v>44862</v>
      </c>
      <c r="Q209" s="51" t="s">
        <v>2561</v>
      </c>
      <c r="R209" s="80"/>
      <c r="S209" s="82"/>
      <c r="T209" s="80"/>
      <c r="U209" s="80"/>
      <c r="V209" s="79"/>
      <c r="W209" s="80"/>
      <c r="X209" s="80"/>
    </row>
    <row r="210" spans="1:24" ht="42" customHeight="1">
      <c r="A210" s="80">
        <f t="shared" si="0"/>
        <v>208</v>
      </c>
      <c r="B210" s="51" t="str">
        <f t="shared" si="1"/>
        <v>MA</v>
      </c>
      <c r="C210" s="81" t="s">
        <v>2877</v>
      </c>
      <c r="D210" s="51" t="s">
        <v>1000</v>
      </c>
      <c r="E210" s="80"/>
      <c r="F210" s="80"/>
      <c r="G210" s="75" t="s">
        <v>2878</v>
      </c>
      <c r="H210" s="80"/>
      <c r="I210" s="76"/>
      <c r="J210" s="80"/>
      <c r="K210" s="80"/>
      <c r="L210" s="51" t="s">
        <v>78</v>
      </c>
      <c r="M210" s="79">
        <v>44820</v>
      </c>
      <c r="N210" s="51"/>
      <c r="O210" s="80"/>
      <c r="P210" s="82"/>
      <c r="Q210" s="80"/>
      <c r="R210" s="80"/>
      <c r="S210" s="82"/>
      <c r="T210" s="80"/>
      <c r="U210" s="80"/>
      <c r="V210" s="79"/>
      <c r="W210" s="80"/>
      <c r="X210" s="80"/>
    </row>
    <row r="211" spans="1:24" ht="42" customHeight="1">
      <c r="A211" s="80">
        <f t="shared" si="0"/>
        <v>209</v>
      </c>
      <c r="B211" s="51" t="str">
        <f t="shared" si="1"/>
        <v>MA</v>
      </c>
      <c r="C211" s="51" t="s">
        <v>2879</v>
      </c>
      <c r="D211" s="51" t="s">
        <v>1000</v>
      </c>
      <c r="E211" s="80"/>
      <c r="F211" s="80"/>
      <c r="G211" s="75" t="s">
        <v>2880</v>
      </c>
      <c r="H211" s="80"/>
      <c r="I211" s="76"/>
      <c r="J211" s="80"/>
      <c r="K211" s="80"/>
      <c r="L211" s="51" t="s">
        <v>78</v>
      </c>
      <c r="M211" s="79">
        <v>44820</v>
      </c>
      <c r="N211" s="51"/>
      <c r="O211" s="80"/>
      <c r="P211" s="82"/>
      <c r="Q211" s="80"/>
      <c r="R211" s="80"/>
      <c r="S211" s="82"/>
      <c r="T211" s="80"/>
      <c r="U211" s="80"/>
      <c r="V211" s="79"/>
      <c r="W211" s="80"/>
      <c r="X211" s="80"/>
    </row>
    <row r="212" spans="1:24" ht="42" customHeight="1">
      <c r="A212" s="80">
        <f t="shared" si="0"/>
        <v>210</v>
      </c>
      <c r="B212" s="51" t="str">
        <f t="shared" si="1"/>
        <v>MA</v>
      </c>
      <c r="C212" s="51" t="s">
        <v>2881</v>
      </c>
      <c r="D212" s="51" t="s">
        <v>1000</v>
      </c>
      <c r="E212" s="80"/>
      <c r="F212" s="80"/>
      <c r="G212" s="75" t="s">
        <v>2882</v>
      </c>
      <c r="H212" s="80"/>
      <c r="I212" s="76"/>
      <c r="J212" s="80"/>
      <c r="K212" s="80"/>
      <c r="L212" s="51" t="s">
        <v>78</v>
      </c>
      <c r="M212" s="79">
        <v>44820</v>
      </c>
      <c r="N212" s="51"/>
      <c r="O212" s="80"/>
      <c r="P212" s="82"/>
      <c r="Q212" s="80"/>
      <c r="R212" s="80"/>
      <c r="S212" s="82"/>
      <c r="T212" s="80"/>
      <c r="U212" s="80"/>
      <c r="V212" s="79"/>
      <c r="W212" s="80"/>
      <c r="X212" s="80"/>
    </row>
    <row r="213" spans="1:24" ht="42" customHeight="1">
      <c r="A213" s="80">
        <f t="shared" si="0"/>
        <v>211</v>
      </c>
      <c r="B213" s="51" t="str">
        <f t="shared" si="1"/>
        <v>MA</v>
      </c>
      <c r="C213" s="51" t="s">
        <v>2883</v>
      </c>
      <c r="D213" s="51" t="s">
        <v>1000</v>
      </c>
      <c r="E213" s="80"/>
      <c r="F213" s="80"/>
      <c r="G213" s="75" t="s">
        <v>2884</v>
      </c>
      <c r="H213" s="80"/>
      <c r="I213" s="76"/>
      <c r="J213" s="80"/>
      <c r="K213" s="80"/>
      <c r="L213" s="51" t="s">
        <v>78</v>
      </c>
      <c r="M213" s="79">
        <v>44820</v>
      </c>
      <c r="N213" s="51"/>
      <c r="O213" s="80"/>
      <c r="P213" s="82"/>
      <c r="Q213" s="80"/>
      <c r="R213" s="80"/>
      <c r="S213" s="82"/>
      <c r="T213" s="80"/>
      <c r="U213" s="80"/>
      <c r="V213" s="79"/>
      <c r="W213" s="80"/>
      <c r="X213" s="80"/>
    </row>
    <row r="214" spans="1:24" ht="42" customHeight="1">
      <c r="A214" s="80">
        <f t="shared" si="0"/>
        <v>212</v>
      </c>
      <c r="B214" s="51" t="str">
        <f t="shared" si="1"/>
        <v>MA</v>
      </c>
      <c r="C214" s="51" t="s">
        <v>2885</v>
      </c>
      <c r="D214" s="51" t="s">
        <v>2886</v>
      </c>
      <c r="E214" s="80"/>
      <c r="F214" s="80"/>
      <c r="G214" s="75"/>
      <c r="H214" s="80"/>
      <c r="I214" s="76"/>
      <c r="J214" s="80"/>
      <c r="K214" s="80"/>
      <c r="L214" s="51" t="s">
        <v>78</v>
      </c>
      <c r="M214" s="79">
        <v>44820</v>
      </c>
      <c r="N214" s="51"/>
      <c r="O214" s="80"/>
      <c r="P214" s="82"/>
      <c r="Q214" s="80"/>
      <c r="R214" s="80"/>
      <c r="S214" s="82"/>
      <c r="T214" s="80"/>
      <c r="U214" s="80"/>
      <c r="V214" s="79"/>
      <c r="W214" s="80"/>
      <c r="X214" s="80"/>
    </row>
    <row r="215" spans="1:24" ht="42" customHeight="1">
      <c r="A215" s="80">
        <f t="shared" si="0"/>
        <v>213</v>
      </c>
      <c r="B215" s="51" t="str">
        <f t="shared" si="1"/>
        <v>MA</v>
      </c>
      <c r="C215" s="51" t="s">
        <v>2887</v>
      </c>
      <c r="D215" s="51" t="s">
        <v>2839</v>
      </c>
      <c r="E215" s="80"/>
      <c r="F215" s="80"/>
      <c r="G215" s="75">
        <v>995577447378</v>
      </c>
      <c r="H215" s="80"/>
      <c r="I215" s="76"/>
      <c r="J215" s="80"/>
      <c r="K215" s="80"/>
      <c r="L215" s="51" t="s">
        <v>78</v>
      </c>
      <c r="M215" s="79">
        <v>44820</v>
      </c>
      <c r="N215" s="51"/>
      <c r="O215" s="80"/>
      <c r="P215" s="82"/>
      <c r="Q215" s="80"/>
      <c r="R215" s="80"/>
      <c r="S215" s="82"/>
      <c r="T215" s="80"/>
      <c r="U215" s="80"/>
      <c r="V215" s="79"/>
      <c r="W215" s="80"/>
      <c r="X215" s="80"/>
    </row>
    <row r="216" spans="1:24" ht="42" customHeight="1">
      <c r="A216" s="80">
        <f t="shared" si="0"/>
        <v>214</v>
      </c>
      <c r="B216" s="51" t="str">
        <f t="shared" si="1"/>
        <v>MA</v>
      </c>
      <c r="C216" s="51" t="s">
        <v>2888</v>
      </c>
      <c r="D216" s="51" t="s">
        <v>601</v>
      </c>
      <c r="E216" s="80"/>
      <c r="F216" s="80"/>
      <c r="G216" s="75">
        <v>967777322820</v>
      </c>
      <c r="H216" s="80"/>
      <c r="I216" s="76"/>
      <c r="J216" s="80"/>
      <c r="K216" s="80"/>
      <c r="L216" s="51" t="s">
        <v>78</v>
      </c>
      <c r="M216" s="79">
        <v>44820</v>
      </c>
      <c r="N216" s="51"/>
      <c r="O216" s="80"/>
      <c r="P216" s="82"/>
      <c r="Q216" s="80"/>
      <c r="R216" s="80"/>
      <c r="S216" s="82"/>
      <c r="T216" s="80"/>
      <c r="U216" s="80"/>
      <c r="V216" s="79"/>
      <c r="W216" s="80"/>
      <c r="X216" s="80"/>
    </row>
    <row r="217" spans="1:24" ht="42" customHeight="1">
      <c r="A217" s="80">
        <f t="shared" si="0"/>
        <v>215</v>
      </c>
      <c r="B217" s="51" t="str">
        <f t="shared" si="1"/>
        <v>MA</v>
      </c>
      <c r="C217" s="81" t="s">
        <v>2889</v>
      </c>
      <c r="D217" s="51" t="s">
        <v>459</v>
      </c>
      <c r="E217" s="80"/>
      <c r="F217" s="80"/>
      <c r="G217" s="75">
        <v>21627585503</v>
      </c>
      <c r="H217" s="51" t="s">
        <v>2890</v>
      </c>
      <c r="I217" s="76"/>
      <c r="J217" s="80"/>
      <c r="K217" s="80"/>
      <c r="L217" s="51" t="s">
        <v>78</v>
      </c>
      <c r="M217" s="79">
        <v>44820</v>
      </c>
      <c r="N217" s="51"/>
      <c r="O217" s="80"/>
      <c r="P217" s="82"/>
      <c r="Q217" s="80"/>
      <c r="R217" s="80"/>
      <c r="S217" s="82"/>
      <c r="T217" s="80"/>
      <c r="U217" s="80"/>
      <c r="V217" s="79"/>
      <c r="W217" s="80"/>
      <c r="X217" s="80"/>
    </row>
    <row r="218" spans="1:24" ht="42" customHeight="1">
      <c r="A218" s="80">
        <f t="shared" si="0"/>
        <v>216</v>
      </c>
      <c r="B218" s="51" t="str">
        <f t="shared" si="1"/>
        <v>MA</v>
      </c>
      <c r="C218" s="51" t="s">
        <v>2891</v>
      </c>
      <c r="D218" s="51" t="s">
        <v>1363</v>
      </c>
      <c r="E218" s="80"/>
      <c r="F218" s="80"/>
      <c r="G218" s="75">
        <v>5551444790</v>
      </c>
      <c r="H218" s="80"/>
      <c r="I218" s="76"/>
      <c r="J218" s="80"/>
      <c r="K218" s="80"/>
      <c r="L218" s="51" t="s">
        <v>78</v>
      </c>
      <c r="M218" s="79">
        <v>44820</v>
      </c>
      <c r="N218" s="51"/>
      <c r="O218" s="80"/>
      <c r="P218" s="82"/>
      <c r="Q218" s="80"/>
      <c r="R218" s="80"/>
      <c r="S218" s="82"/>
      <c r="T218" s="80"/>
      <c r="U218" s="80"/>
      <c r="V218" s="79"/>
      <c r="W218" s="80"/>
      <c r="X218" s="80"/>
    </row>
    <row r="219" spans="1:24" ht="42" customHeight="1">
      <c r="A219" s="80">
        <f t="shared" si="0"/>
        <v>217</v>
      </c>
      <c r="B219" s="51" t="str">
        <f t="shared" si="1"/>
        <v>MA</v>
      </c>
      <c r="C219" s="51" t="s">
        <v>2892</v>
      </c>
      <c r="D219" s="51" t="s">
        <v>2893</v>
      </c>
      <c r="E219" s="80"/>
      <c r="F219" s="80"/>
      <c r="G219" s="75" t="s">
        <v>2894</v>
      </c>
      <c r="H219" s="51" t="s">
        <v>2895</v>
      </c>
      <c r="I219" s="76"/>
      <c r="J219" s="80"/>
      <c r="K219" s="80"/>
      <c r="L219" s="51" t="s">
        <v>78</v>
      </c>
      <c r="M219" s="82"/>
      <c r="N219" s="80"/>
      <c r="O219" s="51" t="s">
        <v>78</v>
      </c>
      <c r="P219" s="79">
        <v>44862</v>
      </c>
      <c r="Q219" s="51" t="s">
        <v>2561</v>
      </c>
      <c r="R219" s="80"/>
      <c r="S219" s="82"/>
      <c r="T219" s="80"/>
      <c r="U219" s="80"/>
      <c r="V219" s="79"/>
      <c r="W219" s="80"/>
      <c r="X219" s="80"/>
    </row>
    <row r="220" spans="1:24" ht="42" customHeight="1">
      <c r="A220" s="80">
        <f t="shared" si="0"/>
        <v>218</v>
      </c>
      <c r="B220" s="51" t="str">
        <f t="shared" si="1"/>
        <v>MA</v>
      </c>
      <c r="C220" s="51" t="s">
        <v>2896</v>
      </c>
      <c r="D220" s="51" t="s">
        <v>397</v>
      </c>
      <c r="E220" s="80"/>
      <c r="F220" s="80"/>
      <c r="G220" s="75" t="s">
        <v>2897</v>
      </c>
      <c r="H220" s="51" t="s">
        <v>2898</v>
      </c>
      <c r="I220" s="76"/>
      <c r="J220" s="80"/>
      <c r="K220" s="80"/>
      <c r="L220" s="51" t="s">
        <v>78</v>
      </c>
      <c r="M220" s="79">
        <v>44823</v>
      </c>
      <c r="N220" s="51"/>
      <c r="O220" s="80"/>
      <c r="P220" s="82"/>
      <c r="Q220" s="80"/>
      <c r="R220" s="80"/>
      <c r="S220" s="82"/>
      <c r="T220" s="80"/>
      <c r="U220" s="80"/>
      <c r="V220" s="79"/>
      <c r="W220" s="80"/>
      <c r="X220" s="80"/>
    </row>
    <row r="221" spans="1:24" ht="42" customHeight="1">
      <c r="A221" s="80">
        <f t="shared" si="0"/>
        <v>219</v>
      </c>
      <c r="B221" s="51" t="str">
        <f t="shared" si="1"/>
        <v>MA</v>
      </c>
      <c r="C221" s="51" t="s">
        <v>603</v>
      </c>
      <c r="D221" s="51" t="s">
        <v>370</v>
      </c>
      <c r="E221" s="80"/>
      <c r="F221" s="80"/>
      <c r="G221" s="75">
        <v>97440067060</v>
      </c>
      <c r="H221" s="80"/>
      <c r="I221" s="76"/>
      <c r="J221" s="80"/>
      <c r="K221" s="80"/>
      <c r="L221" s="51" t="s">
        <v>78</v>
      </c>
      <c r="M221" s="79">
        <v>44823</v>
      </c>
      <c r="N221" s="51"/>
      <c r="O221" s="80"/>
      <c r="P221" s="82"/>
      <c r="Q221" s="80"/>
      <c r="R221" s="80"/>
      <c r="S221" s="82"/>
      <c r="T221" s="80"/>
      <c r="U221" s="80"/>
      <c r="V221" s="79"/>
      <c r="W221" s="80"/>
      <c r="X221" s="80"/>
    </row>
    <row r="222" spans="1:24" ht="42" customHeight="1">
      <c r="A222" s="80">
        <f t="shared" si="0"/>
        <v>220</v>
      </c>
      <c r="B222" s="51" t="str">
        <f t="shared" si="1"/>
        <v>MA</v>
      </c>
      <c r="C222" s="81" t="s">
        <v>2899</v>
      </c>
      <c r="D222" s="51" t="s">
        <v>95</v>
      </c>
      <c r="E222" s="80"/>
      <c r="F222" s="80"/>
      <c r="G222" s="75"/>
      <c r="H222" s="80"/>
      <c r="I222" s="76"/>
      <c r="J222" s="80"/>
      <c r="K222" s="80"/>
      <c r="L222" s="80"/>
      <c r="M222" s="79">
        <v>44826</v>
      </c>
      <c r="N222" s="80"/>
      <c r="O222" s="80"/>
      <c r="P222" s="82"/>
      <c r="Q222" s="80"/>
      <c r="R222" s="80"/>
      <c r="S222" s="82"/>
      <c r="T222" s="80"/>
      <c r="U222" s="80"/>
      <c r="V222" s="79"/>
      <c r="W222" s="80"/>
      <c r="X222" s="80"/>
    </row>
    <row r="223" spans="1:24" ht="42" customHeight="1">
      <c r="A223" s="80">
        <f t="shared" si="0"/>
        <v>221</v>
      </c>
      <c r="B223" s="51" t="str">
        <f t="shared" si="1"/>
        <v>MA</v>
      </c>
      <c r="C223" s="81" t="s">
        <v>2900</v>
      </c>
      <c r="D223" s="51" t="s">
        <v>95</v>
      </c>
      <c r="E223" s="80"/>
      <c r="F223" s="80"/>
      <c r="G223" s="75"/>
      <c r="H223" s="80"/>
      <c r="I223" s="76"/>
      <c r="J223" s="80"/>
      <c r="K223" s="80"/>
      <c r="L223" s="80"/>
      <c r="M223" s="79">
        <v>44824</v>
      </c>
      <c r="N223" s="80"/>
      <c r="O223" s="80"/>
      <c r="P223" s="82"/>
      <c r="Q223" s="80"/>
      <c r="R223" s="80"/>
      <c r="S223" s="82"/>
      <c r="T223" s="80"/>
      <c r="U223" s="80"/>
      <c r="V223" s="79"/>
      <c r="W223" s="80"/>
      <c r="X223" s="80"/>
    </row>
    <row r="224" spans="1:24" ht="42" customHeight="1">
      <c r="A224" s="80">
        <f t="shared" si="0"/>
        <v>222</v>
      </c>
      <c r="B224" s="51" t="str">
        <f t="shared" si="1"/>
        <v>MA</v>
      </c>
      <c r="C224" s="81" t="s">
        <v>2901</v>
      </c>
      <c r="D224" s="51" t="s">
        <v>95</v>
      </c>
      <c r="E224" s="80"/>
      <c r="F224" s="80"/>
      <c r="G224" s="75"/>
      <c r="H224" s="80"/>
      <c r="I224" s="76"/>
      <c r="J224" s="80"/>
      <c r="K224" s="80"/>
      <c r="L224" s="80"/>
      <c r="M224" s="79">
        <v>44819</v>
      </c>
      <c r="N224" s="80"/>
      <c r="O224" s="80"/>
      <c r="P224" s="82"/>
      <c r="Q224" s="80"/>
      <c r="R224" s="80"/>
      <c r="S224" s="82"/>
      <c r="T224" s="80"/>
      <c r="U224" s="80"/>
      <c r="V224" s="79"/>
      <c r="W224" s="80"/>
      <c r="X224" s="80"/>
    </row>
    <row r="225" spans="1:24" ht="42" customHeight="1">
      <c r="A225" s="80">
        <f t="shared" si="0"/>
        <v>223</v>
      </c>
      <c r="B225" s="51" t="str">
        <f t="shared" si="1"/>
        <v>MA</v>
      </c>
      <c r="C225" s="81" t="s">
        <v>2902</v>
      </c>
      <c r="D225" s="51" t="s">
        <v>95</v>
      </c>
      <c r="E225" s="80"/>
      <c r="F225" s="80"/>
      <c r="G225" s="75"/>
      <c r="H225" s="80"/>
      <c r="I225" s="76"/>
      <c r="J225" s="80"/>
      <c r="K225" s="80"/>
      <c r="L225" s="80"/>
      <c r="M225" s="79">
        <v>44834</v>
      </c>
      <c r="N225" s="80"/>
      <c r="O225" s="80"/>
      <c r="P225" s="82"/>
      <c r="Q225" s="80"/>
      <c r="R225" s="80"/>
      <c r="S225" s="82"/>
      <c r="T225" s="80"/>
      <c r="U225" s="80"/>
      <c r="V225" s="79"/>
      <c r="W225" s="80"/>
      <c r="X225" s="80"/>
    </row>
    <row r="226" spans="1:24" ht="42" customHeight="1">
      <c r="A226" s="80">
        <f t="shared" si="0"/>
        <v>224</v>
      </c>
      <c r="B226" s="51" t="str">
        <f t="shared" si="1"/>
        <v>MA</v>
      </c>
      <c r="C226" s="51" t="s">
        <v>2903</v>
      </c>
      <c r="D226" s="51" t="s">
        <v>2904</v>
      </c>
      <c r="E226" s="80"/>
      <c r="F226" s="80"/>
      <c r="G226" s="75">
        <v>77010274340</v>
      </c>
      <c r="H226" s="51" t="s">
        <v>2905</v>
      </c>
      <c r="I226" s="76"/>
      <c r="J226" s="80"/>
      <c r="K226" s="80"/>
      <c r="L226" s="51" t="s">
        <v>78</v>
      </c>
      <c r="M226" s="79">
        <v>44823</v>
      </c>
      <c r="N226" s="51"/>
      <c r="O226" s="51" t="s">
        <v>98</v>
      </c>
      <c r="P226" s="79">
        <v>44862</v>
      </c>
      <c r="Q226" s="51" t="s">
        <v>2561</v>
      </c>
      <c r="R226" s="80"/>
      <c r="S226" s="82"/>
      <c r="T226" s="80"/>
      <c r="U226" s="80"/>
      <c r="V226" s="79"/>
      <c r="W226" s="80"/>
      <c r="X226" s="80"/>
    </row>
    <row r="227" spans="1:24" ht="42" customHeight="1">
      <c r="A227" s="80">
        <f t="shared" si="0"/>
        <v>225</v>
      </c>
      <c r="B227" s="51" t="str">
        <f t="shared" si="1"/>
        <v>MA</v>
      </c>
      <c r="C227" s="51" t="s">
        <v>2906</v>
      </c>
      <c r="D227" s="51" t="s">
        <v>2907</v>
      </c>
      <c r="E227" s="80"/>
      <c r="F227" s="80"/>
      <c r="G227" s="75">
        <v>982122435050</v>
      </c>
      <c r="H227" s="51" t="s">
        <v>2908</v>
      </c>
      <c r="I227" s="76"/>
      <c r="J227" s="80"/>
      <c r="K227" s="80"/>
      <c r="L227" s="51" t="s">
        <v>78</v>
      </c>
      <c r="M227" s="79">
        <v>44823</v>
      </c>
      <c r="N227" s="51"/>
      <c r="O227" s="80"/>
      <c r="P227" s="82"/>
      <c r="Q227" s="80"/>
      <c r="R227" s="80"/>
      <c r="S227" s="82"/>
      <c r="T227" s="80"/>
      <c r="U227" s="80"/>
      <c r="V227" s="79"/>
      <c r="W227" s="80"/>
      <c r="X227" s="80"/>
    </row>
    <row r="228" spans="1:24" ht="42" customHeight="1">
      <c r="A228" s="80">
        <f t="shared" si="0"/>
        <v>226</v>
      </c>
      <c r="B228" s="51" t="str">
        <f t="shared" si="1"/>
        <v>MA</v>
      </c>
      <c r="C228" s="81" t="s">
        <v>2909</v>
      </c>
      <c r="D228" s="51" t="s">
        <v>2910</v>
      </c>
      <c r="E228" s="80"/>
      <c r="F228" s="80"/>
      <c r="G228" s="75" t="s">
        <v>2911</v>
      </c>
      <c r="H228" s="51" t="s">
        <v>2912</v>
      </c>
      <c r="I228" s="76"/>
      <c r="J228" s="80"/>
      <c r="K228" s="80"/>
      <c r="L228" s="51" t="s">
        <v>78</v>
      </c>
      <c r="M228" s="79">
        <v>44823</v>
      </c>
      <c r="N228" s="51"/>
      <c r="O228" s="80"/>
      <c r="P228" s="82"/>
      <c r="Q228" s="80"/>
      <c r="R228" s="80"/>
      <c r="S228" s="82"/>
      <c r="T228" s="80"/>
      <c r="U228" s="80"/>
      <c r="V228" s="79"/>
      <c r="W228" s="80"/>
      <c r="X228" s="80"/>
    </row>
    <row r="229" spans="1:24" ht="42" customHeight="1">
      <c r="A229" s="80">
        <f t="shared" si="0"/>
        <v>227</v>
      </c>
      <c r="B229" s="51" t="str">
        <f t="shared" si="1"/>
        <v>MA</v>
      </c>
      <c r="C229" s="81" t="s">
        <v>2913</v>
      </c>
      <c r="D229" s="51" t="s">
        <v>2914</v>
      </c>
      <c r="E229" s="80"/>
      <c r="F229" s="80"/>
      <c r="G229" s="75"/>
      <c r="H229" s="51" t="s">
        <v>2915</v>
      </c>
      <c r="I229" s="76"/>
      <c r="J229" s="80"/>
      <c r="K229" s="80"/>
      <c r="L229" s="51" t="s">
        <v>78</v>
      </c>
      <c r="M229" s="79">
        <v>44823</v>
      </c>
      <c r="N229" s="51"/>
      <c r="O229" s="51" t="s">
        <v>78</v>
      </c>
      <c r="P229" s="79">
        <v>44851</v>
      </c>
      <c r="Q229" s="51"/>
      <c r="R229" s="80"/>
      <c r="S229" s="82"/>
      <c r="T229" s="80"/>
      <c r="U229" s="80"/>
      <c r="V229" s="79"/>
      <c r="W229" s="80"/>
      <c r="X229" s="80"/>
    </row>
    <row r="230" spans="1:24" ht="42" customHeight="1">
      <c r="A230" s="80">
        <f t="shared" si="0"/>
        <v>228</v>
      </c>
      <c r="B230" s="51" t="str">
        <f t="shared" si="1"/>
        <v>MA</v>
      </c>
      <c r="C230" s="51" t="s">
        <v>2916</v>
      </c>
      <c r="D230" s="51" t="s">
        <v>2917</v>
      </c>
      <c r="E230" s="80"/>
      <c r="F230" s="80"/>
      <c r="G230" s="75" t="s">
        <v>2918</v>
      </c>
      <c r="H230" s="51" t="s">
        <v>2919</v>
      </c>
      <c r="I230" s="76"/>
      <c r="J230" s="80"/>
      <c r="K230" s="80"/>
      <c r="L230" s="51" t="s">
        <v>78</v>
      </c>
      <c r="M230" s="79">
        <v>44823</v>
      </c>
      <c r="N230" s="51" t="s">
        <v>2561</v>
      </c>
      <c r="O230" s="51" t="s">
        <v>78</v>
      </c>
      <c r="P230" s="79">
        <v>44858</v>
      </c>
      <c r="Q230" s="51" t="s">
        <v>2538</v>
      </c>
      <c r="R230" s="80"/>
      <c r="S230" s="82"/>
      <c r="T230" s="80"/>
      <c r="U230" s="80"/>
      <c r="V230" s="79"/>
      <c r="W230" s="80"/>
      <c r="X230" s="80"/>
    </row>
    <row r="231" spans="1:24" ht="42" customHeight="1">
      <c r="A231" s="80">
        <f t="shared" si="0"/>
        <v>229</v>
      </c>
      <c r="B231" s="51" t="str">
        <f t="shared" si="1"/>
        <v>MA</v>
      </c>
      <c r="C231" s="51" t="s">
        <v>2920</v>
      </c>
      <c r="D231" s="51" t="s">
        <v>746</v>
      </c>
      <c r="E231" s="80"/>
      <c r="F231" s="80"/>
      <c r="G231" s="75" t="s">
        <v>2921</v>
      </c>
      <c r="H231" s="51" t="s">
        <v>2922</v>
      </c>
      <c r="I231" s="76"/>
      <c r="J231" s="80"/>
      <c r="K231" s="80"/>
      <c r="L231" s="51" t="s">
        <v>78</v>
      </c>
      <c r="M231" s="79">
        <v>44823</v>
      </c>
      <c r="N231" s="51"/>
      <c r="O231" s="51" t="s">
        <v>78</v>
      </c>
      <c r="P231" s="79">
        <v>44851</v>
      </c>
      <c r="Q231" s="51" t="s">
        <v>2561</v>
      </c>
      <c r="R231" s="80"/>
      <c r="S231" s="82"/>
      <c r="T231" s="80"/>
      <c r="U231" s="80"/>
      <c r="V231" s="79"/>
      <c r="W231" s="80"/>
      <c r="X231" s="80"/>
    </row>
    <row r="232" spans="1:24" ht="42" customHeight="1">
      <c r="A232" s="80">
        <f t="shared" si="0"/>
        <v>230</v>
      </c>
      <c r="B232" s="51" t="str">
        <f t="shared" si="1"/>
        <v>MA</v>
      </c>
      <c r="C232" s="51" t="s">
        <v>1008</v>
      </c>
      <c r="D232" s="51" t="s">
        <v>1009</v>
      </c>
      <c r="E232" s="80"/>
      <c r="F232" s="80"/>
      <c r="G232" s="75" t="s">
        <v>1010</v>
      </c>
      <c r="H232" s="80"/>
      <c r="I232" s="76"/>
      <c r="J232" s="80"/>
      <c r="K232" s="80"/>
      <c r="L232" s="51" t="s">
        <v>78</v>
      </c>
      <c r="M232" s="79">
        <v>44823</v>
      </c>
      <c r="N232" s="51"/>
      <c r="O232" s="51" t="s">
        <v>78</v>
      </c>
      <c r="P232" s="79">
        <v>44852</v>
      </c>
      <c r="Q232" s="51" t="s">
        <v>2551</v>
      </c>
      <c r="R232" s="80"/>
      <c r="S232" s="82"/>
      <c r="T232" s="80"/>
      <c r="U232" s="80"/>
      <c r="V232" s="79"/>
      <c r="W232" s="80"/>
      <c r="X232" s="80"/>
    </row>
    <row r="233" spans="1:24" ht="42" customHeight="1">
      <c r="A233" s="80">
        <f t="shared" si="0"/>
        <v>231</v>
      </c>
      <c r="B233" s="51" t="str">
        <f t="shared" si="1"/>
        <v>MA</v>
      </c>
      <c r="C233" s="51" t="s">
        <v>346</v>
      </c>
      <c r="D233" s="51" t="s">
        <v>119</v>
      </c>
      <c r="E233" s="80"/>
      <c r="F233" s="80"/>
      <c r="G233" s="75" t="s">
        <v>347</v>
      </c>
      <c r="H233" s="80"/>
      <c r="I233" s="76"/>
      <c r="J233" s="80"/>
      <c r="K233" s="80"/>
      <c r="L233" s="51" t="s">
        <v>78</v>
      </c>
      <c r="M233" s="79">
        <v>44823</v>
      </c>
      <c r="N233" s="51" t="s">
        <v>2635</v>
      </c>
      <c r="O233" s="51" t="s">
        <v>78</v>
      </c>
      <c r="P233" s="79">
        <v>44891</v>
      </c>
      <c r="Q233" s="51" t="s">
        <v>2635</v>
      </c>
      <c r="R233" s="51" t="s">
        <v>98</v>
      </c>
      <c r="S233" s="79">
        <v>44900</v>
      </c>
      <c r="T233" s="51" t="s">
        <v>2561</v>
      </c>
      <c r="U233" s="51" t="s">
        <v>98</v>
      </c>
      <c r="V233" s="79">
        <v>44908</v>
      </c>
      <c r="W233" s="51" t="s">
        <v>2635</v>
      </c>
      <c r="X233" s="80"/>
    </row>
    <row r="234" spans="1:24" ht="42" customHeight="1">
      <c r="A234" s="80">
        <f t="shared" si="0"/>
        <v>232</v>
      </c>
      <c r="B234" s="51" t="str">
        <f t="shared" si="1"/>
        <v>MA</v>
      </c>
      <c r="C234" s="51" t="s">
        <v>2923</v>
      </c>
      <c r="D234" s="51" t="s">
        <v>397</v>
      </c>
      <c r="E234" s="80"/>
      <c r="F234" s="80"/>
      <c r="G234" s="75" t="s">
        <v>2924</v>
      </c>
      <c r="H234" s="80"/>
      <c r="I234" s="76"/>
      <c r="J234" s="80"/>
      <c r="K234" s="80"/>
      <c r="L234" s="51" t="s">
        <v>78</v>
      </c>
      <c r="M234" s="79">
        <v>44823</v>
      </c>
      <c r="N234" s="51"/>
      <c r="O234" s="51" t="s">
        <v>78</v>
      </c>
      <c r="P234" s="79">
        <v>44851</v>
      </c>
      <c r="Q234" s="51">
        <v>0</v>
      </c>
      <c r="R234" s="80"/>
      <c r="S234" s="82"/>
      <c r="T234" s="80"/>
      <c r="U234" s="80"/>
      <c r="V234" s="79"/>
      <c r="W234" s="80"/>
      <c r="X234" s="80"/>
    </row>
    <row r="235" spans="1:24" ht="42" customHeight="1">
      <c r="A235" s="80">
        <f t="shared" si="0"/>
        <v>233</v>
      </c>
      <c r="B235" s="51" t="str">
        <f t="shared" si="1"/>
        <v>MA</v>
      </c>
      <c r="C235" s="51" t="s">
        <v>2925</v>
      </c>
      <c r="D235" s="51" t="s">
        <v>397</v>
      </c>
      <c r="E235" s="80"/>
      <c r="F235" s="80"/>
      <c r="G235" s="75">
        <v>962795855317</v>
      </c>
      <c r="H235" s="80"/>
      <c r="I235" s="76"/>
      <c r="J235" s="80"/>
      <c r="K235" s="80"/>
      <c r="L235" s="51" t="s">
        <v>78</v>
      </c>
      <c r="M235" s="79">
        <v>44823</v>
      </c>
      <c r="N235" s="51"/>
      <c r="O235" s="80"/>
      <c r="P235" s="82"/>
      <c r="Q235" s="80"/>
      <c r="R235" s="80"/>
      <c r="S235" s="82"/>
      <c r="T235" s="80"/>
      <c r="U235" s="80"/>
      <c r="V235" s="79"/>
      <c r="W235" s="80"/>
      <c r="X235" s="80"/>
    </row>
    <row r="236" spans="1:24" ht="42" customHeight="1">
      <c r="A236" s="80">
        <f t="shared" si="0"/>
        <v>234</v>
      </c>
      <c r="B236" s="51" t="str">
        <f t="shared" si="1"/>
        <v>MA</v>
      </c>
      <c r="C236" s="51" t="s">
        <v>695</v>
      </c>
      <c r="D236" s="51" t="s">
        <v>2907</v>
      </c>
      <c r="E236" s="80"/>
      <c r="F236" s="80"/>
      <c r="G236" s="75" t="s">
        <v>2926</v>
      </c>
      <c r="H236" s="80"/>
      <c r="I236" s="76"/>
      <c r="J236" s="80"/>
      <c r="K236" s="80"/>
      <c r="L236" s="51" t="s">
        <v>78</v>
      </c>
      <c r="M236" s="79">
        <v>44823</v>
      </c>
      <c r="N236" s="51"/>
      <c r="O236" s="80"/>
      <c r="P236" s="82"/>
      <c r="Q236" s="80"/>
      <c r="R236" s="80"/>
      <c r="S236" s="82"/>
      <c r="T236" s="80"/>
      <c r="U236" s="80"/>
      <c r="V236" s="79"/>
      <c r="W236" s="80"/>
      <c r="X236" s="80"/>
    </row>
    <row r="237" spans="1:24" ht="42" customHeight="1">
      <c r="A237" s="80">
        <f t="shared" si="0"/>
        <v>235</v>
      </c>
      <c r="B237" s="51" t="str">
        <f t="shared" si="1"/>
        <v>MA</v>
      </c>
      <c r="C237" s="51" t="s">
        <v>2927</v>
      </c>
      <c r="D237" s="51" t="s">
        <v>397</v>
      </c>
      <c r="E237" s="80"/>
      <c r="F237" s="80"/>
      <c r="G237" s="75" t="s">
        <v>2928</v>
      </c>
      <c r="H237" s="80"/>
      <c r="I237" s="76"/>
      <c r="J237" s="80"/>
      <c r="K237" s="80"/>
      <c r="L237" s="51" t="s">
        <v>78</v>
      </c>
      <c r="M237" s="79">
        <v>44823</v>
      </c>
      <c r="N237" s="51" t="s">
        <v>2561</v>
      </c>
      <c r="O237" s="51" t="s">
        <v>78</v>
      </c>
      <c r="P237" s="79">
        <v>44852</v>
      </c>
      <c r="Q237" s="51" t="s">
        <v>2561</v>
      </c>
      <c r="R237" s="80"/>
      <c r="S237" s="82"/>
      <c r="T237" s="80"/>
      <c r="U237" s="80"/>
      <c r="V237" s="79"/>
      <c r="W237" s="80"/>
      <c r="X237" s="80"/>
    </row>
    <row r="238" spans="1:24" ht="42" customHeight="1">
      <c r="A238" s="80">
        <f t="shared" si="0"/>
        <v>236</v>
      </c>
      <c r="B238" s="51" t="str">
        <f t="shared" si="1"/>
        <v>MA</v>
      </c>
      <c r="C238" s="81" t="s">
        <v>2929</v>
      </c>
      <c r="D238" s="51" t="s">
        <v>1012</v>
      </c>
      <c r="E238" s="80"/>
      <c r="F238" s="80"/>
      <c r="G238" s="75" t="s">
        <v>2930</v>
      </c>
      <c r="H238" s="51" t="s">
        <v>2931</v>
      </c>
      <c r="I238" s="76"/>
      <c r="J238" s="80"/>
      <c r="K238" s="80"/>
      <c r="L238" s="51" t="s">
        <v>78</v>
      </c>
      <c r="M238" s="79">
        <v>44823</v>
      </c>
      <c r="N238" s="51" t="s">
        <v>2561</v>
      </c>
      <c r="O238" s="51" t="s">
        <v>78</v>
      </c>
      <c r="P238" s="79">
        <v>44852</v>
      </c>
      <c r="Q238" s="51" t="s">
        <v>2545</v>
      </c>
      <c r="R238" s="51" t="s">
        <v>78</v>
      </c>
      <c r="S238" s="79">
        <v>44904</v>
      </c>
      <c r="T238" s="51" t="s">
        <v>2551</v>
      </c>
      <c r="U238" s="80"/>
      <c r="V238" s="79"/>
      <c r="W238" s="80"/>
      <c r="X238" s="80"/>
    </row>
    <row r="239" spans="1:24" ht="42" customHeight="1">
      <c r="A239" s="80">
        <f t="shared" si="0"/>
        <v>237</v>
      </c>
      <c r="B239" s="51" t="str">
        <f t="shared" si="1"/>
        <v>MA</v>
      </c>
      <c r="C239" s="51" t="s">
        <v>2932</v>
      </c>
      <c r="D239" s="51" t="s">
        <v>2933</v>
      </c>
      <c r="E239" s="80"/>
      <c r="F239" s="80"/>
      <c r="G239" s="75"/>
      <c r="H239" s="80"/>
      <c r="I239" s="76"/>
      <c r="J239" s="80"/>
      <c r="K239" s="80"/>
      <c r="L239" s="51" t="s">
        <v>78</v>
      </c>
      <c r="M239" s="79">
        <v>44823</v>
      </c>
      <c r="N239" s="51"/>
      <c r="O239" s="80"/>
      <c r="P239" s="82"/>
      <c r="Q239" s="80"/>
      <c r="R239" s="80"/>
      <c r="S239" s="82"/>
      <c r="T239" s="80"/>
      <c r="U239" s="80"/>
      <c r="V239" s="79"/>
      <c r="W239" s="80"/>
      <c r="X239" s="80"/>
    </row>
    <row r="240" spans="1:24" ht="42" customHeight="1">
      <c r="A240" s="80">
        <f t="shared" si="0"/>
        <v>238</v>
      </c>
      <c r="B240" s="51" t="str">
        <f t="shared" si="1"/>
        <v>MA</v>
      </c>
      <c r="C240" s="51" t="s">
        <v>2934</v>
      </c>
      <c r="D240" s="51" t="s">
        <v>370</v>
      </c>
      <c r="E240" s="80"/>
      <c r="F240" s="80"/>
      <c r="G240" s="75">
        <v>97450537581</v>
      </c>
      <c r="H240" s="80"/>
      <c r="I240" s="76"/>
      <c r="J240" s="80"/>
      <c r="K240" s="80"/>
      <c r="L240" s="51" t="s">
        <v>78</v>
      </c>
      <c r="M240" s="79">
        <v>44823</v>
      </c>
      <c r="N240" s="51"/>
      <c r="O240" s="80"/>
      <c r="P240" s="82"/>
      <c r="Q240" s="80"/>
      <c r="R240" s="80"/>
      <c r="S240" s="82"/>
      <c r="T240" s="80"/>
      <c r="U240" s="80"/>
      <c r="V240" s="79"/>
      <c r="W240" s="80"/>
      <c r="X240" s="80"/>
    </row>
    <row r="241" spans="1:24" ht="42" customHeight="1">
      <c r="A241" s="80">
        <f t="shared" si="0"/>
        <v>239</v>
      </c>
      <c r="B241" s="51" t="str">
        <f t="shared" si="1"/>
        <v>MA</v>
      </c>
      <c r="C241" s="81" t="s">
        <v>2935</v>
      </c>
      <c r="D241" s="51" t="s">
        <v>370</v>
      </c>
      <c r="E241" s="80"/>
      <c r="F241" s="80"/>
      <c r="G241" s="75"/>
      <c r="H241" s="80"/>
      <c r="I241" s="76"/>
      <c r="J241" s="80"/>
      <c r="K241" s="80"/>
      <c r="L241" s="51" t="s">
        <v>78</v>
      </c>
      <c r="M241" s="79">
        <v>44851</v>
      </c>
      <c r="N241" s="51"/>
      <c r="O241" s="80"/>
      <c r="P241" s="82"/>
      <c r="Q241" s="80"/>
      <c r="R241" s="80"/>
      <c r="S241" s="82"/>
      <c r="T241" s="80"/>
      <c r="U241" s="80"/>
      <c r="V241" s="79"/>
      <c r="W241" s="80"/>
      <c r="X241" s="80"/>
    </row>
    <row r="242" spans="1:24" ht="42" customHeight="1">
      <c r="A242" s="80">
        <f t="shared" si="0"/>
        <v>240</v>
      </c>
      <c r="B242" s="51" t="str">
        <f t="shared" si="1"/>
        <v>MA</v>
      </c>
      <c r="C242" s="81" t="s">
        <v>2936</v>
      </c>
      <c r="D242" s="51" t="s">
        <v>2937</v>
      </c>
      <c r="E242" s="80"/>
      <c r="F242" s="80"/>
      <c r="G242" s="75" t="s">
        <v>2938</v>
      </c>
      <c r="H242" s="51" t="s">
        <v>2939</v>
      </c>
      <c r="I242" s="76"/>
      <c r="J242" s="80"/>
      <c r="K242" s="80"/>
      <c r="L242" s="51" t="s">
        <v>78</v>
      </c>
      <c r="M242" s="79">
        <v>44823</v>
      </c>
      <c r="N242" s="51"/>
      <c r="O242" s="51" t="s">
        <v>78</v>
      </c>
      <c r="P242" s="79">
        <v>44904</v>
      </c>
      <c r="Q242" s="51" t="s">
        <v>2561</v>
      </c>
      <c r="R242" s="80"/>
      <c r="S242" s="82"/>
      <c r="T242" s="80"/>
      <c r="U242" s="80"/>
      <c r="V242" s="79"/>
      <c r="W242" s="80"/>
      <c r="X242" s="80"/>
    </row>
    <row r="243" spans="1:24" ht="42" customHeight="1">
      <c r="A243" s="80">
        <f t="shared" si="0"/>
        <v>241</v>
      </c>
      <c r="B243" s="51" t="str">
        <f t="shared" si="1"/>
        <v>MA</v>
      </c>
      <c r="C243" s="51" t="s">
        <v>2940</v>
      </c>
      <c r="D243" s="51" t="s">
        <v>746</v>
      </c>
      <c r="E243" s="80"/>
      <c r="F243" s="80"/>
      <c r="G243" s="75" t="s">
        <v>2941</v>
      </c>
      <c r="H243" s="80"/>
      <c r="I243" s="76"/>
      <c r="J243" s="80"/>
      <c r="K243" s="80"/>
      <c r="L243" s="51" t="s">
        <v>78</v>
      </c>
      <c r="M243" s="79">
        <v>44823</v>
      </c>
      <c r="N243" s="51"/>
      <c r="O243" s="51" t="s">
        <v>78</v>
      </c>
      <c r="P243" s="79">
        <v>44852</v>
      </c>
      <c r="Q243" s="51" t="s">
        <v>2553</v>
      </c>
      <c r="R243" s="80"/>
      <c r="S243" s="82"/>
      <c r="T243" s="80"/>
      <c r="U243" s="80"/>
      <c r="V243" s="79"/>
      <c r="W243" s="80"/>
      <c r="X243" s="80"/>
    </row>
    <row r="244" spans="1:24" ht="42" customHeight="1">
      <c r="A244" s="80">
        <f t="shared" si="0"/>
        <v>242</v>
      </c>
      <c r="B244" s="51" t="str">
        <f t="shared" si="1"/>
        <v>MA</v>
      </c>
      <c r="C244" s="81" t="s">
        <v>2942</v>
      </c>
      <c r="D244" s="80"/>
      <c r="E244" s="80"/>
      <c r="F244" s="80"/>
      <c r="G244" s="75">
        <v>462790084543</v>
      </c>
      <c r="H244" s="80"/>
      <c r="I244" s="76"/>
      <c r="J244" s="80"/>
      <c r="K244" s="80"/>
      <c r="L244" s="51" t="s">
        <v>78</v>
      </c>
      <c r="M244" s="79">
        <v>44823</v>
      </c>
      <c r="N244" s="51"/>
      <c r="O244" s="51" t="s">
        <v>78</v>
      </c>
      <c r="P244" s="79">
        <v>44904</v>
      </c>
      <c r="Q244" s="51" t="s">
        <v>2858</v>
      </c>
      <c r="R244" s="80"/>
      <c r="S244" s="82"/>
      <c r="T244" s="80"/>
      <c r="U244" s="80"/>
      <c r="V244" s="79"/>
      <c r="W244" s="80"/>
      <c r="X244" s="80"/>
    </row>
    <row r="245" spans="1:24" ht="42" customHeight="1">
      <c r="A245" s="80">
        <f t="shared" si="0"/>
        <v>243</v>
      </c>
      <c r="B245" s="51" t="str">
        <f t="shared" si="1"/>
        <v>MA</v>
      </c>
      <c r="C245" s="51" t="s">
        <v>1011</v>
      </c>
      <c r="D245" s="51" t="s">
        <v>1012</v>
      </c>
      <c r="E245" s="80"/>
      <c r="F245" s="80"/>
      <c r="G245" s="75">
        <v>381631117847</v>
      </c>
      <c r="H245" s="51" t="s">
        <v>2943</v>
      </c>
      <c r="I245" s="76"/>
      <c r="J245" s="80"/>
      <c r="K245" s="80"/>
      <c r="L245" s="51" t="s">
        <v>78</v>
      </c>
      <c r="M245" s="79">
        <v>44823</v>
      </c>
      <c r="N245" s="51"/>
      <c r="O245" s="51" t="s">
        <v>78</v>
      </c>
      <c r="P245" s="79">
        <v>44904</v>
      </c>
      <c r="Q245" s="51" t="s">
        <v>2538</v>
      </c>
      <c r="R245" s="80"/>
      <c r="S245" s="82"/>
      <c r="T245" s="80"/>
      <c r="U245" s="80"/>
      <c r="V245" s="79"/>
      <c r="W245" s="80"/>
      <c r="X245" s="80"/>
    </row>
    <row r="246" spans="1:24" ht="42" customHeight="1">
      <c r="A246" s="80">
        <f t="shared" si="0"/>
        <v>244</v>
      </c>
      <c r="B246" s="51" t="str">
        <f t="shared" si="1"/>
        <v>MA</v>
      </c>
      <c r="C246" s="81" t="s">
        <v>2944</v>
      </c>
      <c r="D246" s="51" t="s">
        <v>2945</v>
      </c>
      <c r="E246" s="80"/>
      <c r="F246" s="80"/>
      <c r="G246" s="75" t="s">
        <v>2946</v>
      </c>
      <c r="H246" s="51" t="s">
        <v>2947</v>
      </c>
      <c r="I246" s="76"/>
      <c r="J246" s="80"/>
      <c r="K246" s="80"/>
      <c r="L246" s="51" t="s">
        <v>78</v>
      </c>
      <c r="M246" s="79">
        <v>44823</v>
      </c>
      <c r="N246" s="51"/>
      <c r="O246" s="51" t="s">
        <v>78</v>
      </c>
      <c r="P246" s="79">
        <v>44851</v>
      </c>
      <c r="Q246" s="51" t="s">
        <v>2545</v>
      </c>
      <c r="R246" s="80"/>
      <c r="S246" s="82"/>
      <c r="T246" s="80"/>
      <c r="U246" s="80"/>
      <c r="V246" s="79"/>
      <c r="W246" s="80"/>
      <c r="X246" s="80"/>
    </row>
    <row r="247" spans="1:24" ht="42" customHeight="1">
      <c r="A247" s="80">
        <f t="shared" si="0"/>
        <v>245</v>
      </c>
      <c r="B247" s="51" t="str">
        <f t="shared" si="1"/>
        <v>MA</v>
      </c>
      <c r="C247" s="51" t="s">
        <v>2948</v>
      </c>
      <c r="D247" s="51" t="s">
        <v>104</v>
      </c>
      <c r="E247" s="80"/>
      <c r="F247" s="80"/>
      <c r="G247" s="75" t="s">
        <v>1190</v>
      </c>
      <c r="H247" s="51" t="s">
        <v>186</v>
      </c>
      <c r="I247" s="76"/>
      <c r="J247" s="80"/>
      <c r="K247" s="80"/>
      <c r="L247" s="51" t="s">
        <v>78</v>
      </c>
      <c r="M247" s="79">
        <v>44823</v>
      </c>
      <c r="N247" s="51"/>
      <c r="O247" s="80"/>
      <c r="P247" s="82"/>
      <c r="Q247" s="80"/>
      <c r="R247" s="80"/>
      <c r="S247" s="82"/>
      <c r="T247" s="80"/>
      <c r="U247" s="80"/>
      <c r="V247" s="79"/>
      <c r="W247" s="80"/>
      <c r="X247" s="80"/>
    </row>
    <row r="248" spans="1:24" ht="42" customHeight="1">
      <c r="A248" s="80">
        <f t="shared" si="0"/>
        <v>246</v>
      </c>
      <c r="B248" s="51" t="str">
        <f t="shared" si="1"/>
        <v>MA</v>
      </c>
      <c r="C248" s="51" t="s">
        <v>2949</v>
      </c>
      <c r="D248" s="51" t="s">
        <v>1363</v>
      </c>
      <c r="E248" s="80"/>
      <c r="F248" s="80"/>
      <c r="G248" s="75"/>
      <c r="H248" s="80"/>
      <c r="I248" s="76"/>
      <c r="J248" s="80"/>
      <c r="K248" s="80"/>
      <c r="L248" s="51" t="s">
        <v>78</v>
      </c>
      <c r="M248" s="79">
        <v>44823</v>
      </c>
      <c r="N248" s="51"/>
      <c r="O248" s="80"/>
      <c r="P248" s="82"/>
      <c r="Q248" s="80"/>
      <c r="R248" s="80"/>
      <c r="S248" s="82"/>
      <c r="T248" s="80"/>
      <c r="U248" s="80"/>
      <c r="V248" s="79"/>
      <c r="W248" s="80"/>
      <c r="X248" s="80"/>
    </row>
    <row r="249" spans="1:24" ht="42" customHeight="1">
      <c r="A249" s="80">
        <f t="shared" si="0"/>
        <v>247</v>
      </c>
      <c r="B249" s="51" t="str">
        <f t="shared" si="1"/>
        <v>MA</v>
      </c>
      <c r="C249" s="51" t="s">
        <v>2950</v>
      </c>
      <c r="D249" s="51" t="s">
        <v>2951</v>
      </c>
      <c r="E249" s="80"/>
      <c r="F249" s="80"/>
      <c r="G249" s="75">
        <v>22245250445</v>
      </c>
      <c r="H249" s="51" t="s">
        <v>2952</v>
      </c>
      <c r="I249" s="76"/>
      <c r="J249" s="80"/>
      <c r="K249" s="80"/>
      <c r="L249" s="51" t="s">
        <v>78</v>
      </c>
      <c r="M249" s="79">
        <v>44823</v>
      </c>
      <c r="N249" s="51"/>
      <c r="O249" s="51" t="s">
        <v>78</v>
      </c>
      <c r="P249" s="79">
        <v>44851</v>
      </c>
      <c r="Q249" s="51" t="s">
        <v>2545</v>
      </c>
      <c r="R249" s="80"/>
      <c r="S249" s="82"/>
      <c r="T249" s="80"/>
      <c r="U249" s="80"/>
      <c r="V249" s="79"/>
      <c r="W249" s="80"/>
      <c r="X249" s="80"/>
    </row>
    <row r="250" spans="1:24" ht="42" customHeight="1">
      <c r="A250" s="80">
        <f t="shared" si="0"/>
        <v>248</v>
      </c>
      <c r="B250" s="51" t="str">
        <f t="shared" si="1"/>
        <v>MA</v>
      </c>
      <c r="C250" s="51" t="s">
        <v>1013</v>
      </c>
      <c r="D250" s="51" t="s">
        <v>1014</v>
      </c>
      <c r="E250" s="80"/>
      <c r="F250" s="80"/>
      <c r="G250" s="75" t="s">
        <v>1015</v>
      </c>
      <c r="H250" s="51" t="s">
        <v>2953</v>
      </c>
      <c r="I250" s="76"/>
      <c r="J250" s="80"/>
      <c r="K250" s="80"/>
      <c r="L250" s="51" t="s">
        <v>78</v>
      </c>
      <c r="M250" s="79">
        <v>44823</v>
      </c>
      <c r="N250" s="51"/>
      <c r="O250" s="51" t="s">
        <v>78</v>
      </c>
      <c r="P250" s="79">
        <v>44852</v>
      </c>
      <c r="Q250" s="51" t="s">
        <v>2552</v>
      </c>
      <c r="R250" s="51" t="s">
        <v>78</v>
      </c>
      <c r="S250" s="79">
        <v>44904</v>
      </c>
      <c r="T250" s="51" t="s">
        <v>2561</v>
      </c>
      <c r="U250" s="51" t="s">
        <v>78</v>
      </c>
      <c r="V250" s="79">
        <v>44904</v>
      </c>
      <c r="W250" s="51" t="s">
        <v>2561</v>
      </c>
      <c r="X250" s="80"/>
    </row>
    <row r="251" spans="1:24" ht="42" customHeight="1">
      <c r="A251" s="80">
        <f t="shared" si="0"/>
        <v>249</v>
      </c>
      <c r="B251" s="51" t="str">
        <f t="shared" si="1"/>
        <v>MA</v>
      </c>
      <c r="C251" s="51" t="s">
        <v>2954</v>
      </c>
      <c r="D251" s="51" t="s">
        <v>2955</v>
      </c>
      <c r="E251" s="80"/>
      <c r="F251" s="80"/>
      <c r="G251" s="75" t="s">
        <v>2956</v>
      </c>
      <c r="H251" s="80"/>
      <c r="I251" s="76"/>
      <c r="J251" s="80"/>
      <c r="K251" s="80"/>
      <c r="L251" s="51" t="s">
        <v>78</v>
      </c>
      <c r="M251" s="79">
        <v>44823</v>
      </c>
      <c r="N251" s="51"/>
      <c r="O251" s="51" t="s">
        <v>78</v>
      </c>
      <c r="P251" s="79">
        <v>44852</v>
      </c>
      <c r="Q251" s="51" t="s">
        <v>2545</v>
      </c>
      <c r="R251" s="51" t="s">
        <v>78</v>
      </c>
      <c r="S251" s="79">
        <v>44904</v>
      </c>
      <c r="T251" s="51" t="s">
        <v>2635</v>
      </c>
      <c r="U251" s="80"/>
      <c r="V251" s="79"/>
      <c r="W251" s="80"/>
      <c r="X251" s="80"/>
    </row>
    <row r="252" spans="1:24" ht="42" customHeight="1">
      <c r="A252" s="80">
        <f t="shared" si="0"/>
        <v>250</v>
      </c>
      <c r="B252" s="51" t="str">
        <f t="shared" si="1"/>
        <v>MA</v>
      </c>
      <c r="C252" s="51" t="s">
        <v>2957</v>
      </c>
      <c r="D252" s="51" t="s">
        <v>397</v>
      </c>
      <c r="E252" s="80"/>
      <c r="F252" s="80"/>
      <c r="G252" s="75">
        <v>962796377710</v>
      </c>
      <c r="H252" s="80"/>
      <c r="I252" s="76"/>
      <c r="J252" s="80"/>
      <c r="K252" s="80"/>
      <c r="L252" s="51" t="s">
        <v>78</v>
      </c>
      <c r="M252" s="79">
        <v>44823</v>
      </c>
      <c r="N252" s="51"/>
      <c r="O252" s="80"/>
      <c r="P252" s="82"/>
      <c r="Q252" s="80"/>
      <c r="R252" s="80"/>
      <c r="S252" s="82"/>
      <c r="T252" s="80"/>
      <c r="U252" s="80"/>
      <c r="V252" s="79"/>
      <c r="W252" s="80"/>
      <c r="X252" s="80"/>
    </row>
    <row r="253" spans="1:24" ht="42" customHeight="1">
      <c r="A253" s="80">
        <f t="shared" si="0"/>
        <v>251</v>
      </c>
      <c r="B253" s="51" t="str">
        <f t="shared" si="1"/>
        <v>MA</v>
      </c>
      <c r="C253" s="51" t="s">
        <v>2901</v>
      </c>
      <c r="D253" s="51" t="s">
        <v>1428</v>
      </c>
      <c r="E253" s="80"/>
      <c r="F253" s="80"/>
      <c r="G253" s="75">
        <v>212662106396</v>
      </c>
      <c r="H253" s="51" t="s">
        <v>2958</v>
      </c>
      <c r="I253" s="76"/>
      <c r="J253" s="80"/>
      <c r="K253" s="80"/>
      <c r="L253" s="51" t="s">
        <v>78</v>
      </c>
      <c r="M253" s="79">
        <v>44823</v>
      </c>
      <c r="N253" s="51"/>
      <c r="O253" s="80"/>
      <c r="P253" s="82"/>
      <c r="Q253" s="80"/>
      <c r="R253" s="80"/>
      <c r="S253" s="82"/>
      <c r="T253" s="80"/>
      <c r="U253" s="80"/>
      <c r="V253" s="79"/>
      <c r="W253" s="80"/>
      <c r="X253" s="80"/>
    </row>
    <row r="254" spans="1:24" ht="42" customHeight="1">
      <c r="A254" s="80">
        <f t="shared" si="0"/>
        <v>252</v>
      </c>
      <c r="B254" s="51" t="str">
        <f t="shared" si="1"/>
        <v>MA</v>
      </c>
      <c r="C254" s="51" t="s">
        <v>2959</v>
      </c>
      <c r="D254" s="51" t="s">
        <v>1428</v>
      </c>
      <c r="E254" s="80"/>
      <c r="F254" s="80"/>
      <c r="G254" s="75">
        <v>212662584295</v>
      </c>
      <c r="H254" s="51" t="s">
        <v>2960</v>
      </c>
      <c r="I254" s="76"/>
      <c r="J254" s="80"/>
      <c r="K254" s="80"/>
      <c r="L254" s="51" t="s">
        <v>78</v>
      </c>
      <c r="M254" s="79">
        <v>44823</v>
      </c>
      <c r="N254" s="51"/>
      <c r="O254" s="51" t="s">
        <v>78</v>
      </c>
      <c r="P254" s="79">
        <v>44852</v>
      </c>
      <c r="Q254" s="51" t="s">
        <v>2545</v>
      </c>
      <c r="R254" s="80"/>
      <c r="S254" s="82"/>
      <c r="T254" s="80"/>
      <c r="U254" s="80"/>
      <c r="V254" s="79"/>
      <c r="W254" s="80"/>
      <c r="X254" s="80"/>
    </row>
    <row r="255" spans="1:24" ht="42" customHeight="1">
      <c r="A255" s="80">
        <f t="shared" si="0"/>
        <v>253</v>
      </c>
      <c r="B255" s="51" t="str">
        <f t="shared" si="1"/>
        <v>MA</v>
      </c>
      <c r="C255" s="51" t="s">
        <v>103</v>
      </c>
      <c r="D255" s="51" t="s">
        <v>104</v>
      </c>
      <c r="E255" s="80"/>
      <c r="F255" s="80"/>
      <c r="G255" s="75" t="s">
        <v>1188</v>
      </c>
      <c r="H255" s="51" t="s">
        <v>2961</v>
      </c>
      <c r="I255" s="76"/>
      <c r="J255" s="80"/>
      <c r="K255" s="80"/>
      <c r="L255" s="51" t="s">
        <v>78</v>
      </c>
      <c r="M255" s="79">
        <v>44823</v>
      </c>
      <c r="N255" s="51"/>
      <c r="O255" s="80"/>
      <c r="P255" s="82"/>
      <c r="Q255" s="80"/>
      <c r="R255" s="80"/>
      <c r="S255" s="82"/>
      <c r="T255" s="80"/>
      <c r="U255" s="80"/>
      <c r="V255" s="79"/>
      <c r="W255" s="80"/>
      <c r="X255" s="80"/>
    </row>
    <row r="256" spans="1:24" ht="42" customHeight="1">
      <c r="A256" s="80">
        <f t="shared" si="0"/>
        <v>254</v>
      </c>
      <c r="B256" s="51" t="str">
        <f t="shared" si="1"/>
        <v>MA</v>
      </c>
      <c r="C256" s="51" t="s">
        <v>2962</v>
      </c>
      <c r="D256" s="51" t="s">
        <v>2907</v>
      </c>
      <c r="E256" s="80"/>
      <c r="F256" s="80"/>
      <c r="G256" s="75"/>
      <c r="H256" s="80"/>
      <c r="I256" s="76"/>
      <c r="J256" s="80"/>
      <c r="K256" s="80"/>
      <c r="L256" s="51" t="s">
        <v>78</v>
      </c>
      <c r="M256" s="79">
        <v>44824</v>
      </c>
      <c r="N256" s="51"/>
      <c r="O256" s="80"/>
      <c r="P256" s="82"/>
      <c r="Q256" s="80"/>
      <c r="R256" s="80"/>
      <c r="S256" s="82"/>
      <c r="T256" s="80"/>
      <c r="U256" s="80"/>
      <c r="V256" s="79"/>
      <c r="W256" s="80"/>
      <c r="X256" s="80"/>
    </row>
    <row r="257" spans="1:24" ht="42" customHeight="1">
      <c r="A257" s="80">
        <f t="shared" si="0"/>
        <v>255</v>
      </c>
      <c r="B257" s="51" t="str">
        <f t="shared" si="1"/>
        <v>MA</v>
      </c>
      <c r="C257" s="51" t="s">
        <v>2963</v>
      </c>
      <c r="D257" s="51" t="s">
        <v>746</v>
      </c>
      <c r="E257" s="80"/>
      <c r="F257" s="80"/>
      <c r="G257" s="75">
        <v>966555309666</v>
      </c>
      <c r="H257" s="80"/>
      <c r="I257" s="76"/>
      <c r="J257" s="80"/>
      <c r="K257" s="80"/>
      <c r="L257" s="51" t="s">
        <v>78</v>
      </c>
      <c r="M257" s="79">
        <v>44824</v>
      </c>
      <c r="N257" s="51"/>
      <c r="O257" s="80"/>
      <c r="P257" s="82"/>
      <c r="Q257" s="80"/>
      <c r="R257" s="80"/>
      <c r="S257" s="82"/>
      <c r="T257" s="80"/>
      <c r="U257" s="80"/>
      <c r="V257" s="79"/>
      <c r="W257" s="80"/>
      <c r="X257" s="80"/>
    </row>
    <row r="258" spans="1:24" ht="42" customHeight="1">
      <c r="A258" s="80">
        <f t="shared" si="0"/>
        <v>256</v>
      </c>
      <c r="B258" s="51" t="str">
        <f t="shared" si="1"/>
        <v>MA</v>
      </c>
      <c r="C258" s="51" t="s">
        <v>2964</v>
      </c>
      <c r="D258" s="51" t="s">
        <v>2907</v>
      </c>
      <c r="E258" s="80"/>
      <c r="F258" s="80"/>
      <c r="G258" s="75">
        <v>983124216329</v>
      </c>
      <c r="H258" s="80"/>
      <c r="I258" s="76"/>
      <c r="J258" s="80"/>
      <c r="K258" s="80"/>
      <c r="L258" s="51" t="s">
        <v>78</v>
      </c>
      <c r="M258" s="79">
        <v>44824</v>
      </c>
      <c r="N258" s="51"/>
      <c r="O258" s="80"/>
      <c r="P258" s="82"/>
      <c r="Q258" s="80"/>
      <c r="R258" s="80"/>
      <c r="S258" s="82"/>
      <c r="T258" s="80"/>
      <c r="U258" s="80"/>
      <c r="V258" s="79"/>
      <c r="W258" s="80"/>
      <c r="X258" s="80"/>
    </row>
    <row r="259" spans="1:24" ht="42" customHeight="1">
      <c r="A259" s="80">
        <f t="shared" si="0"/>
        <v>257</v>
      </c>
      <c r="B259" s="51" t="str">
        <f t="shared" si="1"/>
        <v>MA</v>
      </c>
      <c r="C259" s="81" t="s">
        <v>2965</v>
      </c>
      <c r="D259" s="51" t="s">
        <v>665</v>
      </c>
      <c r="E259" s="80"/>
      <c r="F259" s="80"/>
      <c r="G259" s="75" t="s">
        <v>2966</v>
      </c>
      <c r="H259" s="80"/>
      <c r="I259" s="76"/>
      <c r="J259" s="80"/>
      <c r="K259" s="80"/>
      <c r="L259" s="51" t="s">
        <v>78</v>
      </c>
      <c r="M259" s="79">
        <v>44887</v>
      </c>
      <c r="N259" s="51" t="s">
        <v>2538</v>
      </c>
      <c r="O259" s="51" t="s">
        <v>78</v>
      </c>
      <c r="P259" s="79">
        <v>44821</v>
      </c>
      <c r="Q259" s="51" t="s">
        <v>2545</v>
      </c>
      <c r="R259" s="80"/>
      <c r="S259" s="82"/>
      <c r="T259" s="80"/>
      <c r="U259" s="80"/>
      <c r="V259" s="79"/>
      <c r="W259" s="80"/>
      <c r="X259" s="80"/>
    </row>
    <row r="260" spans="1:24" ht="42" customHeight="1">
      <c r="A260" s="80">
        <f t="shared" si="0"/>
        <v>258</v>
      </c>
      <c r="B260" s="51" t="str">
        <f t="shared" si="1"/>
        <v>MA</v>
      </c>
      <c r="C260" s="51" t="s">
        <v>2967</v>
      </c>
      <c r="D260" s="51" t="s">
        <v>2933</v>
      </c>
      <c r="E260" s="80"/>
      <c r="F260" s="80"/>
      <c r="G260" s="75" t="s">
        <v>2968</v>
      </c>
      <c r="H260" s="80"/>
      <c r="I260" s="76"/>
      <c r="J260" s="80"/>
      <c r="K260" s="80"/>
      <c r="L260" s="51" t="s">
        <v>78</v>
      </c>
      <c r="M260" s="79">
        <v>44824</v>
      </c>
      <c r="N260" s="51"/>
      <c r="P260" s="82"/>
      <c r="Q260" s="80"/>
      <c r="R260" s="80"/>
      <c r="S260" s="82"/>
      <c r="T260" s="80"/>
      <c r="U260" s="80"/>
      <c r="V260" s="79"/>
      <c r="W260" s="80"/>
      <c r="X260" s="51" t="s">
        <v>2969</v>
      </c>
    </row>
    <row r="261" spans="1:24" ht="42" customHeight="1">
      <c r="A261" s="80">
        <f t="shared" si="0"/>
        <v>259</v>
      </c>
      <c r="B261" s="51" t="str">
        <f t="shared" si="1"/>
        <v>MA</v>
      </c>
      <c r="C261" s="51" t="s">
        <v>2970</v>
      </c>
      <c r="D261" s="51" t="s">
        <v>627</v>
      </c>
      <c r="E261" s="80"/>
      <c r="F261" s="80"/>
      <c r="G261" s="75" t="s">
        <v>2971</v>
      </c>
      <c r="H261" s="80"/>
      <c r="I261" s="76"/>
      <c r="J261" s="80"/>
      <c r="K261" s="80"/>
      <c r="L261" s="51" t="s">
        <v>78</v>
      </c>
      <c r="M261" s="79">
        <v>44824</v>
      </c>
      <c r="N261" s="51"/>
      <c r="O261" s="51" t="s">
        <v>78</v>
      </c>
      <c r="P261" s="79">
        <v>44821</v>
      </c>
      <c r="Q261" s="51" t="s">
        <v>2545</v>
      </c>
      <c r="R261" s="80"/>
      <c r="S261" s="82"/>
      <c r="T261" s="80"/>
      <c r="U261" s="80"/>
      <c r="V261" s="79"/>
      <c r="W261" s="80"/>
      <c r="X261" s="80"/>
    </row>
    <row r="262" spans="1:24" ht="42" customHeight="1">
      <c r="A262" s="80">
        <f t="shared" si="0"/>
        <v>260</v>
      </c>
      <c r="B262" s="51" t="str">
        <f t="shared" si="1"/>
        <v>MA</v>
      </c>
      <c r="C262" s="51" t="s">
        <v>2972</v>
      </c>
      <c r="D262" s="51" t="s">
        <v>2907</v>
      </c>
      <c r="E262" s="80"/>
      <c r="F262" s="80"/>
      <c r="G262" s="75" t="s">
        <v>2973</v>
      </c>
      <c r="H262" s="80"/>
      <c r="I262" s="76"/>
      <c r="J262" s="80"/>
      <c r="K262" s="80"/>
      <c r="L262" s="51" t="s">
        <v>78</v>
      </c>
      <c r="M262" s="79">
        <v>44824</v>
      </c>
      <c r="N262" s="51"/>
      <c r="O262" s="80"/>
      <c r="P262" s="82"/>
      <c r="Q262" s="80"/>
      <c r="R262" s="80"/>
      <c r="S262" s="82"/>
      <c r="T262" s="80"/>
      <c r="U262" s="80"/>
      <c r="V262" s="79"/>
      <c r="W262" s="80"/>
      <c r="X262" s="80"/>
    </row>
    <row r="263" spans="1:24" ht="42" customHeight="1">
      <c r="A263" s="80">
        <f t="shared" si="0"/>
        <v>261</v>
      </c>
      <c r="B263" s="51" t="str">
        <f t="shared" si="1"/>
        <v>MA</v>
      </c>
      <c r="C263" s="51" t="s">
        <v>1016</v>
      </c>
      <c r="D263" s="51" t="s">
        <v>1017</v>
      </c>
      <c r="E263" s="80"/>
      <c r="F263" s="80"/>
      <c r="G263" s="75" t="s">
        <v>1018</v>
      </c>
      <c r="H263" s="80"/>
      <c r="I263" s="76"/>
      <c r="J263" s="80"/>
      <c r="K263" s="80"/>
      <c r="L263" s="51" t="s">
        <v>78</v>
      </c>
      <c r="M263" s="79">
        <v>44824</v>
      </c>
      <c r="N263" s="51"/>
      <c r="O263" s="51" t="s">
        <v>98</v>
      </c>
      <c r="P263" s="79">
        <v>44862</v>
      </c>
      <c r="Q263" s="51" t="s">
        <v>2561</v>
      </c>
      <c r="R263" s="51" t="s">
        <v>98</v>
      </c>
      <c r="S263" s="79">
        <v>44904</v>
      </c>
      <c r="T263" s="51" t="s">
        <v>2561</v>
      </c>
      <c r="U263" s="80"/>
      <c r="V263" s="79"/>
      <c r="W263" s="80"/>
      <c r="X263" s="80"/>
    </row>
    <row r="264" spans="1:24" ht="42" customHeight="1">
      <c r="A264" s="80">
        <f t="shared" si="0"/>
        <v>262</v>
      </c>
      <c r="B264" s="51" t="str">
        <f t="shared" si="1"/>
        <v>MA</v>
      </c>
      <c r="C264" s="81" t="s">
        <v>2974</v>
      </c>
      <c r="D264" s="80"/>
      <c r="E264" s="80"/>
      <c r="F264" s="80"/>
      <c r="G264" s="75">
        <v>905319165826</v>
      </c>
      <c r="H264" s="80"/>
      <c r="I264" s="76"/>
      <c r="J264" s="80"/>
      <c r="K264" s="80"/>
      <c r="L264" s="51" t="s">
        <v>78</v>
      </c>
      <c r="M264" s="79">
        <v>44824</v>
      </c>
      <c r="N264" s="51"/>
      <c r="O264" s="80"/>
      <c r="P264" s="82"/>
      <c r="Q264" s="80"/>
      <c r="R264" s="80"/>
      <c r="S264" s="82"/>
      <c r="T264" s="80"/>
      <c r="U264" s="80"/>
      <c r="V264" s="79"/>
      <c r="W264" s="80"/>
      <c r="X264" s="80"/>
    </row>
    <row r="265" spans="1:24" ht="42" customHeight="1">
      <c r="A265" s="80">
        <f t="shared" si="0"/>
        <v>263</v>
      </c>
      <c r="B265" s="51" t="str">
        <f t="shared" si="1"/>
        <v>MA</v>
      </c>
      <c r="C265" s="51" t="s">
        <v>2975</v>
      </c>
      <c r="D265" s="51" t="s">
        <v>2933</v>
      </c>
      <c r="E265" s="80"/>
      <c r="F265" s="80"/>
      <c r="G265" s="75" t="s">
        <v>2976</v>
      </c>
      <c r="H265" s="80"/>
      <c r="I265" s="76"/>
      <c r="J265" s="80"/>
      <c r="K265" s="80"/>
      <c r="L265" s="51" t="s">
        <v>78</v>
      </c>
      <c r="M265" s="79">
        <v>44824</v>
      </c>
      <c r="N265" s="51"/>
      <c r="O265" s="51" t="s">
        <v>98</v>
      </c>
      <c r="P265" s="79">
        <v>44904</v>
      </c>
      <c r="Q265" s="51" t="s">
        <v>2561</v>
      </c>
      <c r="R265" s="80"/>
      <c r="S265" s="82"/>
      <c r="T265" s="80"/>
      <c r="U265" s="80"/>
      <c r="V265" s="79"/>
      <c r="W265" s="80"/>
      <c r="X265" s="80"/>
    </row>
    <row r="266" spans="1:24" ht="42" customHeight="1">
      <c r="A266" s="80">
        <f t="shared" si="0"/>
        <v>264</v>
      </c>
      <c r="B266" s="51" t="str">
        <f t="shared" si="1"/>
        <v>MA</v>
      </c>
      <c r="C266" s="81" t="s">
        <v>2977</v>
      </c>
      <c r="D266" s="80"/>
      <c r="E266" s="80"/>
      <c r="F266" s="80"/>
      <c r="G266" s="75"/>
      <c r="H266" s="80"/>
      <c r="I266" s="76"/>
      <c r="J266" s="80"/>
      <c r="K266" s="80"/>
      <c r="L266" s="51" t="s">
        <v>78</v>
      </c>
      <c r="M266" s="79">
        <v>44824</v>
      </c>
      <c r="N266" s="51"/>
      <c r="O266" s="80"/>
      <c r="P266" s="82"/>
      <c r="Q266" s="80"/>
      <c r="R266" s="80"/>
      <c r="S266" s="82"/>
      <c r="T266" s="80"/>
      <c r="U266" s="80"/>
      <c r="V266" s="79"/>
      <c r="W266" s="80"/>
      <c r="X266" s="80"/>
    </row>
    <row r="267" spans="1:24" ht="42" customHeight="1">
      <c r="A267" s="80">
        <f t="shared" si="0"/>
        <v>265</v>
      </c>
      <c r="B267" s="51" t="str">
        <f t="shared" si="1"/>
        <v>MA</v>
      </c>
      <c r="C267" s="51" t="s">
        <v>350</v>
      </c>
      <c r="D267" s="51" t="s">
        <v>119</v>
      </c>
      <c r="E267" s="80"/>
      <c r="F267" s="80"/>
      <c r="G267" s="75" t="s">
        <v>351</v>
      </c>
      <c r="H267" s="80"/>
      <c r="I267" s="76"/>
      <c r="J267" s="80"/>
      <c r="K267" s="80"/>
      <c r="L267" s="51" t="s">
        <v>78</v>
      </c>
      <c r="M267" s="79">
        <v>44824</v>
      </c>
      <c r="N267" s="80"/>
      <c r="O267" s="51" t="s">
        <v>78</v>
      </c>
      <c r="P267" s="79">
        <v>44858</v>
      </c>
      <c r="Q267" s="51" t="s">
        <v>2538</v>
      </c>
      <c r="R267" s="51" t="s">
        <v>98</v>
      </c>
      <c r="S267" s="79">
        <v>44904</v>
      </c>
      <c r="T267" s="51" t="s">
        <v>2561</v>
      </c>
      <c r="U267" s="51" t="s">
        <v>78</v>
      </c>
      <c r="V267" s="79">
        <v>44908</v>
      </c>
      <c r="W267" s="51" t="s">
        <v>2573</v>
      </c>
      <c r="X267" s="80"/>
    </row>
    <row r="268" spans="1:24" ht="42" customHeight="1">
      <c r="A268" s="80">
        <f t="shared" si="0"/>
        <v>266</v>
      </c>
      <c r="B268" s="51" t="str">
        <f t="shared" si="1"/>
        <v>MA</v>
      </c>
      <c r="C268" s="51" t="s">
        <v>2978</v>
      </c>
      <c r="D268" s="51" t="s">
        <v>2933</v>
      </c>
      <c r="E268" s="80"/>
      <c r="F268" s="80"/>
      <c r="G268" s="75">
        <v>97022212467</v>
      </c>
      <c r="H268" s="80"/>
      <c r="I268" s="76"/>
      <c r="J268" s="80"/>
      <c r="K268" s="80"/>
      <c r="L268" s="51" t="s">
        <v>78</v>
      </c>
      <c r="M268" s="79">
        <v>44824</v>
      </c>
      <c r="N268" s="51"/>
      <c r="O268" s="51" t="s">
        <v>78</v>
      </c>
      <c r="P268" s="79">
        <v>44858</v>
      </c>
      <c r="Q268" s="51" t="s">
        <v>2538</v>
      </c>
      <c r="R268" s="80"/>
      <c r="S268" s="82"/>
      <c r="T268" s="80"/>
      <c r="U268" s="80"/>
      <c r="V268" s="79"/>
      <c r="W268" s="80"/>
      <c r="X268" s="80"/>
    </row>
    <row r="269" spans="1:24" ht="42" customHeight="1">
      <c r="A269" s="80">
        <f t="shared" si="0"/>
        <v>267</v>
      </c>
      <c r="B269" s="51" t="str">
        <f t="shared" si="1"/>
        <v>MA</v>
      </c>
      <c r="C269" s="81" t="s">
        <v>2979</v>
      </c>
      <c r="D269" s="51"/>
      <c r="E269" s="80"/>
      <c r="F269" s="80"/>
      <c r="G269" s="75"/>
      <c r="H269" s="80"/>
      <c r="I269" s="76"/>
      <c r="J269" s="80"/>
      <c r="K269" s="80"/>
      <c r="L269" s="51" t="s">
        <v>78</v>
      </c>
      <c r="M269" s="79">
        <v>44824</v>
      </c>
      <c r="N269" s="51"/>
      <c r="O269" s="80"/>
      <c r="P269" s="82"/>
      <c r="Q269" s="80"/>
      <c r="R269" s="80"/>
      <c r="S269" s="82"/>
      <c r="T269" s="80"/>
      <c r="U269" s="80"/>
      <c r="V269" s="79"/>
      <c r="W269" s="80"/>
      <c r="X269" s="80"/>
    </row>
    <row r="270" spans="1:24" ht="42" customHeight="1">
      <c r="A270" s="80">
        <f t="shared" si="0"/>
        <v>268</v>
      </c>
      <c r="B270" s="51" t="str">
        <f t="shared" si="1"/>
        <v>MA</v>
      </c>
      <c r="C270" s="85" t="s">
        <v>109</v>
      </c>
      <c r="D270" s="51" t="s">
        <v>104</v>
      </c>
      <c r="E270" s="80"/>
      <c r="F270" s="80"/>
      <c r="G270" s="75" t="s">
        <v>110</v>
      </c>
      <c r="H270" s="80"/>
      <c r="I270" s="76"/>
      <c r="J270" s="80"/>
      <c r="K270" s="80"/>
      <c r="L270" s="51" t="s">
        <v>78</v>
      </c>
      <c r="M270" s="79">
        <v>44824</v>
      </c>
      <c r="N270" s="51"/>
      <c r="O270" s="80"/>
      <c r="P270" s="82"/>
      <c r="Q270" s="80"/>
      <c r="R270" s="80"/>
      <c r="S270" s="82"/>
      <c r="T270" s="80"/>
      <c r="U270" s="80"/>
      <c r="V270" s="79"/>
      <c r="W270" s="80"/>
      <c r="X270" s="80"/>
    </row>
    <row r="271" spans="1:24" ht="42" customHeight="1">
      <c r="A271" s="80">
        <f t="shared" si="0"/>
        <v>269</v>
      </c>
      <c r="B271" s="51" t="str">
        <f t="shared" si="1"/>
        <v>MA</v>
      </c>
      <c r="C271" s="51" t="s">
        <v>1019</v>
      </c>
      <c r="D271" s="51" t="s">
        <v>851</v>
      </c>
      <c r="E271" s="51" t="s">
        <v>2533</v>
      </c>
      <c r="F271" s="80"/>
      <c r="G271" s="75" t="s">
        <v>1020</v>
      </c>
      <c r="H271" s="80"/>
      <c r="I271" s="76"/>
      <c r="J271" s="80"/>
      <c r="K271" s="80"/>
      <c r="L271" s="51" t="s">
        <v>78</v>
      </c>
      <c r="M271" s="79">
        <v>44824</v>
      </c>
      <c r="N271" s="51" t="s">
        <v>2551</v>
      </c>
      <c r="O271" s="51" t="s">
        <v>98</v>
      </c>
      <c r="P271" s="79">
        <v>44862</v>
      </c>
      <c r="Q271" s="51" t="s">
        <v>2561</v>
      </c>
      <c r="R271" s="51" t="s">
        <v>78</v>
      </c>
      <c r="S271" s="79">
        <v>44855</v>
      </c>
      <c r="T271" s="51" t="s">
        <v>2570</v>
      </c>
      <c r="U271" s="51" t="s">
        <v>78</v>
      </c>
      <c r="V271" s="79">
        <v>44904</v>
      </c>
      <c r="W271" s="51" t="s">
        <v>2561</v>
      </c>
      <c r="X271" s="80"/>
    </row>
    <row r="272" spans="1:24" ht="42" customHeight="1">
      <c r="A272" s="80">
        <f t="shared" si="0"/>
        <v>270</v>
      </c>
      <c r="B272" s="51" t="str">
        <f t="shared" si="1"/>
        <v>MA</v>
      </c>
      <c r="C272" s="81" t="s">
        <v>2980</v>
      </c>
      <c r="D272" s="80"/>
      <c r="E272" s="80"/>
      <c r="F272" s="80"/>
      <c r="G272" s="75">
        <v>390331709138</v>
      </c>
      <c r="H272" s="80"/>
      <c r="I272" s="76"/>
      <c r="J272" s="80"/>
      <c r="K272" s="80"/>
      <c r="L272" s="51" t="s">
        <v>78</v>
      </c>
      <c r="M272" s="79">
        <v>44824</v>
      </c>
      <c r="N272" s="51"/>
      <c r="O272" s="51" t="s">
        <v>78</v>
      </c>
      <c r="P272" s="79">
        <v>44904</v>
      </c>
      <c r="Q272" s="51" t="s">
        <v>2538</v>
      </c>
      <c r="R272" s="80"/>
      <c r="S272" s="82"/>
      <c r="T272" s="80"/>
      <c r="U272" s="80"/>
      <c r="V272" s="79"/>
      <c r="W272" s="80"/>
      <c r="X272" s="51" t="s">
        <v>2981</v>
      </c>
    </row>
    <row r="273" spans="1:24" ht="42" customHeight="1">
      <c r="A273" s="80">
        <f t="shared" si="0"/>
        <v>271</v>
      </c>
      <c r="B273" s="51" t="str">
        <f t="shared" si="1"/>
        <v>MA</v>
      </c>
      <c r="C273" s="51" t="s">
        <v>2982</v>
      </c>
      <c r="D273" s="51" t="s">
        <v>2983</v>
      </c>
      <c r="E273" s="80"/>
      <c r="F273" s="80"/>
      <c r="G273" s="75" t="s">
        <v>2984</v>
      </c>
      <c r="H273" s="80"/>
      <c r="I273" s="76"/>
      <c r="J273" s="80"/>
      <c r="K273" s="80"/>
      <c r="L273" s="51" t="s">
        <v>78</v>
      </c>
      <c r="M273" s="79">
        <v>44825</v>
      </c>
      <c r="N273" s="51"/>
      <c r="O273" s="51" t="s">
        <v>78</v>
      </c>
      <c r="P273" s="79">
        <v>44904</v>
      </c>
      <c r="Q273" s="51" t="s">
        <v>2635</v>
      </c>
      <c r="R273" s="80"/>
      <c r="S273" s="82"/>
      <c r="T273" s="80"/>
      <c r="U273" s="80"/>
      <c r="V273" s="79"/>
      <c r="W273" s="80"/>
      <c r="X273" s="80"/>
    </row>
    <row r="274" spans="1:24" ht="42" customHeight="1">
      <c r="A274" s="80">
        <f t="shared" si="0"/>
        <v>272</v>
      </c>
      <c r="B274" s="51" t="str">
        <f t="shared" si="1"/>
        <v>MA</v>
      </c>
      <c r="C274" s="81" t="s">
        <v>2985</v>
      </c>
      <c r="D274" s="80"/>
      <c r="E274" s="80"/>
      <c r="F274" s="80"/>
      <c r="G274" s="75"/>
      <c r="H274" s="80"/>
      <c r="I274" s="76"/>
      <c r="J274" s="80"/>
      <c r="K274" s="80"/>
      <c r="L274" s="51" t="s">
        <v>78</v>
      </c>
      <c r="M274" s="79">
        <v>44825</v>
      </c>
      <c r="N274" s="51"/>
      <c r="O274" s="80"/>
      <c r="P274" s="82"/>
      <c r="Q274" s="80"/>
      <c r="R274" s="80"/>
      <c r="S274" s="82"/>
      <c r="T274" s="80"/>
      <c r="U274" s="80"/>
      <c r="V274" s="79"/>
      <c r="W274" s="80"/>
      <c r="X274" s="80"/>
    </row>
    <row r="275" spans="1:24" ht="42" customHeight="1">
      <c r="A275" s="80">
        <f t="shared" si="0"/>
        <v>273</v>
      </c>
      <c r="B275" s="51" t="str">
        <f t="shared" si="1"/>
        <v>MA</v>
      </c>
      <c r="C275" s="51" t="s">
        <v>2986</v>
      </c>
      <c r="D275" s="51" t="s">
        <v>397</v>
      </c>
      <c r="E275" s="80"/>
      <c r="F275" s="80"/>
      <c r="G275" s="75">
        <v>962795540449</v>
      </c>
      <c r="H275" s="80"/>
      <c r="I275" s="76"/>
      <c r="J275" s="80"/>
      <c r="K275" s="80"/>
      <c r="L275" s="51" t="s">
        <v>78</v>
      </c>
      <c r="M275" s="79">
        <v>44825</v>
      </c>
      <c r="N275" s="51"/>
      <c r="O275" s="51" t="s">
        <v>98</v>
      </c>
      <c r="P275" s="79">
        <v>44904</v>
      </c>
      <c r="Q275" s="51" t="s">
        <v>2561</v>
      </c>
      <c r="R275" s="80"/>
      <c r="S275" s="82"/>
      <c r="T275" s="80"/>
      <c r="U275" s="80"/>
      <c r="V275" s="79"/>
      <c r="W275" s="80"/>
      <c r="X275" s="80"/>
    </row>
    <row r="276" spans="1:24" ht="42" customHeight="1">
      <c r="A276" s="80">
        <f t="shared" si="0"/>
        <v>274</v>
      </c>
      <c r="B276" s="51" t="str">
        <f t="shared" si="1"/>
        <v>MA</v>
      </c>
      <c r="C276" s="51" t="s">
        <v>111</v>
      </c>
      <c r="D276" s="51" t="s">
        <v>104</v>
      </c>
      <c r="E276" s="80"/>
      <c r="F276" s="80"/>
      <c r="G276" s="75" t="s">
        <v>2987</v>
      </c>
      <c r="H276" s="80"/>
      <c r="I276" s="76"/>
      <c r="J276" s="80"/>
      <c r="K276" s="80"/>
      <c r="L276" s="51" t="s">
        <v>78</v>
      </c>
      <c r="M276" s="79">
        <v>44825</v>
      </c>
      <c r="N276" s="51"/>
      <c r="O276" s="51" t="s">
        <v>98</v>
      </c>
      <c r="P276" s="79">
        <v>44904</v>
      </c>
      <c r="Q276" s="51" t="s">
        <v>2561</v>
      </c>
      <c r="R276" s="80"/>
      <c r="S276" s="82"/>
      <c r="T276" s="80"/>
      <c r="U276" s="80"/>
      <c r="V276" s="79"/>
      <c r="W276" s="80"/>
      <c r="X276" s="80"/>
    </row>
    <row r="277" spans="1:24" ht="42" customHeight="1">
      <c r="A277" s="80">
        <f t="shared" si="0"/>
        <v>275</v>
      </c>
      <c r="B277" s="51" t="str">
        <f t="shared" si="1"/>
        <v>MA</v>
      </c>
      <c r="C277" s="51" t="s">
        <v>2988</v>
      </c>
      <c r="D277" s="51" t="s">
        <v>119</v>
      </c>
      <c r="E277" s="80"/>
      <c r="F277" s="80"/>
      <c r="G277" s="75" t="s">
        <v>353</v>
      </c>
      <c r="H277" s="80"/>
      <c r="I277" s="76"/>
      <c r="J277" s="80"/>
      <c r="K277" s="80"/>
      <c r="L277" s="51" t="s">
        <v>78</v>
      </c>
      <c r="M277" s="79">
        <v>44825</v>
      </c>
      <c r="N277" s="51"/>
      <c r="O277" s="51" t="s">
        <v>98</v>
      </c>
      <c r="P277" s="79">
        <v>44904</v>
      </c>
      <c r="Q277" s="51" t="s">
        <v>2561</v>
      </c>
      <c r="R277" s="51" t="s">
        <v>98</v>
      </c>
      <c r="S277" s="79">
        <v>44908</v>
      </c>
      <c r="T277" s="51" t="s">
        <v>2635</v>
      </c>
      <c r="U277" s="80"/>
      <c r="V277" s="79"/>
      <c r="W277" s="80"/>
      <c r="X277" s="51" t="s">
        <v>2989</v>
      </c>
    </row>
    <row r="278" spans="1:24" ht="42" customHeight="1">
      <c r="A278" s="80">
        <f t="shared" si="0"/>
        <v>276</v>
      </c>
      <c r="B278" s="51" t="str">
        <f t="shared" si="1"/>
        <v>MA</v>
      </c>
      <c r="C278" s="51" t="s">
        <v>113</v>
      </c>
      <c r="D278" s="51" t="s">
        <v>104</v>
      </c>
      <c r="E278" s="80"/>
      <c r="F278" s="80"/>
      <c r="G278" s="75" t="s">
        <v>114</v>
      </c>
      <c r="H278" s="80"/>
      <c r="I278" s="76"/>
      <c r="J278" s="80"/>
      <c r="K278" s="80"/>
      <c r="L278" s="51" t="s">
        <v>78</v>
      </c>
      <c r="M278" s="79">
        <v>44825</v>
      </c>
      <c r="N278" s="51"/>
      <c r="O278" s="51" t="s">
        <v>98</v>
      </c>
      <c r="P278" s="79">
        <v>44904</v>
      </c>
      <c r="Q278" s="51" t="s">
        <v>2561</v>
      </c>
      <c r="R278" s="80"/>
      <c r="S278" s="82"/>
      <c r="T278" s="80"/>
      <c r="U278" s="80"/>
      <c r="V278" s="79"/>
      <c r="W278" s="80"/>
      <c r="X278" s="80"/>
    </row>
    <row r="279" spans="1:24" ht="42" customHeight="1">
      <c r="A279" s="80">
        <f t="shared" si="0"/>
        <v>277</v>
      </c>
      <c r="B279" s="51" t="str">
        <f t="shared" si="1"/>
        <v>MA</v>
      </c>
      <c r="C279" s="51" t="s">
        <v>2990</v>
      </c>
      <c r="D279" s="51" t="s">
        <v>969</v>
      </c>
      <c r="E279" s="80"/>
      <c r="F279" s="80"/>
      <c r="G279" s="75">
        <f>27119580621</f>
        <v>27119580621</v>
      </c>
      <c r="H279" s="80"/>
      <c r="I279" s="76"/>
      <c r="J279" s="80"/>
      <c r="K279" s="80"/>
      <c r="L279" s="51" t="s">
        <v>78</v>
      </c>
      <c r="M279" s="79">
        <v>44827</v>
      </c>
      <c r="N279" s="51"/>
      <c r="O279" s="80"/>
      <c r="P279" s="82"/>
      <c r="Q279" s="80"/>
      <c r="R279" s="80"/>
      <c r="S279" s="82"/>
      <c r="T279" s="80"/>
      <c r="U279" s="80"/>
      <c r="V279" s="79"/>
      <c r="W279" s="80"/>
      <c r="X279" s="80"/>
    </row>
    <row r="280" spans="1:24" ht="42" customHeight="1">
      <c r="A280" s="80">
        <f t="shared" si="0"/>
        <v>278</v>
      </c>
      <c r="B280" s="51" t="str">
        <f t="shared" si="1"/>
        <v>MA</v>
      </c>
      <c r="C280" s="51" t="s">
        <v>2991</v>
      </c>
      <c r="D280" s="51" t="s">
        <v>969</v>
      </c>
      <c r="E280" s="80"/>
      <c r="F280" s="80"/>
      <c r="G280" s="75" t="s">
        <v>1023</v>
      </c>
      <c r="H280" s="80"/>
      <c r="I280" s="76"/>
      <c r="J280" s="80"/>
      <c r="K280" s="80"/>
      <c r="L280" s="51" t="s">
        <v>78</v>
      </c>
      <c r="M280" s="79">
        <v>44827</v>
      </c>
      <c r="N280" s="51"/>
      <c r="O280" s="80"/>
      <c r="P280" s="82"/>
      <c r="Q280" s="80"/>
      <c r="R280" s="80"/>
      <c r="S280" s="82"/>
      <c r="T280" s="80"/>
      <c r="U280" s="80"/>
      <c r="V280" s="79"/>
      <c r="W280" s="80"/>
      <c r="X280" s="80"/>
    </row>
    <row r="281" spans="1:24" ht="42" customHeight="1">
      <c r="A281" s="80">
        <f t="shared" si="0"/>
        <v>279</v>
      </c>
      <c r="B281" s="51" t="str">
        <f t="shared" si="1"/>
        <v>MA</v>
      </c>
      <c r="C281" s="51" t="s">
        <v>1024</v>
      </c>
      <c r="D281" s="51" t="s">
        <v>969</v>
      </c>
      <c r="E281" s="80"/>
      <c r="F281" s="80"/>
      <c r="G281" s="75" t="s">
        <v>1025</v>
      </c>
      <c r="H281" s="80"/>
      <c r="I281" s="76"/>
      <c r="J281" s="80"/>
      <c r="K281" s="80"/>
      <c r="L281" s="51" t="s">
        <v>78</v>
      </c>
      <c r="M281" s="79">
        <v>44827</v>
      </c>
      <c r="N281" s="51"/>
      <c r="O281" s="80"/>
      <c r="P281" s="82"/>
      <c r="Q281" s="80"/>
      <c r="R281" s="80"/>
      <c r="S281" s="82"/>
      <c r="T281" s="80"/>
      <c r="U281" s="80"/>
      <c r="V281" s="79"/>
      <c r="W281" s="80"/>
      <c r="X281" s="80"/>
    </row>
    <row r="282" spans="1:24" ht="42" customHeight="1">
      <c r="A282" s="80">
        <f t="shared" si="0"/>
        <v>280</v>
      </c>
      <c r="B282" s="51" t="str">
        <f t="shared" si="1"/>
        <v>MA</v>
      </c>
      <c r="C282" s="51" t="s">
        <v>2992</v>
      </c>
      <c r="D282" s="51" t="s">
        <v>969</v>
      </c>
      <c r="E282" s="80"/>
      <c r="F282" s="80"/>
      <c r="G282" s="75"/>
      <c r="H282" s="80"/>
      <c r="I282" s="76"/>
      <c r="J282" s="80"/>
      <c r="K282" s="80"/>
      <c r="L282" s="51" t="s">
        <v>78</v>
      </c>
      <c r="M282" s="79">
        <v>44827</v>
      </c>
      <c r="N282" s="51"/>
      <c r="O282" s="80"/>
      <c r="P282" s="82"/>
      <c r="Q282" s="80"/>
      <c r="R282" s="80"/>
      <c r="S282" s="82"/>
      <c r="T282" s="80"/>
      <c r="U282" s="80"/>
      <c r="V282" s="79"/>
      <c r="W282" s="80"/>
      <c r="X282" s="80"/>
    </row>
    <row r="283" spans="1:24" ht="42" customHeight="1">
      <c r="A283" s="80">
        <f t="shared" si="0"/>
        <v>281</v>
      </c>
      <c r="B283" s="51" t="str">
        <f t="shared" si="1"/>
        <v>MA</v>
      </c>
      <c r="C283" s="51" t="s">
        <v>1026</v>
      </c>
      <c r="D283" s="51" t="s">
        <v>969</v>
      </c>
      <c r="E283" s="80"/>
      <c r="F283" s="80"/>
      <c r="G283" s="75" t="s">
        <v>1027</v>
      </c>
      <c r="H283" s="80"/>
      <c r="I283" s="76"/>
      <c r="J283" s="80"/>
      <c r="K283" s="80"/>
      <c r="L283" s="51" t="s">
        <v>78</v>
      </c>
      <c r="M283" s="79">
        <v>44827</v>
      </c>
      <c r="N283" s="51"/>
      <c r="O283" s="80"/>
      <c r="P283" s="82"/>
      <c r="Q283" s="80"/>
      <c r="R283" s="80"/>
      <c r="S283" s="82"/>
      <c r="T283" s="80"/>
      <c r="U283" s="80"/>
      <c r="V283" s="79"/>
      <c r="W283" s="80"/>
      <c r="X283" s="80"/>
    </row>
    <row r="284" spans="1:24" ht="42" customHeight="1">
      <c r="A284" s="80">
        <f t="shared" si="0"/>
        <v>282</v>
      </c>
      <c r="B284" s="51" t="str">
        <f t="shared" si="1"/>
        <v>MA</v>
      </c>
      <c r="C284" s="51" t="s">
        <v>2993</v>
      </c>
      <c r="D284" s="51" t="s">
        <v>969</v>
      </c>
      <c r="E284" s="80"/>
      <c r="F284" s="80"/>
      <c r="G284" s="75">
        <f>27543325791</f>
        <v>27543325791</v>
      </c>
      <c r="H284" s="80"/>
      <c r="I284" s="76"/>
      <c r="J284" s="80"/>
      <c r="K284" s="80"/>
      <c r="L284" s="51" t="s">
        <v>78</v>
      </c>
      <c r="M284" s="79">
        <v>44827</v>
      </c>
      <c r="N284" s="51"/>
      <c r="O284" s="80"/>
      <c r="P284" s="82"/>
      <c r="Q284" s="80"/>
      <c r="R284" s="80"/>
      <c r="S284" s="82"/>
      <c r="T284" s="80"/>
      <c r="U284" s="80"/>
      <c r="V284" s="79"/>
      <c r="W284" s="80"/>
      <c r="X284" s="80"/>
    </row>
    <row r="285" spans="1:24" ht="42" customHeight="1">
      <c r="A285" s="80">
        <f t="shared" si="0"/>
        <v>283</v>
      </c>
      <c r="B285" s="51" t="str">
        <f t="shared" si="1"/>
        <v>MA</v>
      </c>
      <c r="C285" s="51" t="s">
        <v>2994</v>
      </c>
      <c r="D285" s="51" t="s">
        <v>459</v>
      </c>
      <c r="E285" s="80"/>
      <c r="F285" s="80"/>
      <c r="G285" s="75"/>
      <c r="H285" s="80"/>
      <c r="I285" s="76"/>
      <c r="J285" s="80"/>
      <c r="K285" s="80"/>
      <c r="L285" s="51" t="s">
        <v>78</v>
      </c>
      <c r="M285" s="79">
        <v>44827</v>
      </c>
      <c r="N285" s="51"/>
      <c r="O285" s="80"/>
      <c r="P285" s="82"/>
      <c r="Q285" s="80"/>
      <c r="R285" s="80"/>
      <c r="S285" s="82"/>
      <c r="T285" s="80"/>
      <c r="U285" s="80"/>
      <c r="V285" s="79"/>
      <c r="W285" s="80"/>
      <c r="X285" s="80"/>
    </row>
    <row r="286" spans="1:24" ht="42" customHeight="1">
      <c r="A286" s="80">
        <f t="shared" si="0"/>
        <v>284</v>
      </c>
      <c r="B286" s="51" t="str">
        <f t="shared" si="1"/>
        <v>MA</v>
      </c>
      <c r="C286" s="51" t="s">
        <v>2995</v>
      </c>
      <c r="D286" s="51" t="s">
        <v>2945</v>
      </c>
      <c r="E286" s="80"/>
      <c r="F286" s="80"/>
      <c r="G286" s="75" t="s">
        <v>2996</v>
      </c>
      <c r="H286" s="80"/>
      <c r="I286" s="76"/>
      <c r="J286" s="80"/>
      <c r="K286" s="80"/>
      <c r="L286" s="51" t="s">
        <v>78</v>
      </c>
      <c r="M286" s="79">
        <v>44831</v>
      </c>
      <c r="N286" s="51"/>
      <c r="O286" s="51" t="s">
        <v>7</v>
      </c>
      <c r="P286" s="79">
        <v>44862</v>
      </c>
      <c r="Q286" s="51" t="s">
        <v>2566</v>
      </c>
      <c r="R286" s="51" t="s">
        <v>7</v>
      </c>
      <c r="S286" s="79">
        <v>44904</v>
      </c>
      <c r="T286" s="51" t="s">
        <v>2561</v>
      </c>
      <c r="U286" s="80"/>
      <c r="V286" s="79"/>
      <c r="W286" s="80"/>
      <c r="X286" s="80"/>
    </row>
    <row r="287" spans="1:24" ht="42" customHeight="1">
      <c r="A287" s="80">
        <f t="shared" si="0"/>
        <v>285</v>
      </c>
      <c r="B287" s="51" t="str">
        <f t="shared" si="1"/>
        <v>MA</v>
      </c>
      <c r="C287" s="51" t="s">
        <v>2993</v>
      </c>
      <c r="D287" s="51" t="s">
        <v>969</v>
      </c>
      <c r="E287" s="80"/>
      <c r="F287" s="80"/>
      <c r="G287" s="75">
        <f>27543325791</f>
        <v>27543325791</v>
      </c>
      <c r="H287" s="80"/>
      <c r="I287" s="76"/>
      <c r="J287" s="80"/>
      <c r="K287" s="80"/>
      <c r="L287" s="51" t="s">
        <v>78</v>
      </c>
      <c r="M287" s="79">
        <v>44827</v>
      </c>
      <c r="N287" s="51"/>
      <c r="O287" s="80"/>
      <c r="P287" s="82"/>
      <c r="Q287" s="80"/>
      <c r="R287" s="80"/>
      <c r="S287" s="82"/>
      <c r="T287" s="80"/>
      <c r="U287" s="80"/>
      <c r="V287" s="79"/>
      <c r="W287" s="80"/>
      <c r="X287" s="80"/>
    </row>
    <row r="288" spans="1:24" ht="42" customHeight="1">
      <c r="A288" s="80">
        <f t="shared" si="0"/>
        <v>286</v>
      </c>
      <c r="B288" s="51" t="str">
        <f t="shared" si="1"/>
        <v>MA</v>
      </c>
      <c r="C288" s="85" t="s">
        <v>2997</v>
      </c>
      <c r="D288" s="51" t="s">
        <v>459</v>
      </c>
      <c r="E288" s="80"/>
      <c r="F288" s="80"/>
      <c r="G288" s="75"/>
      <c r="H288" s="80"/>
      <c r="I288" s="89" t="s">
        <v>2998</v>
      </c>
      <c r="J288" s="80"/>
      <c r="K288" s="80"/>
      <c r="L288" s="51" t="s">
        <v>2999</v>
      </c>
      <c r="M288" s="79">
        <v>44830</v>
      </c>
      <c r="N288" s="51"/>
      <c r="O288" s="80"/>
      <c r="P288" s="82"/>
      <c r="Q288" s="80"/>
      <c r="R288" s="80"/>
      <c r="S288" s="82"/>
      <c r="T288" s="80"/>
      <c r="U288" s="80"/>
      <c r="V288" s="79"/>
      <c r="W288" s="80"/>
      <c r="X288" s="80"/>
    </row>
    <row r="289" spans="1:24" ht="42" customHeight="1">
      <c r="A289" s="80">
        <f t="shared" si="0"/>
        <v>287</v>
      </c>
      <c r="B289" s="51" t="str">
        <f t="shared" si="1"/>
        <v>MA</v>
      </c>
      <c r="C289" s="87" t="s">
        <v>3000</v>
      </c>
      <c r="D289" s="51" t="s">
        <v>2917</v>
      </c>
      <c r="E289" s="80"/>
      <c r="F289" s="80"/>
      <c r="G289" s="75"/>
      <c r="H289" s="80"/>
      <c r="I289" s="76"/>
      <c r="J289" s="80"/>
      <c r="K289" s="80"/>
      <c r="L289" s="80"/>
      <c r="M289" s="79">
        <v>44833</v>
      </c>
      <c r="N289" s="80"/>
      <c r="O289" s="80"/>
      <c r="P289" s="82"/>
      <c r="Q289" s="80"/>
      <c r="R289" s="80"/>
      <c r="S289" s="82"/>
      <c r="T289" s="80"/>
      <c r="U289" s="80"/>
      <c r="V289" s="79"/>
      <c r="W289" s="80"/>
      <c r="X289" s="80"/>
    </row>
    <row r="290" spans="1:24" ht="42" customHeight="1">
      <c r="A290" s="80">
        <f t="shared" si="0"/>
        <v>288</v>
      </c>
      <c r="B290" s="51" t="str">
        <f t="shared" si="1"/>
        <v>MA</v>
      </c>
      <c r="C290" s="85" t="s">
        <v>3001</v>
      </c>
      <c r="D290" s="51" t="s">
        <v>746</v>
      </c>
      <c r="E290" s="80"/>
      <c r="F290" s="80"/>
      <c r="G290" s="75">
        <f>966556789843</f>
        <v>966556789843</v>
      </c>
      <c r="H290" s="80"/>
      <c r="I290" s="76"/>
      <c r="J290" s="80"/>
      <c r="K290" s="80"/>
      <c r="L290" s="51" t="s">
        <v>78</v>
      </c>
      <c r="M290" s="79">
        <v>44830</v>
      </c>
      <c r="N290" s="51"/>
      <c r="O290" s="51" t="s">
        <v>78</v>
      </c>
      <c r="P290" s="79">
        <v>44844</v>
      </c>
      <c r="Q290" s="51" t="s">
        <v>2538</v>
      </c>
      <c r="R290" s="80"/>
      <c r="S290" s="82"/>
      <c r="T290" s="80"/>
      <c r="U290" s="80"/>
      <c r="V290" s="79"/>
      <c r="W290" s="80"/>
      <c r="X290" s="80"/>
    </row>
    <row r="291" spans="1:24" ht="42" customHeight="1">
      <c r="A291" s="80">
        <f t="shared" si="0"/>
        <v>289</v>
      </c>
      <c r="B291" s="51" t="str">
        <f t="shared" si="1"/>
        <v>MA</v>
      </c>
      <c r="C291" s="85" t="s">
        <v>3002</v>
      </c>
      <c r="D291" s="51" t="s">
        <v>746</v>
      </c>
      <c r="E291" s="80"/>
      <c r="F291" s="80"/>
      <c r="G291" s="75">
        <f>966547309724</f>
        <v>966547309724</v>
      </c>
      <c r="H291" s="80"/>
      <c r="I291" s="76"/>
      <c r="J291" s="80"/>
      <c r="K291" s="80"/>
      <c r="L291" s="51" t="s">
        <v>78</v>
      </c>
      <c r="M291" s="79">
        <v>44830</v>
      </c>
      <c r="N291" s="51"/>
      <c r="O291" s="80"/>
      <c r="P291" s="82"/>
      <c r="Q291" s="80"/>
      <c r="R291" s="80"/>
      <c r="S291" s="82"/>
      <c r="T291" s="80"/>
      <c r="U291" s="80"/>
      <c r="V291" s="79"/>
      <c r="W291" s="80"/>
      <c r="X291" s="80"/>
    </row>
    <row r="292" spans="1:24" ht="42" customHeight="1">
      <c r="A292" s="80">
        <f t="shared" si="0"/>
        <v>290</v>
      </c>
      <c r="B292" s="51" t="str">
        <f t="shared" si="1"/>
        <v>MA</v>
      </c>
      <c r="C292" s="85" t="s">
        <v>3003</v>
      </c>
      <c r="D292" s="51" t="s">
        <v>746</v>
      </c>
      <c r="E292" s="80"/>
      <c r="F292" s="80"/>
      <c r="G292" s="75">
        <f>966501188909</f>
        <v>966501188909</v>
      </c>
      <c r="H292" s="80"/>
      <c r="I292" s="76"/>
      <c r="J292" s="80"/>
      <c r="K292" s="80"/>
      <c r="L292" s="51" t="s">
        <v>78</v>
      </c>
      <c r="M292" s="79">
        <v>44830</v>
      </c>
      <c r="N292" s="51"/>
      <c r="O292" s="80"/>
      <c r="P292" s="82"/>
      <c r="Q292" s="80"/>
      <c r="R292" s="80"/>
      <c r="S292" s="82"/>
      <c r="T292" s="80"/>
      <c r="U292" s="80"/>
      <c r="V292" s="79"/>
      <c r="W292" s="80"/>
      <c r="X292" s="80"/>
    </row>
    <row r="293" spans="1:24" ht="42" customHeight="1">
      <c r="A293" s="80">
        <f t="shared" si="0"/>
        <v>291</v>
      </c>
      <c r="B293" s="51" t="str">
        <f t="shared" si="1"/>
        <v>MA</v>
      </c>
      <c r="C293" s="85" t="s">
        <v>3004</v>
      </c>
      <c r="D293" s="51" t="s">
        <v>746</v>
      </c>
      <c r="E293" s="80"/>
      <c r="F293" s="80"/>
      <c r="G293" s="75">
        <f>966506275326</f>
        <v>966506275326</v>
      </c>
      <c r="H293" s="80"/>
      <c r="I293" s="76"/>
      <c r="J293" s="80"/>
      <c r="K293" s="80"/>
      <c r="L293" s="51" t="s">
        <v>78</v>
      </c>
      <c r="M293" s="79">
        <v>44830</v>
      </c>
      <c r="N293" s="51"/>
      <c r="O293" s="80"/>
      <c r="P293" s="82"/>
      <c r="Q293" s="80"/>
      <c r="R293" s="80"/>
      <c r="S293" s="82"/>
      <c r="T293" s="80"/>
      <c r="U293" s="80"/>
      <c r="V293" s="79"/>
      <c r="W293" s="80"/>
      <c r="X293" s="80"/>
    </row>
    <row r="294" spans="1:24" ht="42" customHeight="1">
      <c r="A294" s="80">
        <f t="shared" si="0"/>
        <v>292</v>
      </c>
      <c r="B294" s="51" t="str">
        <f t="shared" si="1"/>
        <v>MA</v>
      </c>
      <c r="C294" s="51" t="s">
        <v>3005</v>
      </c>
      <c r="D294" s="51" t="s">
        <v>746</v>
      </c>
      <c r="E294" s="80"/>
      <c r="F294" s="80"/>
      <c r="G294" s="75">
        <f>966542388726</f>
        <v>966542388726</v>
      </c>
      <c r="H294" s="80"/>
      <c r="I294" s="76"/>
      <c r="J294" s="80"/>
      <c r="K294" s="80"/>
      <c r="L294" s="51" t="s">
        <v>78</v>
      </c>
      <c r="M294" s="79">
        <v>44830</v>
      </c>
      <c r="N294" s="51"/>
      <c r="O294" s="80"/>
      <c r="P294" s="82"/>
      <c r="Q294" s="80"/>
      <c r="R294" s="80"/>
      <c r="S294" s="82"/>
      <c r="T294" s="80"/>
      <c r="U294" s="80"/>
      <c r="V294" s="79"/>
      <c r="W294" s="80"/>
      <c r="X294" s="80"/>
    </row>
    <row r="295" spans="1:24" ht="42" customHeight="1">
      <c r="A295" s="80">
        <f t="shared" si="0"/>
        <v>293</v>
      </c>
      <c r="B295" s="51" t="str">
        <f t="shared" si="1"/>
        <v>MA</v>
      </c>
      <c r="C295" s="51" t="s">
        <v>3006</v>
      </c>
      <c r="D295" s="51" t="s">
        <v>746</v>
      </c>
      <c r="E295" s="80"/>
      <c r="F295" s="80"/>
      <c r="G295" s="75"/>
      <c r="H295" s="80"/>
      <c r="I295" s="54" t="s">
        <v>3007</v>
      </c>
      <c r="J295" s="80"/>
      <c r="K295" s="80"/>
      <c r="L295" s="51" t="s">
        <v>7</v>
      </c>
      <c r="M295" s="79">
        <v>44830</v>
      </c>
      <c r="N295" s="51"/>
      <c r="O295" s="80"/>
      <c r="P295" s="82"/>
      <c r="Q295" s="80"/>
      <c r="R295" s="80"/>
      <c r="S295" s="82"/>
      <c r="T295" s="80"/>
      <c r="U295" s="80"/>
      <c r="V295" s="79"/>
      <c r="W295" s="80"/>
      <c r="X295" s="80"/>
    </row>
    <row r="296" spans="1:24" ht="42" customHeight="1">
      <c r="A296" s="80">
        <f t="shared" si="0"/>
        <v>294</v>
      </c>
      <c r="B296" s="51" t="str">
        <f t="shared" si="1"/>
        <v>MA</v>
      </c>
      <c r="C296" s="51" t="s">
        <v>3008</v>
      </c>
      <c r="D296" s="51" t="s">
        <v>746</v>
      </c>
      <c r="E296" s="80"/>
      <c r="F296" s="80"/>
      <c r="G296" s="75">
        <f>966114727733</f>
        <v>966114727733</v>
      </c>
      <c r="H296" s="80"/>
      <c r="I296" s="54" t="s">
        <v>3009</v>
      </c>
      <c r="J296" s="80"/>
      <c r="K296" s="80"/>
      <c r="L296" s="51" t="s">
        <v>7</v>
      </c>
      <c r="M296" s="79">
        <v>44830</v>
      </c>
      <c r="N296" s="51"/>
      <c r="O296" s="80"/>
      <c r="P296" s="82"/>
      <c r="Q296" s="80"/>
      <c r="R296" s="80"/>
      <c r="S296" s="82"/>
      <c r="T296" s="80"/>
      <c r="U296" s="80"/>
      <c r="V296" s="79"/>
      <c r="W296" s="80"/>
      <c r="X296" s="80"/>
    </row>
    <row r="297" spans="1:24" ht="42" customHeight="1">
      <c r="A297" s="80">
        <f t="shared" si="0"/>
        <v>295</v>
      </c>
      <c r="B297" s="51" t="str">
        <f t="shared" si="1"/>
        <v>MA</v>
      </c>
      <c r="C297" s="51" t="s">
        <v>3010</v>
      </c>
      <c r="D297" s="51" t="s">
        <v>746</v>
      </c>
      <c r="E297" s="80"/>
      <c r="F297" s="80"/>
      <c r="G297" s="75"/>
      <c r="H297" s="80"/>
      <c r="I297" s="76"/>
      <c r="J297" s="80"/>
      <c r="K297" s="80"/>
      <c r="L297" s="51" t="s">
        <v>78</v>
      </c>
      <c r="M297" s="79">
        <v>44830</v>
      </c>
      <c r="N297" s="51"/>
      <c r="O297" s="80"/>
      <c r="P297" s="82"/>
      <c r="Q297" s="80"/>
      <c r="R297" s="80"/>
      <c r="S297" s="82"/>
      <c r="T297" s="80"/>
      <c r="U297" s="80"/>
      <c r="V297" s="79"/>
      <c r="W297" s="80"/>
      <c r="X297" s="80"/>
    </row>
    <row r="298" spans="1:24" ht="42" customHeight="1">
      <c r="A298" s="80">
        <f t="shared" si="0"/>
        <v>296</v>
      </c>
      <c r="B298" s="51" t="str">
        <f t="shared" si="1"/>
        <v>MA</v>
      </c>
      <c r="C298" s="51" t="s">
        <v>3011</v>
      </c>
      <c r="D298" s="51" t="s">
        <v>746</v>
      </c>
      <c r="E298" s="80"/>
      <c r="F298" s="80"/>
      <c r="G298" s="75">
        <f>966500900006</f>
        <v>966500900006</v>
      </c>
      <c r="H298" s="80"/>
      <c r="I298" s="76"/>
      <c r="J298" s="80"/>
      <c r="K298" s="80"/>
      <c r="L298" s="51" t="s">
        <v>78</v>
      </c>
      <c r="M298" s="79">
        <v>44830</v>
      </c>
      <c r="N298" s="51"/>
      <c r="O298" s="80"/>
      <c r="P298" s="82"/>
      <c r="Q298" s="80"/>
      <c r="R298" s="80"/>
      <c r="S298" s="82"/>
      <c r="T298" s="80"/>
      <c r="U298" s="80"/>
      <c r="V298" s="79"/>
      <c r="W298" s="80"/>
      <c r="X298" s="80"/>
    </row>
    <row r="299" spans="1:24" ht="42" customHeight="1">
      <c r="A299" s="80">
        <f t="shared" si="0"/>
        <v>297</v>
      </c>
      <c r="B299" s="51" t="str">
        <f t="shared" si="1"/>
        <v>MA</v>
      </c>
      <c r="C299" s="85" t="s">
        <v>3012</v>
      </c>
      <c r="D299" s="51" t="s">
        <v>746</v>
      </c>
      <c r="E299" s="80"/>
      <c r="F299" s="80"/>
      <c r="G299" s="75">
        <f>966501804545</f>
        <v>966501804545</v>
      </c>
      <c r="H299" s="80"/>
      <c r="I299" s="76"/>
      <c r="J299" s="80"/>
      <c r="K299" s="80"/>
      <c r="L299" s="51" t="s">
        <v>78</v>
      </c>
      <c r="M299" s="79">
        <v>44830</v>
      </c>
      <c r="N299" s="51"/>
      <c r="O299" s="80"/>
      <c r="P299" s="82"/>
      <c r="Q299" s="80"/>
      <c r="R299" s="80"/>
      <c r="S299" s="82"/>
      <c r="T299" s="80"/>
      <c r="U299" s="80"/>
      <c r="V299" s="79"/>
      <c r="W299" s="80"/>
      <c r="X299" s="80"/>
    </row>
    <row r="300" spans="1:24" ht="42" customHeight="1">
      <c r="A300" s="80">
        <f t="shared" si="0"/>
        <v>298</v>
      </c>
      <c r="B300" s="51" t="str">
        <f t="shared" si="1"/>
        <v>MA</v>
      </c>
      <c r="C300" s="85" t="s">
        <v>3013</v>
      </c>
      <c r="D300" s="51" t="s">
        <v>746</v>
      </c>
      <c r="E300" s="80"/>
      <c r="F300" s="80"/>
      <c r="G300" s="75"/>
      <c r="H300" s="80"/>
      <c r="I300" s="54" t="s">
        <v>3014</v>
      </c>
      <c r="J300" s="80"/>
      <c r="K300" s="80"/>
      <c r="L300" s="51" t="s">
        <v>7</v>
      </c>
      <c r="M300" s="79">
        <v>44844</v>
      </c>
      <c r="N300" s="51"/>
      <c r="O300" s="80"/>
      <c r="P300" s="82"/>
      <c r="Q300" s="80"/>
      <c r="R300" s="80"/>
      <c r="S300" s="82"/>
      <c r="T300" s="80"/>
      <c r="U300" s="80"/>
      <c r="V300" s="79"/>
      <c r="W300" s="80"/>
      <c r="X300" s="80"/>
    </row>
    <row r="301" spans="1:24" ht="42" customHeight="1">
      <c r="A301" s="80">
        <f t="shared" si="0"/>
        <v>299</v>
      </c>
      <c r="B301" s="51" t="str">
        <f t="shared" si="1"/>
        <v>MA</v>
      </c>
      <c r="C301" s="85" t="s">
        <v>3001</v>
      </c>
      <c r="D301" s="51" t="s">
        <v>746</v>
      </c>
      <c r="E301" s="80"/>
      <c r="F301" s="80"/>
      <c r="G301" s="75"/>
      <c r="H301" s="80"/>
      <c r="I301" s="76"/>
      <c r="J301" s="80"/>
      <c r="K301" s="80"/>
      <c r="L301" s="51" t="s">
        <v>78</v>
      </c>
      <c r="M301" s="79">
        <v>44830</v>
      </c>
      <c r="N301" s="51"/>
      <c r="O301" s="80"/>
      <c r="P301" s="82"/>
      <c r="Q301" s="80"/>
      <c r="R301" s="80"/>
      <c r="S301" s="82"/>
      <c r="T301" s="80"/>
      <c r="U301" s="80"/>
      <c r="V301" s="79"/>
      <c r="W301" s="80"/>
      <c r="X301" s="80"/>
    </row>
    <row r="302" spans="1:24" ht="42" customHeight="1">
      <c r="A302" s="80">
        <f t="shared" si="0"/>
        <v>300</v>
      </c>
      <c r="B302" s="51" t="str">
        <f t="shared" si="1"/>
        <v>MA</v>
      </c>
      <c r="C302" s="85" t="s">
        <v>3015</v>
      </c>
      <c r="D302" s="51" t="s">
        <v>746</v>
      </c>
      <c r="E302" s="80"/>
      <c r="F302" s="80"/>
      <c r="G302" s="75"/>
      <c r="H302" s="80"/>
      <c r="I302" s="76"/>
      <c r="J302" s="80"/>
      <c r="K302" s="80"/>
      <c r="L302" s="51" t="s">
        <v>7</v>
      </c>
      <c r="M302" s="79">
        <v>44844</v>
      </c>
      <c r="N302" s="51"/>
      <c r="O302" s="80"/>
      <c r="P302" s="82"/>
      <c r="Q302" s="80"/>
      <c r="R302" s="80"/>
      <c r="S302" s="82"/>
      <c r="T302" s="80"/>
      <c r="U302" s="80"/>
      <c r="V302" s="79"/>
      <c r="W302" s="80"/>
      <c r="X302" s="80"/>
    </row>
    <row r="303" spans="1:24" ht="42" customHeight="1">
      <c r="A303" s="80">
        <f t="shared" si="0"/>
        <v>301</v>
      </c>
      <c r="B303" s="51" t="str">
        <f t="shared" si="1"/>
        <v>MA</v>
      </c>
      <c r="C303" s="51" t="s">
        <v>3016</v>
      </c>
      <c r="D303" s="51" t="s">
        <v>746</v>
      </c>
      <c r="E303" s="80"/>
      <c r="F303" s="80"/>
      <c r="G303" s="75"/>
      <c r="H303" s="80"/>
      <c r="I303" s="76"/>
      <c r="J303" s="80"/>
      <c r="K303" s="80"/>
      <c r="L303" s="51" t="s">
        <v>78</v>
      </c>
      <c r="M303" s="79">
        <v>44830</v>
      </c>
      <c r="N303" s="51"/>
      <c r="O303" s="80"/>
      <c r="P303" s="82"/>
      <c r="Q303" s="80"/>
      <c r="R303" s="80"/>
      <c r="S303" s="82"/>
      <c r="T303" s="80"/>
      <c r="U303" s="80"/>
      <c r="V303" s="79"/>
      <c r="W303" s="80"/>
      <c r="X303" s="80"/>
    </row>
    <row r="304" spans="1:24" ht="42" customHeight="1">
      <c r="A304" s="80">
        <f t="shared" si="0"/>
        <v>302</v>
      </c>
      <c r="B304" s="51" t="str">
        <f t="shared" si="1"/>
        <v>MA</v>
      </c>
      <c r="C304" s="51" t="s">
        <v>3017</v>
      </c>
      <c r="D304" s="51" t="s">
        <v>746</v>
      </c>
      <c r="E304" s="80"/>
      <c r="F304" s="80"/>
      <c r="G304" s="75"/>
      <c r="H304" s="80"/>
      <c r="I304" s="54" t="s">
        <v>3018</v>
      </c>
      <c r="J304" s="80"/>
      <c r="K304" s="80"/>
      <c r="L304" s="51" t="s">
        <v>7</v>
      </c>
      <c r="M304" s="79">
        <v>44830</v>
      </c>
      <c r="N304" s="51"/>
      <c r="O304" s="80"/>
      <c r="P304" s="82"/>
      <c r="Q304" s="80"/>
      <c r="R304" s="80"/>
      <c r="S304" s="82"/>
      <c r="T304" s="80"/>
      <c r="U304" s="80"/>
      <c r="V304" s="79"/>
      <c r="W304" s="80"/>
      <c r="X304" s="80"/>
    </row>
    <row r="305" spans="1:24" ht="42" customHeight="1">
      <c r="A305" s="80">
        <f t="shared" si="0"/>
        <v>303</v>
      </c>
      <c r="B305" s="51" t="str">
        <f t="shared" si="1"/>
        <v>MA</v>
      </c>
      <c r="C305" s="85" t="s">
        <v>3019</v>
      </c>
      <c r="D305" s="51" t="s">
        <v>746</v>
      </c>
      <c r="E305" s="80"/>
      <c r="F305" s="80"/>
      <c r="G305" s="75"/>
      <c r="H305" s="80"/>
      <c r="I305" s="76"/>
      <c r="J305" s="80"/>
      <c r="K305" s="80"/>
      <c r="L305" s="51" t="s">
        <v>78</v>
      </c>
      <c r="M305" s="79">
        <v>44830</v>
      </c>
      <c r="N305" s="51"/>
      <c r="O305" s="80"/>
      <c r="P305" s="82"/>
      <c r="Q305" s="80"/>
      <c r="R305" s="80"/>
      <c r="S305" s="82"/>
      <c r="T305" s="80"/>
      <c r="U305" s="80"/>
      <c r="V305" s="79"/>
      <c r="W305" s="80"/>
      <c r="X305" s="80"/>
    </row>
    <row r="306" spans="1:24" ht="42" customHeight="1">
      <c r="A306" s="80">
        <f t="shared" si="0"/>
        <v>304</v>
      </c>
      <c r="B306" s="51" t="str">
        <f t="shared" si="1"/>
        <v>MA</v>
      </c>
      <c r="C306" s="51" t="s">
        <v>3020</v>
      </c>
      <c r="D306" s="51" t="s">
        <v>2933</v>
      </c>
      <c r="E306" s="80"/>
      <c r="F306" s="80"/>
      <c r="G306" s="75"/>
      <c r="H306" s="51" t="s">
        <v>3021</v>
      </c>
      <c r="I306" s="76"/>
      <c r="J306" s="80"/>
      <c r="K306" s="80"/>
      <c r="L306" s="51" t="s">
        <v>78</v>
      </c>
      <c r="M306" s="79">
        <v>44830</v>
      </c>
      <c r="N306" s="51"/>
      <c r="O306" s="80"/>
      <c r="P306" s="82"/>
      <c r="Q306" s="80"/>
      <c r="R306" s="80"/>
      <c r="S306" s="82"/>
      <c r="T306" s="80"/>
      <c r="U306" s="80"/>
      <c r="V306" s="79"/>
      <c r="W306" s="80"/>
      <c r="X306" s="80"/>
    </row>
    <row r="307" spans="1:24" ht="42" customHeight="1">
      <c r="A307" s="80">
        <f t="shared" si="0"/>
        <v>305</v>
      </c>
      <c r="B307" s="51" t="str">
        <f t="shared" si="1"/>
        <v>MA</v>
      </c>
      <c r="C307" s="51" t="s">
        <v>3022</v>
      </c>
      <c r="D307" s="51" t="s">
        <v>2933</v>
      </c>
      <c r="E307" s="80"/>
      <c r="F307" s="80"/>
      <c r="G307" s="75">
        <f>97092347222</f>
        <v>97092347222</v>
      </c>
      <c r="H307" s="51" t="s">
        <v>3023</v>
      </c>
      <c r="I307" s="76"/>
      <c r="J307" s="80"/>
      <c r="K307" s="80"/>
      <c r="L307" s="51" t="s">
        <v>78</v>
      </c>
      <c r="M307" s="79">
        <v>44830</v>
      </c>
      <c r="N307" s="51"/>
      <c r="O307" s="80"/>
      <c r="P307" s="82"/>
      <c r="Q307" s="80"/>
      <c r="R307" s="80"/>
      <c r="S307" s="82"/>
      <c r="T307" s="80"/>
      <c r="U307" s="80"/>
      <c r="V307" s="79"/>
      <c r="W307" s="80"/>
      <c r="X307" s="80"/>
    </row>
    <row r="308" spans="1:24" ht="42" customHeight="1">
      <c r="A308" s="80">
        <f t="shared" si="0"/>
        <v>306</v>
      </c>
      <c r="B308" s="51" t="str">
        <f t="shared" si="1"/>
        <v>MA</v>
      </c>
      <c r="C308" s="85" t="s">
        <v>3024</v>
      </c>
      <c r="D308" s="51" t="s">
        <v>397</v>
      </c>
      <c r="E308" s="80"/>
      <c r="F308" s="80"/>
      <c r="G308" s="75" t="s">
        <v>2928</v>
      </c>
      <c r="H308" s="80"/>
      <c r="I308" s="76"/>
      <c r="J308" s="80"/>
      <c r="K308" s="80"/>
      <c r="L308" s="51" t="s">
        <v>78</v>
      </c>
      <c r="M308" s="79">
        <v>44830</v>
      </c>
      <c r="N308" s="51"/>
      <c r="O308" s="80"/>
      <c r="P308" s="82"/>
      <c r="Q308" s="80"/>
      <c r="R308" s="80"/>
      <c r="S308" s="82"/>
      <c r="T308" s="80"/>
      <c r="U308" s="80"/>
      <c r="V308" s="79"/>
      <c r="W308" s="80"/>
      <c r="X308" s="80"/>
    </row>
    <row r="309" spans="1:24" ht="42" customHeight="1">
      <c r="A309" s="80">
        <f t="shared" si="0"/>
        <v>307</v>
      </c>
      <c r="B309" s="51" t="str">
        <f t="shared" si="1"/>
        <v>MA</v>
      </c>
      <c r="C309" s="85" t="s">
        <v>3025</v>
      </c>
      <c r="D309" s="51" t="s">
        <v>397</v>
      </c>
      <c r="E309" s="80"/>
      <c r="F309" s="80"/>
      <c r="G309" s="75">
        <f>962795659922</f>
        <v>962795659922</v>
      </c>
      <c r="H309" s="80"/>
      <c r="I309" s="76"/>
      <c r="J309" s="80"/>
      <c r="K309" s="80"/>
      <c r="L309" s="51" t="s">
        <v>78</v>
      </c>
      <c r="M309" s="79">
        <v>44830</v>
      </c>
      <c r="N309" s="51"/>
      <c r="O309" s="80"/>
      <c r="P309" s="82"/>
      <c r="Q309" s="80"/>
      <c r="R309" s="80"/>
      <c r="S309" s="82"/>
      <c r="T309" s="80"/>
      <c r="U309" s="80"/>
      <c r="V309" s="79"/>
      <c r="W309" s="80"/>
      <c r="X309" s="80"/>
    </row>
    <row r="310" spans="1:24" ht="42" customHeight="1">
      <c r="A310" s="80">
        <f t="shared" si="0"/>
        <v>308</v>
      </c>
      <c r="B310" s="51" t="str">
        <f t="shared" si="1"/>
        <v>MA</v>
      </c>
      <c r="C310" s="85" t="s">
        <v>3026</v>
      </c>
      <c r="D310" s="51" t="s">
        <v>397</v>
      </c>
      <c r="E310" s="80"/>
      <c r="F310" s="80"/>
      <c r="G310" s="75">
        <f>96265343965</f>
        <v>96265343965</v>
      </c>
      <c r="H310" s="80"/>
      <c r="I310" s="76"/>
      <c r="J310" s="80"/>
      <c r="K310" s="80"/>
      <c r="L310" s="51" t="s">
        <v>78</v>
      </c>
      <c r="M310" s="79">
        <v>44830</v>
      </c>
      <c r="N310" s="51"/>
      <c r="O310" s="80"/>
      <c r="P310" s="82"/>
      <c r="Q310" s="80"/>
      <c r="R310" s="80"/>
      <c r="S310" s="82"/>
      <c r="T310" s="80"/>
      <c r="U310" s="80"/>
      <c r="V310" s="79"/>
      <c r="W310" s="80"/>
      <c r="X310" s="80"/>
    </row>
    <row r="311" spans="1:24" ht="42" customHeight="1">
      <c r="A311" s="80">
        <f t="shared" si="0"/>
        <v>309</v>
      </c>
      <c r="B311" s="51" t="str">
        <f t="shared" si="1"/>
        <v>MA</v>
      </c>
      <c r="C311" s="51" t="s">
        <v>3027</v>
      </c>
      <c r="D311" s="51" t="s">
        <v>397</v>
      </c>
      <c r="E311" s="80"/>
      <c r="F311" s="80"/>
      <c r="G311" s="75">
        <f>962797146502</f>
        <v>962797146502</v>
      </c>
      <c r="H311" s="80"/>
      <c r="I311" s="76"/>
      <c r="J311" s="80"/>
      <c r="K311" s="80"/>
      <c r="L311" s="51" t="s">
        <v>78</v>
      </c>
      <c r="M311" s="79">
        <v>44830</v>
      </c>
      <c r="N311" s="51"/>
      <c r="O311" s="80"/>
      <c r="P311" s="82"/>
      <c r="Q311" s="80"/>
      <c r="R311" s="80"/>
      <c r="S311" s="82"/>
      <c r="T311" s="80"/>
      <c r="U311" s="80"/>
      <c r="V311" s="79"/>
      <c r="W311" s="80"/>
      <c r="X311" s="80"/>
    </row>
    <row r="312" spans="1:24" ht="42" customHeight="1">
      <c r="A312" s="80">
        <f t="shared" si="0"/>
        <v>310</v>
      </c>
      <c r="B312" s="51" t="str">
        <f t="shared" si="1"/>
        <v>MA</v>
      </c>
      <c r="C312" s="51" t="s">
        <v>2793</v>
      </c>
      <c r="D312" s="51" t="s">
        <v>1363</v>
      </c>
      <c r="E312" s="80"/>
      <c r="F312" s="80"/>
      <c r="G312" s="75">
        <f>213553926999</f>
        <v>213553926999</v>
      </c>
      <c r="H312" s="80"/>
      <c r="I312" s="76"/>
      <c r="J312" s="80"/>
      <c r="K312" s="80"/>
      <c r="L312" s="51" t="s">
        <v>78</v>
      </c>
      <c r="M312" s="79">
        <v>44830</v>
      </c>
      <c r="N312" s="51"/>
      <c r="O312" s="80"/>
      <c r="P312" s="82"/>
      <c r="Q312" s="80"/>
      <c r="R312" s="80"/>
      <c r="S312" s="82"/>
      <c r="T312" s="80"/>
      <c r="U312" s="80"/>
      <c r="V312" s="79"/>
      <c r="W312" s="80"/>
      <c r="X312" s="80"/>
    </row>
    <row r="313" spans="1:24" ht="42" customHeight="1">
      <c r="A313" s="80">
        <f t="shared" si="0"/>
        <v>311</v>
      </c>
      <c r="B313" s="51" t="str">
        <f t="shared" si="1"/>
        <v>MA</v>
      </c>
      <c r="C313" s="51" t="s">
        <v>3028</v>
      </c>
      <c r="D313" s="51" t="s">
        <v>1363</v>
      </c>
      <c r="E313" s="80"/>
      <c r="F313" s="80"/>
      <c r="G313" s="75" t="s">
        <v>3029</v>
      </c>
      <c r="H313" s="80"/>
      <c r="I313" s="76"/>
      <c r="J313" s="80"/>
      <c r="K313" s="80"/>
      <c r="L313" s="51" t="s">
        <v>78</v>
      </c>
      <c r="M313" s="79">
        <v>44830</v>
      </c>
      <c r="N313" s="51"/>
      <c r="O313" s="80"/>
      <c r="P313" s="82"/>
      <c r="Q313" s="80"/>
      <c r="R313" s="80"/>
      <c r="S313" s="82"/>
      <c r="T313" s="80"/>
      <c r="U313" s="80"/>
      <c r="V313" s="79"/>
      <c r="W313" s="80"/>
      <c r="X313" s="80"/>
    </row>
    <row r="314" spans="1:24" ht="42" customHeight="1">
      <c r="A314" s="80">
        <f t="shared" si="0"/>
        <v>312</v>
      </c>
      <c r="B314" s="51" t="str">
        <f t="shared" si="1"/>
        <v>MA</v>
      </c>
      <c r="C314" s="51" t="s">
        <v>3030</v>
      </c>
      <c r="D314" s="51" t="s">
        <v>1363</v>
      </c>
      <c r="E314" s="80"/>
      <c r="F314" s="80"/>
      <c r="G314" s="75">
        <f>213558048902</f>
        <v>213558048902</v>
      </c>
      <c r="H314" s="80"/>
      <c r="I314" s="76"/>
      <c r="J314" s="80"/>
      <c r="K314" s="80"/>
      <c r="L314" s="51" t="s">
        <v>78</v>
      </c>
      <c r="M314" s="79">
        <v>44830</v>
      </c>
      <c r="N314" s="51"/>
      <c r="O314" s="80"/>
      <c r="P314" s="82"/>
      <c r="Q314" s="80"/>
      <c r="R314" s="80"/>
      <c r="S314" s="82"/>
      <c r="T314" s="80"/>
      <c r="U314" s="80"/>
      <c r="V314" s="79"/>
      <c r="W314" s="80"/>
      <c r="X314" s="80"/>
    </row>
    <row r="315" spans="1:24" ht="42" customHeight="1">
      <c r="A315" s="80">
        <f t="shared" si="0"/>
        <v>313</v>
      </c>
      <c r="B315" s="51" t="str">
        <f t="shared" si="1"/>
        <v>MA</v>
      </c>
      <c r="C315" s="51" t="s">
        <v>3031</v>
      </c>
      <c r="D315" s="51" t="s">
        <v>1363</v>
      </c>
      <c r="E315" s="80"/>
      <c r="F315" s="80"/>
      <c r="G315" s="75"/>
      <c r="H315" s="80"/>
      <c r="I315" s="76"/>
      <c r="J315" s="80"/>
      <c r="K315" s="80"/>
      <c r="L315" s="51" t="s">
        <v>78</v>
      </c>
      <c r="M315" s="79">
        <v>44830</v>
      </c>
      <c r="N315" s="51"/>
      <c r="O315" s="80"/>
      <c r="P315" s="82"/>
      <c r="Q315" s="80"/>
      <c r="R315" s="80"/>
      <c r="S315" s="82"/>
      <c r="T315" s="80"/>
      <c r="U315" s="80"/>
      <c r="V315" s="79"/>
      <c r="W315" s="80"/>
      <c r="X315" s="80"/>
    </row>
    <row r="316" spans="1:24" ht="42" customHeight="1">
      <c r="A316" s="80">
        <f t="shared" si="0"/>
        <v>314</v>
      </c>
      <c r="B316" s="51" t="str">
        <f t="shared" si="1"/>
        <v>MA</v>
      </c>
      <c r="C316" s="51" t="s">
        <v>3032</v>
      </c>
      <c r="D316" s="51" t="s">
        <v>665</v>
      </c>
      <c r="E316" s="80"/>
      <c r="F316" s="80"/>
      <c r="G316" s="75">
        <f>97317830644</f>
        <v>97317830644</v>
      </c>
      <c r="H316" s="80"/>
      <c r="I316" s="89" t="s">
        <v>3033</v>
      </c>
      <c r="J316" s="80"/>
      <c r="K316" s="80"/>
      <c r="L316" s="51" t="s">
        <v>78</v>
      </c>
      <c r="M316" s="79">
        <v>44887</v>
      </c>
      <c r="N316" s="51" t="s">
        <v>2545</v>
      </c>
      <c r="O316" s="80"/>
      <c r="P316" s="82"/>
      <c r="Q316" s="80"/>
      <c r="R316" s="80"/>
      <c r="S316" s="82"/>
      <c r="T316" s="80"/>
      <c r="U316" s="80"/>
      <c r="V316" s="79"/>
      <c r="W316" s="80"/>
      <c r="X316" s="80"/>
    </row>
    <row r="317" spans="1:24" ht="42" customHeight="1">
      <c r="A317" s="80">
        <f t="shared" si="0"/>
        <v>315</v>
      </c>
      <c r="B317" s="51" t="str">
        <f t="shared" si="1"/>
        <v>MA</v>
      </c>
      <c r="C317" s="51" t="s">
        <v>3034</v>
      </c>
      <c r="D317" s="51" t="s">
        <v>665</v>
      </c>
      <c r="E317" s="80"/>
      <c r="F317" s="80"/>
      <c r="G317" s="75">
        <f>97333652778</f>
        <v>97333652778</v>
      </c>
      <c r="H317" s="80"/>
      <c r="I317" s="76"/>
      <c r="J317" s="80"/>
      <c r="K317" s="80"/>
      <c r="L317" s="51" t="s">
        <v>78</v>
      </c>
      <c r="M317" s="79">
        <v>44887</v>
      </c>
      <c r="N317" s="51" t="s">
        <v>2538</v>
      </c>
      <c r="O317" s="80"/>
      <c r="P317" s="82"/>
      <c r="Q317" s="80"/>
      <c r="R317" s="80"/>
      <c r="S317" s="82"/>
      <c r="T317" s="80"/>
      <c r="U317" s="80"/>
      <c r="V317" s="79"/>
      <c r="W317" s="80"/>
      <c r="X317" s="80"/>
    </row>
    <row r="318" spans="1:24" ht="42" customHeight="1">
      <c r="A318" s="80">
        <f t="shared" si="0"/>
        <v>316</v>
      </c>
      <c r="B318" s="51" t="str">
        <f t="shared" si="1"/>
        <v>MA</v>
      </c>
      <c r="C318" s="81" t="s">
        <v>3035</v>
      </c>
      <c r="D318" s="51" t="s">
        <v>665</v>
      </c>
      <c r="E318" s="80"/>
      <c r="F318" s="80"/>
      <c r="G318" s="75"/>
      <c r="H318" s="80"/>
      <c r="I318" s="76"/>
      <c r="J318" s="80"/>
      <c r="K318" s="80"/>
      <c r="L318" s="80"/>
      <c r="M318" s="79">
        <v>44830</v>
      </c>
      <c r="N318" s="51"/>
      <c r="O318" s="80"/>
      <c r="P318" s="82"/>
      <c r="Q318" s="80"/>
      <c r="R318" s="80"/>
      <c r="S318" s="82"/>
      <c r="T318" s="80"/>
      <c r="U318" s="80"/>
      <c r="V318" s="79"/>
      <c r="W318" s="80"/>
      <c r="X318" s="80"/>
    </row>
    <row r="319" spans="1:24" ht="42" customHeight="1">
      <c r="A319" s="80">
        <f t="shared" si="0"/>
        <v>317</v>
      </c>
      <c r="B319" s="51" t="str">
        <f t="shared" si="1"/>
        <v>MA</v>
      </c>
      <c r="C319" s="51" t="s">
        <v>3036</v>
      </c>
      <c r="D319" s="51" t="s">
        <v>665</v>
      </c>
      <c r="E319" s="80"/>
      <c r="F319" s="80"/>
      <c r="G319" s="75">
        <f>97317700911</f>
        <v>97317700911</v>
      </c>
      <c r="H319" s="80"/>
      <c r="I319" s="76"/>
      <c r="J319" s="80"/>
      <c r="K319" s="80"/>
      <c r="L319" s="51" t="s">
        <v>78</v>
      </c>
      <c r="M319" s="79">
        <v>44887</v>
      </c>
      <c r="N319" s="51" t="s">
        <v>2635</v>
      </c>
      <c r="O319" s="80"/>
      <c r="P319" s="82"/>
      <c r="Q319" s="80"/>
      <c r="R319" s="80"/>
      <c r="S319" s="82"/>
      <c r="T319" s="80"/>
      <c r="U319" s="80"/>
      <c r="V319" s="79"/>
      <c r="W319" s="80"/>
      <c r="X319" s="80"/>
    </row>
    <row r="320" spans="1:24" ht="42" customHeight="1">
      <c r="A320" s="80">
        <f t="shared" si="0"/>
        <v>318</v>
      </c>
      <c r="B320" s="51" t="str">
        <f t="shared" si="1"/>
        <v>MA</v>
      </c>
      <c r="C320" s="51" t="s">
        <v>3037</v>
      </c>
      <c r="D320" s="51" t="s">
        <v>665</v>
      </c>
      <c r="E320" s="80"/>
      <c r="F320" s="80"/>
      <c r="G320" s="75" t="s">
        <v>3038</v>
      </c>
      <c r="H320" s="80"/>
      <c r="I320" s="76"/>
      <c r="J320" s="80"/>
      <c r="K320" s="80"/>
      <c r="L320" s="51" t="s">
        <v>78</v>
      </c>
      <c r="M320" s="79">
        <v>44830</v>
      </c>
      <c r="N320" s="51"/>
      <c r="O320" s="51" t="s">
        <v>78</v>
      </c>
      <c r="P320" s="79">
        <v>44891</v>
      </c>
      <c r="Q320" s="51" t="s">
        <v>2560</v>
      </c>
      <c r="R320" s="80"/>
      <c r="S320" s="82"/>
      <c r="T320" s="80"/>
      <c r="U320" s="80"/>
      <c r="V320" s="79"/>
      <c r="W320" s="80"/>
      <c r="X320" s="51" t="s">
        <v>3039</v>
      </c>
    </row>
    <row r="321" spans="1:24" ht="42" customHeight="1">
      <c r="A321" s="80">
        <f t="shared" si="0"/>
        <v>319</v>
      </c>
      <c r="B321" s="51" t="str">
        <f t="shared" si="1"/>
        <v>MA</v>
      </c>
      <c r="C321" s="51" t="s">
        <v>2916</v>
      </c>
      <c r="D321" s="51" t="s">
        <v>2917</v>
      </c>
      <c r="E321" s="80"/>
      <c r="F321" s="80"/>
      <c r="G321" s="75" t="s">
        <v>2918</v>
      </c>
      <c r="H321" s="80"/>
      <c r="I321" s="76"/>
      <c r="J321" s="80"/>
      <c r="K321" s="80"/>
      <c r="L321" s="51" t="s">
        <v>78</v>
      </c>
      <c r="M321" s="79">
        <v>44830</v>
      </c>
      <c r="N321" s="51"/>
      <c r="O321" s="80"/>
      <c r="P321" s="82"/>
      <c r="Q321" s="80"/>
      <c r="R321" s="80"/>
      <c r="S321" s="82"/>
      <c r="T321" s="80"/>
      <c r="U321" s="80"/>
      <c r="V321" s="79"/>
      <c r="W321" s="80"/>
      <c r="X321" s="80"/>
    </row>
    <row r="322" spans="1:24" ht="42" customHeight="1">
      <c r="A322" s="80">
        <f t="shared" si="0"/>
        <v>320</v>
      </c>
      <c r="B322" s="51" t="str">
        <f t="shared" si="1"/>
        <v>MA</v>
      </c>
      <c r="C322" s="51" t="s">
        <v>115</v>
      </c>
      <c r="D322" s="51" t="s">
        <v>104</v>
      </c>
      <c r="E322" s="80"/>
      <c r="F322" s="80"/>
      <c r="G322" s="75" t="s">
        <v>3040</v>
      </c>
      <c r="H322" s="80"/>
      <c r="I322" s="76"/>
      <c r="J322" s="80"/>
      <c r="K322" s="80"/>
      <c r="L322" s="51" t="s">
        <v>2999</v>
      </c>
      <c r="M322" s="79">
        <v>44831</v>
      </c>
      <c r="N322" s="51"/>
      <c r="O322" s="80"/>
      <c r="P322" s="82"/>
      <c r="Q322" s="80"/>
      <c r="R322" s="80"/>
      <c r="S322" s="82"/>
      <c r="T322" s="80"/>
      <c r="U322" s="80"/>
      <c r="V322" s="79"/>
      <c r="W322" s="80"/>
      <c r="X322" s="80"/>
    </row>
    <row r="323" spans="1:24" ht="42" customHeight="1">
      <c r="A323" s="80">
        <f t="shared" si="0"/>
        <v>321</v>
      </c>
      <c r="B323" s="51" t="str">
        <f t="shared" si="1"/>
        <v>MA</v>
      </c>
      <c r="C323" s="51" t="s">
        <v>3041</v>
      </c>
      <c r="D323" s="51" t="s">
        <v>2886</v>
      </c>
      <c r="E323" s="80"/>
      <c r="F323" s="80"/>
      <c r="G323" s="75" t="s">
        <v>3042</v>
      </c>
      <c r="H323" s="80"/>
      <c r="I323" s="76"/>
      <c r="J323" s="80"/>
      <c r="K323" s="80"/>
      <c r="L323" s="51" t="s">
        <v>2999</v>
      </c>
      <c r="M323" s="79">
        <v>44831</v>
      </c>
      <c r="N323" s="51"/>
      <c r="O323" s="80"/>
      <c r="P323" s="82"/>
      <c r="Q323" s="80"/>
      <c r="R323" s="80"/>
      <c r="S323" s="82"/>
      <c r="T323" s="80"/>
      <c r="U323" s="80"/>
      <c r="V323" s="79"/>
      <c r="W323" s="80"/>
      <c r="X323" s="80"/>
    </row>
    <row r="324" spans="1:24" ht="42" customHeight="1">
      <c r="A324" s="80">
        <f t="shared" si="0"/>
        <v>322</v>
      </c>
      <c r="B324" s="51" t="str">
        <f t="shared" si="1"/>
        <v>MA</v>
      </c>
      <c r="C324" s="85" t="s">
        <v>3043</v>
      </c>
      <c r="D324" s="51" t="s">
        <v>2917</v>
      </c>
      <c r="E324" s="80"/>
      <c r="F324" s="80"/>
      <c r="G324" s="75" t="s">
        <v>3044</v>
      </c>
      <c r="H324" s="80"/>
      <c r="I324" s="76"/>
      <c r="J324" s="80"/>
      <c r="K324" s="80"/>
      <c r="L324" s="51" t="s">
        <v>2999</v>
      </c>
      <c r="M324" s="79">
        <v>44831</v>
      </c>
      <c r="N324" s="51"/>
      <c r="O324" s="80"/>
      <c r="P324" s="82"/>
      <c r="Q324" s="80"/>
      <c r="R324" s="80"/>
      <c r="S324" s="82"/>
      <c r="T324" s="80"/>
      <c r="U324" s="80"/>
      <c r="V324" s="79"/>
      <c r="W324" s="80"/>
      <c r="X324" s="80"/>
    </row>
    <row r="325" spans="1:24" ht="42" customHeight="1">
      <c r="A325" s="80">
        <f t="shared" si="0"/>
        <v>323</v>
      </c>
      <c r="B325" s="51" t="str">
        <f t="shared" si="1"/>
        <v>MA</v>
      </c>
      <c r="C325" s="51" t="s">
        <v>3045</v>
      </c>
      <c r="D325" s="51" t="s">
        <v>725</v>
      </c>
      <c r="E325" s="80"/>
      <c r="F325" s="80"/>
      <c r="G325" s="75">
        <v>4970222629593</v>
      </c>
      <c r="H325" s="51" t="s">
        <v>3046</v>
      </c>
      <c r="I325" s="54" t="s">
        <v>3047</v>
      </c>
      <c r="J325" s="80"/>
      <c r="K325" s="80"/>
      <c r="L325" s="51" t="s">
        <v>78</v>
      </c>
      <c r="M325" s="79">
        <v>44869</v>
      </c>
      <c r="N325" s="51" t="s">
        <v>2552</v>
      </c>
      <c r="O325" s="51" t="s">
        <v>78</v>
      </c>
      <c r="P325" s="79">
        <v>44872</v>
      </c>
      <c r="Q325" s="51" t="s">
        <v>2551</v>
      </c>
      <c r="R325" s="51" t="s">
        <v>7</v>
      </c>
      <c r="S325" s="79">
        <v>44859</v>
      </c>
      <c r="T325" s="51" t="s">
        <v>2551</v>
      </c>
      <c r="U325" s="51" t="s">
        <v>98</v>
      </c>
      <c r="V325" s="79">
        <v>44907</v>
      </c>
      <c r="W325" s="51" t="s">
        <v>2561</v>
      </c>
      <c r="X325" s="51" t="s">
        <v>2594</v>
      </c>
    </row>
    <row r="326" spans="1:24" ht="42" customHeight="1">
      <c r="A326" s="80">
        <f t="shared" si="0"/>
        <v>324</v>
      </c>
      <c r="B326" s="51" t="str">
        <f t="shared" si="1"/>
        <v>MA</v>
      </c>
      <c r="C326" s="81" t="s">
        <v>3048</v>
      </c>
      <c r="D326" s="51" t="s">
        <v>725</v>
      </c>
      <c r="E326" s="80"/>
      <c r="F326" s="80"/>
      <c r="G326" s="75" t="s">
        <v>3049</v>
      </c>
      <c r="H326" s="123"/>
      <c r="I326" s="54" t="s">
        <v>3050</v>
      </c>
      <c r="J326" s="80"/>
      <c r="K326" s="80"/>
      <c r="L326" s="51" t="s">
        <v>78</v>
      </c>
      <c r="M326" s="79">
        <v>44869</v>
      </c>
      <c r="N326" s="51" t="s">
        <v>2558</v>
      </c>
      <c r="O326" s="80"/>
      <c r="P326" s="82"/>
      <c r="Q326" s="80"/>
      <c r="R326" s="80"/>
      <c r="S326" s="82"/>
      <c r="T326" s="80"/>
      <c r="U326" s="80"/>
      <c r="V326" s="79"/>
      <c r="W326" s="80"/>
      <c r="X326" s="80"/>
    </row>
    <row r="327" spans="1:24" ht="42" customHeight="1">
      <c r="A327" s="80">
        <f t="shared" si="0"/>
        <v>325</v>
      </c>
      <c r="B327" s="51" t="str">
        <f t="shared" si="1"/>
        <v>MA</v>
      </c>
      <c r="C327" s="81" t="s">
        <v>3051</v>
      </c>
      <c r="D327" s="51" t="s">
        <v>725</v>
      </c>
      <c r="E327" s="80"/>
      <c r="F327" s="80"/>
      <c r="G327" s="75">
        <v>49702243234</v>
      </c>
      <c r="H327" s="80"/>
      <c r="I327" s="54" t="s">
        <v>3052</v>
      </c>
      <c r="J327" s="77" t="s">
        <v>3053</v>
      </c>
      <c r="K327" s="80"/>
      <c r="L327" s="51" t="s">
        <v>78</v>
      </c>
      <c r="M327" s="79">
        <v>44887</v>
      </c>
      <c r="N327" s="51" t="s">
        <v>2538</v>
      </c>
      <c r="O327" s="80"/>
      <c r="P327" s="82"/>
      <c r="Q327" s="80"/>
      <c r="R327" s="80"/>
      <c r="S327" s="82"/>
      <c r="T327" s="80"/>
      <c r="U327" s="80"/>
      <c r="V327" s="79"/>
      <c r="W327" s="80"/>
      <c r="X327" s="80"/>
    </row>
    <row r="328" spans="1:24" ht="42" customHeight="1">
      <c r="A328" s="80">
        <f t="shared" si="0"/>
        <v>326</v>
      </c>
      <c r="B328" s="51" t="str">
        <f t="shared" si="1"/>
        <v>MA</v>
      </c>
      <c r="C328" s="81" t="s">
        <v>3054</v>
      </c>
      <c r="D328" s="51" t="s">
        <v>725</v>
      </c>
      <c r="E328" s="80"/>
      <c r="F328" s="80"/>
      <c r="G328" s="75">
        <f>49712196910</f>
        <v>49712196910</v>
      </c>
      <c r="H328" s="80"/>
      <c r="I328" s="54" t="s">
        <v>3055</v>
      </c>
      <c r="J328" s="77" t="s">
        <v>3056</v>
      </c>
      <c r="K328" s="80"/>
      <c r="L328" s="51" t="s">
        <v>78</v>
      </c>
      <c r="M328" s="79">
        <v>44869</v>
      </c>
      <c r="N328" s="51" t="s">
        <v>2558</v>
      </c>
      <c r="O328" s="80"/>
      <c r="P328" s="82"/>
      <c r="Q328" s="80"/>
      <c r="R328" s="80"/>
      <c r="S328" s="82"/>
      <c r="T328" s="80"/>
      <c r="U328" s="80"/>
      <c r="V328" s="79"/>
      <c r="W328" s="80"/>
      <c r="X328" s="80"/>
    </row>
    <row r="329" spans="1:24" ht="42" customHeight="1">
      <c r="A329" s="80">
        <f t="shared" si="0"/>
        <v>327</v>
      </c>
      <c r="B329" s="51" t="str">
        <f t="shared" si="1"/>
        <v>MA</v>
      </c>
      <c r="C329" s="81" t="s">
        <v>3057</v>
      </c>
      <c r="D329" s="51" t="s">
        <v>725</v>
      </c>
      <c r="E329" s="80"/>
      <c r="F329" s="80"/>
      <c r="G329" s="75">
        <f>4971583007</f>
        <v>4971583007</v>
      </c>
      <c r="H329" s="80"/>
      <c r="I329" s="54" t="s">
        <v>3058</v>
      </c>
      <c r="J329" s="80"/>
      <c r="K329" s="80"/>
      <c r="L329" s="51" t="s">
        <v>78</v>
      </c>
      <c r="M329" s="79">
        <v>44869</v>
      </c>
      <c r="N329" s="51" t="s">
        <v>2558</v>
      </c>
      <c r="O329" s="80"/>
      <c r="P329" s="82"/>
      <c r="Q329" s="80"/>
      <c r="R329" s="80"/>
      <c r="S329" s="82"/>
      <c r="T329" s="80"/>
      <c r="U329" s="80"/>
      <c r="V329" s="79"/>
      <c r="W329" s="80"/>
      <c r="X329" s="80"/>
    </row>
    <row r="330" spans="1:24" ht="42" customHeight="1">
      <c r="A330" s="80">
        <f t="shared" si="0"/>
        <v>328</v>
      </c>
      <c r="B330" s="51" t="str">
        <f t="shared" si="1"/>
        <v>MA</v>
      </c>
      <c r="C330" s="51" t="s">
        <v>3059</v>
      </c>
      <c r="D330" s="51" t="s">
        <v>725</v>
      </c>
      <c r="E330" s="80"/>
      <c r="F330" s="80"/>
      <c r="G330" s="75">
        <f>497151977803</f>
        <v>497151977803</v>
      </c>
      <c r="H330" s="80"/>
      <c r="I330" s="54" t="s">
        <v>3060</v>
      </c>
      <c r="J330" s="80"/>
      <c r="K330" s="80"/>
      <c r="L330" s="51" t="s">
        <v>78</v>
      </c>
      <c r="M330" s="79">
        <v>44887</v>
      </c>
      <c r="N330" s="51" t="s">
        <v>2538</v>
      </c>
      <c r="O330" s="80"/>
      <c r="P330" s="82"/>
      <c r="Q330" s="80"/>
      <c r="R330" s="80"/>
      <c r="S330" s="82"/>
      <c r="T330" s="80"/>
      <c r="U330" s="80"/>
      <c r="V330" s="79"/>
      <c r="W330" s="80"/>
      <c r="X330" s="80"/>
    </row>
    <row r="331" spans="1:24" ht="42" customHeight="1">
      <c r="A331" s="80">
        <f t="shared" si="0"/>
        <v>329</v>
      </c>
      <c r="B331" s="51" t="str">
        <f t="shared" si="1"/>
        <v>MA</v>
      </c>
      <c r="C331" s="51" t="s">
        <v>3061</v>
      </c>
      <c r="D331" s="51" t="s">
        <v>725</v>
      </c>
      <c r="E331" s="80"/>
      <c r="F331" s="80"/>
      <c r="G331" s="75" t="s">
        <v>3062</v>
      </c>
      <c r="H331" s="80"/>
      <c r="I331" s="54" t="s">
        <v>3063</v>
      </c>
      <c r="J331" s="77" t="s">
        <v>3064</v>
      </c>
      <c r="K331" s="80"/>
      <c r="L331" s="51" t="s">
        <v>78</v>
      </c>
      <c r="M331" s="79">
        <v>44887</v>
      </c>
      <c r="N331" s="51" t="s">
        <v>2538</v>
      </c>
      <c r="O331" s="80"/>
      <c r="P331" s="82"/>
      <c r="Q331" s="80"/>
      <c r="R331" s="80"/>
      <c r="S331" s="82"/>
      <c r="T331" s="80"/>
      <c r="U331" s="80"/>
      <c r="V331" s="79"/>
      <c r="W331" s="80"/>
      <c r="X331" s="51" t="s">
        <v>3065</v>
      </c>
    </row>
    <row r="332" spans="1:24" ht="42" customHeight="1">
      <c r="A332" s="80">
        <f t="shared" si="0"/>
        <v>330</v>
      </c>
      <c r="B332" s="51" t="str">
        <f t="shared" si="1"/>
        <v>MA</v>
      </c>
      <c r="C332" s="51" t="s">
        <v>3066</v>
      </c>
      <c r="D332" s="51" t="s">
        <v>725</v>
      </c>
      <c r="E332" s="80"/>
      <c r="F332" s="80"/>
      <c r="G332" s="75" t="s">
        <v>3067</v>
      </c>
      <c r="H332" s="80"/>
      <c r="I332" s="54" t="s">
        <v>3068</v>
      </c>
      <c r="J332" s="51" t="s">
        <v>3069</v>
      </c>
      <c r="K332" s="80"/>
      <c r="L332" s="51" t="s">
        <v>7</v>
      </c>
      <c r="M332" s="79">
        <v>44887</v>
      </c>
      <c r="N332" s="51" t="s">
        <v>2551</v>
      </c>
      <c r="O332" s="80"/>
      <c r="P332" s="82"/>
      <c r="Q332" s="80"/>
      <c r="R332" s="80"/>
      <c r="S332" s="82"/>
      <c r="T332" s="80"/>
      <c r="U332" s="80"/>
      <c r="V332" s="79"/>
      <c r="W332" s="80"/>
      <c r="X332" s="80"/>
    </row>
    <row r="333" spans="1:24" ht="42" customHeight="1">
      <c r="A333" s="80">
        <f t="shared" si="0"/>
        <v>331</v>
      </c>
      <c r="B333" s="51" t="str">
        <f t="shared" si="1"/>
        <v>MA</v>
      </c>
      <c r="C333" s="51" t="s">
        <v>3070</v>
      </c>
      <c r="D333" s="51" t="s">
        <v>3071</v>
      </c>
      <c r="E333" s="80"/>
      <c r="F333" s="80"/>
      <c r="G333" s="75" t="s">
        <v>3072</v>
      </c>
      <c r="H333" s="80"/>
      <c r="I333" s="54" t="s">
        <v>3073</v>
      </c>
      <c r="J333" s="80"/>
      <c r="K333" s="80"/>
      <c r="L333" s="51" t="s">
        <v>78</v>
      </c>
      <c r="M333" s="79">
        <v>44869</v>
      </c>
      <c r="N333" s="51" t="s">
        <v>2551</v>
      </c>
      <c r="O333" s="80"/>
      <c r="P333" s="82"/>
      <c r="Q333" s="80"/>
      <c r="R333" s="80"/>
      <c r="S333" s="82"/>
      <c r="T333" s="80"/>
      <c r="U333" s="80"/>
      <c r="V333" s="79"/>
      <c r="W333" s="80"/>
      <c r="X333" s="80"/>
    </row>
    <row r="334" spans="1:24" ht="42" customHeight="1">
      <c r="A334" s="80">
        <f t="shared" si="0"/>
        <v>332</v>
      </c>
      <c r="B334" s="51" t="str">
        <f t="shared" si="1"/>
        <v>MA</v>
      </c>
      <c r="C334" s="81" t="s">
        <v>3074</v>
      </c>
      <c r="D334" s="51" t="s">
        <v>725</v>
      </c>
      <c r="E334" s="80"/>
      <c r="F334" s="80"/>
      <c r="G334" s="75" t="s">
        <v>3075</v>
      </c>
      <c r="H334" s="80"/>
      <c r="I334" s="76"/>
      <c r="J334" s="80"/>
      <c r="K334" s="80"/>
      <c r="L334" s="51" t="s">
        <v>78</v>
      </c>
      <c r="M334" s="79">
        <v>44869</v>
      </c>
      <c r="N334" s="51" t="s">
        <v>2558</v>
      </c>
      <c r="O334" s="80"/>
      <c r="P334" s="82"/>
      <c r="Q334" s="80"/>
      <c r="R334" s="80"/>
      <c r="S334" s="82"/>
      <c r="T334" s="80"/>
      <c r="U334" s="80"/>
      <c r="V334" s="79"/>
      <c r="W334" s="80"/>
      <c r="X334" s="80"/>
    </row>
    <row r="335" spans="1:24" ht="42" customHeight="1">
      <c r="A335" s="80">
        <f t="shared" si="0"/>
        <v>333</v>
      </c>
      <c r="B335" s="51" t="str">
        <f t="shared" si="1"/>
        <v>MA</v>
      </c>
      <c r="C335" s="51" t="s">
        <v>3076</v>
      </c>
      <c r="D335" s="51" t="s">
        <v>725</v>
      </c>
      <c r="E335" s="80"/>
      <c r="F335" s="80"/>
      <c r="G335" s="75">
        <f>4971196882929</f>
        <v>4971196882929</v>
      </c>
      <c r="H335" s="80"/>
      <c r="I335" s="124" t="s">
        <v>3077</v>
      </c>
      <c r="J335" s="80"/>
      <c r="K335" s="80"/>
      <c r="L335" s="51" t="s">
        <v>78</v>
      </c>
      <c r="M335" s="79">
        <v>44887</v>
      </c>
      <c r="N335" s="51" t="s">
        <v>2545</v>
      </c>
      <c r="O335" s="80"/>
      <c r="P335" s="82"/>
      <c r="Q335" s="80"/>
      <c r="R335" s="80"/>
      <c r="S335" s="82"/>
      <c r="T335" s="80"/>
      <c r="U335" s="80"/>
      <c r="V335" s="79"/>
      <c r="W335" s="80"/>
      <c r="X335" s="80"/>
    </row>
    <row r="336" spans="1:24" ht="42" customHeight="1">
      <c r="A336" s="80">
        <f t="shared" si="0"/>
        <v>334</v>
      </c>
      <c r="B336" s="51" t="str">
        <f t="shared" si="1"/>
        <v>MA</v>
      </c>
      <c r="C336" s="125" t="s">
        <v>3078</v>
      </c>
      <c r="D336" s="51" t="s">
        <v>725</v>
      </c>
      <c r="E336" s="80"/>
      <c r="F336" s="80"/>
      <c r="G336" s="75">
        <f>49711860600</f>
        <v>49711860600</v>
      </c>
      <c r="H336" s="80"/>
      <c r="I336" s="54" t="s">
        <v>3079</v>
      </c>
      <c r="J336" s="80"/>
      <c r="K336" s="80"/>
      <c r="L336" s="51" t="s">
        <v>78</v>
      </c>
      <c r="M336" s="79">
        <v>44887</v>
      </c>
      <c r="N336" s="51" t="s">
        <v>2551</v>
      </c>
      <c r="O336" s="80"/>
      <c r="P336" s="82"/>
      <c r="Q336" s="80"/>
      <c r="R336" s="80"/>
      <c r="S336" s="82"/>
      <c r="T336" s="80"/>
      <c r="U336" s="80"/>
      <c r="V336" s="79"/>
      <c r="W336" s="80"/>
      <c r="X336" s="80"/>
    </row>
    <row r="337" spans="1:24" ht="42" customHeight="1">
      <c r="A337" s="80">
        <f t="shared" si="0"/>
        <v>335</v>
      </c>
      <c r="B337" s="51" t="str">
        <f t="shared" si="1"/>
        <v>MA</v>
      </c>
      <c r="C337" s="51" t="s">
        <v>3080</v>
      </c>
      <c r="D337" s="51" t="s">
        <v>725</v>
      </c>
      <c r="E337" s="80"/>
      <c r="F337" s="80"/>
      <c r="G337" s="75">
        <v>71140794540</v>
      </c>
      <c r="H337" s="80"/>
      <c r="I337" s="54" t="s">
        <v>3081</v>
      </c>
      <c r="J337" s="77" t="s">
        <v>3082</v>
      </c>
      <c r="K337" s="80"/>
      <c r="L337" s="51" t="s">
        <v>78</v>
      </c>
      <c r="M337" s="79">
        <v>44887</v>
      </c>
      <c r="N337" s="51" t="s">
        <v>2538</v>
      </c>
      <c r="O337" s="80"/>
      <c r="P337" s="82"/>
      <c r="Q337" s="80"/>
      <c r="R337" s="80"/>
      <c r="S337" s="82"/>
      <c r="T337" s="80"/>
      <c r="U337" s="80"/>
      <c r="V337" s="79"/>
      <c r="W337" s="80"/>
      <c r="X337" s="80"/>
    </row>
    <row r="338" spans="1:24" ht="42" customHeight="1">
      <c r="A338" s="80">
        <f t="shared" si="0"/>
        <v>336</v>
      </c>
      <c r="B338" s="51" t="str">
        <f t="shared" si="1"/>
        <v>MA</v>
      </c>
      <c r="C338" s="81" t="s">
        <v>3083</v>
      </c>
      <c r="D338" s="51" t="s">
        <v>725</v>
      </c>
      <c r="E338" s="80"/>
      <c r="F338" s="80"/>
      <c r="G338" s="75"/>
      <c r="H338" s="80"/>
      <c r="I338" s="76"/>
      <c r="J338" s="80"/>
      <c r="K338" s="80"/>
      <c r="L338" s="51" t="s">
        <v>78</v>
      </c>
      <c r="M338" s="79">
        <v>44869</v>
      </c>
      <c r="N338" s="51" t="s">
        <v>2538</v>
      </c>
      <c r="O338" s="80"/>
      <c r="P338" s="82"/>
      <c r="Q338" s="80"/>
      <c r="R338" s="80"/>
      <c r="S338" s="82"/>
      <c r="T338" s="80"/>
      <c r="U338" s="80"/>
      <c r="V338" s="79"/>
      <c r="W338" s="80"/>
      <c r="X338" s="80"/>
    </row>
    <row r="339" spans="1:24" ht="42" customHeight="1">
      <c r="A339" s="80">
        <f t="shared" si="0"/>
        <v>337</v>
      </c>
      <c r="B339" s="51" t="str">
        <f t="shared" si="1"/>
        <v>MA</v>
      </c>
      <c r="C339" s="51" t="s">
        <v>3084</v>
      </c>
      <c r="D339" s="51" t="s">
        <v>725</v>
      </c>
      <c r="E339" s="80"/>
      <c r="F339" s="80"/>
      <c r="G339" s="75">
        <v>49711567913</v>
      </c>
      <c r="H339" s="80"/>
      <c r="I339" s="54" t="s">
        <v>3085</v>
      </c>
      <c r="J339" s="80"/>
      <c r="K339" s="80"/>
      <c r="L339" s="51" t="s">
        <v>78</v>
      </c>
      <c r="M339" s="79">
        <v>44887</v>
      </c>
      <c r="N339" s="51" t="s">
        <v>2551</v>
      </c>
      <c r="O339" s="80"/>
      <c r="P339" s="82"/>
      <c r="Q339" s="80"/>
      <c r="R339" s="80"/>
      <c r="S339" s="82"/>
      <c r="T339" s="80"/>
      <c r="U339" s="80"/>
      <c r="V339" s="79"/>
      <c r="W339" s="80"/>
      <c r="X339" s="80"/>
    </row>
    <row r="340" spans="1:24" ht="42" customHeight="1">
      <c r="A340" s="80">
        <f t="shared" si="0"/>
        <v>338</v>
      </c>
      <c r="B340" s="51" t="str">
        <f t="shared" si="1"/>
        <v>MA</v>
      </c>
      <c r="C340" s="81" t="s">
        <v>3086</v>
      </c>
      <c r="D340" s="51" t="s">
        <v>725</v>
      </c>
      <c r="E340" s="80"/>
      <c r="F340" s="80"/>
      <c r="G340" s="75">
        <f>497112851770</f>
        <v>497112851770</v>
      </c>
      <c r="H340" s="80"/>
      <c r="I340" s="54" t="s">
        <v>3087</v>
      </c>
      <c r="J340" s="80"/>
      <c r="K340" s="80"/>
      <c r="L340" s="51" t="s">
        <v>78</v>
      </c>
      <c r="M340" s="79">
        <v>44887</v>
      </c>
      <c r="N340" s="51" t="s">
        <v>2558</v>
      </c>
      <c r="O340" s="80"/>
      <c r="P340" s="82"/>
      <c r="Q340" s="80"/>
      <c r="R340" s="80"/>
      <c r="S340" s="82"/>
      <c r="T340" s="80"/>
      <c r="U340" s="80"/>
      <c r="V340" s="79"/>
      <c r="W340" s="80"/>
      <c r="X340" s="80"/>
    </row>
    <row r="341" spans="1:24" ht="42" customHeight="1">
      <c r="A341" s="80">
        <f t="shared" si="0"/>
        <v>339</v>
      </c>
      <c r="B341" s="51" t="str">
        <f t="shared" si="1"/>
        <v>MA</v>
      </c>
      <c r="C341" s="126" t="s">
        <v>3088</v>
      </c>
      <c r="D341" s="51" t="s">
        <v>725</v>
      </c>
      <c r="E341" s="80"/>
      <c r="F341" s="80"/>
      <c r="G341" s="75">
        <f>491721775946</f>
        <v>491721775946</v>
      </c>
      <c r="H341" s="80"/>
      <c r="I341" s="54" t="s">
        <v>3089</v>
      </c>
      <c r="J341" s="80"/>
      <c r="K341" s="80"/>
      <c r="L341" s="51" t="s">
        <v>78</v>
      </c>
      <c r="M341" s="79">
        <v>44887</v>
      </c>
      <c r="N341" s="51" t="s">
        <v>2538</v>
      </c>
      <c r="O341" s="80"/>
      <c r="P341" s="82"/>
      <c r="Q341" s="80"/>
      <c r="R341" s="80"/>
      <c r="S341" s="82"/>
      <c r="T341" s="80"/>
      <c r="U341" s="80"/>
      <c r="V341" s="79"/>
      <c r="W341" s="80"/>
      <c r="X341" s="80"/>
    </row>
    <row r="342" spans="1:24" ht="42" customHeight="1">
      <c r="A342" s="80">
        <f t="shared" si="0"/>
        <v>340</v>
      </c>
      <c r="B342" s="51" t="str">
        <f t="shared" si="1"/>
        <v>MA</v>
      </c>
      <c r="C342" s="127" t="s">
        <v>3090</v>
      </c>
      <c r="D342" s="51" t="s">
        <v>725</v>
      </c>
      <c r="E342" s="80"/>
      <c r="F342" s="80"/>
      <c r="G342" s="75">
        <f>49711760766</f>
        <v>49711760766</v>
      </c>
      <c r="H342" s="80"/>
      <c r="I342" s="54" t="s">
        <v>3091</v>
      </c>
      <c r="J342" s="80"/>
      <c r="K342" s="80"/>
      <c r="L342" s="51" t="s">
        <v>78</v>
      </c>
      <c r="M342" s="79">
        <v>44887</v>
      </c>
      <c r="N342" s="51" t="s">
        <v>2558</v>
      </c>
      <c r="O342" s="80"/>
      <c r="P342" s="82"/>
      <c r="Q342" s="80"/>
      <c r="R342" s="80"/>
      <c r="S342" s="82"/>
      <c r="T342" s="80"/>
      <c r="U342" s="80"/>
      <c r="V342" s="79"/>
      <c r="W342" s="80"/>
      <c r="X342" s="80"/>
    </row>
    <row r="343" spans="1:24" ht="42" customHeight="1">
      <c r="A343" s="80">
        <f t="shared" si="0"/>
        <v>341</v>
      </c>
      <c r="B343" s="51" t="str">
        <f t="shared" si="1"/>
        <v>MA</v>
      </c>
      <c r="C343" s="51" t="s">
        <v>3092</v>
      </c>
      <c r="D343" s="51" t="s">
        <v>725</v>
      </c>
      <c r="E343" s="80"/>
      <c r="F343" s="80"/>
      <c r="G343" s="75">
        <f>497118965120</f>
        <v>497118965120</v>
      </c>
      <c r="H343" s="80"/>
      <c r="I343" s="54" t="s">
        <v>3093</v>
      </c>
      <c r="J343" s="80"/>
      <c r="K343" s="80"/>
      <c r="L343" s="51" t="s">
        <v>78</v>
      </c>
      <c r="M343" s="79">
        <v>44887</v>
      </c>
      <c r="N343" s="51" t="s">
        <v>2551</v>
      </c>
      <c r="O343" s="51" t="s">
        <v>78</v>
      </c>
      <c r="P343" s="79">
        <v>44845</v>
      </c>
      <c r="Q343" s="51" t="s">
        <v>2553</v>
      </c>
      <c r="R343" s="80"/>
      <c r="S343" s="82"/>
      <c r="T343" s="80"/>
      <c r="U343" s="80"/>
      <c r="V343" s="79"/>
      <c r="W343" s="80"/>
      <c r="X343" s="80"/>
    </row>
    <row r="344" spans="1:24" ht="42" customHeight="1">
      <c r="A344" s="80">
        <f t="shared" si="0"/>
        <v>342</v>
      </c>
      <c r="B344" s="51" t="str">
        <f t="shared" si="1"/>
        <v>MA</v>
      </c>
      <c r="C344" s="51" t="s">
        <v>3094</v>
      </c>
      <c r="D344" s="51" t="s">
        <v>725</v>
      </c>
      <c r="E344" s="80"/>
      <c r="F344" s="80"/>
      <c r="G344" s="75">
        <f>4971146053780</f>
        <v>4971146053780</v>
      </c>
      <c r="H344" s="80"/>
      <c r="I344" s="54" t="s">
        <v>3095</v>
      </c>
      <c r="J344" s="80"/>
      <c r="K344" s="80"/>
      <c r="L344" s="51" t="s">
        <v>78</v>
      </c>
      <c r="M344" s="79">
        <v>44887</v>
      </c>
      <c r="N344" s="51" t="s">
        <v>2538</v>
      </c>
      <c r="O344" s="80"/>
      <c r="P344" s="82"/>
      <c r="Q344" s="80"/>
      <c r="R344" s="80"/>
      <c r="S344" s="82"/>
      <c r="T344" s="80"/>
      <c r="U344" s="80"/>
      <c r="V344" s="79"/>
      <c r="W344" s="80"/>
      <c r="X344" s="80"/>
    </row>
    <row r="345" spans="1:24" ht="42" customHeight="1">
      <c r="A345" s="80">
        <f t="shared" si="0"/>
        <v>343</v>
      </c>
      <c r="B345" s="51" t="str">
        <f t="shared" si="1"/>
        <v>MA</v>
      </c>
      <c r="C345" s="81" t="s">
        <v>3096</v>
      </c>
      <c r="D345" s="51" t="s">
        <v>725</v>
      </c>
      <c r="E345" s="80"/>
      <c r="F345" s="80"/>
      <c r="G345" s="75">
        <f>4915143517855</f>
        <v>4915143517855</v>
      </c>
      <c r="H345" s="80"/>
      <c r="I345" s="76"/>
      <c r="J345" s="80"/>
      <c r="K345" s="80"/>
      <c r="L345" s="51" t="s">
        <v>78</v>
      </c>
      <c r="M345" s="79">
        <v>44887</v>
      </c>
      <c r="N345" s="51" t="s">
        <v>2701</v>
      </c>
      <c r="O345" s="80"/>
      <c r="P345" s="82"/>
      <c r="Q345" s="80"/>
      <c r="R345" s="80"/>
      <c r="S345" s="82"/>
      <c r="T345" s="80"/>
      <c r="U345" s="80"/>
      <c r="V345" s="79"/>
      <c r="W345" s="80"/>
      <c r="X345" s="80"/>
    </row>
    <row r="346" spans="1:24" ht="42" customHeight="1">
      <c r="A346" s="80">
        <f t="shared" si="0"/>
        <v>344</v>
      </c>
      <c r="B346" s="51" t="str">
        <f t="shared" si="1"/>
        <v>MA</v>
      </c>
      <c r="C346" s="81" t="s">
        <v>3097</v>
      </c>
      <c r="D346" s="51" t="s">
        <v>725</v>
      </c>
      <c r="E346" s="80"/>
      <c r="F346" s="80"/>
      <c r="G346" s="75" t="s">
        <v>3098</v>
      </c>
      <c r="H346" s="80"/>
      <c r="I346" s="54" t="s">
        <v>3099</v>
      </c>
      <c r="J346" s="80"/>
      <c r="K346" s="80"/>
      <c r="L346" s="51" t="s">
        <v>78</v>
      </c>
      <c r="M346" s="79">
        <v>44887</v>
      </c>
      <c r="N346" s="51" t="s">
        <v>2701</v>
      </c>
      <c r="O346" s="80"/>
      <c r="P346" s="82"/>
      <c r="Q346" s="80"/>
      <c r="R346" s="80"/>
      <c r="S346" s="82"/>
      <c r="T346" s="80"/>
      <c r="U346" s="80"/>
      <c r="V346" s="79"/>
      <c r="W346" s="80"/>
      <c r="X346" s="80"/>
    </row>
    <row r="347" spans="1:24" ht="42" customHeight="1">
      <c r="A347" s="80">
        <f t="shared" si="0"/>
        <v>345</v>
      </c>
      <c r="B347" s="51" t="str">
        <f t="shared" si="1"/>
        <v>MA</v>
      </c>
      <c r="C347" s="81" t="s">
        <v>3100</v>
      </c>
      <c r="D347" s="51" t="s">
        <v>725</v>
      </c>
      <c r="E347" s="80"/>
      <c r="F347" s="80"/>
      <c r="G347" s="75">
        <f>497116997660</f>
        <v>497116997660</v>
      </c>
      <c r="H347" s="80"/>
      <c r="I347" s="54" t="s">
        <v>3101</v>
      </c>
      <c r="J347" s="80"/>
      <c r="K347" s="80"/>
      <c r="L347" s="51" t="s">
        <v>78</v>
      </c>
      <c r="M347" s="79">
        <v>44887</v>
      </c>
      <c r="N347" s="51" t="s">
        <v>2558</v>
      </c>
      <c r="O347" s="80"/>
      <c r="P347" s="82"/>
      <c r="Q347" s="80"/>
      <c r="R347" s="80"/>
      <c r="S347" s="82"/>
      <c r="T347" s="80"/>
      <c r="U347" s="80"/>
      <c r="V347" s="79"/>
      <c r="W347" s="80"/>
      <c r="X347" s="80"/>
    </row>
    <row r="348" spans="1:24" ht="42" customHeight="1">
      <c r="A348" s="80">
        <f t="shared" si="0"/>
        <v>346</v>
      </c>
      <c r="B348" s="51" t="str">
        <f t="shared" si="1"/>
        <v>MA</v>
      </c>
      <c r="C348" s="51" t="s">
        <v>3102</v>
      </c>
      <c r="D348" s="51" t="s">
        <v>725</v>
      </c>
      <c r="E348" s="80"/>
      <c r="F348" s="80"/>
      <c r="G348" s="75">
        <f>4971193594980</f>
        <v>4971193594980</v>
      </c>
      <c r="H348" s="80"/>
      <c r="I348" s="54" t="s">
        <v>3103</v>
      </c>
      <c r="J348" s="80"/>
      <c r="K348" s="80"/>
      <c r="L348" s="51" t="s">
        <v>78</v>
      </c>
      <c r="M348" s="79">
        <v>44887</v>
      </c>
      <c r="N348" s="51" t="s">
        <v>2538</v>
      </c>
      <c r="O348" s="80"/>
      <c r="P348" s="82"/>
      <c r="Q348" s="80"/>
      <c r="R348" s="80"/>
      <c r="S348" s="82"/>
      <c r="T348" s="80"/>
      <c r="U348" s="80"/>
      <c r="V348" s="79"/>
      <c r="W348" s="80"/>
      <c r="X348" s="80"/>
    </row>
    <row r="349" spans="1:24" ht="42" customHeight="1">
      <c r="A349" s="80">
        <f t="shared" si="0"/>
        <v>347</v>
      </c>
      <c r="B349" s="51" t="str">
        <f t="shared" si="1"/>
        <v>MA</v>
      </c>
      <c r="C349" s="81" t="s">
        <v>3104</v>
      </c>
      <c r="D349" s="51" t="s">
        <v>725</v>
      </c>
      <c r="E349" s="80"/>
      <c r="F349" s="80"/>
      <c r="G349" s="75">
        <f>49711402060</f>
        <v>49711402060</v>
      </c>
      <c r="H349" s="80"/>
      <c r="I349" s="54" t="s">
        <v>3105</v>
      </c>
      <c r="J349" s="80"/>
      <c r="K349" s="80"/>
      <c r="L349" s="51" t="s">
        <v>78</v>
      </c>
      <c r="M349" s="79">
        <v>44887</v>
      </c>
      <c r="N349" s="51" t="s">
        <v>2558</v>
      </c>
      <c r="O349" s="80"/>
      <c r="P349" s="82"/>
      <c r="Q349" s="80"/>
      <c r="R349" s="80"/>
      <c r="S349" s="82"/>
      <c r="T349" s="80"/>
      <c r="U349" s="80"/>
      <c r="V349" s="79"/>
      <c r="W349" s="80"/>
      <c r="X349" s="80"/>
    </row>
    <row r="350" spans="1:24" ht="42" customHeight="1">
      <c r="A350" s="80">
        <f t="shared" si="0"/>
        <v>348</v>
      </c>
      <c r="B350" s="51" t="str">
        <f t="shared" si="1"/>
        <v>MA</v>
      </c>
      <c r="C350" s="51" t="s">
        <v>3106</v>
      </c>
      <c r="D350" s="51" t="s">
        <v>725</v>
      </c>
      <c r="E350" s="80"/>
      <c r="F350" s="80"/>
      <c r="G350" s="75">
        <f>4971564258150</f>
        <v>4971564258150</v>
      </c>
      <c r="H350" s="80"/>
      <c r="I350" s="54" t="s">
        <v>3107</v>
      </c>
      <c r="J350" s="80"/>
      <c r="K350" s="80"/>
      <c r="L350" s="51" t="s">
        <v>78</v>
      </c>
      <c r="M350" s="79">
        <v>44887</v>
      </c>
      <c r="N350" s="51" t="s">
        <v>2538</v>
      </c>
      <c r="O350" s="80"/>
      <c r="P350" s="82"/>
      <c r="Q350" s="80"/>
      <c r="R350" s="80"/>
      <c r="S350" s="82"/>
      <c r="T350" s="80"/>
      <c r="U350" s="80"/>
      <c r="V350" s="79"/>
      <c r="W350" s="80"/>
      <c r="X350" s="80"/>
    </row>
    <row r="351" spans="1:24" ht="42" customHeight="1">
      <c r="A351" s="80">
        <f t="shared" si="0"/>
        <v>349</v>
      </c>
      <c r="B351" s="51" t="str">
        <f t="shared" si="1"/>
        <v>MA</v>
      </c>
      <c r="C351" s="83" t="s">
        <v>3108</v>
      </c>
      <c r="D351" s="51" t="s">
        <v>725</v>
      </c>
      <c r="E351" s="80"/>
      <c r="F351" s="80"/>
      <c r="G351" s="75">
        <f>4971169972540</f>
        <v>4971169972540</v>
      </c>
      <c r="H351" s="80"/>
      <c r="I351" s="54" t="s">
        <v>3109</v>
      </c>
      <c r="J351" s="80"/>
      <c r="K351" s="80"/>
      <c r="L351" s="51" t="s">
        <v>78</v>
      </c>
      <c r="M351" s="79">
        <v>44887</v>
      </c>
      <c r="N351" s="51" t="s">
        <v>2553</v>
      </c>
      <c r="O351" s="51" t="s">
        <v>78</v>
      </c>
      <c r="P351" s="79">
        <v>44834</v>
      </c>
      <c r="Q351" s="51" t="s">
        <v>3110</v>
      </c>
      <c r="R351" s="51" t="s">
        <v>7</v>
      </c>
      <c r="S351" s="79">
        <v>44862</v>
      </c>
      <c r="T351" s="51" t="s">
        <v>2551</v>
      </c>
      <c r="U351" s="80"/>
      <c r="V351" s="79"/>
      <c r="W351" s="80"/>
      <c r="X351" s="51" t="s">
        <v>3111</v>
      </c>
    </row>
    <row r="352" spans="1:24" ht="42" customHeight="1">
      <c r="A352" s="80">
        <f t="shared" si="0"/>
        <v>350</v>
      </c>
      <c r="B352" s="51" t="str">
        <f t="shared" si="1"/>
        <v>MA</v>
      </c>
      <c r="C352" s="51" t="s">
        <v>3112</v>
      </c>
      <c r="D352" s="51" t="s">
        <v>725</v>
      </c>
      <c r="E352" s="80"/>
      <c r="F352" s="80"/>
      <c r="G352" s="75">
        <f>49715241945</f>
        <v>49715241945</v>
      </c>
      <c r="H352" s="80"/>
      <c r="I352" s="76"/>
      <c r="J352" s="80"/>
      <c r="K352" s="80"/>
      <c r="L352" s="51" t="s">
        <v>78</v>
      </c>
      <c r="M352" s="79">
        <v>44887</v>
      </c>
      <c r="N352" s="51" t="s">
        <v>2538</v>
      </c>
      <c r="O352" s="80"/>
      <c r="P352" s="82"/>
      <c r="Q352" s="80"/>
      <c r="R352" s="80"/>
      <c r="S352" s="82"/>
      <c r="T352" s="80"/>
      <c r="U352" s="80"/>
      <c r="V352" s="79"/>
      <c r="W352" s="80"/>
      <c r="X352" s="80"/>
    </row>
    <row r="353" spans="1:24" ht="42" customHeight="1">
      <c r="A353" s="80">
        <f t="shared" si="0"/>
        <v>351</v>
      </c>
      <c r="B353" s="51" t="str">
        <f t="shared" si="1"/>
        <v>MA</v>
      </c>
      <c r="C353" s="51" t="s">
        <v>3113</v>
      </c>
      <c r="D353" s="51" t="s">
        <v>725</v>
      </c>
      <c r="E353" s="80"/>
      <c r="F353" s="80"/>
      <c r="G353" s="75">
        <f>49715136559</f>
        <v>49715136559</v>
      </c>
      <c r="H353" s="80"/>
      <c r="I353" s="54" t="s">
        <v>3114</v>
      </c>
      <c r="J353" s="80"/>
      <c r="K353" s="80"/>
      <c r="L353" s="51" t="s">
        <v>78</v>
      </c>
      <c r="M353" s="79">
        <v>44887</v>
      </c>
      <c r="N353" s="51" t="s">
        <v>2538</v>
      </c>
      <c r="O353" s="80"/>
      <c r="P353" s="82"/>
      <c r="Q353" s="80"/>
      <c r="R353" s="80"/>
      <c r="S353" s="82"/>
      <c r="T353" s="80"/>
      <c r="U353" s="80"/>
      <c r="V353" s="79"/>
      <c r="W353" s="80"/>
      <c r="X353" s="80"/>
    </row>
    <row r="354" spans="1:24" ht="42" customHeight="1">
      <c r="A354" s="80">
        <f t="shared" si="0"/>
        <v>352</v>
      </c>
      <c r="B354" s="51" t="str">
        <f t="shared" si="1"/>
        <v>MA</v>
      </c>
      <c r="C354" s="81" t="s">
        <v>3115</v>
      </c>
      <c r="D354" s="51" t="s">
        <v>725</v>
      </c>
      <c r="E354" s="80"/>
      <c r="F354" s="80"/>
      <c r="G354" s="75">
        <f>497031227536</f>
        <v>497031227536</v>
      </c>
      <c r="H354" s="80"/>
      <c r="I354" s="54" t="s">
        <v>3116</v>
      </c>
      <c r="J354" s="80"/>
      <c r="K354" s="80"/>
      <c r="L354" s="51" t="s">
        <v>78</v>
      </c>
      <c r="M354" s="79">
        <v>44887</v>
      </c>
      <c r="N354" s="51" t="s">
        <v>2699</v>
      </c>
      <c r="O354" s="80"/>
      <c r="P354" s="82"/>
      <c r="Q354" s="80"/>
      <c r="R354" s="80"/>
      <c r="S354" s="82"/>
      <c r="T354" s="80"/>
      <c r="U354" s="80"/>
      <c r="V354" s="79"/>
      <c r="W354" s="80"/>
      <c r="X354" s="80"/>
    </row>
    <row r="355" spans="1:24" ht="42" customHeight="1">
      <c r="A355" s="80">
        <f t="shared" si="0"/>
        <v>353</v>
      </c>
      <c r="B355" s="51" t="str">
        <f t="shared" si="1"/>
        <v>MA</v>
      </c>
      <c r="C355" s="51" t="s">
        <v>3117</v>
      </c>
      <c r="D355" s="51" t="s">
        <v>725</v>
      </c>
      <c r="E355" s="80"/>
      <c r="F355" s="80"/>
      <c r="G355" s="75">
        <f>4971413097150</f>
        <v>4971413097150</v>
      </c>
      <c r="H355" s="80"/>
      <c r="I355" s="76"/>
      <c r="J355" s="80"/>
      <c r="K355" s="80"/>
      <c r="L355" s="51" t="s">
        <v>78</v>
      </c>
      <c r="M355" s="79">
        <v>44887</v>
      </c>
      <c r="N355" s="51" t="s">
        <v>2538</v>
      </c>
      <c r="O355" s="80"/>
      <c r="P355" s="82"/>
      <c r="Q355" s="80"/>
      <c r="R355" s="80"/>
      <c r="S355" s="82"/>
      <c r="T355" s="80"/>
      <c r="U355" s="80"/>
      <c r="V355" s="79"/>
      <c r="W355" s="80"/>
      <c r="X355" s="80"/>
    </row>
    <row r="356" spans="1:24" ht="42" customHeight="1">
      <c r="A356" s="80">
        <f t="shared" si="0"/>
        <v>354</v>
      </c>
      <c r="B356" s="51" t="str">
        <f t="shared" si="1"/>
        <v>MA</v>
      </c>
      <c r="C356" s="51" t="s">
        <v>3118</v>
      </c>
      <c r="D356" s="51" t="s">
        <v>725</v>
      </c>
      <c r="E356" s="80"/>
      <c r="F356" s="80"/>
      <c r="G356" s="75">
        <f>4917670541463</f>
        <v>4917670541463</v>
      </c>
      <c r="H356" s="51" t="s">
        <v>3119</v>
      </c>
      <c r="I356" s="54" t="s">
        <v>3120</v>
      </c>
      <c r="J356" s="80"/>
      <c r="K356" s="80"/>
      <c r="L356" s="51" t="s">
        <v>78</v>
      </c>
      <c r="M356" s="79">
        <v>44887</v>
      </c>
      <c r="N356" s="51" t="s">
        <v>2551</v>
      </c>
      <c r="O356" s="80"/>
      <c r="P356" s="82"/>
      <c r="Q356" s="80"/>
      <c r="R356" s="80"/>
      <c r="S356" s="82"/>
      <c r="T356" s="80"/>
      <c r="U356" s="80"/>
      <c r="V356" s="79"/>
      <c r="W356" s="80"/>
      <c r="X356" s="80"/>
    </row>
    <row r="357" spans="1:24" ht="42" customHeight="1">
      <c r="A357" s="80">
        <f t="shared" si="0"/>
        <v>355</v>
      </c>
      <c r="B357" s="51" t="str">
        <f t="shared" si="1"/>
        <v>MA</v>
      </c>
      <c r="C357" s="51" t="s">
        <v>3121</v>
      </c>
      <c r="D357" s="51" t="s">
        <v>459</v>
      </c>
      <c r="E357" s="80"/>
      <c r="F357" s="80"/>
      <c r="G357" s="75"/>
      <c r="H357" s="80"/>
      <c r="I357" s="76"/>
      <c r="J357" s="80"/>
      <c r="K357" s="80"/>
      <c r="L357" s="51" t="s">
        <v>2999</v>
      </c>
      <c r="M357" s="79">
        <v>44831</v>
      </c>
      <c r="N357" s="51"/>
      <c r="O357" s="80"/>
      <c r="P357" s="82"/>
      <c r="Q357" s="80"/>
      <c r="R357" s="80"/>
      <c r="S357" s="82"/>
      <c r="T357" s="80"/>
      <c r="U357" s="80"/>
      <c r="V357" s="79"/>
      <c r="W357" s="80"/>
      <c r="X357" s="80"/>
    </row>
    <row r="358" spans="1:24" ht="42" customHeight="1">
      <c r="A358" s="80">
        <f t="shared" si="0"/>
        <v>356</v>
      </c>
      <c r="B358" s="51" t="str">
        <f t="shared" si="1"/>
        <v>MA</v>
      </c>
      <c r="C358" s="51" t="s">
        <v>3122</v>
      </c>
      <c r="D358" s="51" t="s">
        <v>725</v>
      </c>
      <c r="E358" s="80"/>
      <c r="F358" s="80"/>
      <c r="G358" s="75">
        <f>49702481341</f>
        <v>49702481341</v>
      </c>
      <c r="H358" s="80"/>
      <c r="I358" s="76"/>
      <c r="J358" s="80"/>
      <c r="K358" s="80"/>
      <c r="L358" s="51" t="s">
        <v>78</v>
      </c>
      <c r="M358" s="79">
        <v>44887</v>
      </c>
      <c r="N358" s="51" t="s">
        <v>2538</v>
      </c>
      <c r="O358" s="80"/>
      <c r="P358" s="82"/>
      <c r="Q358" s="80"/>
      <c r="R358" s="80"/>
      <c r="S358" s="82"/>
      <c r="T358" s="80"/>
      <c r="U358" s="80"/>
      <c r="V358" s="79"/>
      <c r="W358" s="80"/>
      <c r="X358" s="80"/>
    </row>
    <row r="359" spans="1:24" ht="42" customHeight="1">
      <c r="A359" s="80">
        <f t="shared" si="0"/>
        <v>357</v>
      </c>
      <c r="B359" s="51" t="str">
        <f t="shared" si="1"/>
        <v>MA</v>
      </c>
      <c r="C359" s="51" t="s">
        <v>3123</v>
      </c>
      <c r="D359" s="51" t="s">
        <v>725</v>
      </c>
      <c r="E359" s="80"/>
      <c r="F359" s="80"/>
      <c r="G359" s="75">
        <f>49711875282</f>
        <v>49711875282</v>
      </c>
      <c r="H359" s="80"/>
      <c r="I359" s="76"/>
      <c r="J359" s="80"/>
      <c r="K359" s="80"/>
      <c r="L359" s="51" t="s">
        <v>78</v>
      </c>
      <c r="M359" s="79">
        <v>44887</v>
      </c>
      <c r="N359" s="51" t="s">
        <v>2538</v>
      </c>
      <c r="O359" s="80"/>
      <c r="P359" s="82"/>
      <c r="Q359" s="80"/>
      <c r="R359" s="80"/>
      <c r="S359" s="82"/>
      <c r="T359" s="80"/>
      <c r="U359" s="80"/>
      <c r="V359" s="79"/>
      <c r="W359" s="80"/>
      <c r="X359" s="80"/>
    </row>
    <row r="360" spans="1:24" ht="42" customHeight="1">
      <c r="A360" s="80">
        <f t="shared" si="0"/>
        <v>358</v>
      </c>
      <c r="B360" s="51" t="str">
        <f t="shared" si="1"/>
        <v>MA</v>
      </c>
      <c r="C360" s="51" t="s">
        <v>3124</v>
      </c>
      <c r="D360" s="51" t="s">
        <v>725</v>
      </c>
      <c r="E360" s="80"/>
      <c r="F360" s="80"/>
      <c r="G360" s="75">
        <v>4928225834</v>
      </c>
      <c r="H360" s="80"/>
      <c r="I360" s="54" t="s">
        <v>3125</v>
      </c>
      <c r="J360" s="51" t="s">
        <v>3126</v>
      </c>
      <c r="K360" s="80"/>
      <c r="L360" s="51" t="s">
        <v>78</v>
      </c>
      <c r="M360" s="79">
        <v>44887</v>
      </c>
      <c r="N360" s="51" t="s">
        <v>2538</v>
      </c>
      <c r="O360" s="51" t="s">
        <v>78</v>
      </c>
      <c r="P360" s="79">
        <v>44845</v>
      </c>
      <c r="Q360" s="51" t="s">
        <v>2538</v>
      </c>
      <c r="R360" s="80"/>
      <c r="S360" s="82"/>
      <c r="T360" s="80"/>
      <c r="U360" s="80"/>
      <c r="V360" s="79"/>
      <c r="W360" s="80"/>
      <c r="X360" s="80"/>
    </row>
    <row r="361" spans="1:24" ht="42" customHeight="1">
      <c r="A361" s="80">
        <f t="shared" si="0"/>
        <v>359</v>
      </c>
      <c r="B361" s="51" t="str">
        <f t="shared" si="1"/>
        <v>MA</v>
      </c>
      <c r="C361" s="81" t="s">
        <v>3127</v>
      </c>
      <c r="D361" s="51" t="s">
        <v>725</v>
      </c>
      <c r="E361" s="80"/>
      <c r="F361" s="80"/>
      <c r="G361" s="75">
        <v>4971416437990</v>
      </c>
      <c r="H361" s="80"/>
      <c r="I361" s="54" t="s">
        <v>3128</v>
      </c>
      <c r="J361" s="80"/>
      <c r="K361" s="80"/>
      <c r="L361" s="51" t="s">
        <v>78</v>
      </c>
      <c r="M361" s="79">
        <v>44887</v>
      </c>
      <c r="N361" s="51" t="s">
        <v>2699</v>
      </c>
      <c r="O361" s="51" t="s">
        <v>78</v>
      </c>
      <c r="P361" s="79">
        <v>44845</v>
      </c>
      <c r="Q361" s="51" t="s">
        <v>2538</v>
      </c>
      <c r="R361" s="80"/>
      <c r="S361" s="82"/>
      <c r="T361" s="80"/>
      <c r="U361" s="80"/>
      <c r="V361" s="79"/>
      <c r="W361" s="80"/>
      <c r="X361" s="80"/>
    </row>
    <row r="362" spans="1:24" ht="42" customHeight="1">
      <c r="A362" s="80">
        <f t="shared" si="0"/>
        <v>360</v>
      </c>
      <c r="B362" s="51" t="str">
        <f t="shared" si="1"/>
        <v>MA</v>
      </c>
      <c r="C362" s="51" t="s">
        <v>3129</v>
      </c>
      <c r="D362" s="51" t="s">
        <v>725</v>
      </c>
      <c r="E362" s="80"/>
      <c r="F362" s="80"/>
      <c r="G362" s="75">
        <f>49715351112</f>
        <v>49715351112</v>
      </c>
      <c r="H362" s="80"/>
      <c r="I362" s="54" t="s">
        <v>3130</v>
      </c>
      <c r="J362" s="80"/>
      <c r="K362" s="80"/>
      <c r="L362" s="51" t="s">
        <v>78</v>
      </c>
      <c r="M362" s="79">
        <v>44887</v>
      </c>
      <c r="N362" s="51" t="s">
        <v>2538</v>
      </c>
      <c r="O362" s="80"/>
      <c r="P362" s="82"/>
      <c r="Q362" s="80"/>
      <c r="R362" s="80"/>
      <c r="S362" s="82"/>
      <c r="T362" s="80"/>
      <c r="U362" s="80"/>
      <c r="V362" s="79"/>
      <c r="W362" s="80"/>
      <c r="X362" s="80"/>
    </row>
    <row r="363" spans="1:24" ht="42" customHeight="1">
      <c r="A363" s="80">
        <f t="shared" si="0"/>
        <v>361</v>
      </c>
      <c r="B363" s="51" t="str">
        <f t="shared" si="1"/>
        <v>MA</v>
      </c>
      <c r="C363" s="51" t="s">
        <v>3131</v>
      </c>
      <c r="D363" s="51" t="s">
        <v>725</v>
      </c>
      <c r="E363" s="51" t="s">
        <v>3132</v>
      </c>
      <c r="F363" s="80"/>
      <c r="G363" s="75">
        <f>49711264395</f>
        <v>49711264395</v>
      </c>
      <c r="H363" s="80"/>
      <c r="I363" s="54" t="s">
        <v>3133</v>
      </c>
      <c r="J363" s="80"/>
      <c r="K363" s="80"/>
      <c r="L363" s="51" t="s">
        <v>7</v>
      </c>
      <c r="M363" s="79">
        <v>44831</v>
      </c>
      <c r="N363" s="51"/>
      <c r="O363" s="80"/>
      <c r="P363" s="82"/>
      <c r="Q363" s="80"/>
      <c r="R363" s="80"/>
      <c r="S363" s="82"/>
      <c r="T363" s="80"/>
      <c r="U363" s="80"/>
      <c r="V363" s="79"/>
      <c r="W363" s="80"/>
      <c r="X363" s="80"/>
    </row>
    <row r="364" spans="1:24" ht="42" customHeight="1">
      <c r="A364" s="80">
        <f t="shared" si="0"/>
        <v>362</v>
      </c>
      <c r="B364" s="51" t="str">
        <f t="shared" si="1"/>
        <v>MA</v>
      </c>
      <c r="C364" s="51" t="s">
        <v>3134</v>
      </c>
      <c r="D364" s="51" t="s">
        <v>725</v>
      </c>
      <c r="E364" s="51" t="s">
        <v>3132</v>
      </c>
      <c r="F364" s="80"/>
      <c r="G364" s="75">
        <f>49711472523</f>
        <v>49711472523</v>
      </c>
      <c r="H364" s="80"/>
      <c r="I364" s="76"/>
      <c r="J364" s="80"/>
      <c r="K364" s="80"/>
      <c r="L364" s="51" t="s">
        <v>78</v>
      </c>
      <c r="M364" s="79">
        <v>44831</v>
      </c>
      <c r="N364" s="51"/>
      <c r="O364" s="80"/>
      <c r="P364" s="82"/>
      <c r="Q364" s="80"/>
      <c r="R364" s="80"/>
      <c r="S364" s="82"/>
      <c r="T364" s="80"/>
      <c r="U364" s="80"/>
      <c r="V364" s="79"/>
      <c r="W364" s="80"/>
      <c r="X364" s="80"/>
    </row>
    <row r="365" spans="1:24" ht="42" customHeight="1">
      <c r="A365" s="80">
        <f t="shared" si="0"/>
        <v>363</v>
      </c>
      <c r="B365" s="51" t="str">
        <f t="shared" si="1"/>
        <v>MA</v>
      </c>
      <c r="C365" s="51" t="s">
        <v>3135</v>
      </c>
      <c r="D365" s="51" t="s">
        <v>725</v>
      </c>
      <c r="E365" s="51" t="s">
        <v>3132</v>
      </c>
      <c r="F365" s="80"/>
      <c r="G365" s="75" t="s">
        <v>3136</v>
      </c>
      <c r="H365" s="80"/>
      <c r="I365" s="54" t="s">
        <v>3137</v>
      </c>
      <c r="J365" s="80"/>
      <c r="K365" s="80"/>
      <c r="L365" s="51" t="s">
        <v>7</v>
      </c>
      <c r="M365" s="79">
        <v>44831</v>
      </c>
      <c r="N365" s="51"/>
      <c r="O365" s="80"/>
      <c r="P365" s="82"/>
      <c r="Q365" s="80"/>
      <c r="R365" s="80"/>
      <c r="S365" s="82"/>
      <c r="T365" s="80"/>
      <c r="U365" s="80"/>
      <c r="V365" s="79"/>
      <c r="W365" s="80"/>
      <c r="X365" s="80"/>
    </row>
    <row r="366" spans="1:24" ht="42" customHeight="1">
      <c r="A366" s="80">
        <f t="shared" si="0"/>
        <v>364</v>
      </c>
      <c r="B366" s="51" t="str">
        <f t="shared" si="1"/>
        <v>MA</v>
      </c>
      <c r="C366" s="51" t="s">
        <v>3138</v>
      </c>
      <c r="D366" s="51" t="s">
        <v>725</v>
      </c>
      <c r="E366" s="51" t="s">
        <v>3132</v>
      </c>
      <c r="F366" s="80"/>
      <c r="G366" s="75">
        <f>4971164585630</f>
        <v>4971164585630</v>
      </c>
      <c r="H366" s="80"/>
      <c r="I366" s="54" t="s">
        <v>3139</v>
      </c>
      <c r="J366" s="80"/>
      <c r="K366" s="80"/>
      <c r="L366" s="51" t="s">
        <v>7</v>
      </c>
      <c r="M366" s="79">
        <v>44831</v>
      </c>
      <c r="N366" s="51"/>
      <c r="O366" s="80"/>
      <c r="P366" s="82"/>
      <c r="Q366" s="80"/>
      <c r="R366" s="80"/>
      <c r="S366" s="82"/>
      <c r="T366" s="80"/>
      <c r="U366" s="80"/>
      <c r="V366" s="79"/>
      <c r="W366" s="80"/>
      <c r="X366" s="80"/>
    </row>
    <row r="367" spans="1:24" ht="42" customHeight="1">
      <c r="A367" s="80">
        <f t="shared" si="0"/>
        <v>365</v>
      </c>
      <c r="B367" s="51" t="str">
        <f t="shared" si="1"/>
        <v>MA</v>
      </c>
      <c r="C367" s="51" t="s">
        <v>3140</v>
      </c>
      <c r="D367" s="51" t="s">
        <v>725</v>
      </c>
      <c r="E367" s="51" t="s">
        <v>3141</v>
      </c>
      <c r="F367" s="80"/>
      <c r="G367" s="75">
        <f>497116201215</f>
        <v>497116201215</v>
      </c>
      <c r="H367" s="80"/>
      <c r="I367" s="54" t="s">
        <v>3142</v>
      </c>
      <c r="J367" s="80"/>
      <c r="K367" s="80"/>
      <c r="L367" s="51" t="s">
        <v>7</v>
      </c>
      <c r="M367" s="79">
        <v>44831</v>
      </c>
      <c r="N367" s="51"/>
      <c r="O367" s="80"/>
      <c r="P367" s="82"/>
      <c r="Q367" s="80"/>
      <c r="R367" s="80"/>
      <c r="S367" s="82"/>
      <c r="T367" s="80"/>
      <c r="U367" s="80"/>
      <c r="V367" s="79"/>
      <c r="W367" s="80"/>
      <c r="X367" s="80"/>
    </row>
    <row r="368" spans="1:24" ht="42" customHeight="1">
      <c r="A368" s="80">
        <f t="shared" si="0"/>
        <v>366</v>
      </c>
      <c r="B368" s="51" t="str">
        <f t="shared" si="1"/>
        <v>MA</v>
      </c>
      <c r="C368" s="51" t="s">
        <v>3143</v>
      </c>
      <c r="D368" s="51" t="s">
        <v>725</v>
      </c>
      <c r="E368" s="51" t="s">
        <v>3132</v>
      </c>
      <c r="F368" s="80"/>
      <c r="G368" s="75"/>
      <c r="H368" s="80"/>
      <c r="I368" s="54" t="s">
        <v>3144</v>
      </c>
      <c r="J368" s="80"/>
      <c r="K368" s="80"/>
      <c r="L368" s="51" t="s">
        <v>7</v>
      </c>
      <c r="M368" s="79">
        <v>44831</v>
      </c>
      <c r="N368" s="51"/>
      <c r="O368" s="80"/>
      <c r="P368" s="82"/>
      <c r="Q368" s="80"/>
      <c r="R368" s="80"/>
      <c r="S368" s="82"/>
      <c r="T368" s="80"/>
      <c r="U368" s="80"/>
      <c r="V368" s="79"/>
      <c r="W368" s="80"/>
      <c r="X368" s="80"/>
    </row>
    <row r="369" spans="1:24" ht="42" customHeight="1">
      <c r="A369" s="80">
        <f t="shared" si="0"/>
        <v>367</v>
      </c>
      <c r="B369" s="51" t="str">
        <f t="shared" si="1"/>
        <v>MA</v>
      </c>
      <c r="C369" s="51" t="s">
        <v>3145</v>
      </c>
      <c r="D369" s="51" t="s">
        <v>2803</v>
      </c>
      <c r="E369" s="51" t="s">
        <v>3146</v>
      </c>
      <c r="F369" s="80"/>
      <c r="G369" s="75">
        <f>994222670411</f>
        <v>994222670411</v>
      </c>
      <c r="H369" s="80"/>
      <c r="I369" s="76"/>
      <c r="J369" s="80"/>
      <c r="K369" s="80"/>
      <c r="L369" s="51" t="s">
        <v>78</v>
      </c>
      <c r="M369" s="79">
        <v>44834</v>
      </c>
      <c r="N369" s="51"/>
      <c r="O369" s="80"/>
      <c r="P369" s="82"/>
      <c r="Q369" s="80"/>
      <c r="R369" s="80"/>
      <c r="S369" s="82"/>
      <c r="T369" s="80"/>
      <c r="U369" s="80"/>
      <c r="V369" s="79"/>
      <c r="W369" s="80"/>
      <c r="X369" s="80"/>
    </row>
    <row r="370" spans="1:24" ht="42" customHeight="1">
      <c r="A370" s="80">
        <f t="shared" si="0"/>
        <v>368</v>
      </c>
      <c r="B370" s="51" t="str">
        <f t="shared" si="1"/>
        <v>MA</v>
      </c>
      <c r="C370" s="51" t="s">
        <v>3147</v>
      </c>
      <c r="D370" s="51" t="s">
        <v>2803</v>
      </c>
      <c r="E370" s="51" t="s">
        <v>2533</v>
      </c>
      <c r="F370" s="80"/>
      <c r="G370" s="75" t="s">
        <v>3148</v>
      </c>
      <c r="H370" s="80"/>
      <c r="I370" s="76"/>
      <c r="J370" s="80"/>
      <c r="K370" s="80"/>
      <c r="L370" s="51" t="s">
        <v>78</v>
      </c>
      <c r="M370" s="79">
        <v>44834</v>
      </c>
      <c r="N370" s="51"/>
      <c r="O370" s="51" t="s">
        <v>78</v>
      </c>
      <c r="P370" s="79">
        <v>44838</v>
      </c>
      <c r="Q370" s="51" t="s">
        <v>2561</v>
      </c>
      <c r="R370" s="80"/>
      <c r="S370" s="82"/>
      <c r="T370" s="80"/>
      <c r="U370" s="80"/>
      <c r="V370" s="79"/>
      <c r="W370" s="80"/>
      <c r="X370" s="80"/>
    </row>
    <row r="371" spans="1:24" ht="42" customHeight="1">
      <c r="A371" s="80">
        <f t="shared" si="0"/>
        <v>369</v>
      </c>
      <c r="B371" s="51" t="str">
        <f t="shared" si="1"/>
        <v>MA</v>
      </c>
      <c r="C371" s="51" t="s">
        <v>3149</v>
      </c>
      <c r="D371" s="51" t="s">
        <v>2803</v>
      </c>
      <c r="E371" s="51" t="s">
        <v>2533</v>
      </c>
      <c r="F371" s="80"/>
      <c r="G371" s="75" t="s">
        <v>3150</v>
      </c>
      <c r="H371" s="80"/>
      <c r="I371" s="76"/>
      <c r="J371" s="80"/>
      <c r="K371" s="80"/>
      <c r="L371" s="51" t="s">
        <v>78</v>
      </c>
      <c r="M371" s="79">
        <v>44834</v>
      </c>
      <c r="N371" s="51"/>
      <c r="O371" s="51" t="s">
        <v>78</v>
      </c>
      <c r="P371" s="79">
        <v>44838</v>
      </c>
      <c r="Q371" s="51" t="s">
        <v>2538</v>
      </c>
      <c r="R371" s="80"/>
      <c r="S371" s="82"/>
      <c r="T371" s="80"/>
      <c r="U371" s="80"/>
      <c r="V371" s="79"/>
      <c r="W371" s="80"/>
      <c r="X371" s="80"/>
    </row>
    <row r="372" spans="1:24" ht="42" customHeight="1">
      <c r="A372" s="80">
        <f t="shared" si="0"/>
        <v>370</v>
      </c>
      <c r="B372" s="51" t="str">
        <f t="shared" si="1"/>
        <v>MA</v>
      </c>
      <c r="C372" s="85" t="s">
        <v>3151</v>
      </c>
      <c r="D372" s="51" t="s">
        <v>459</v>
      </c>
      <c r="E372" s="51" t="s">
        <v>3141</v>
      </c>
      <c r="F372" s="80"/>
      <c r="G372" s="75" t="s">
        <v>3152</v>
      </c>
      <c r="H372" s="80"/>
      <c r="I372" s="76"/>
      <c r="J372" s="80"/>
      <c r="K372" s="80"/>
      <c r="L372" s="51" t="s">
        <v>2999</v>
      </c>
      <c r="M372" s="79">
        <v>44834</v>
      </c>
      <c r="N372" s="51"/>
      <c r="O372" s="80"/>
      <c r="P372" s="82"/>
      <c r="Q372" s="80"/>
      <c r="R372" s="80"/>
      <c r="S372" s="82"/>
      <c r="T372" s="80"/>
      <c r="U372" s="80"/>
      <c r="V372" s="79"/>
      <c r="W372" s="80"/>
      <c r="X372" s="80"/>
    </row>
    <row r="373" spans="1:24" ht="42" customHeight="1">
      <c r="A373" s="80">
        <f t="shared" si="0"/>
        <v>371</v>
      </c>
      <c r="B373" s="51" t="str">
        <f t="shared" si="1"/>
        <v>MA</v>
      </c>
      <c r="C373" s="51" t="s">
        <v>3153</v>
      </c>
      <c r="D373" s="51" t="s">
        <v>2803</v>
      </c>
      <c r="E373" s="51" t="s">
        <v>3141</v>
      </c>
      <c r="F373" s="80"/>
      <c r="G373" s="75" t="s">
        <v>3154</v>
      </c>
      <c r="H373" s="80"/>
      <c r="I373" s="76"/>
      <c r="J373" s="80"/>
      <c r="K373" s="80"/>
      <c r="L373" s="51" t="s">
        <v>78</v>
      </c>
      <c r="M373" s="79">
        <v>44834</v>
      </c>
      <c r="N373" s="51"/>
      <c r="O373" s="51" t="s">
        <v>78</v>
      </c>
      <c r="P373" s="79">
        <v>44838</v>
      </c>
      <c r="Q373" s="51" t="s">
        <v>2553</v>
      </c>
      <c r="R373" s="80"/>
      <c r="S373" s="82"/>
      <c r="T373" s="80"/>
      <c r="U373" s="80"/>
      <c r="V373" s="79"/>
      <c r="W373" s="80"/>
      <c r="X373" s="80"/>
    </row>
    <row r="374" spans="1:24" ht="42" customHeight="1">
      <c r="A374" s="80">
        <f t="shared" si="0"/>
        <v>372</v>
      </c>
      <c r="B374" s="51" t="str">
        <f t="shared" si="1"/>
        <v>MA</v>
      </c>
      <c r="C374" s="51" t="s">
        <v>3155</v>
      </c>
      <c r="D374" s="51" t="s">
        <v>2803</v>
      </c>
      <c r="E374" s="51" t="s">
        <v>2533</v>
      </c>
      <c r="F374" s="80"/>
      <c r="G374" s="75" t="s">
        <v>3156</v>
      </c>
      <c r="H374" s="80"/>
      <c r="I374" s="76"/>
      <c r="J374" s="80"/>
      <c r="K374" s="80"/>
      <c r="L374" s="51" t="s">
        <v>78</v>
      </c>
      <c r="M374" s="79">
        <v>44834</v>
      </c>
      <c r="N374" s="51"/>
      <c r="O374" s="51" t="s">
        <v>78</v>
      </c>
      <c r="P374" s="79">
        <v>44838</v>
      </c>
      <c r="Q374" s="51" t="s">
        <v>2553</v>
      </c>
      <c r="R374" s="80"/>
      <c r="S374" s="82"/>
      <c r="T374" s="80"/>
      <c r="U374" s="80"/>
      <c r="V374" s="79"/>
      <c r="W374" s="80"/>
      <c r="X374" s="80"/>
    </row>
    <row r="375" spans="1:24" ht="42" customHeight="1">
      <c r="A375" s="80">
        <f t="shared" si="0"/>
        <v>373</v>
      </c>
      <c r="B375" s="51" t="str">
        <f t="shared" si="1"/>
        <v>MA</v>
      </c>
      <c r="C375" s="51" t="s">
        <v>3157</v>
      </c>
      <c r="D375" s="51" t="s">
        <v>2803</v>
      </c>
      <c r="E375" s="51" t="s">
        <v>2533</v>
      </c>
      <c r="F375" s="80"/>
      <c r="G375" s="75" t="s">
        <v>3158</v>
      </c>
      <c r="H375" s="80"/>
      <c r="I375" s="76"/>
      <c r="J375" s="80"/>
      <c r="K375" s="80"/>
      <c r="L375" s="51" t="s">
        <v>78</v>
      </c>
      <c r="M375" s="79">
        <v>44834</v>
      </c>
      <c r="N375" s="51"/>
      <c r="O375" s="51" t="s">
        <v>78</v>
      </c>
      <c r="P375" s="79">
        <v>44838</v>
      </c>
      <c r="Q375" s="51" t="s">
        <v>2561</v>
      </c>
      <c r="R375" s="80"/>
      <c r="S375" s="82"/>
      <c r="T375" s="80"/>
      <c r="U375" s="80"/>
      <c r="V375" s="79"/>
      <c r="W375" s="80"/>
      <c r="X375" s="80"/>
    </row>
    <row r="376" spans="1:24" ht="42" customHeight="1">
      <c r="A376" s="80">
        <f t="shared" si="0"/>
        <v>374</v>
      </c>
      <c r="B376" s="51" t="str">
        <f t="shared" si="1"/>
        <v>MA</v>
      </c>
      <c r="C376" s="51" t="s">
        <v>3159</v>
      </c>
      <c r="D376" s="51" t="s">
        <v>2803</v>
      </c>
      <c r="E376" s="51" t="s">
        <v>2533</v>
      </c>
      <c r="F376" s="80"/>
      <c r="G376" s="75" t="s">
        <v>3160</v>
      </c>
      <c r="H376" s="80"/>
      <c r="I376" s="76"/>
      <c r="J376" s="80"/>
      <c r="K376" s="80"/>
      <c r="L376" s="51" t="s">
        <v>78</v>
      </c>
      <c r="M376" s="79">
        <v>44834</v>
      </c>
      <c r="N376" s="51"/>
      <c r="O376" s="51" t="s">
        <v>78</v>
      </c>
      <c r="P376" s="79">
        <v>44838</v>
      </c>
      <c r="Q376" s="51" t="s">
        <v>2553</v>
      </c>
      <c r="R376" s="80"/>
      <c r="S376" s="82"/>
      <c r="T376" s="80"/>
      <c r="U376" s="80"/>
      <c r="V376" s="79"/>
      <c r="W376" s="80"/>
      <c r="X376" s="80"/>
    </row>
    <row r="377" spans="1:24" ht="42" customHeight="1">
      <c r="A377" s="80">
        <f t="shared" si="0"/>
        <v>375</v>
      </c>
      <c r="B377" s="51" t="str">
        <f t="shared" si="1"/>
        <v>MA</v>
      </c>
      <c r="C377" s="51" t="s">
        <v>3161</v>
      </c>
      <c r="D377" s="51" t="s">
        <v>2803</v>
      </c>
      <c r="E377" s="51" t="s">
        <v>2533</v>
      </c>
      <c r="F377" s="80"/>
      <c r="G377" s="75" t="s">
        <v>3162</v>
      </c>
      <c r="H377" s="80"/>
      <c r="I377" s="76"/>
      <c r="J377" s="80"/>
      <c r="K377" s="80"/>
      <c r="L377" s="51" t="s">
        <v>78</v>
      </c>
      <c r="M377" s="79">
        <v>44834</v>
      </c>
      <c r="N377" s="51"/>
      <c r="O377" s="51" t="s">
        <v>78</v>
      </c>
      <c r="P377" s="79">
        <v>44838</v>
      </c>
      <c r="Q377" s="51" t="s">
        <v>2742</v>
      </c>
      <c r="R377" s="80"/>
      <c r="S377" s="82"/>
      <c r="T377" s="80"/>
      <c r="U377" s="80"/>
      <c r="V377" s="79"/>
      <c r="W377" s="80"/>
      <c r="X377" s="80"/>
    </row>
    <row r="378" spans="1:24" ht="42" customHeight="1">
      <c r="A378" s="80">
        <f t="shared" si="0"/>
        <v>376</v>
      </c>
      <c r="B378" s="51" t="str">
        <f t="shared" si="1"/>
        <v>MA</v>
      </c>
      <c r="C378" s="51" t="s">
        <v>3163</v>
      </c>
      <c r="D378" s="51" t="s">
        <v>2803</v>
      </c>
      <c r="E378" s="51" t="s">
        <v>2533</v>
      </c>
      <c r="F378" s="80"/>
      <c r="G378" s="75" t="s">
        <v>3164</v>
      </c>
      <c r="H378" s="80"/>
      <c r="I378" s="76"/>
      <c r="J378" s="80"/>
      <c r="K378" s="80"/>
      <c r="L378" s="51" t="s">
        <v>78</v>
      </c>
      <c r="M378" s="79">
        <v>44834</v>
      </c>
      <c r="N378" s="51"/>
      <c r="O378" s="51" t="s">
        <v>78</v>
      </c>
      <c r="P378" s="79">
        <v>44838</v>
      </c>
      <c r="Q378" s="51" t="s">
        <v>2561</v>
      </c>
      <c r="R378" s="80"/>
      <c r="S378" s="82"/>
      <c r="T378" s="80"/>
      <c r="U378" s="80"/>
      <c r="V378" s="79"/>
      <c r="W378" s="80"/>
      <c r="X378" s="80"/>
    </row>
    <row r="379" spans="1:24" ht="42" customHeight="1">
      <c r="A379" s="80">
        <f t="shared" si="0"/>
        <v>377</v>
      </c>
      <c r="B379" s="51" t="str">
        <f t="shared" si="1"/>
        <v>MA</v>
      </c>
      <c r="C379" s="51" t="s">
        <v>3165</v>
      </c>
      <c r="D379" s="51" t="s">
        <v>2803</v>
      </c>
      <c r="E379" s="51" t="s">
        <v>3166</v>
      </c>
      <c r="F379" s="80"/>
      <c r="G379" s="75" t="s">
        <v>3167</v>
      </c>
      <c r="H379" s="80"/>
      <c r="I379" s="54" t="s">
        <v>3168</v>
      </c>
      <c r="J379" s="80"/>
      <c r="K379" s="80"/>
      <c r="L379" s="51" t="s">
        <v>78</v>
      </c>
      <c r="M379" s="79">
        <v>44834</v>
      </c>
      <c r="N379" s="51"/>
      <c r="O379" s="80"/>
      <c r="P379" s="82"/>
      <c r="Q379" s="80"/>
      <c r="R379" s="80"/>
      <c r="S379" s="82"/>
      <c r="T379" s="80"/>
      <c r="U379" s="80"/>
      <c r="V379" s="79"/>
      <c r="W379" s="80"/>
      <c r="X379" s="80"/>
    </row>
    <row r="380" spans="1:24" ht="42" customHeight="1">
      <c r="A380" s="80">
        <f t="shared" si="0"/>
        <v>378</v>
      </c>
      <c r="B380" s="51" t="str">
        <f t="shared" si="1"/>
        <v>MA</v>
      </c>
      <c r="C380" s="51" t="s">
        <v>3169</v>
      </c>
      <c r="D380" s="51" t="s">
        <v>2803</v>
      </c>
      <c r="E380" s="51" t="s">
        <v>2533</v>
      </c>
      <c r="F380" s="80"/>
      <c r="G380" s="75" t="s">
        <v>3170</v>
      </c>
      <c r="H380" s="80"/>
      <c r="I380" s="89" t="s">
        <v>3171</v>
      </c>
      <c r="J380" s="80"/>
      <c r="K380" s="80"/>
      <c r="L380" s="51" t="s">
        <v>78</v>
      </c>
      <c r="M380" s="79">
        <v>44834</v>
      </c>
      <c r="N380" s="51"/>
      <c r="O380" s="51" t="s">
        <v>78</v>
      </c>
      <c r="P380" s="79">
        <v>44838</v>
      </c>
      <c r="Q380" s="51" t="s">
        <v>2553</v>
      </c>
      <c r="R380" s="80"/>
      <c r="S380" s="82"/>
      <c r="T380" s="80"/>
      <c r="U380" s="80"/>
      <c r="V380" s="79"/>
      <c r="W380" s="80"/>
      <c r="X380" s="80"/>
    </row>
    <row r="381" spans="1:24" ht="42" customHeight="1">
      <c r="A381" s="80">
        <f t="shared" si="0"/>
        <v>379</v>
      </c>
      <c r="B381" s="51" t="str">
        <f t="shared" si="1"/>
        <v>MA</v>
      </c>
      <c r="C381" s="51" t="s">
        <v>3172</v>
      </c>
      <c r="D381" s="51" t="s">
        <v>2803</v>
      </c>
      <c r="E381" s="51" t="s">
        <v>2533</v>
      </c>
      <c r="F381" s="80"/>
      <c r="G381" s="75" t="s">
        <v>3173</v>
      </c>
      <c r="H381" s="80"/>
      <c r="I381" s="89" t="s">
        <v>3174</v>
      </c>
      <c r="J381" s="80"/>
      <c r="K381" s="80"/>
      <c r="L381" s="51" t="s">
        <v>78</v>
      </c>
      <c r="M381" s="79">
        <v>44834</v>
      </c>
      <c r="N381" s="51"/>
      <c r="O381" s="51" t="s">
        <v>98</v>
      </c>
      <c r="P381" s="79">
        <v>44838</v>
      </c>
      <c r="Q381" s="51" t="s">
        <v>2553</v>
      </c>
      <c r="R381" s="80"/>
      <c r="S381" s="82"/>
      <c r="T381" s="80"/>
      <c r="U381" s="80"/>
      <c r="V381" s="79"/>
      <c r="W381" s="80"/>
      <c r="X381" s="80"/>
    </row>
    <row r="382" spans="1:24" ht="42" customHeight="1">
      <c r="A382" s="80">
        <f t="shared" si="0"/>
        <v>380</v>
      </c>
      <c r="B382" s="51" t="str">
        <f t="shared" si="1"/>
        <v>MA</v>
      </c>
      <c r="C382" s="51" t="s">
        <v>3175</v>
      </c>
      <c r="D382" s="51" t="s">
        <v>2803</v>
      </c>
      <c r="E382" s="51" t="s">
        <v>2533</v>
      </c>
      <c r="F382" s="80"/>
      <c r="G382" s="75" t="s">
        <v>3176</v>
      </c>
      <c r="H382" s="80"/>
      <c r="I382" s="89" t="s">
        <v>3177</v>
      </c>
      <c r="J382" s="80"/>
      <c r="K382" s="80"/>
      <c r="L382" s="51" t="s">
        <v>78</v>
      </c>
      <c r="M382" s="79">
        <v>44834</v>
      </c>
      <c r="N382" s="51"/>
      <c r="O382" s="51" t="s">
        <v>78</v>
      </c>
      <c r="P382" s="79">
        <v>44838</v>
      </c>
      <c r="Q382" s="51" t="s">
        <v>2742</v>
      </c>
      <c r="R382" s="80"/>
      <c r="S382" s="82"/>
      <c r="T382" s="80"/>
      <c r="U382" s="80"/>
      <c r="V382" s="79"/>
      <c r="W382" s="80"/>
      <c r="X382" s="80"/>
    </row>
    <row r="383" spans="1:24" ht="42" customHeight="1">
      <c r="A383" s="80">
        <f t="shared" si="0"/>
        <v>381</v>
      </c>
      <c r="B383" s="51" t="str">
        <f t="shared" si="1"/>
        <v>MA</v>
      </c>
      <c r="C383" s="51" t="s">
        <v>3178</v>
      </c>
      <c r="D383" s="51" t="s">
        <v>2803</v>
      </c>
      <c r="E383" s="51" t="s">
        <v>3179</v>
      </c>
      <c r="F383" s="80"/>
      <c r="G383" s="75" t="s">
        <v>3180</v>
      </c>
      <c r="H383" s="80"/>
      <c r="I383" s="89" t="s">
        <v>3181</v>
      </c>
      <c r="J383" s="80"/>
      <c r="K383" s="80"/>
      <c r="L383" s="51" t="s">
        <v>78</v>
      </c>
      <c r="M383" s="79">
        <v>44834</v>
      </c>
      <c r="N383" s="51"/>
      <c r="O383" s="51" t="s">
        <v>78</v>
      </c>
      <c r="P383" s="79">
        <v>44838</v>
      </c>
      <c r="Q383" s="51" t="s">
        <v>2538</v>
      </c>
      <c r="R383" s="80"/>
      <c r="S383" s="82"/>
      <c r="T383" s="80"/>
      <c r="U383" s="80"/>
      <c r="V383" s="79"/>
      <c r="W383" s="80"/>
      <c r="X383" s="80"/>
    </row>
    <row r="384" spans="1:24" ht="42" customHeight="1">
      <c r="A384" s="80">
        <f t="shared" si="0"/>
        <v>382</v>
      </c>
      <c r="B384" s="51" t="str">
        <f t="shared" si="1"/>
        <v>MA</v>
      </c>
      <c r="C384" s="51" t="s">
        <v>3182</v>
      </c>
      <c r="D384" s="51" t="s">
        <v>725</v>
      </c>
      <c r="E384" s="51" t="s">
        <v>3132</v>
      </c>
      <c r="F384" s="80"/>
      <c r="G384" s="75" t="s">
        <v>3183</v>
      </c>
      <c r="H384" s="80"/>
      <c r="I384" s="89" t="s">
        <v>3184</v>
      </c>
      <c r="J384" s="51" t="s">
        <v>3185</v>
      </c>
      <c r="K384" s="80"/>
      <c r="L384" s="51" t="s">
        <v>7</v>
      </c>
      <c r="M384" s="79">
        <v>44834</v>
      </c>
      <c r="N384" s="51"/>
      <c r="O384" s="80"/>
      <c r="P384" s="82"/>
      <c r="Q384" s="80"/>
      <c r="R384" s="80"/>
      <c r="S384" s="82"/>
      <c r="T384" s="80"/>
      <c r="U384" s="80"/>
      <c r="V384" s="79"/>
      <c r="W384" s="80"/>
      <c r="X384" s="80"/>
    </row>
    <row r="385" spans="1:24" ht="42" customHeight="1">
      <c r="A385" s="80">
        <f t="shared" si="0"/>
        <v>383</v>
      </c>
      <c r="B385" s="51" t="str">
        <f t="shared" si="1"/>
        <v>MA</v>
      </c>
      <c r="C385" s="81" t="s">
        <v>3186</v>
      </c>
      <c r="D385" s="51" t="s">
        <v>725</v>
      </c>
      <c r="E385" s="80"/>
      <c r="F385" s="80"/>
      <c r="G385" s="75"/>
      <c r="H385" s="80"/>
      <c r="I385" s="76"/>
      <c r="J385" s="80"/>
      <c r="K385" s="80"/>
      <c r="L385" s="80"/>
      <c r="M385" s="79">
        <v>44832</v>
      </c>
      <c r="N385" s="80"/>
      <c r="O385" s="80"/>
      <c r="P385" s="82"/>
      <c r="Q385" s="80"/>
      <c r="R385" s="80"/>
      <c r="S385" s="82"/>
      <c r="T385" s="80"/>
      <c r="U385" s="80"/>
      <c r="V385" s="79"/>
      <c r="W385" s="80"/>
      <c r="X385" s="80"/>
    </row>
    <row r="386" spans="1:24" ht="42" customHeight="1">
      <c r="A386" s="80">
        <f t="shared" si="0"/>
        <v>384</v>
      </c>
      <c r="B386" s="51" t="str">
        <f t="shared" si="1"/>
        <v>MA</v>
      </c>
      <c r="C386" s="51" t="s">
        <v>3187</v>
      </c>
      <c r="D386" s="51" t="s">
        <v>725</v>
      </c>
      <c r="E386" s="51" t="s">
        <v>2533</v>
      </c>
      <c r="F386" s="80"/>
      <c r="G386" s="75">
        <f>497024466444</f>
        <v>497024466444</v>
      </c>
      <c r="H386" s="80"/>
      <c r="I386" s="76"/>
      <c r="J386" s="51" t="s">
        <v>3188</v>
      </c>
      <c r="K386" s="80"/>
      <c r="L386" s="51" t="s">
        <v>7</v>
      </c>
      <c r="M386" s="79">
        <v>44834</v>
      </c>
      <c r="N386" s="51"/>
      <c r="O386" s="80"/>
      <c r="P386" s="82"/>
      <c r="Q386" s="80"/>
      <c r="R386" s="80"/>
      <c r="S386" s="82"/>
      <c r="T386" s="80"/>
      <c r="U386" s="80"/>
      <c r="V386" s="79"/>
      <c r="W386" s="80"/>
      <c r="X386" s="80"/>
    </row>
    <row r="387" spans="1:24" ht="42" customHeight="1">
      <c r="A387" s="80">
        <f t="shared" si="0"/>
        <v>385</v>
      </c>
      <c r="B387" s="51" t="str">
        <f t="shared" si="1"/>
        <v>MA</v>
      </c>
      <c r="C387" s="51" t="s">
        <v>3189</v>
      </c>
      <c r="D387" s="51" t="s">
        <v>725</v>
      </c>
      <c r="E387" s="51" t="s">
        <v>2533</v>
      </c>
      <c r="F387" s="80"/>
      <c r="G387" s="75">
        <f>4971314050120</f>
        <v>4971314050120</v>
      </c>
      <c r="H387" s="80"/>
      <c r="I387" s="76"/>
      <c r="J387" s="51" t="s">
        <v>3190</v>
      </c>
      <c r="K387" s="80"/>
      <c r="L387" s="51" t="s">
        <v>7</v>
      </c>
      <c r="M387" s="79">
        <v>44834</v>
      </c>
      <c r="N387" s="51"/>
      <c r="O387" s="51" t="s">
        <v>7</v>
      </c>
      <c r="P387" s="79">
        <v>44838</v>
      </c>
      <c r="Q387" s="51" t="s">
        <v>2699</v>
      </c>
      <c r="R387" s="80"/>
      <c r="S387" s="82"/>
      <c r="T387" s="80"/>
      <c r="U387" s="80"/>
      <c r="V387" s="79"/>
      <c r="W387" s="80"/>
      <c r="X387" s="80"/>
    </row>
    <row r="388" spans="1:24" ht="42" customHeight="1">
      <c r="A388" s="80">
        <f t="shared" si="0"/>
        <v>386</v>
      </c>
      <c r="B388" s="51" t="str">
        <f t="shared" si="1"/>
        <v>MA</v>
      </c>
      <c r="C388" s="51" t="s">
        <v>3191</v>
      </c>
      <c r="D388" s="51" t="s">
        <v>725</v>
      </c>
      <c r="E388" s="51" t="s">
        <v>2533</v>
      </c>
      <c r="F388" s="80"/>
      <c r="G388" s="75" t="s">
        <v>3192</v>
      </c>
      <c r="H388" s="80"/>
      <c r="I388" s="76"/>
      <c r="J388" s="51" t="s">
        <v>3193</v>
      </c>
      <c r="K388" s="80"/>
      <c r="L388" s="51" t="s">
        <v>7</v>
      </c>
      <c r="M388" s="79">
        <v>44834</v>
      </c>
      <c r="N388" s="51"/>
      <c r="O388" s="80"/>
      <c r="P388" s="82"/>
      <c r="Q388" s="80"/>
      <c r="R388" s="80"/>
      <c r="S388" s="82"/>
      <c r="T388" s="80"/>
      <c r="U388" s="80"/>
      <c r="V388" s="79"/>
      <c r="W388" s="80"/>
      <c r="X388" s="80"/>
    </row>
    <row r="389" spans="1:24" ht="42" customHeight="1">
      <c r="A389" s="80">
        <f t="shared" si="0"/>
        <v>387</v>
      </c>
      <c r="B389" s="51" t="str">
        <f t="shared" si="1"/>
        <v>MA</v>
      </c>
      <c r="C389" s="51" t="s">
        <v>3194</v>
      </c>
      <c r="D389" s="51" t="s">
        <v>725</v>
      </c>
      <c r="E389" s="51" t="s">
        <v>3141</v>
      </c>
      <c r="F389" s="80"/>
      <c r="G389" s="128" t="s">
        <v>3195</v>
      </c>
      <c r="H389" s="80"/>
      <c r="I389" s="76"/>
      <c r="J389" s="51" t="s">
        <v>3196</v>
      </c>
      <c r="K389" s="80"/>
      <c r="L389" s="51" t="s">
        <v>7</v>
      </c>
      <c r="M389" s="79">
        <v>44834</v>
      </c>
      <c r="N389" s="51"/>
      <c r="O389" s="80"/>
      <c r="P389" s="82"/>
      <c r="Q389" s="80"/>
      <c r="R389" s="80"/>
      <c r="S389" s="82"/>
      <c r="T389" s="80"/>
      <c r="U389" s="80"/>
      <c r="V389" s="79"/>
      <c r="W389" s="80"/>
      <c r="X389" s="80"/>
    </row>
    <row r="390" spans="1:24" ht="42" customHeight="1">
      <c r="A390" s="80">
        <f t="shared" si="0"/>
        <v>388</v>
      </c>
      <c r="B390" s="51" t="str">
        <f t="shared" si="1"/>
        <v>MA</v>
      </c>
      <c r="C390" s="51" t="s">
        <v>3197</v>
      </c>
      <c r="D390" s="51" t="s">
        <v>725</v>
      </c>
      <c r="E390" s="51" t="s">
        <v>2533</v>
      </c>
      <c r="F390" s="80"/>
      <c r="G390" s="75">
        <f>49714265404</f>
        <v>49714265404</v>
      </c>
      <c r="H390" s="80"/>
      <c r="I390" s="76"/>
      <c r="J390" s="80"/>
      <c r="K390" s="80"/>
      <c r="L390" s="51" t="s">
        <v>78</v>
      </c>
      <c r="M390" s="79">
        <v>44834</v>
      </c>
      <c r="N390" s="80"/>
      <c r="O390" s="80"/>
      <c r="P390" s="82"/>
      <c r="Q390" s="80"/>
      <c r="R390" s="80"/>
      <c r="S390" s="82"/>
      <c r="T390" s="80"/>
      <c r="U390" s="80"/>
      <c r="V390" s="79"/>
      <c r="W390" s="80"/>
      <c r="X390" s="80"/>
    </row>
    <row r="391" spans="1:24" ht="42" customHeight="1">
      <c r="A391" s="80">
        <f t="shared" si="0"/>
        <v>389</v>
      </c>
      <c r="B391" s="51" t="str">
        <f t="shared" si="1"/>
        <v>MA</v>
      </c>
      <c r="C391" s="51" t="s">
        <v>3198</v>
      </c>
      <c r="D391" s="51" t="s">
        <v>725</v>
      </c>
      <c r="E391" s="51" t="s">
        <v>2533</v>
      </c>
      <c r="F391" s="80"/>
      <c r="G391" s="75">
        <f>497166208</f>
        <v>497166208</v>
      </c>
      <c r="H391" s="80"/>
      <c r="I391" s="89" t="s">
        <v>3199</v>
      </c>
      <c r="J391" s="51" t="s">
        <v>3200</v>
      </c>
      <c r="K391" s="80"/>
      <c r="L391" s="51" t="s">
        <v>7</v>
      </c>
      <c r="M391" s="79">
        <v>44834</v>
      </c>
      <c r="N391" s="51"/>
      <c r="O391" s="80"/>
      <c r="P391" s="82"/>
      <c r="Q391" s="80"/>
      <c r="R391" s="80"/>
      <c r="S391" s="82"/>
      <c r="T391" s="80"/>
      <c r="U391" s="80"/>
      <c r="V391" s="79"/>
      <c r="W391" s="80"/>
      <c r="X391" s="80"/>
    </row>
    <row r="392" spans="1:24" ht="42" customHeight="1">
      <c r="A392" s="80">
        <f t="shared" si="0"/>
        <v>390</v>
      </c>
      <c r="B392" s="51" t="str">
        <f t="shared" si="1"/>
        <v>MA</v>
      </c>
      <c r="C392" s="51" t="s">
        <v>3201</v>
      </c>
      <c r="D392" s="51" t="s">
        <v>725</v>
      </c>
      <c r="E392" s="51" t="s">
        <v>2533</v>
      </c>
      <c r="F392" s="80"/>
      <c r="G392" s="75" t="s">
        <v>3202</v>
      </c>
      <c r="H392" s="80"/>
      <c r="I392" s="89" t="s">
        <v>3203</v>
      </c>
      <c r="J392" s="80"/>
      <c r="K392" s="80"/>
      <c r="L392" s="51" t="s">
        <v>78</v>
      </c>
      <c r="M392" s="79">
        <v>44834</v>
      </c>
      <c r="N392" s="80"/>
      <c r="O392" s="80"/>
      <c r="P392" s="82"/>
      <c r="Q392" s="80"/>
      <c r="R392" s="80"/>
      <c r="S392" s="82"/>
      <c r="T392" s="80"/>
      <c r="U392" s="80"/>
      <c r="V392" s="79"/>
      <c r="W392" s="80"/>
      <c r="X392" s="80"/>
    </row>
    <row r="393" spans="1:24" ht="42" customHeight="1">
      <c r="A393" s="80">
        <f t="shared" si="0"/>
        <v>391</v>
      </c>
      <c r="B393" s="51" t="str">
        <f t="shared" si="1"/>
        <v>MA</v>
      </c>
      <c r="C393" s="51" t="s">
        <v>3204</v>
      </c>
      <c r="D393" s="51" t="s">
        <v>725</v>
      </c>
      <c r="E393" s="51" t="s">
        <v>2533</v>
      </c>
      <c r="F393" s="80"/>
      <c r="G393" s="75" t="s">
        <v>3205</v>
      </c>
      <c r="H393" s="80"/>
      <c r="I393" s="89" t="s">
        <v>3206</v>
      </c>
      <c r="J393" s="51" t="s">
        <v>3207</v>
      </c>
      <c r="K393" s="80"/>
      <c r="L393" s="51" t="s">
        <v>7</v>
      </c>
      <c r="M393" s="79">
        <v>44834</v>
      </c>
      <c r="N393" s="51"/>
      <c r="O393" s="80"/>
      <c r="P393" s="82"/>
      <c r="Q393" s="80"/>
      <c r="R393" s="80"/>
      <c r="S393" s="82"/>
      <c r="T393" s="80"/>
      <c r="U393" s="80"/>
      <c r="V393" s="79"/>
      <c r="W393" s="80"/>
      <c r="X393" s="80"/>
    </row>
    <row r="394" spans="1:24" ht="42" customHeight="1">
      <c r="A394" s="80">
        <f t="shared" si="0"/>
        <v>392</v>
      </c>
      <c r="B394" s="51" t="str">
        <f t="shared" si="1"/>
        <v>MA</v>
      </c>
      <c r="C394" s="51" t="s">
        <v>3208</v>
      </c>
      <c r="D394" s="51" t="s">
        <v>725</v>
      </c>
      <c r="E394" s="51" t="s">
        <v>2533</v>
      </c>
      <c r="F394" s="80"/>
      <c r="G394" s="75">
        <f>4971349185714</f>
        <v>4971349185714</v>
      </c>
      <c r="H394" s="80"/>
      <c r="I394" s="89" t="s">
        <v>3209</v>
      </c>
      <c r="J394" s="51" t="s">
        <v>3210</v>
      </c>
      <c r="K394" s="80"/>
      <c r="L394" s="51" t="s">
        <v>7</v>
      </c>
      <c r="M394" s="79">
        <v>44834</v>
      </c>
      <c r="N394" s="51"/>
      <c r="O394" s="80"/>
      <c r="P394" s="82"/>
      <c r="Q394" s="80"/>
      <c r="R394" s="80"/>
      <c r="S394" s="82"/>
      <c r="T394" s="80"/>
      <c r="U394" s="80"/>
      <c r="V394" s="79"/>
      <c r="W394" s="80"/>
      <c r="X394" s="80"/>
    </row>
    <row r="395" spans="1:24" ht="42" customHeight="1">
      <c r="A395" s="80">
        <f t="shared" si="0"/>
        <v>393</v>
      </c>
      <c r="B395" s="51" t="str">
        <f t="shared" si="1"/>
        <v>MA</v>
      </c>
      <c r="C395" s="51" t="s">
        <v>3211</v>
      </c>
      <c r="D395" s="51" t="s">
        <v>725</v>
      </c>
      <c r="E395" s="51" t="s">
        <v>2533</v>
      </c>
      <c r="F395" s="80"/>
      <c r="G395" s="75">
        <f>49703231452</f>
        <v>49703231452</v>
      </c>
      <c r="H395" s="80"/>
      <c r="I395" s="89" t="s">
        <v>3212</v>
      </c>
      <c r="J395" s="51" t="s">
        <v>3213</v>
      </c>
      <c r="K395" s="80"/>
      <c r="L395" s="51" t="s">
        <v>7</v>
      </c>
      <c r="M395" s="79">
        <v>44834</v>
      </c>
      <c r="N395" s="51"/>
      <c r="O395" s="80"/>
      <c r="P395" s="82"/>
      <c r="Q395" s="80"/>
      <c r="R395" s="80"/>
      <c r="S395" s="82"/>
      <c r="T395" s="80"/>
      <c r="U395" s="80"/>
      <c r="V395" s="79"/>
      <c r="W395" s="80"/>
      <c r="X395" s="80"/>
    </row>
    <row r="396" spans="1:24" ht="42" customHeight="1">
      <c r="A396" s="80">
        <f t="shared" si="0"/>
        <v>394</v>
      </c>
      <c r="B396" s="51" t="str">
        <f t="shared" si="1"/>
        <v>MA</v>
      </c>
      <c r="C396" s="81" t="s">
        <v>3214</v>
      </c>
      <c r="D396" s="51" t="s">
        <v>725</v>
      </c>
      <c r="E396" s="51" t="s">
        <v>2533</v>
      </c>
      <c r="F396" s="80"/>
      <c r="G396" s="75"/>
      <c r="H396" s="80"/>
      <c r="I396" s="89" t="s">
        <v>3215</v>
      </c>
      <c r="J396" s="80"/>
      <c r="K396" s="80"/>
      <c r="L396" s="51" t="s">
        <v>78</v>
      </c>
      <c r="M396" s="79">
        <v>44826</v>
      </c>
      <c r="N396" s="80"/>
      <c r="O396" s="80"/>
      <c r="P396" s="82"/>
      <c r="Q396" s="80"/>
      <c r="R396" s="80"/>
      <c r="S396" s="82"/>
      <c r="T396" s="80"/>
      <c r="U396" s="80"/>
      <c r="V396" s="79"/>
      <c r="W396" s="80"/>
      <c r="X396" s="80"/>
    </row>
    <row r="397" spans="1:24" ht="42" customHeight="1">
      <c r="A397" s="80">
        <f t="shared" si="0"/>
        <v>395</v>
      </c>
      <c r="B397" s="51" t="str">
        <f t="shared" si="1"/>
        <v>MA</v>
      </c>
      <c r="C397" s="51" t="s">
        <v>3216</v>
      </c>
      <c r="D397" s="51" t="s">
        <v>725</v>
      </c>
      <c r="E397" s="51" t="s">
        <v>2533</v>
      </c>
      <c r="F397" s="80"/>
      <c r="G397" s="75">
        <f>49714422400</f>
        <v>49714422400</v>
      </c>
      <c r="H397" s="80"/>
      <c r="I397" s="89" t="s">
        <v>3217</v>
      </c>
      <c r="J397" s="51" t="s">
        <v>3218</v>
      </c>
      <c r="K397" s="80"/>
      <c r="L397" s="51" t="s">
        <v>7</v>
      </c>
      <c r="M397" s="79">
        <v>44834</v>
      </c>
      <c r="N397" s="51"/>
      <c r="O397" s="80"/>
      <c r="P397" s="82"/>
      <c r="Q397" s="80"/>
      <c r="R397" s="80"/>
      <c r="S397" s="82"/>
      <c r="T397" s="80"/>
      <c r="U397" s="80"/>
      <c r="V397" s="79"/>
      <c r="W397" s="80"/>
      <c r="X397" s="80"/>
    </row>
    <row r="398" spans="1:24" ht="42" customHeight="1">
      <c r="A398" s="80">
        <f t="shared" si="0"/>
        <v>396</v>
      </c>
      <c r="B398" s="51" t="str">
        <f t="shared" si="1"/>
        <v>MA</v>
      </c>
      <c r="C398" s="51" t="s">
        <v>3219</v>
      </c>
      <c r="D398" s="51" t="s">
        <v>725</v>
      </c>
      <c r="E398" s="51" t="s">
        <v>2533</v>
      </c>
      <c r="F398" s="80"/>
      <c r="G398" s="75"/>
      <c r="H398" s="80"/>
      <c r="I398" s="129" t="s">
        <v>3220</v>
      </c>
      <c r="J398" s="56" t="s">
        <v>3221</v>
      </c>
      <c r="K398" s="80"/>
      <c r="L398" s="51" t="s">
        <v>7</v>
      </c>
      <c r="M398" s="79">
        <v>44834</v>
      </c>
      <c r="N398" s="51"/>
      <c r="O398" s="80"/>
      <c r="P398" s="82"/>
      <c r="Q398" s="80"/>
      <c r="R398" s="80"/>
      <c r="S398" s="82"/>
      <c r="T398" s="80"/>
      <c r="U398" s="80"/>
      <c r="V398" s="79"/>
      <c r="W398" s="80"/>
      <c r="X398" s="80"/>
    </row>
    <row r="399" spans="1:24" ht="42" customHeight="1">
      <c r="A399" s="80">
        <f t="shared" si="0"/>
        <v>397</v>
      </c>
      <c r="B399" s="51" t="str">
        <f t="shared" si="1"/>
        <v>MA</v>
      </c>
      <c r="C399" s="51" t="s">
        <v>3222</v>
      </c>
      <c r="D399" s="51" t="s">
        <v>725</v>
      </c>
      <c r="E399" s="51" t="s">
        <v>2533</v>
      </c>
      <c r="F399" s="80"/>
      <c r="G399" s="75">
        <f>497041951927</f>
        <v>497041951927</v>
      </c>
      <c r="H399" s="80"/>
      <c r="I399" s="89" t="s">
        <v>3223</v>
      </c>
      <c r="J399" s="51" t="s">
        <v>3224</v>
      </c>
      <c r="K399" s="80"/>
      <c r="L399" s="51" t="s">
        <v>7</v>
      </c>
      <c r="M399" s="79">
        <v>44834</v>
      </c>
      <c r="N399" s="51"/>
      <c r="O399" s="80"/>
      <c r="P399" s="82"/>
      <c r="Q399" s="80"/>
      <c r="R399" s="80"/>
      <c r="S399" s="82"/>
      <c r="T399" s="80"/>
      <c r="U399" s="80"/>
      <c r="V399" s="79"/>
      <c r="W399" s="80"/>
      <c r="X399" s="80"/>
    </row>
    <row r="400" spans="1:24" ht="42" customHeight="1">
      <c r="A400" s="80">
        <f t="shared" si="0"/>
        <v>398</v>
      </c>
      <c r="B400" s="51" t="str">
        <f t="shared" si="1"/>
        <v>MA</v>
      </c>
      <c r="C400" s="51" t="s">
        <v>3225</v>
      </c>
      <c r="D400" s="51" t="s">
        <v>725</v>
      </c>
      <c r="E400" s="51" t="s">
        <v>2533</v>
      </c>
      <c r="F400" s="80"/>
      <c r="G400" s="75">
        <f>49711385800</f>
        <v>49711385800</v>
      </c>
      <c r="H400" s="80"/>
      <c r="I400" s="89" t="s">
        <v>3226</v>
      </c>
      <c r="J400" s="51" t="s">
        <v>3227</v>
      </c>
      <c r="K400" s="80"/>
      <c r="L400" s="51" t="s">
        <v>7</v>
      </c>
      <c r="M400" s="79">
        <v>44834</v>
      </c>
      <c r="N400" s="51"/>
      <c r="O400" s="80"/>
      <c r="P400" s="82"/>
      <c r="Q400" s="80"/>
      <c r="R400" s="80"/>
      <c r="S400" s="82"/>
      <c r="T400" s="80"/>
      <c r="U400" s="80"/>
      <c r="V400" s="79"/>
      <c r="W400" s="80"/>
      <c r="X400" s="80"/>
    </row>
    <row r="401" spans="1:24" ht="42" customHeight="1">
      <c r="A401" s="80">
        <f t="shared" si="0"/>
        <v>399</v>
      </c>
      <c r="B401" s="51" t="str">
        <f t="shared" si="1"/>
        <v>MA</v>
      </c>
      <c r="C401" s="51" t="s">
        <v>3228</v>
      </c>
      <c r="D401" s="51" t="s">
        <v>725</v>
      </c>
      <c r="E401" s="51" t="s">
        <v>2533</v>
      </c>
      <c r="F401" s="80"/>
      <c r="G401" s="75">
        <f>4971645862</f>
        <v>4971645862</v>
      </c>
      <c r="H401" s="80"/>
      <c r="I401" s="89" t="s">
        <v>3229</v>
      </c>
      <c r="J401" s="80"/>
      <c r="K401" s="80"/>
      <c r="L401" s="51" t="s">
        <v>78</v>
      </c>
      <c r="M401" s="79">
        <v>44834</v>
      </c>
      <c r="N401" s="80"/>
      <c r="O401" s="80"/>
      <c r="P401" s="82"/>
      <c r="Q401" s="80"/>
      <c r="R401" s="80"/>
      <c r="S401" s="82"/>
      <c r="T401" s="80"/>
      <c r="U401" s="80"/>
      <c r="V401" s="79"/>
      <c r="W401" s="80"/>
      <c r="X401" s="80"/>
    </row>
    <row r="402" spans="1:24" ht="42" customHeight="1">
      <c r="A402" s="80">
        <f t="shared" si="0"/>
        <v>400</v>
      </c>
      <c r="B402" s="51" t="str">
        <f t="shared" si="1"/>
        <v>MA</v>
      </c>
      <c r="C402" s="51" t="s">
        <v>3230</v>
      </c>
      <c r="D402" s="51" t="s">
        <v>725</v>
      </c>
      <c r="E402" s="51" t="s">
        <v>2533</v>
      </c>
      <c r="F402" s="80"/>
      <c r="G402" s="75">
        <f>4971439617700</f>
        <v>4971439617700</v>
      </c>
      <c r="H402" s="80"/>
      <c r="I402" s="89" t="s">
        <v>3231</v>
      </c>
      <c r="J402" s="51" t="s">
        <v>3232</v>
      </c>
      <c r="K402" s="80"/>
      <c r="L402" s="51" t="s">
        <v>7</v>
      </c>
      <c r="M402" s="79">
        <v>44834</v>
      </c>
      <c r="N402" s="51"/>
      <c r="O402" s="80"/>
      <c r="P402" s="82"/>
      <c r="Q402" s="80"/>
      <c r="R402" s="80"/>
      <c r="S402" s="82"/>
      <c r="T402" s="80"/>
      <c r="U402" s="80"/>
      <c r="V402" s="79"/>
      <c r="W402" s="80"/>
      <c r="X402" s="80"/>
    </row>
    <row r="403" spans="1:24" ht="42" customHeight="1">
      <c r="A403" s="80">
        <f t="shared" si="0"/>
        <v>401</v>
      </c>
      <c r="B403" s="51" t="str">
        <f t="shared" si="1"/>
        <v>MA</v>
      </c>
      <c r="C403" s="51" t="s">
        <v>3233</v>
      </c>
      <c r="D403" s="51" t="s">
        <v>725</v>
      </c>
      <c r="E403" s="51" t="s">
        <v>2533</v>
      </c>
      <c r="F403" s="80"/>
      <c r="G403" s="107">
        <f>497134981240</f>
        <v>497134981240</v>
      </c>
      <c r="H403" s="80"/>
      <c r="I403" s="89" t="s">
        <v>3234</v>
      </c>
      <c r="J403" s="80"/>
      <c r="K403" s="80"/>
      <c r="L403" s="51" t="s">
        <v>78</v>
      </c>
      <c r="M403" s="79">
        <v>44834</v>
      </c>
      <c r="N403" s="80"/>
      <c r="O403" s="80"/>
      <c r="P403" s="82"/>
      <c r="Q403" s="80"/>
      <c r="R403" s="80"/>
      <c r="S403" s="82"/>
      <c r="T403" s="80"/>
      <c r="U403" s="80"/>
      <c r="V403" s="79"/>
      <c r="W403" s="80"/>
      <c r="X403" s="80"/>
    </row>
    <row r="404" spans="1:24" ht="42" customHeight="1">
      <c r="A404" s="80">
        <f t="shared" si="0"/>
        <v>402</v>
      </c>
      <c r="B404" s="51" t="str">
        <f t="shared" si="1"/>
        <v>MA</v>
      </c>
      <c r="C404" s="51" t="s">
        <v>3235</v>
      </c>
      <c r="D404" s="51" t="s">
        <v>725</v>
      </c>
      <c r="E404" s="51" t="s">
        <v>2533</v>
      </c>
      <c r="F404" s="80"/>
      <c r="G404" s="75">
        <f>4974726195</f>
        <v>4974726195</v>
      </c>
      <c r="H404" s="80"/>
      <c r="I404" s="89" t="s">
        <v>3236</v>
      </c>
      <c r="J404" s="51" t="s">
        <v>3237</v>
      </c>
      <c r="K404" s="80"/>
      <c r="L404" s="51" t="s">
        <v>7</v>
      </c>
      <c r="M404" s="79">
        <v>44834</v>
      </c>
      <c r="N404" s="51"/>
      <c r="O404" s="80"/>
      <c r="P404" s="82"/>
      <c r="Q404" s="80"/>
      <c r="R404" s="80"/>
      <c r="S404" s="82"/>
      <c r="T404" s="80"/>
      <c r="U404" s="80"/>
      <c r="V404" s="79"/>
      <c r="W404" s="80"/>
      <c r="X404" s="80"/>
    </row>
    <row r="405" spans="1:24" ht="42" customHeight="1">
      <c r="A405" s="80">
        <f t="shared" si="0"/>
        <v>403</v>
      </c>
      <c r="B405" s="51" t="str">
        <f t="shared" si="1"/>
        <v>MA</v>
      </c>
      <c r="C405" s="85" t="s">
        <v>600</v>
      </c>
      <c r="D405" s="51" t="s">
        <v>370</v>
      </c>
      <c r="E405" s="51" t="s">
        <v>2559</v>
      </c>
      <c r="F405" s="80"/>
      <c r="G405" s="75" t="s">
        <v>602</v>
      </c>
      <c r="H405" s="80"/>
      <c r="I405" s="76"/>
      <c r="J405" s="80"/>
      <c r="K405" s="80"/>
      <c r="L405" s="51" t="s">
        <v>2999</v>
      </c>
      <c r="M405" s="79">
        <v>44834</v>
      </c>
      <c r="N405" s="51"/>
      <c r="O405" s="80"/>
      <c r="P405" s="82"/>
      <c r="Q405" s="80"/>
      <c r="R405" s="80"/>
      <c r="S405" s="82"/>
      <c r="T405" s="80"/>
      <c r="U405" s="80"/>
      <c r="V405" s="79"/>
      <c r="W405" s="80"/>
      <c r="X405" s="80"/>
    </row>
    <row r="406" spans="1:24" ht="42" customHeight="1">
      <c r="A406" s="80">
        <f t="shared" si="0"/>
        <v>404</v>
      </c>
      <c r="B406" s="51" t="str">
        <f t="shared" si="1"/>
        <v>MA</v>
      </c>
      <c r="C406" s="51" t="s">
        <v>3238</v>
      </c>
      <c r="D406" s="51" t="s">
        <v>725</v>
      </c>
      <c r="E406" s="51" t="s">
        <v>2533</v>
      </c>
      <c r="F406" s="80"/>
      <c r="G406" s="75">
        <f>497161811461</f>
        <v>497161811461</v>
      </c>
      <c r="H406" s="80"/>
      <c r="I406" s="89" t="s">
        <v>3239</v>
      </c>
      <c r="J406" s="51" t="s">
        <v>3240</v>
      </c>
      <c r="K406" s="80"/>
      <c r="L406" s="51" t="s">
        <v>7</v>
      </c>
      <c r="M406" s="79">
        <v>44834</v>
      </c>
      <c r="N406" s="51"/>
      <c r="O406" s="80"/>
      <c r="P406" s="82"/>
      <c r="Q406" s="80"/>
      <c r="R406" s="80"/>
      <c r="S406" s="82"/>
      <c r="T406" s="80"/>
      <c r="U406" s="80"/>
      <c r="V406" s="79"/>
      <c r="W406" s="80"/>
      <c r="X406" s="80"/>
    </row>
    <row r="407" spans="1:24" ht="42" customHeight="1">
      <c r="A407" s="80">
        <f t="shared" si="0"/>
        <v>405</v>
      </c>
      <c r="B407" s="51" t="str">
        <f t="shared" si="1"/>
        <v>MA</v>
      </c>
      <c r="C407" s="81" t="s">
        <v>3241</v>
      </c>
      <c r="D407" s="51" t="s">
        <v>725</v>
      </c>
      <c r="E407" s="51" t="s">
        <v>2533</v>
      </c>
      <c r="F407" s="80"/>
      <c r="G407" s="75">
        <f>4970439592502</f>
        <v>4970439592502</v>
      </c>
      <c r="H407" s="80"/>
      <c r="I407" s="76"/>
      <c r="J407" s="80"/>
      <c r="K407" s="80"/>
      <c r="L407" s="51" t="s">
        <v>78</v>
      </c>
      <c r="M407" s="79">
        <v>44900</v>
      </c>
      <c r="N407" s="51" t="s">
        <v>2858</v>
      </c>
      <c r="O407" s="80"/>
      <c r="P407" s="82"/>
      <c r="Q407" s="80"/>
      <c r="R407" s="80"/>
      <c r="S407" s="82"/>
      <c r="T407" s="80"/>
      <c r="U407" s="80"/>
      <c r="V407" s="79"/>
      <c r="W407" s="80"/>
      <c r="X407" s="80"/>
    </row>
    <row r="408" spans="1:24" ht="42" customHeight="1">
      <c r="A408" s="80">
        <f t="shared" si="0"/>
        <v>406</v>
      </c>
      <c r="B408" s="51" t="str">
        <f t="shared" si="1"/>
        <v>MA</v>
      </c>
      <c r="C408" s="51" t="s">
        <v>3242</v>
      </c>
      <c r="D408" s="51" t="s">
        <v>725</v>
      </c>
      <c r="E408" s="51" t="s">
        <v>2533</v>
      </c>
      <c r="F408" s="80"/>
      <c r="G408" s="75">
        <f>4971833030</f>
        <v>4971833030</v>
      </c>
      <c r="H408" s="80"/>
      <c r="I408" s="54" t="s">
        <v>2600</v>
      </c>
      <c r="J408" s="80"/>
      <c r="K408" s="80"/>
      <c r="L408" s="51" t="s">
        <v>7</v>
      </c>
      <c r="M408" s="79">
        <v>44834</v>
      </c>
      <c r="N408" s="51"/>
      <c r="O408" s="80"/>
      <c r="P408" s="82"/>
      <c r="Q408" s="80"/>
      <c r="R408" s="80"/>
      <c r="S408" s="82"/>
      <c r="T408" s="80"/>
      <c r="U408" s="80"/>
      <c r="V408" s="79"/>
      <c r="W408" s="80"/>
      <c r="X408" s="80"/>
    </row>
    <row r="409" spans="1:24" ht="42" customHeight="1">
      <c r="A409" s="80">
        <f t="shared" si="0"/>
        <v>407</v>
      </c>
      <c r="B409" s="51" t="str">
        <f t="shared" si="1"/>
        <v>MA</v>
      </c>
      <c r="C409" s="51" t="s">
        <v>3243</v>
      </c>
      <c r="D409" s="51" t="s">
        <v>725</v>
      </c>
      <c r="E409" s="51" t="s">
        <v>2533</v>
      </c>
      <c r="F409" s="80"/>
      <c r="G409" s="75">
        <f>4971727345</f>
        <v>4971727345</v>
      </c>
      <c r="H409" s="80"/>
      <c r="I409" s="54" t="s">
        <v>3244</v>
      </c>
      <c r="J409" s="80"/>
      <c r="K409" s="80"/>
      <c r="L409" s="51" t="s">
        <v>7</v>
      </c>
      <c r="M409" s="79">
        <v>44834</v>
      </c>
      <c r="N409" s="51"/>
      <c r="O409" s="80"/>
      <c r="P409" s="82"/>
      <c r="Q409" s="80"/>
      <c r="R409" s="80"/>
      <c r="S409" s="82"/>
      <c r="T409" s="80"/>
      <c r="U409" s="80"/>
      <c r="V409" s="79"/>
      <c r="W409" s="80"/>
      <c r="X409" s="80"/>
    </row>
    <row r="410" spans="1:24" ht="42" customHeight="1">
      <c r="A410" s="80">
        <f t="shared" si="0"/>
        <v>408</v>
      </c>
      <c r="B410" s="51" t="str">
        <f t="shared" si="1"/>
        <v>MA</v>
      </c>
      <c r="C410" s="51" t="s">
        <v>3245</v>
      </c>
      <c r="D410" s="51" t="s">
        <v>725</v>
      </c>
      <c r="E410" s="51" t="s">
        <v>2533</v>
      </c>
      <c r="F410" s="80"/>
      <c r="G410" s="75">
        <f>4970537094</f>
        <v>4970537094</v>
      </c>
      <c r="H410" s="80"/>
      <c r="I410" s="76"/>
      <c r="J410" s="80"/>
      <c r="K410" s="80"/>
      <c r="L410" s="51" t="s">
        <v>78</v>
      </c>
      <c r="M410" s="79">
        <v>44834</v>
      </c>
      <c r="N410" s="80"/>
      <c r="O410" s="80"/>
      <c r="P410" s="82"/>
      <c r="Q410" s="80"/>
      <c r="R410" s="80"/>
      <c r="S410" s="82"/>
      <c r="T410" s="80"/>
      <c r="U410" s="80"/>
      <c r="V410" s="79"/>
      <c r="W410" s="80"/>
      <c r="X410" s="80"/>
    </row>
    <row r="411" spans="1:24" ht="42" customHeight="1">
      <c r="A411" s="80">
        <f t="shared" si="0"/>
        <v>409</v>
      </c>
      <c r="B411" s="51" t="str">
        <f t="shared" si="1"/>
        <v>MA</v>
      </c>
      <c r="C411" s="81" t="s">
        <v>3246</v>
      </c>
      <c r="D411" s="80"/>
      <c r="E411" s="126"/>
      <c r="F411" s="80"/>
      <c r="G411" s="75"/>
      <c r="H411" s="80"/>
      <c r="I411" s="54"/>
      <c r="J411" s="80"/>
      <c r="K411" s="80"/>
      <c r="L411" s="80"/>
      <c r="M411" s="79">
        <v>44812</v>
      </c>
      <c r="N411" s="80"/>
      <c r="O411" s="80"/>
      <c r="P411" s="82"/>
      <c r="Q411" s="80"/>
      <c r="R411" s="80"/>
      <c r="S411" s="82"/>
      <c r="T411" s="80"/>
      <c r="U411" s="80"/>
      <c r="V411" s="79"/>
      <c r="W411" s="80"/>
      <c r="X411" s="80"/>
    </row>
    <row r="412" spans="1:24" ht="42" customHeight="1">
      <c r="A412" s="80">
        <f t="shared" si="0"/>
        <v>410</v>
      </c>
      <c r="B412" s="51" t="str">
        <f t="shared" si="1"/>
        <v>MA</v>
      </c>
      <c r="C412" s="51" t="s">
        <v>3247</v>
      </c>
      <c r="D412" s="51" t="s">
        <v>725</v>
      </c>
      <c r="E412" s="111" t="s">
        <v>2533</v>
      </c>
      <c r="F412" s="80"/>
      <c r="G412" s="75">
        <f>49713139097905</f>
        <v>49713139097905</v>
      </c>
      <c r="H412" s="80"/>
      <c r="I412" s="54" t="s">
        <v>3248</v>
      </c>
      <c r="J412" s="80"/>
      <c r="K412" s="80"/>
      <c r="L412" s="51" t="s">
        <v>7</v>
      </c>
      <c r="M412" s="79">
        <v>44834</v>
      </c>
      <c r="N412" s="51"/>
      <c r="O412" s="80"/>
      <c r="P412" s="82"/>
      <c r="Q412" s="80"/>
      <c r="R412" s="80"/>
      <c r="S412" s="82"/>
      <c r="T412" s="80"/>
      <c r="U412" s="80"/>
      <c r="V412" s="79"/>
      <c r="W412" s="80"/>
      <c r="X412" s="80"/>
    </row>
    <row r="413" spans="1:24" ht="42" customHeight="1">
      <c r="A413" s="80">
        <f t="shared" si="0"/>
        <v>411</v>
      </c>
      <c r="B413" s="51" t="str">
        <f t="shared" si="1"/>
        <v>MA</v>
      </c>
      <c r="C413" s="51" t="s">
        <v>3249</v>
      </c>
      <c r="D413" s="51" t="s">
        <v>725</v>
      </c>
      <c r="E413" s="51" t="s">
        <v>2533</v>
      </c>
      <c r="F413" s="80"/>
      <c r="G413" s="75">
        <f>491627723512</f>
        <v>491627723512</v>
      </c>
      <c r="H413" s="80"/>
      <c r="I413" s="54" t="s">
        <v>3250</v>
      </c>
      <c r="J413" s="80"/>
      <c r="K413" s="80"/>
      <c r="L413" s="51" t="s">
        <v>7</v>
      </c>
      <c r="M413" s="79">
        <v>44834</v>
      </c>
      <c r="N413" s="51"/>
      <c r="O413" s="51" t="s">
        <v>78</v>
      </c>
      <c r="P413" s="79">
        <v>44845</v>
      </c>
      <c r="Q413" s="51" t="s">
        <v>2538</v>
      </c>
      <c r="R413" s="80"/>
      <c r="S413" s="82"/>
      <c r="T413" s="80"/>
      <c r="U413" s="80"/>
      <c r="V413" s="79"/>
      <c r="W413" s="80"/>
      <c r="X413" s="80"/>
    </row>
    <row r="414" spans="1:24" ht="42" customHeight="1">
      <c r="A414" s="80">
        <f t="shared" si="0"/>
        <v>412</v>
      </c>
      <c r="B414" s="51" t="str">
        <f t="shared" si="1"/>
        <v>MA</v>
      </c>
      <c r="C414" s="51" t="s">
        <v>3251</v>
      </c>
      <c r="D414" s="51" t="s">
        <v>725</v>
      </c>
      <c r="E414" s="51" t="s">
        <v>2533</v>
      </c>
      <c r="F414" s="80"/>
      <c r="G414" s="75"/>
      <c r="H414" s="80"/>
      <c r="I414" s="76"/>
      <c r="J414" s="80"/>
      <c r="K414" s="80"/>
      <c r="L414" s="51" t="s">
        <v>78</v>
      </c>
      <c r="M414" s="79">
        <v>44845</v>
      </c>
      <c r="N414" s="51"/>
      <c r="O414" s="80"/>
      <c r="P414" s="82"/>
      <c r="Q414" s="80"/>
      <c r="R414" s="80"/>
      <c r="S414" s="82"/>
      <c r="T414" s="80"/>
      <c r="U414" s="80"/>
      <c r="V414" s="79"/>
      <c r="W414" s="80"/>
      <c r="X414" s="80"/>
    </row>
    <row r="415" spans="1:24" ht="42" customHeight="1">
      <c r="A415" s="80">
        <f t="shared" si="0"/>
        <v>413</v>
      </c>
      <c r="B415" s="51" t="str">
        <f t="shared" si="1"/>
        <v>MA</v>
      </c>
      <c r="C415" s="51" t="s">
        <v>3252</v>
      </c>
      <c r="D415" s="51" t="s">
        <v>725</v>
      </c>
      <c r="E415" s="51" t="s">
        <v>2533</v>
      </c>
      <c r="F415" s="80"/>
      <c r="G415" s="75">
        <f>49725571140</f>
        <v>49725571140</v>
      </c>
      <c r="H415" s="80"/>
      <c r="I415" s="54" t="s">
        <v>3253</v>
      </c>
      <c r="J415" s="80"/>
      <c r="K415" s="80"/>
      <c r="L415" s="51" t="s">
        <v>7</v>
      </c>
      <c r="M415" s="79">
        <v>44834</v>
      </c>
      <c r="N415" s="51"/>
      <c r="O415" s="80"/>
      <c r="P415" s="82"/>
      <c r="Q415" s="80"/>
      <c r="R415" s="80"/>
      <c r="S415" s="82"/>
      <c r="T415" s="80"/>
      <c r="U415" s="80"/>
      <c r="V415" s="79"/>
      <c r="W415" s="80"/>
      <c r="X415" s="80"/>
    </row>
    <row r="416" spans="1:24" ht="42" customHeight="1">
      <c r="A416" s="80">
        <f t="shared" si="0"/>
        <v>414</v>
      </c>
      <c r="B416" s="51" t="str">
        <f t="shared" si="1"/>
        <v>MA</v>
      </c>
      <c r="C416" s="51" t="s">
        <v>3254</v>
      </c>
      <c r="D416" s="51" t="s">
        <v>725</v>
      </c>
      <c r="E416" s="51" t="s">
        <v>2533</v>
      </c>
      <c r="F416" s="80"/>
      <c r="G416" s="75">
        <f>4970623886</f>
        <v>4970623886</v>
      </c>
      <c r="H416" s="80"/>
      <c r="I416" s="76"/>
      <c r="J416" s="80"/>
      <c r="K416" s="80"/>
      <c r="L416" s="51" t="s">
        <v>78</v>
      </c>
      <c r="M416" s="79">
        <v>44834</v>
      </c>
      <c r="N416" s="51"/>
      <c r="O416" s="80"/>
      <c r="P416" s="82"/>
      <c r="Q416" s="80"/>
      <c r="R416" s="80"/>
      <c r="S416" s="82"/>
      <c r="T416" s="80"/>
      <c r="U416" s="80"/>
      <c r="V416" s="79"/>
      <c r="W416" s="80"/>
      <c r="X416" s="80"/>
    </row>
    <row r="417" spans="1:24" ht="42" customHeight="1">
      <c r="A417" s="80">
        <f t="shared" si="0"/>
        <v>415</v>
      </c>
      <c r="B417" s="51" t="str">
        <f t="shared" si="1"/>
        <v>MA</v>
      </c>
      <c r="C417" s="51" t="s">
        <v>3255</v>
      </c>
      <c r="D417" s="51" t="s">
        <v>725</v>
      </c>
      <c r="E417" s="51" t="s">
        <v>2533</v>
      </c>
      <c r="F417" s="80"/>
      <c r="G417" s="75">
        <f>49717181574</f>
        <v>49717181574</v>
      </c>
      <c r="H417" s="80"/>
      <c r="I417" s="54" t="s">
        <v>3256</v>
      </c>
      <c r="J417" s="80"/>
      <c r="K417" s="80"/>
      <c r="L417" s="51" t="s">
        <v>7</v>
      </c>
      <c r="M417" s="79">
        <v>44834</v>
      </c>
      <c r="N417" s="51"/>
      <c r="O417" s="80"/>
      <c r="P417" s="82"/>
      <c r="Q417" s="80"/>
      <c r="R417" s="80"/>
      <c r="S417" s="82"/>
      <c r="T417" s="80"/>
      <c r="U417" s="80"/>
      <c r="V417" s="79"/>
      <c r="W417" s="80"/>
      <c r="X417" s="80"/>
    </row>
    <row r="418" spans="1:24" ht="42" customHeight="1">
      <c r="A418" s="80">
        <f t="shared" si="0"/>
        <v>416</v>
      </c>
      <c r="B418" s="51" t="str">
        <f t="shared" si="1"/>
        <v>MA</v>
      </c>
      <c r="C418" s="51" t="s">
        <v>3257</v>
      </c>
      <c r="D418" s="51" t="s">
        <v>725</v>
      </c>
      <c r="E418" s="51" t="s">
        <v>2533</v>
      </c>
      <c r="F418" s="80"/>
      <c r="G418" s="75">
        <f>49712336240</f>
        <v>49712336240</v>
      </c>
      <c r="H418" s="80"/>
      <c r="I418" s="54" t="s">
        <v>3258</v>
      </c>
      <c r="J418" s="80"/>
      <c r="K418" s="80"/>
      <c r="L418" s="51" t="s">
        <v>7</v>
      </c>
      <c r="M418" s="79">
        <v>44834</v>
      </c>
      <c r="N418" s="51"/>
      <c r="O418" s="80"/>
      <c r="P418" s="82"/>
      <c r="Q418" s="80"/>
      <c r="R418" s="80"/>
      <c r="S418" s="82"/>
      <c r="T418" s="80"/>
      <c r="U418" s="80"/>
      <c r="V418" s="79"/>
      <c r="W418" s="80"/>
      <c r="X418" s="80"/>
    </row>
    <row r="419" spans="1:24" ht="42" customHeight="1">
      <c r="A419" s="80">
        <f t="shared" si="0"/>
        <v>417</v>
      </c>
      <c r="B419" s="51" t="str">
        <f t="shared" si="1"/>
        <v>MA</v>
      </c>
      <c r="C419" s="51" t="s">
        <v>3259</v>
      </c>
      <c r="D419" s="51" t="s">
        <v>725</v>
      </c>
      <c r="E419" s="51" t="s">
        <v>2533</v>
      </c>
      <c r="F419" s="80"/>
      <c r="G419" s="75">
        <f>4962216525739</f>
        <v>4962216525739</v>
      </c>
      <c r="H419" s="77" t="s">
        <v>3260</v>
      </c>
      <c r="I419" s="54" t="s">
        <v>3261</v>
      </c>
      <c r="J419" s="80"/>
      <c r="K419" s="80"/>
      <c r="L419" s="51" t="s">
        <v>7</v>
      </c>
      <c r="M419" s="79">
        <v>44834</v>
      </c>
      <c r="N419" s="51"/>
      <c r="O419" s="80"/>
      <c r="P419" s="82"/>
      <c r="Q419" s="80"/>
      <c r="R419" s="80"/>
      <c r="S419" s="82"/>
      <c r="T419" s="80"/>
      <c r="U419" s="80"/>
      <c r="V419" s="79"/>
      <c r="W419" s="80"/>
      <c r="X419" s="80"/>
    </row>
    <row r="420" spans="1:24" ht="42" customHeight="1">
      <c r="A420" s="80">
        <f t="shared" si="0"/>
        <v>418</v>
      </c>
      <c r="B420" s="51" t="str">
        <f t="shared" si="1"/>
        <v>MA</v>
      </c>
      <c r="C420" s="51" t="s">
        <v>3262</v>
      </c>
      <c r="D420" s="51" t="s">
        <v>725</v>
      </c>
      <c r="E420" s="51" t="s">
        <v>2533</v>
      </c>
      <c r="F420" s="80"/>
      <c r="G420" s="75"/>
      <c r="H420" s="80"/>
      <c r="I420" s="54" t="s">
        <v>3262</v>
      </c>
      <c r="J420" s="80"/>
      <c r="K420" s="80"/>
      <c r="L420" s="51" t="s">
        <v>7</v>
      </c>
      <c r="M420" s="79">
        <v>44834</v>
      </c>
      <c r="N420" s="51"/>
      <c r="O420" s="80"/>
      <c r="P420" s="82"/>
      <c r="Q420" s="80"/>
      <c r="R420" s="80"/>
      <c r="S420" s="82"/>
      <c r="T420" s="80"/>
      <c r="U420" s="80"/>
      <c r="V420" s="79"/>
      <c r="W420" s="80"/>
      <c r="X420" s="80"/>
    </row>
    <row r="421" spans="1:24" ht="42" customHeight="1">
      <c r="A421" s="80">
        <f t="shared" si="0"/>
        <v>419</v>
      </c>
      <c r="B421" s="51" t="str">
        <f t="shared" si="1"/>
        <v>MA</v>
      </c>
      <c r="C421" s="51" t="s">
        <v>3263</v>
      </c>
      <c r="D421" s="51" t="s">
        <v>725</v>
      </c>
      <c r="E421" s="51" t="s">
        <v>2533</v>
      </c>
      <c r="F421" s="80"/>
      <c r="G421" s="75">
        <f>496232622633</f>
        <v>496232622633</v>
      </c>
      <c r="H421" s="80"/>
      <c r="I421" s="54" t="s">
        <v>3264</v>
      </c>
      <c r="J421" s="80"/>
      <c r="K421" s="80"/>
      <c r="L421" s="51" t="s">
        <v>7</v>
      </c>
      <c r="M421" s="79">
        <v>44834</v>
      </c>
      <c r="N421" s="51"/>
      <c r="O421" s="80"/>
      <c r="P421" s="82"/>
      <c r="Q421" s="80"/>
      <c r="R421" s="80"/>
      <c r="S421" s="82"/>
      <c r="T421" s="80"/>
      <c r="U421" s="80"/>
      <c r="V421" s="79"/>
      <c r="W421" s="80"/>
      <c r="X421" s="80"/>
    </row>
    <row r="422" spans="1:24" ht="42" customHeight="1">
      <c r="A422" s="80">
        <f t="shared" si="0"/>
        <v>420</v>
      </c>
      <c r="B422" s="51" t="str">
        <f t="shared" si="1"/>
        <v>MA</v>
      </c>
      <c r="C422" s="51" t="s">
        <v>3265</v>
      </c>
      <c r="D422" s="51" t="s">
        <v>2803</v>
      </c>
      <c r="E422" s="51" t="s">
        <v>2533</v>
      </c>
      <c r="F422" s="80"/>
      <c r="G422" s="75" t="s">
        <v>3266</v>
      </c>
      <c r="H422" s="80"/>
      <c r="I422" s="76"/>
      <c r="J422" s="80"/>
      <c r="K422" s="80"/>
      <c r="L422" s="51" t="s">
        <v>78</v>
      </c>
      <c r="M422" s="79">
        <v>44837</v>
      </c>
      <c r="N422" s="51"/>
      <c r="O422" s="80"/>
      <c r="P422" s="82"/>
      <c r="Q422" s="80"/>
      <c r="R422" s="80"/>
      <c r="S422" s="82"/>
      <c r="T422" s="80"/>
      <c r="U422" s="80"/>
      <c r="V422" s="79"/>
      <c r="W422" s="80"/>
      <c r="X422" s="80"/>
    </row>
    <row r="423" spans="1:24" ht="42" customHeight="1">
      <c r="A423" s="80">
        <f t="shared" si="0"/>
        <v>421</v>
      </c>
      <c r="B423" s="51" t="str">
        <f t="shared" si="1"/>
        <v>MA</v>
      </c>
      <c r="C423" s="51" t="s">
        <v>3267</v>
      </c>
      <c r="D423" s="51" t="s">
        <v>2803</v>
      </c>
      <c r="E423" s="51" t="s">
        <v>2533</v>
      </c>
      <c r="F423" s="80"/>
      <c r="G423" s="75" t="s">
        <v>3268</v>
      </c>
      <c r="H423" s="80"/>
      <c r="I423" s="76"/>
      <c r="J423" s="80"/>
      <c r="K423" s="80"/>
      <c r="L423" s="51" t="s">
        <v>78</v>
      </c>
      <c r="M423" s="79">
        <v>44837</v>
      </c>
      <c r="N423" s="51"/>
      <c r="O423" s="80"/>
      <c r="P423" s="82"/>
      <c r="Q423" s="80"/>
      <c r="R423" s="80"/>
      <c r="S423" s="82"/>
      <c r="T423" s="80"/>
      <c r="U423" s="80"/>
      <c r="V423" s="79"/>
      <c r="W423" s="80"/>
      <c r="X423" s="80"/>
    </row>
    <row r="424" spans="1:24" ht="42" customHeight="1">
      <c r="A424" s="80">
        <f t="shared" si="0"/>
        <v>422</v>
      </c>
      <c r="B424" s="51" t="str">
        <f t="shared" si="1"/>
        <v>MA</v>
      </c>
      <c r="C424" s="51" t="s">
        <v>3269</v>
      </c>
      <c r="D424" s="51" t="s">
        <v>2803</v>
      </c>
      <c r="E424" s="51" t="s">
        <v>2533</v>
      </c>
      <c r="F424" s="80"/>
      <c r="G424" s="75" t="s">
        <v>3270</v>
      </c>
      <c r="H424" s="80"/>
      <c r="I424" s="76"/>
      <c r="J424" s="80"/>
      <c r="K424" s="80"/>
      <c r="L424" s="51" t="s">
        <v>78</v>
      </c>
      <c r="M424" s="79">
        <v>44837</v>
      </c>
      <c r="N424" s="51"/>
      <c r="O424" s="80"/>
      <c r="P424" s="82"/>
      <c r="Q424" s="80"/>
      <c r="R424" s="80"/>
      <c r="S424" s="82"/>
      <c r="T424" s="80"/>
      <c r="U424" s="80"/>
      <c r="V424" s="79"/>
      <c r="W424" s="80"/>
      <c r="X424" s="80"/>
    </row>
    <row r="425" spans="1:24" ht="42" customHeight="1">
      <c r="A425" s="80">
        <f t="shared" si="0"/>
        <v>423</v>
      </c>
      <c r="B425" s="51" t="str">
        <f t="shared" si="1"/>
        <v>MA</v>
      </c>
      <c r="C425" s="51" t="s">
        <v>3271</v>
      </c>
      <c r="D425" s="51" t="s">
        <v>2803</v>
      </c>
      <c r="E425" s="51" t="s">
        <v>2533</v>
      </c>
      <c r="F425" s="80"/>
      <c r="G425" s="75" t="s">
        <v>3272</v>
      </c>
      <c r="H425" s="80"/>
      <c r="I425" s="76"/>
      <c r="J425" s="80"/>
      <c r="K425" s="80"/>
      <c r="L425" s="51" t="s">
        <v>78</v>
      </c>
      <c r="M425" s="79">
        <v>44837</v>
      </c>
      <c r="N425" s="51"/>
      <c r="O425" s="80"/>
      <c r="P425" s="82"/>
      <c r="Q425" s="80"/>
      <c r="R425" s="80"/>
      <c r="S425" s="82"/>
      <c r="T425" s="80"/>
      <c r="U425" s="80"/>
      <c r="V425" s="79"/>
      <c r="W425" s="80"/>
      <c r="X425" s="80"/>
    </row>
    <row r="426" spans="1:24" ht="42" customHeight="1">
      <c r="A426" s="80">
        <f t="shared" si="0"/>
        <v>424</v>
      </c>
      <c r="B426" s="51" t="str">
        <f t="shared" si="1"/>
        <v>MA</v>
      </c>
      <c r="C426" s="51" t="s">
        <v>3273</v>
      </c>
      <c r="D426" s="51" t="s">
        <v>2803</v>
      </c>
      <c r="E426" s="51" t="s">
        <v>2533</v>
      </c>
      <c r="F426" s="80"/>
      <c r="G426" s="75"/>
      <c r="H426" s="80"/>
      <c r="I426" s="76"/>
      <c r="J426" s="80"/>
      <c r="K426" s="80"/>
      <c r="L426" s="51" t="s">
        <v>78</v>
      </c>
      <c r="M426" s="79">
        <v>44837</v>
      </c>
      <c r="N426" s="51"/>
      <c r="O426" s="80"/>
      <c r="P426" s="82"/>
      <c r="Q426" s="80"/>
      <c r="R426" s="80"/>
      <c r="S426" s="82"/>
      <c r="T426" s="80"/>
      <c r="U426" s="80"/>
      <c r="V426" s="79"/>
      <c r="W426" s="80"/>
      <c r="X426" s="80"/>
    </row>
    <row r="427" spans="1:24" ht="42" customHeight="1">
      <c r="A427" s="80">
        <f t="shared" si="0"/>
        <v>425</v>
      </c>
      <c r="B427" s="51" t="str">
        <f t="shared" si="1"/>
        <v>MA</v>
      </c>
      <c r="C427" s="51" t="s">
        <v>3274</v>
      </c>
      <c r="D427" s="51" t="s">
        <v>2803</v>
      </c>
      <c r="E427" s="51" t="s">
        <v>2533</v>
      </c>
      <c r="F427" s="80"/>
      <c r="G427" s="75" t="s">
        <v>3275</v>
      </c>
      <c r="H427" s="80"/>
      <c r="I427" s="76"/>
      <c r="J427" s="80"/>
      <c r="K427" s="80"/>
      <c r="L427" s="51" t="s">
        <v>78</v>
      </c>
      <c r="M427" s="79">
        <v>44837</v>
      </c>
      <c r="N427" s="51"/>
      <c r="O427" s="80"/>
      <c r="P427" s="82"/>
      <c r="Q427" s="80"/>
      <c r="R427" s="80"/>
      <c r="S427" s="82"/>
      <c r="T427" s="80"/>
      <c r="U427" s="80"/>
      <c r="V427" s="79"/>
      <c r="W427" s="80"/>
      <c r="X427" s="80"/>
    </row>
    <row r="428" spans="1:24" ht="42" customHeight="1">
      <c r="A428" s="80">
        <f t="shared" si="0"/>
        <v>426</v>
      </c>
      <c r="B428" s="51" t="str">
        <f t="shared" si="1"/>
        <v>MA</v>
      </c>
      <c r="C428" s="51" t="s">
        <v>3276</v>
      </c>
      <c r="D428" s="51" t="s">
        <v>2803</v>
      </c>
      <c r="E428" s="80"/>
      <c r="F428" s="80"/>
      <c r="G428" s="75" t="s">
        <v>3277</v>
      </c>
      <c r="H428" s="80"/>
      <c r="I428" s="76"/>
      <c r="J428" s="80"/>
      <c r="K428" s="80"/>
      <c r="L428" s="51" t="s">
        <v>78</v>
      </c>
      <c r="M428" s="79">
        <v>44837</v>
      </c>
      <c r="N428" s="51"/>
      <c r="O428" s="51" t="s">
        <v>98</v>
      </c>
      <c r="P428" s="79">
        <v>44841</v>
      </c>
      <c r="Q428" s="51" t="s">
        <v>2561</v>
      </c>
      <c r="R428" s="80"/>
      <c r="S428" s="82"/>
      <c r="T428" s="80"/>
      <c r="U428" s="80"/>
      <c r="V428" s="79"/>
      <c r="W428" s="80"/>
      <c r="X428" s="80"/>
    </row>
    <row r="429" spans="1:24" ht="42" customHeight="1">
      <c r="A429" s="80">
        <f t="shared" si="0"/>
        <v>427</v>
      </c>
      <c r="B429" s="51" t="str">
        <f t="shared" si="1"/>
        <v>MA</v>
      </c>
      <c r="C429" s="51" t="s">
        <v>3278</v>
      </c>
      <c r="D429" s="51" t="s">
        <v>2803</v>
      </c>
      <c r="E429" s="51" t="s">
        <v>2533</v>
      </c>
      <c r="F429" s="80"/>
      <c r="G429" s="75" t="s">
        <v>3279</v>
      </c>
      <c r="H429" s="80"/>
      <c r="I429" s="76"/>
      <c r="J429" s="80"/>
      <c r="K429" s="80"/>
      <c r="L429" s="51" t="s">
        <v>78</v>
      </c>
      <c r="M429" s="79">
        <v>44837</v>
      </c>
      <c r="N429" s="51"/>
      <c r="O429" s="80"/>
      <c r="P429" s="82"/>
      <c r="Q429" s="80"/>
      <c r="R429" s="80"/>
      <c r="S429" s="82"/>
      <c r="T429" s="80"/>
      <c r="U429" s="80"/>
      <c r="V429" s="79"/>
      <c r="W429" s="80"/>
      <c r="X429" s="80"/>
    </row>
    <row r="430" spans="1:24" ht="42" customHeight="1">
      <c r="A430" s="80">
        <f t="shared" si="0"/>
        <v>428</v>
      </c>
      <c r="B430" s="51" t="str">
        <f t="shared" si="1"/>
        <v>MA</v>
      </c>
      <c r="C430" s="51" t="s">
        <v>3280</v>
      </c>
      <c r="D430" s="51" t="s">
        <v>2803</v>
      </c>
      <c r="E430" s="51" t="s">
        <v>2533</v>
      </c>
      <c r="F430" s="80"/>
      <c r="G430" s="75" t="s">
        <v>3281</v>
      </c>
      <c r="H430" s="80"/>
      <c r="I430" s="76"/>
      <c r="J430" s="80"/>
      <c r="K430" s="80"/>
      <c r="L430" s="51" t="s">
        <v>78</v>
      </c>
      <c r="M430" s="79">
        <v>44837</v>
      </c>
      <c r="N430" s="51"/>
      <c r="O430" s="80"/>
      <c r="P430" s="82"/>
      <c r="Q430" s="80"/>
      <c r="R430" s="80"/>
      <c r="S430" s="82"/>
      <c r="T430" s="80"/>
      <c r="U430" s="80"/>
      <c r="V430" s="79"/>
      <c r="W430" s="80"/>
      <c r="X430" s="80"/>
    </row>
    <row r="431" spans="1:24" ht="42" customHeight="1">
      <c r="A431" s="80">
        <f t="shared" si="0"/>
        <v>429</v>
      </c>
      <c r="B431" s="51" t="str">
        <f t="shared" si="1"/>
        <v>MA</v>
      </c>
      <c r="C431" s="51" t="s">
        <v>3282</v>
      </c>
      <c r="D431" s="51" t="s">
        <v>3283</v>
      </c>
      <c r="E431" s="51" t="s">
        <v>2533</v>
      </c>
      <c r="F431" s="80"/>
      <c r="G431" s="75" t="s">
        <v>3284</v>
      </c>
      <c r="H431" s="80"/>
      <c r="I431" s="76"/>
      <c r="J431" s="80"/>
      <c r="K431" s="80"/>
      <c r="L431" s="51" t="s">
        <v>7</v>
      </c>
      <c r="M431" s="79">
        <v>44837</v>
      </c>
      <c r="N431" s="51"/>
      <c r="O431" s="80"/>
      <c r="P431" s="82"/>
      <c r="Q431" s="80"/>
      <c r="R431" s="80"/>
      <c r="S431" s="82"/>
      <c r="T431" s="80"/>
      <c r="U431" s="80"/>
      <c r="V431" s="79"/>
      <c r="W431" s="80"/>
      <c r="X431" s="80"/>
    </row>
    <row r="432" spans="1:24" ht="42" customHeight="1">
      <c r="A432" s="80">
        <f t="shared" si="0"/>
        <v>430</v>
      </c>
      <c r="B432" s="51" t="str">
        <f t="shared" si="1"/>
        <v>MA</v>
      </c>
      <c r="C432" s="51" t="s">
        <v>3285</v>
      </c>
      <c r="D432" s="51" t="s">
        <v>725</v>
      </c>
      <c r="E432" s="51" t="s">
        <v>2533</v>
      </c>
      <c r="F432" s="80"/>
      <c r="G432" s="75">
        <f>491721987055</f>
        <v>491721987055</v>
      </c>
      <c r="H432" s="80"/>
      <c r="I432" s="54" t="s">
        <v>3286</v>
      </c>
      <c r="J432" s="77" t="s">
        <v>3287</v>
      </c>
      <c r="K432" s="80"/>
      <c r="L432" s="51" t="s">
        <v>7</v>
      </c>
      <c r="M432" s="79">
        <v>44837</v>
      </c>
      <c r="N432" s="51"/>
      <c r="O432" s="80"/>
      <c r="P432" s="82"/>
      <c r="Q432" s="80"/>
      <c r="R432" s="80"/>
      <c r="S432" s="82"/>
      <c r="T432" s="80"/>
      <c r="U432" s="80"/>
      <c r="V432" s="79"/>
      <c r="W432" s="80"/>
      <c r="X432" s="80"/>
    </row>
    <row r="433" spans="1:24" ht="42" customHeight="1">
      <c r="A433" s="80">
        <f t="shared" si="0"/>
        <v>431</v>
      </c>
      <c r="B433" s="51" t="str">
        <f t="shared" si="1"/>
        <v>MA</v>
      </c>
      <c r="C433" s="51" t="s">
        <v>3288</v>
      </c>
      <c r="D433" s="51" t="s">
        <v>725</v>
      </c>
      <c r="E433" s="51" t="s">
        <v>2533</v>
      </c>
      <c r="F433" s="80"/>
      <c r="G433" s="75">
        <f>498996058067</f>
        <v>498996058067</v>
      </c>
      <c r="H433" s="80"/>
      <c r="I433" s="54" t="s">
        <v>3289</v>
      </c>
      <c r="J433" s="77" t="s">
        <v>3290</v>
      </c>
      <c r="K433" s="80"/>
      <c r="L433" s="51" t="s">
        <v>7</v>
      </c>
      <c r="M433" s="79">
        <v>44837</v>
      </c>
      <c r="N433" s="51"/>
      <c r="O433" s="51" t="s">
        <v>78</v>
      </c>
      <c r="P433" s="79">
        <v>44845</v>
      </c>
      <c r="Q433" s="51" t="s">
        <v>2538</v>
      </c>
      <c r="R433" s="80"/>
      <c r="S433" s="82"/>
      <c r="T433" s="80"/>
      <c r="U433" s="80"/>
      <c r="V433" s="79"/>
      <c r="W433" s="80"/>
      <c r="X433" s="80"/>
    </row>
    <row r="434" spans="1:24" ht="42" customHeight="1">
      <c r="A434" s="80">
        <f t="shared" si="0"/>
        <v>432</v>
      </c>
      <c r="B434" s="51" t="str">
        <f t="shared" si="1"/>
        <v>MA</v>
      </c>
      <c r="C434" s="51" t="s">
        <v>3291</v>
      </c>
      <c r="D434" s="51" t="s">
        <v>725</v>
      </c>
      <c r="E434" s="51" t="s">
        <v>2533</v>
      </c>
      <c r="F434" s="80"/>
      <c r="G434" s="75">
        <f>497944942020</f>
        <v>497944942020</v>
      </c>
      <c r="H434" s="80"/>
      <c r="I434" s="54" t="s">
        <v>3292</v>
      </c>
      <c r="J434" s="77" t="s">
        <v>3293</v>
      </c>
      <c r="K434" s="80"/>
      <c r="L434" s="51" t="s">
        <v>7</v>
      </c>
      <c r="M434" s="79">
        <v>44837</v>
      </c>
      <c r="N434" s="51"/>
      <c r="O434" s="80"/>
      <c r="P434" s="82"/>
      <c r="Q434" s="80"/>
      <c r="R434" s="80"/>
      <c r="S434" s="82"/>
      <c r="T434" s="80"/>
      <c r="U434" s="80"/>
      <c r="V434" s="79"/>
      <c r="W434" s="80"/>
      <c r="X434" s="80"/>
    </row>
    <row r="435" spans="1:24" ht="42" customHeight="1">
      <c r="A435" s="80">
        <f t="shared" si="0"/>
        <v>433</v>
      </c>
      <c r="B435" s="51" t="str">
        <f t="shared" si="1"/>
        <v>MA</v>
      </c>
      <c r="C435" s="51" t="s">
        <v>3294</v>
      </c>
      <c r="D435" s="51" t="s">
        <v>725</v>
      </c>
      <c r="E435" s="51" t="s">
        <v>2533</v>
      </c>
      <c r="F435" s="80"/>
      <c r="G435" s="75">
        <f>496221395560</f>
        <v>496221395560</v>
      </c>
      <c r="H435" s="80"/>
      <c r="I435" s="89" t="s">
        <v>3295</v>
      </c>
      <c r="J435" s="51" t="s">
        <v>3296</v>
      </c>
      <c r="K435" s="80"/>
      <c r="L435" s="51" t="s">
        <v>7</v>
      </c>
      <c r="M435" s="79">
        <v>44837</v>
      </c>
      <c r="N435" s="51"/>
      <c r="O435" s="80"/>
      <c r="P435" s="82"/>
      <c r="Q435" s="80"/>
      <c r="R435" s="80"/>
      <c r="S435" s="82"/>
      <c r="T435" s="80"/>
      <c r="U435" s="80"/>
      <c r="V435" s="79"/>
      <c r="W435" s="80"/>
      <c r="X435" s="80"/>
    </row>
    <row r="436" spans="1:24" ht="42" customHeight="1">
      <c r="A436" s="80">
        <f t="shared" si="0"/>
        <v>434</v>
      </c>
      <c r="B436" s="51" t="str">
        <f t="shared" si="1"/>
        <v>MA</v>
      </c>
      <c r="C436" s="51" t="s">
        <v>3297</v>
      </c>
      <c r="D436" s="51" t="s">
        <v>725</v>
      </c>
      <c r="E436" s="51" t="s">
        <v>2533</v>
      </c>
      <c r="F436" s="80"/>
      <c r="G436" s="75">
        <f>49717171563</f>
        <v>49717171563</v>
      </c>
      <c r="H436" s="80"/>
      <c r="I436" s="89" t="s">
        <v>3298</v>
      </c>
      <c r="J436" s="51" t="s">
        <v>3299</v>
      </c>
      <c r="K436" s="80"/>
      <c r="L436" s="51" t="s">
        <v>7</v>
      </c>
      <c r="M436" s="79">
        <v>44837</v>
      </c>
      <c r="N436" s="51"/>
      <c r="O436" s="80"/>
      <c r="P436" s="82"/>
      <c r="Q436" s="80"/>
      <c r="R436" s="80"/>
      <c r="S436" s="82"/>
      <c r="T436" s="80"/>
      <c r="U436" s="80"/>
      <c r="V436" s="79"/>
      <c r="W436" s="80"/>
      <c r="X436" s="80"/>
    </row>
    <row r="437" spans="1:24" ht="42" customHeight="1">
      <c r="A437" s="80">
        <f t="shared" si="0"/>
        <v>435</v>
      </c>
      <c r="B437" s="51" t="str">
        <f t="shared" si="1"/>
        <v>MA</v>
      </c>
      <c r="C437" s="51" t="s">
        <v>3300</v>
      </c>
      <c r="D437" s="51" t="s">
        <v>725</v>
      </c>
      <c r="E437" s="51" t="s">
        <v>2533</v>
      </c>
      <c r="F437" s="80"/>
      <c r="G437" s="75">
        <f>4974436443</f>
        <v>4974436443</v>
      </c>
      <c r="H437" s="80"/>
      <c r="I437" s="89" t="s">
        <v>3301</v>
      </c>
      <c r="J437" s="51" t="s">
        <v>3302</v>
      </c>
      <c r="K437" s="80"/>
      <c r="L437" s="51" t="s">
        <v>7</v>
      </c>
      <c r="M437" s="79">
        <v>44837</v>
      </c>
      <c r="N437" s="51"/>
      <c r="O437" s="80"/>
      <c r="P437" s="82"/>
      <c r="Q437" s="80"/>
      <c r="R437" s="80"/>
      <c r="S437" s="82"/>
      <c r="T437" s="80"/>
      <c r="U437" s="80"/>
      <c r="V437" s="79"/>
      <c r="W437" s="80"/>
      <c r="X437" s="80"/>
    </row>
    <row r="438" spans="1:24" ht="42" customHeight="1">
      <c r="A438" s="80">
        <f t="shared" si="0"/>
        <v>436</v>
      </c>
      <c r="B438" s="51" t="str">
        <f t="shared" si="1"/>
        <v>MA</v>
      </c>
      <c r="C438" s="81" t="s">
        <v>3303</v>
      </c>
      <c r="D438" s="51" t="s">
        <v>725</v>
      </c>
      <c r="E438" s="51" t="s">
        <v>2533</v>
      </c>
      <c r="F438" s="80"/>
      <c r="G438" s="75">
        <f>4972322258</f>
        <v>4972322258</v>
      </c>
      <c r="H438" s="80"/>
      <c r="I438" s="89" t="s">
        <v>3304</v>
      </c>
      <c r="J438" s="80"/>
      <c r="K438" s="80"/>
      <c r="L438" s="51" t="s">
        <v>78</v>
      </c>
      <c r="M438" s="79">
        <v>44900</v>
      </c>
      <c r="N438" s="51" t="s">
        <v>2699</v>
      </c>
      <c r="O438" s="80"/>
      <c r="P438" s="82"/>
      <c r="Q438" s="80"/>
      <c r="R438" s="80"/>
      <c r="S438" s="82"/>
      <c r="T438" s="80"/>
      <c r="U438" s="80"/>
      <c r="V438" s="79"/>
      <c r="W438" s="80"/>
      <c r="X438" s="80"/>
    </row>
    <row r="439" spans="1:24" ht="42" customHeight="1">
      <c r="A439" s="80">
        <f t="shared" si="0"/>
        <v>437</v>
      </c>
      <c r="B439" s="51" t="str">
        <f t="shared" si="1"/>
        <v>MA</v>
      </c>
      <c r="C439" s="81" t="s">
        <v>3305</v>
      </c>
      <c r="D439" s="51" t="s">
        <v>725</v>
      </c>
      <c r="E439" s="51" t="s">
        <v>2533</v>
      </c>
      <c r="F439" s="80"/>
      <c r="G439" s="75"/>
      <c r="H439" s="80"/>
      <c r="I439" s="76"/>
      <c r="J439" s="80"/>
      <c r="K439" s="80"/>
      <c r="L439" s="80"/>
      <c r="M439" s="79">
        <v>44873</v>
      </c>
      <c r="N439" s="80"/>
      <c r="O439" s="80"/>
      <c r="P439" s="82"/>
      <c r="Q439" s="80"/>
      <c r="R439" s="80"/>
      <c r="S439" s="82"/>
      <c r="T439" s="80"/>
      <c r="U439" s="80"/>
      <c r="V439" s="79"/>
      <c r="W439" s="80"/>
      <c r="X439" s="80"/>
    </row>
    <row r="440" spans="1:24" ht="42" customHeight="1">
      <c r="A440" s="80">
        <f t="shared" si="0"/>
        <v>438</v>
      </c>
      <c r="B440" s="51" t="str">
        <f t="shared" si="1"/>
        <v>MA</v>
      </c>
      <c r="C440" s="81" t="s">
        <v>3306</v>
      </c>
      <c r="D440" s="51" t="s">
        <v>725</v>
      </c>
      <c r="E440" s="51" t="s">
        <v>2533</v>
      </c>
      <c r="F440" s="80"/>
      <c r="G440" s="75">
        <f>4974452394</f>
        <v>4974452394</v>
      </c>
      <c r="H440" s="80"/>
      <c r="I440" s="76"/>
      <c r="J440" s="80"/>
      <c r="K440" s="80"/>
      <c r="L440" s="51" t="s">
        <v>78</v>
      </c>
      <c r="M440" s="79">
        <v>44900</v>
      </c>
      <c r="N440" s="51" t="s">
        <v>2699</v>
      </c>
      <c r="O440" s="80"/>
      <c r="P440" s="82"/>
      <c r="Q440" s="80"/>
      <c r="R440" s="80"/>
      <c r="S440" s="82"/>
      <c r="T440" s="80"/>
      <c r="U440" s="80"/>
      <c r="V440" s="79"/>
      <c r="W440" s="80"/>
      <c r="X440" s="80"/>
    </row>
    <row r="441" spans="1:24" ht="42" customHeight="1">
      <c r="A441" s="80">
        <f t="shared" si="0"/>
        <v>439</v>
      </c>
      <c r="B441" s="51" t="str">
        <f t="shared" si="1"/>
        <v>MA</v>
      </c>
      <c r="C441" s="51" t="s">
        <v>3307</v>
      </c>
      <c r="D441" s="51" t="s">
        <v>725</v>
      </c>
      <c r="E441" s="51" t="s">
        <v>2533</v>
      </c>
      <c r="F441" s="80"/>
      <c r="G441" s="75">
        <f>496266928927</f>
        <v>496266928927</v>
      </c>
      <c r="H441" s="80"/>
      <c r="I441" s="89" t="s">
        <v>3308</v>
      </c>
      <c r="J441" s="51" t="s">
        <v>3309</v>
      </c>
      <c r="K441" s="80"/>
      <c r="L441" s="51" t="s">
        <v>7</v>
      </c>
      <c r="M441" s="79">
        <v>44837</v>
      </c>
      <c r="N441" s="51"/>
      <c r="O441" s="80"/>
      <c r="P441" s="82"/>
      <c r="Q441" s="80"/>
      <c r="R441" s="80"/>
      <c r="S441" s="82"/>
      <c r="T441" s="80"/>
      <c r="U441" s="80"/>
      <c r="V441" s="79"/>
      <c r="W441" s="80"/>
      <c r="X441" s="80"/>
    </row>
    <row r="442" spans="1:24" ht="42" customHeight="1">
      <c r="A442" s="80">
        <f t="shared" si="0"/>
        <v>440</v>
      </c>
      <c r="B442" s="51" t="str">
        <f t="shared" si="1"/>
        <v>MA</v>
      </c>
      <c r="C442" s="81" t="s">
        <v>3310</v>
      </c>
      <c r="D442" s="51" t="s">
        <v>725</v>
      </c>
      <c r="E442" s="51" t="s">
        <v>2533</v>
      </c>
      <c r="F442" s="80"/>
      <c r="G442" s="75">
        <f>491727669656</f>
        <v>491727669656</v>
      </c>
      <c r="H442" s="80"/>
      <c r="I442" s="76"/>
      <c r="J442" s="80"/>
      <c r="K442" s="80"/>
      <c r="L442" s="51" t="s">
        <v>78</v>
      </c>
      <c r="M442" s="79">
        <v>44900</v>
      </c>
      <c r="N442" s="51" t="s">
        <v>2699</v>
      </c>
      <c r="O442" s="80"/>
      <c r="P442" s="82"/>
      <c r="Q442" s="80"/>
      <c r="R442" s="80"/>
      <c r="S442" s="82"/>
      <c r="T442" s="80"/>
      <c r="U442" s="80"/>
      <c r="V442" s="79"/>
      <c r="W442" s="80"/>
      <c r="X442" s="80"/>
    </row>
    <row r="443" spans="1:24" ht="42" customHeight="1">
      <c r="A443" s="80">
        <f t="shared" si="0"/>
        <v>441</v>
      </c>
      <c r="B443" s="51" t="str">
        <f t="shared" si="1"/>
        <v>MA</v>
      </c>
      <c r="C443" s="51" t="s">
        <v>3311</v>
      </c>
      <c r="D443" s="51" t="s">
        <v>725</v>
      </c>
      <c r="E443" s="51" t="s">
        <v>2533</v>
      </c>
      <c r="F443" s="80"/>
      <c r="G443" s="75">
        <f>4971758485</f>
        <v>4971758485</v>
      </c>
      <c r="H443" s="80"/>
      <c r="I443" s="89" t="s">
        <v>3312</v>
      </c>
      <c r="J443" s="51" t="s">
        <v>3313</v>
      </c>
      <c r="K443" s="80"/>
      <c r="L443" s="51" t="s">
        <v>7</v>
      </c>
      <c r="M443" s="79">
        <v>44837</v>
      </c>
      <c r="N443" s="51"/>
      <c r="O443" s="80"/>
      <c r="P443" s="82"/>
      <c r="Q443" s="80"/>
      <c r="R443" s="80"/>
      <c r="S443" s="82"/>
      <c r="T443" s="80"/>
      <c r="U443" s="80"/>
      <c r="V443" s="79"/>
      <c r="W443" s="80"/>
      <c r="X443" s="80"/>
    </row>
    <row r="444" spans="1:24" ht="42" customHeight="1">
      <c r="A444" s="80">
        <f t="shared" si="0"/>
        <v>442</v>
      </c>
      <c r="B444" s="51" t="str">
        <f t="shared" si="1"/>
        <v>MA</v>
      </c>
      <c r="C444" s="51" t="s">
        <v>3314</v>
      </c>
      <c r="D444" s="51" t="s">
        <v>725</v>
      </c>
      <c r="E444" s="51" t="s">
        <v>2533</v>
      </c>
      <c r="F444" s="80"/>
      <c r="G444" s="75">
        <f>4972752369</f>
        <v>4972752369</v>
      </c>
      <c r="H444" s="80"/>
      <c r="I444" s="89" t="s">
        <v>3315</v>
      </c>
      <c r="J444" s="51" t="s">
        <v>3316</v>
      </c>
      <c r="K444" s="80"/>
      <c r="L444" s="51" t="s">
        <v>7</v>
      </c>
      <c r="M444" s="79">
        <v>44837</v>
      </c>
      <c r="N444" s="51"/>
      <c r="O444" s="80"/>
      <c r="P444" s="82"/>
      <c r="Q444" s="80"/>
      <c r="R444" s="80"/>
      <c r="S444" s="82"/>
      <c r="T444" s="80"/>
      <c r="U444" s="80"/>
      <c r="V444" s="79"/>
      <c r="W444" s="80"/>
      <c r="X444" s="80"/>
    </row>
    <row r="445" spans="1:24" ht="42" customHeight="1">
      <c r="A445" s="80">
        <f t="shared" si="0"/>
        <v>443</v>
      </c>
      <c r="B445" s="51" t="str">
        <f t="shared" si="1"/>
        <v>MA</v>
      </c>
      <c r="C445" s="51" t="s">
        <v>3317</v>
      </c>
      <c r="D445" s="51" t="s">
        <v>725</v>
      </c>
      <c r="E445" s="51" t="s">
        <v>2533</v>
      </c>
      <c r="F445" s="80"/>
      <c r="G445" s="75">
        <f>49727698980</f>
        <v>49727698980</v>
      </c>
      <c r="H445" s="80"/>
      <c r="I445" s="89" t="s">
        <v>3318</v>
      </c>
      <c r="J445" s="80"/>
      <c r="K445" s="80"/>
      <c r="L445" s="51" t="s">
        <v>7</v>
      </c>
      <c r="M445" s="79">
        <v>44837</v>
      </c>
      <c r="N445" s="51"/>
      <c r="O445" s="80"/>
      <c r="P445" s="82"/>
      <c r="Q445" s="80"/>
      <c r="R445" s="80"/>
      <c r="S445" s="82"/>
      <c r="T445" s="80"/>
      <c r="U445" s="80"/>
      <c r="V445" s="79"/>
      <c r="W445" s="80"/>
      <c r="X445" s="80"/>
    </row>
    <row r="446" spans="1:24" ht="42" customHeight="1">
      <c r="A446" s="80">
        <f t="shared" si="0"/>
        <v>444</v>
      </c>
      <c r="B446" s="51" t="str">
        <f t="shared" si="1"/>
        <v>MA</v>
      </c>
      <c r="C446" s="51" t="s">
        <v>3319</v>
      </c>
      <c r="D446" s="51" t="s">
        <v>725</v>
      </c>
      <c r="E446" s="51" t="s">
        <v>2533</v>
      </c>
      <c r="F446" s="80"/>
      <c r="G446" s="75">
        <f>497940981800</f>
        <v>497940981800</v>
      </c>
      <c r="H446" s="80"/>
      <c r="I446" s="89" t="s">
        <v>3320</v>
      </c>
      <c r="J446" s="51" t="s">
        <v>3321</v>
      </c>
      <c r="K446" s="80"/>
      <c r="L446" s="51" t="s">
        <v>7</v>
      </c>
      <c r="M446" s="79">
        <v>44837</v>
      </c>
      <c r="N446" s="51"/>
      <c r="O446" s="80"/>
      <c r="P446" s="82"/>
      <c r="Q446" s="80"/>
      <c r="R446" s="80"/>
      <c r="S446" s="82"/>
      <c r="T446" s="80"/>
      <c r="U446" s="80"/>
      <c r="V446" s="79"/>
      <c r="W446" s="80"/>
      <c r="X446" s="80"/>
    </row>
    <row r="447" spans="1:24" ht="42" customHeight="1">
      <c r="A447" s="80">
        <f t="shared" si="0"/>
        <v>445</v>
      </c>
      <c r="B447" s="51" t="str">
        <f t="shared" si="1"/>
        <v>MA</v>
      </c>
      <c r="C447" s="51" t="s">
        <v>3322</v>
      </c>
      <c r="D447" s="51" t="s">
        <v>725</v>
      </c>
      <c r="E447" s="51" t="s">
        <v>2533</v>
      </c>
      <c r="F447" s="80"/>
      <c r="G447" s="75">
        <f>4972557114410</f>
        <v>4972557114410</v>
      </c>
      <c r="H447" s="80"/>
      <c r="I447" s="122" t="s">
        <v>3323</v>
      </c>
      <c r="J447" s="51" t="s">
        <v>3324</v>
      </c>
      <c r="K447" s="80"/>
      <c r="L447" s="51" t="s">
        <v>7</v>
      </c>
      <c r="M447" s="79">
        <v>44837</v>
      </c>
      <c r="N447" s="51"/>
      <c r="O447" s="80"/>
      <c r="P447" s="82"/>
      <c r="Q447" s="80"/>
      <c r="R447" s="80"/>
      <c r="S447" s="82"/>
      <c r="T447" s="80"/>
      <c r="U447" s="80"/>
      <c r="V447" s="79"/>
      <c r="W447" s="80"/>
      <c r="X447" s="80"/>
    </row>
    <row r="448" spans="1:24" ht="42" customHeight="1">
      <c r="A448" s="80">
        <f t="shared" si="0"/>
        <v>446</v>
      </c>
      <c r="B448" s="51" t="str">
        <f t="shared" si="1"/>
        <v>MA</v>
      </c>
      <c r="C448" s="51" t="s">
        <v>3325</v>
      </c>
      <c r="D448" s="51" t="s">
        <v>725</v>
      </c>
      <c r="E448" s="51" t="s">
        <v>2533</v>
      </c>
      <c r="F448" s="80"/>
      <c r="G448" s="75">
        <f>497361527940</f>
        <v>497361527940</v>
      </c>
      <c r="H448" s="80"/>
      <c r="I448" s="89" t="s">
        <v>3326</v>
      </c>
      <c r="J448" s="80"/>
      <c r="K448" s="80"/>
      <c r="L448" s="51" t="s">
        <v>7</v>
      </c>
      <c r="M448" s="79">
        <v>44837</v>
      </c>
      <c r="N448" s="51"/>
      <c r="O448" s="80"/>
      <c r="P448" s="82"/>
      <c r="Q448" s="80"/>
      <c r="R448" s="80"/>
      <c r="S448" s="82"/>
      <c r="T448" s="80"/>
      <c r="U448" s="80"/>
      <c r="V448" s="79"/>
      <c r="W448" s="80"/>
      <c r="X448" s="80"/>
    </row>
    <row r="449" spans="1:24" ht="42" customHeight="1">
      <c r="A449" s="80">
        <f t="shared" si="0"/>
        <v>447</v>
      </c>
      <c r="B449" s="51" t="str">
        <f t="shared" si="1"/>
        <v>MA</v>
      </c>
      <c r="C449" s="51" t="s">
        <v>3327</v>
      </c>
      <c r="D449" s="51" t="s">
        <v>725</v>
      </c>
      <c r="E449" s="51" t="s">
        <v>2533</v>
      </c>
      <c r="F449" s="80"/>
      <c r="G449" s="75">
        <f>49758394150</f>
        <v>49758394150</v>
      </c>
      <c r="H449" s="80"/>
      <c r="I449" s="89" t="s">
        <v>3328</v>
      </c>
      <c r="J449" s="51" t="s">
        <v>3329</v>
      </c>
      <c r="K449" s="80"/>
      <c r="L449" s="51" t="s">
        <v>7</v>
      </c>
      <c r="M449" s="79">
        <v>44837</v>
      </c>
      <c r="N449" s="51"/>
      <c r="O449" s="80"/>
      <c r="P449" s="82"/>
      <c r="Q449" s="80"/>
      <c r="R449" s="80"/>
      <c r="S449" s="82"/>
      <c r="T449" s="80"/>
      <c r="U449" s="80"/>
      <c r="V449" s="79"/>
      <c r="W449" s="80"/>
      <c r="X449" s="80"/>
    </row>
    <row r="450" spans="1:24" ht="42" customHeight="1">
      <c r="A450" s="80">
        <f t="shared" si="0"/>
        <v>448</v>
      </c>
      <c r="B450" s="51" t="str">
        <f t="shared" si="1"/>
        <v>MA</v>
      </c>
      <c r="C450" s="51" t="s">
        <v>3330</v>
      </c>
      <c r="D450" s="51" t="s">
        <v>725</v>
      </c>
      <c r="E450" s="51" t="s">
        <v>2533</v>
      </c>
      <c r="F450" s="80"/>
      <c r="G450" s="75">
        <f>4979678833</f>
        <v>4979678833</v>
      </c>
      <c r="H450" s="80"/>
      <c r="I450" s="89" t="s">
        <v>3331</v>
      </c>
      <c r="J450" s="51" t="s">
        <v>3332</v>
      </c>
      <c r="K450" s="80"/>
      <c r="L450" s="51" t="s">
        <v>7</v>
      </c>
      <c r="M450" s="79">
        <v>44837</v>
      </c>
      <c r="N450" s="51"/>
      <c r="O450" s="80"/>
      <c r="P450" s="82"/>
      <c r="Q450" s="80"/>
      <c r="R450" s="80"/>
      <c r="S450" s="82"/>
      <c r="T450" s="80"/>
      <c r="U450" s="80"/>
      <c r="V450" s="79"/>
      <c r="W450" s="80"/>
      <c r="X450" s="80"/>
    </row>
    <row r="451" spans="1:24" ht="42" customHeight="1">
      <c r="A451" s="80">
        <f t="shared" si="0"/>
        <v>449</v>
      </c>
      <c r="B451" s="51" t="str">
        <f t="shared" si="1"/>
        <v>MA</v>
      </c>
      <c r="C451" s="51" t="s">
        <v>3333</v>
      </c>
      <c r="D451" s="51" t="s">
        <v>725</v>
      </c>
      <c r="E451" s="51" t="s">
        <v>2533</v>
      </c>
      <c r="F451" s="80"/>
      <c r="G451" s="75">
        <f>49632492130</f>
        <v>49632492130</v>
      </c>
      <c r="H451" s="80"/>
      <c r="I451" s="89" t="s">
        <v>3334</v>
      </c>
      <c r="J451" s="51" t="s">
        <v>3335</v>
      </c>
      <c r="K451" s="80"/>
      <c r="L451" s="51" t="s">
        <v>7</v>
      </c>
      <c r="M451" s="79">
        <v>44837</v>
      </c>
      <c r="N451" s="51"/>
      <c r="O451" s="80"/>
      <c r="P451" s="82"/>
      <c r="Q451" s="80"/>
      <c r="R451" s="80"/>
      <c r="S451" s="82"/>
      <c r="T451" s="80"/>
      <c r="U451" s="80"/>
      <c r="V451" s="79"/>
      <c r="W451" s="80"/>
      <c r="X451" s="80"/>
    </row>
    <row r="452" spans="1:24" ht="42" customHeight="1">
      <c r="A452" s="80">
        <f t="shared" si="0"/>
        <v>450</v>
      </c>
      <c r="B452" s="51" t="str">
        <f t="shared" si="1"/>
        <v>MA</v>
      </c>
      <c r="C452" s="51" t="s">
        <v>3336</v>
      </c>
      <c r="D452" s="51" t="s">
        <v>725</v>
      </c>
      <c r="E452" s="51" t="s">
        <v>2533</v>
      </c>
      <c r="F452" s="80"/>
      <c r="G452" s="75">
        <f>4973088150</f>
        <v>4973088150</v>
      </c>
      <c r="H452" s="80"/>
      <c r="I452" s="89" t="s">
        <v>3337</v>
      </c>
      <c r="J452" s="51" t="s">
        <v>3338</v>
      </c>
      <c r="K452" s="80"/>
      <c r="L452" s="51" t="s">
        <v>7</v>
      </c>
      <c r="M452" s="79">
        <v>44837</v>
      </c>
      <c r="N452" s="51"/>
      <c r="O452" s="80"/>
      <c r="P452" s="82"/>
      <c r="Q452" s="80"/>
      <c r="R452" s="80"/>
      <c r="S452" s="82"/>
      <c r="T452" s="80"/>
      <c r="U452" s="80"/>
      <c r="V452" s="79"/>
      <c r="W452" s="80"/>
      <c r="X452" s="80"/>
    </row>
    <row r="453" spans="1:24" ht="42" customHeight="1">
      <c r="A453" s="80">
        <f t="shared" si="0"/>
        <v>451</v>
      </c>
      <c r="B453" s="51" t="str">
        <f t="shared" si="1"/>
        <v>MA</v>
      </c>
      <c r="C453" s="51" t="s">
        <v>3339</v>
      </c>
      <c r="D453" s="51" t="s">
        <v>725</v>
      </c>
      <c r="E453" s="51" t="s">
        <v>2533</v>
      </c>
      <c r="F453" s="80"/>
      <c r="G453" s="75">
        <f>4990745895</f>
        <v>4990745895</v>
      </c>
      <c r="H453" s="80"/>
      <c r="I453" s="89" t="s">
        <v>3340</v>
      </c>
      <c r="J453" s="51" t="s">
        <v>3341</v>
      </c>
      <c r="K453" s="80"/>
      <c r="L453" s="51" t="s">
        <v>7</v>
      </c>
      <c r="M453" s="79">
        <v>44837</v>
      </c>
      <c r="N453" s="51"/>
      <c r="O453" s="80"/>
      <c r="P453" s="82"/>
      <c r="Q453" s="80"/>
      <c r="R453" s="80"/>
      <c r="S453" s="82"/>
      <c r="T453" s="80"/>
      <c r="U453" s="80"/>
      <c r="V453" s="79"/>
      <c r="W453" s="80"/>
      <c r="X453" s="80"/>
    </row>
    <row r="454" spans="1:24" ht="42" customHeight="1">
      <c r="A454" s="80">
        <f t="shared" si="0"/>
        <v>452</v>
      </c>
      <c r="B454" s="51" t="str">
        <f t="shared" si="1"/>
        <v>MA</v>
      </c>
      <c r="C454" s="51" t="s">
        <v>3342</v>
      </c>
      <c r="D454" s="51" t="s">
        <v>725</v>
      </c>
      <c r="E454" s="51" t="s">
        <v>2533</v>
      </c>
      <c r="F454" s="80"/>
      <c r="G454" s="75">
        <f>4982212785912</f>
        <v>4982212785912</v>
      </c>
      <c r="H454" s="80"/>
      <c r="I454" s="89" t="s">
        <v>3343</v>
      </c>
      <c r="J454" s="51" t="s">
        <v>3344</v>
      </c>
      <c r="K454" s="80"/>
      <c r="L454" s="51" t="s">
        <v>7</v>
      </c>
      <c r="M454" s="79">
        <v>44837</v>
      </c>
      <c r="N454" s="51"/>
      <c r="O454" s="80"/>
      <c r="P454" s="82"/>
      <c r="Q454" s="80"/>
      <c r="R454" s="80"/>
      <c r="S454" s="82"/>
      <c r="T454" s="80"/>
      <c r="U454" s="80"/>
      <c r="V454" s="79"/>
      <c r="W454" s="80"/>
      <c r="X454" s="80"/>
    </row>
    <row r="455" spans="1:24" ht="42" customHeight="1">
      <c r="A455" s="80">
        <f t="shared" si="0"/>
        <v>453</v>
      </c>
      <c r="B455" s="51" t="str">
        <f t="shared" si="1"/>
        <v>MA</v>
      </c>
      <c r="C455" s="51" t="s">
        <v>3345</v>
      </c>
      <c r="D455" s="51" t="s">
        <v>725</v>
      </c>
      <c r="E455" s="51" t="s">
        <v>2533</v>
      </c>
      <c r="F455" s="80"/>
      <c r="G455" s="75">
        <f>49766495979</f>
        <v>49766495979</v>
      </c>
      <c r="H455" s="80"/>
      <c r="I455" s="122" t="s">
        <v>3346</v>
      </c>
      <c r="J455" s="51" t="s">
        <v>3347</v>
      </c>
      <c r="K455" s="80"/>
      <c r="L455" s="51" t="s">
        <v>7</v>
      </c>
      <c r="M455" s="79">
        <v>44837</v>
      </c>
      <c r="N455" s="51"/>
      <c r="O455" s="80"/>
      <c r="P455" s="82"/>
      <c r="Q455" s="80"/>
      <c r="R455" s="80"/>
      <c r="S455" s="82"/>
      <c r="T455" s="80"/>
      <c r="U455" s="80"/>
      <c r="V455" s="79"/>
      <c r="W455" s="80"/>
      <c r="X455" s="80"/>
    </row>
    <row r="456" spans="1:24" ht="42" customHeight="1">
      <c r="A456" s="80">
        <f t="shared" si="0"/>
        <v>454</v>
      </c>
      <c r="B456" s="51" t="str">
        <f t="shared" si="1"/>
        <v>MA</v>
      </c>
      <c r="C456" s="51" t="s">
        <v>3348</v>
      </c>
      <c r="D456" s="51" t="s">
        <v>725</v>
      </c>
      <c r="E456" s="51" t="s">
        <v>2533</v>
      </c>
      <c r="F456" s="80"/>
      <c r="G456" s="75">
        <f>49726186295601</f>
        <v>49726186295601</v>
      </c>
      <c r="H456" s="80"/>
      <c r="I456" s="122" t="s">
        <v>3349</v>
      </c>
      <c r="J456" s="51" t="s">
        <v>3350</v>
      </c>
      <c r="K456" s="80"/>
      <c r="L456" s="51" t="s">
        <v>7</v>
      </c>
      <c r="M456" s="79">
        <v>44837</v>
      </c>
      <c r="N456" s="51"/>
      <c r="O456" s="80"/>
      <c r="P456" s="82"/>
      <c r="Q456" s="80"/>
      <c r="R456" s="80"/>
      <c r="S456" s="82"/>
      <c r="T456" s="80"/>
      <c r="U456" s="80"/>
      <c r="V456" s="79"/>
      <c r="W456" s="80"/>
      <c r="X456" s="80"/>
    </row>
    <row r="457" spans="1:24" ht="42" customHeight="1">
      <c r="A457" s="80">
        <f t="shared" si="0"/>
        <v>455</v>
      </c>
      <c r="B457" s="51" t="str">
        <f t="shared" si="1"/>
        <v>MA</v>
      </c>
      <c r="C457" s="51" t="s">
        <v>3351</v>
      </c>
      <c r="D457" s="51" t="s">
        <v>725</v>
      </c>
      <c r="E457" s="51" t="s">
        <v>2533</v>
      </c>
      <c r="F457" s="80"/>
      <c r="G457" s="75">
        <f>4974289452470</f>
        <v>4974289452470</v>
      </c>
      <c r="H457" s="80"/>
      <c r="I457" s="122" t="s">
        <v>3352</v>
      </c>
      <c r="J457" s="51" t="s">
        <v>3353</v>
      </c>
      <c r="K457" s="80"/>
      <c r="L457" s="51" t="s">
        <v>7</v>
      </c>
      <c r="M457" s="79">
        <v>44837</v>
      </c>
      <c r="N457" s="51"/>
      <c r="O457" s="80"/>
      <c r="P457" s="82"/>
      <c r="Q457" s="80"/>
      <c r="R457" s="80"/>
      <c r="S457" s="82"/>
      <c r="T457" s="80"/>
      <c r="U457" s="80"/>
      <c r="V457" s="79"/>
      <c r="W457" s="80"/>
      <c r="X457" s="80"/>
    </row>
    <row r="458" spans="1:24" ht="42" customHeight="1">
      <c r="A458" s="80">
        <f t="shared" si="0"/>
        <v>456</v>
      </c>
      <c r="B458" s="51" t="str">
        <f t="shared" si="1"/>
        <v>MA</v>
      </c>
      <c r="C458" s="51" t="s">
        <v>3354</v>
      </c>
      <c r="D458" s="51" t="s">
        <v>725</v>
      </c>
      <c r="E458" s="51" t="s">
        <v>2533</v>
      </c>
      <c r="F458" s="80"/>
      <c r="G458" s="75">
        <f>4974717040</f>
        <v>4974717040</v>
      </c>
      <c r="H458" s="80"/>
      <c r="I458" s="122" t="s">
        <v>3355</v>
      </c>
      <c r="J458" s="51" t="s">
        <v>3356</v>
      </c>
      <c r="K458" s="80"/>
      <c r="L458" s="51" t="s">
        <v>7</v>
      </c>
      <c r="M458" s="79">
        <v>44837</v>
      </c>
      <c r="N458" s="51"/>
      <c r="O458" s="80"/>
      <c r="P458" s="82"/>
      <c r="Q458" s="80"/>
      <c r="R458" s="80"/>
      <c r="S458" s="82"/>
      <c r="T458" s="80"/>
      <c r="U458" s="80"/>
      <c r="V458" s="79"/>
      <c r="W458" s="80"/>
      <c r="X458" s="80"/>
    </row>
    <row r="459" spans="1:24" ht="42" customHeight="1">
      <c r="A459" s="80">
        <f t="shared" si="0"/>
        <v>457</v>
      </c>
      <c r="B459" s="51" t="str">
        <f t="shared" si="1"/>
        <v>MA</v>
      </c>
      <c r="C459" s="51" t="s">
        <v>3357</v>
      </c>
      <c r="D459" s="51" t="s">
        <v>725</v>
      </c>
      <c r="E459" s="51" t="s">
        <v>2533</v>
      </c>
      <c r="F459" s="80"/>
      <c r="G459" s="75">
        <f>497515619110</f>
        <v>497515619110</v>
      </c>
      <c r="H459" s="80"/>
      <c r="I459" s="122" t="s">
        <v>3358</v>
      </c>
      <c r="J459" s="51" t="s">
        <v>3359</v>
      </c>
      <c r="K459" s="80"/>
      <c r="L459" s="51" t="s">
        <v>7</v>
      </c>
      <c r="M459" s="79">
        <v>44837</v>
      </c>
      <c r="N459" s="51"/>
      <c r="O459" s="80"/>
      <c r="P459" s="82"/>
      <c r="Q459" s="80"/>
      <c r="R459" s="80"/>
      <c r="S459" s="82"/>
      <c r="T459" s="80"/>
      <c r="U459" s="80"/>
      <c r="V459" s="79"/>
      <c r="W459" s="80"/>
      <c r="X459" s="80"/>
    </row>
    <row r="460" spans="1:24" ht="42" customHeight="1">
      <c r="A460" s="80">
        <f t="shared" si="0"/>
        <v>458</v>
      </c>
      <c r="B460" s="51" t="str">
        <f t="shared" si="1"/>
        <v>MA</v>
      </c>
      <c r="C460" s="51" t="s">
        <v>3360</v>
      </c>
      <c r="D460" s="51" t="s">
        <v>725</v>
      </c>
      <c r="E460" s="51" t="s">
        <v>2533</v>
      </c>
      <c r="F460" s="80"/>
      <c r="G460" s="75">
        <f>4990746283</f>
        <v>4990746283</v>
      </c>
      <c r="H460" s="80"/>
      <c r="I460" s="89" t="s">
        <v>3361</v>
      </c>
      <c r="J460" s="51" t="s">
        <v>3362</v>
      </c>
      <c r="K460" s="80"/>
      <c r="L460" s="51" t="s">
        <v>7</v>
      </c>
      <c r="M460" s="79">
        <v>44837</v>
      </c>
      <c r="N460" s="51"/>
      <c r="O460" s="80"/>
      <c r="P460" s="82"/>
      <c r="Q460" s="80"/>
      <c r="R460" s="80"/>
      <c r="S460" s="82"/>
      <c r="T460" s="80"/>
      <c r="U460" s="80"/>
      <c r="V460" s="79"/>
      <c r="W460" s="80"/>
      <c r="X460" s="80"/>
    </row>
    <row r="461" spans="1:24" ht="42" customHeight="1">
      <c r="A461" s="80">
        <f t="shared" si="0"/>
        <v>459</v>
      </c>
      <c r="B461" s="51" t="str">
        <f t="shared" si="1"/>
        <v>MA</v>
      </c>
      <c r="C461" s="51" t="s">
        <v>3363</v>
      </c>
      <c r="D461" s="51" t="s">
        <v>725</v>
      </c>
      <c r="E461" s="51" t="s">
        <v>2533</v>
      </c>
      <c r="F461" s="80"/>
      <c r="G461" s="75">
        <f>491733677714</f>
        <v>491733677714</v>
      </c>
      <c r="H461" s="80"/>
      <c r="I461" s="89" t="s">
        <v>3364</v>
      </c>
      <c r="J461" s="51" t="s">
        <v>3365</v>
      </c>
      <c r="K461" s="80"/>
      <c r="L461" s="51" t="s">
        <v>7</v>
      </c>
      <c r="M461" s="79">
        <v>44837</v>
      </c>
      <c r="N461" s="51"/>
      <c r="O461" s="80"/>
      <c r="P461" s="82"/>
      <c r="Q461" s="80"/>
      <c r="R461" s="80"/>
      <c r="S461" s="82"/>
      <c r="T461" s="80"/>
      <c r="U461" s="80"/>
      <c r="V461" s="79"/>
      <c r="W461" s="80"/>
      <c r="X461" s="80"/>
    </row>
    <row r="462" spans="1:24" ht="42" customHeight="1">
      <c r="A462" s="80">
        <f t="shared" si="0"/>
        <v>460</v>
      </c>
      <c r="B462" s="51" t="str">
        <f t="shared" si="1"/>
        <v>MA</v>
      </c>
      <c r="C462" s="51" t="s">
        <v>3366</v>
      </c>
      <c r="D462" s="51" t="s">
        <v>725</v>
      </c>
      <c r="E462" s="51" t="s">
        <v>2533</v>
      </c>
      <c r="F462" s="80"/>
      <c r="G462" s="75">
        <f>4973479292613</f>
        <v>4973479292613</v>
      </c>
      <c r="H462" s="80"/>
      <c r="I462" s="89" t="s">
        <v>3367</v>
      </c>
      <c r="J462" s="51" t="s">
        <v>3368</v>
      </c>
      <c r="K462" s="80"/>
      <c r="L462" s="51" t="s">
        <v>7</v>
      </c>
      <c r="M462" s="79">
        <v>44837</v>
      </c>
      <c r="N462" s="51"/>
      <c r="O462" s="80"/>
      <c r="P462" s="82"/>
      <c r="Q462" s="80"/>
      <c r="R462" s="80"/>
      <c r="S462" s="82"/>
      <c r="T462" s="80"/>
      <c r="U462" s="80"/>
      <c r="V462" s="79"/>
      <c r="W462" s="80"/>
      <c r="X462" s="80"/>
    </row>
    <row r="463" spans="1:24" ht="42" customHeight="1">
      <c r="A463" s="80">
        <f t="shared" si="0"/>
        <v>461</v>
      </c>
      <c r="B463" s="51" t="str">
        <f t="shared" si="1"/>
        <v>MA</v>
      </c>
      <c r="C463" s="51" t="s">
        <v>3369</v>
      </c>
      <c r="D463" s="51" t="s">
        <v>725</v>
      </c>
      <c r="E463" s="51" t="s">
        <v>2533</v>
      </c>
      <c r="F463" s="80"/>
      <c r="G463" s="75">
        <f>497585934394</f>
        <v>497585934394</v>
      </c>
      <c r="H463" s="80"/>
      <c r="I463" s="89" t="s">
        <v>3370</v>
      </c>
      <c r="J463" s="51" t="s">
        <v>3371</v>
      </c>
      <c r="K463" s="80"/>
      <c r="L463" s="51" t="s">
        <v>7</v>
      </c>
      <c r="M463" s="79">
        <v>44837</v>
      </c>
      <c r="N463" s="51"/>
      <c r="O463" s="80"/>
      <c r="P463" s="82"/>
      <c r="Q463" s="80"/>
      <c r="R463" s="80"/>
      <c r="S463" s="82"/>
      <c r="T463" s="80"/>
      <c r="U463" s="80"/>
      <c r="V463" s="79"/>
      <c r="W463" s="80"/>
      <c r="X463" s="80"/>
    </row>
    <row r="464" spans="1:24" ht="42" customHeight="1">
      <c r="A464" s="80">
        <f t="shared" si="0"/>
        <v>462</v>
      </c>
      <c r="B464" s="51" t="str">
        <f t="shared" si="1"/>
        <v>MA</v>
      </c>
      <c r="C464" s="51" t="s">
        <v>3372</v>
      </c>
      <c r="D464" s="51" t="s">
        <v>725</v>
      </c>
      <c r="E464" s="51" t="s">
        <v>2533</v>
      </c>
      <c r="F464" s="80"/>
      <c r="G464" s="75">
        <f>49755192600</f>
        <v>49755192600</v>
      </c>
      <c r="H464" s="80"/>
      <c r="I464" s="89" t="s">
        <v>3373</v>
      </c>
      <c r="J464" s="51" t="s">
        <v>3374</v>
      </c>
      <c r="K464" s="80"/>
      <c r="L464" s="51" t="s">
        <v>7</v>
      </c>
      <c r="M464" s="79">
        <v>44837</v>
      </c>
      <c r="N464" s="51"/>
      <c r="O464" s="80"/>
      <c r="P464" s="82"/>
      <c r="Q464" s="80"/>
      <c r="R464" s="80"/>
      <c r="S464" s="82"/>
      <c r="T464" s="80"/>
      <c r="U464" s="80"/>
      <c r="V464" s="79"/>
      <c r="W464" s="80"/>
      <c r="X464" s="80"/>
    </row>
    <row r="465" spans="1:24" ht="42" customHeight="1">
      <c r="A465" s="80">
        <f t="shared" si="0"/>
        <v>463</v>
      </c>
      <c r="B465" s="51" t="str">
        <f t="shared" si="1"/>
        <v>MA</v>
      </c>
      <c r="C465" s="51" t="s">
        <v>3375</v>
      </c>
      <c r="D465" s="51" t="s">
        <v>725</v>
      </c>
      <c r="E465" s="51" t="s">
        <v>2533</v>
      </c>
      <c r="F465" s="80"/>
      <c r="G465" s="75">
        <f>494030997850</f>
        <v>494030997850</v>
      </c>
      <c r="H465" s="80"/>
      <c r="I465" s="89" t="s">
        <v>3376</v>
      </c>
      <c r="J465" s="80"/>
      <c r="K465" s="80"/>
      <c r="L465" s="51" t="s">
        <v>7</v>
      </c>
      <c r="M465" s="79">
        <v>44837</v>
      </c>
      <c r="N465" s="51"/>
      <c r="O465" s="80"/>
      <c r="P465" s="82"/>
      <c r="Q465" s="80"/>
      <c r="R465" s="80"/>
      <c r="S465" s="82"/>
      <c r="T465" s="80"/>
      <c r="U465" s="80"/>
      <c r="V465" s="79"/>
      <c r="W465" s="80"/>
      <c r="X465" s="80"/>
    </row>
    <row r="466" spans="1:24" ht="42" customHeight="1">
      <c r="A466" s="80">
        <f t="shared" si="0"/>
        <v>464</v>
      </c>
      <c r="B466" s="51" t="str">
        <f t="shared" si="1"/>
        <v>MA</v>
      </c>
      <c r="C466" s="51" t="s">
        <v>3377</v>
      </c>
      <c r="D466" s="51" t="s">
        <v>725</v>
      </c>
      <c r="E466" s="51" t="s">
        <v>2533</v>
      </c>
      <c r="F466" s="80"/>
      <c r="G466" s="75">
        <f>49402101060</f>
        <v>49402101060</v>
      </c>
      <c r="H466" s="80"/>
      <c r="I466" s="89" t="s">
        <v>3378</v>
      </c>
      <c r="J466" s="51" t="s">
        <v>3379</v>
      </c>
      <c r="K466" s="80"/>
      <c r="L466" s="51" t="s">
        <v>7</v>
      </c>
      <c r="M466" s="79">
        <v>44837</v>
      </c>
      <c r="N466" s="51"/>
      <c r="O466" s="80"/>
      <c r="P466" s="82"/>
      <c r="Q466" s="80"/>
      <c r="R466" s="80"/>
      <c r="S466" s="82"/>
      <c r="T466" s="80"/>
      <c r="U466" s="80"/>
      <c r="V466" s="79"/>
      <c r="W466" s="80"/>
      <c r="X466" s="80"/>
    </row>
    <row r="467" spans="1:24" ht="42" customHeight="1">
      <c r="A467" s="80">
        <f t="shared" si="0"/>
        <v>465</v>
      </c>
      <c r="B467" s="51" t="str">
        <f t="shared" si="1"/>
        <v>MA</v>
      </c>
      <c r="C467" s="51" t="s">
        <v>3380</v>
      </c>
      <c r="D467" s="51" t="s">
        <v>725</v>
      </c>
      <c r="E467" s="51" t="s">
        <v>2533</v>
      </c>
      <c r="F467" s="80"/>
      <c r="G467" s="75">
        <f>494065047315</f>
        <v>494065047315</v>
      </c>
      <c r="H467" s="80"/>
      <c r="I467" s="89" t="s">
        <v>3381</v>
      </c>
      <c r="J467" s="130" t="s">
        <v>3382</v>
      </c>
      <c r="K467" s="80"/>
      <c r="L467" s="51" t="s">
        <v>7</v>
      </c>
      <c r="M467" s="79">
        <v>44837</v>
      </c>
      <c r="N467" s="51"/>
      <c r="O467" s="80"/>
      <c r="P467" s="82"/>
      <c r="Q467" s="80"/>
      <c r="R467" s="80"/>
      <c r="S467" s="82"/>
      <c r="T467" s="80"/>
      <c r="U467" s="80"/>
      <c r="V467" s="79"/>
      <c r="W467" s="80"/>
      <c r="X467" s="80"/>
    </row>
    <row r="468" spans="1:24" ht="42" customHeight="1">
      <c r="A468" s="80">
        <f t="shared" si="0"/>
        <v>466</v>
      </c>
      <c r="B468" s="51" t="str">
        <f t="shared" si="1"/>
        <v>MA</v>
      </c>
      <c r="C468" s="51" t="s">
        <v>3383</v>
      </c>
      <c r="D468" s="51" t="s">
        <v>725</v>
      </c>
      <c r="E468" s="51" t="s">
        <v>2533</v>
      </c>
      <c r="F468" s="80"/>
      <c r="G468" s="75">
        <f>494068998192</f>
        <v>494068998192</v>
      </c>
      <c r="H468" s="80"/>
      <c r="I468" s="89" t="s">
        <v>3384</v>
      </c>
      <c r="J468" s="51" t="s">
        <v>3385</v>
      </c>
      <c r="K468" s="80"/>
      <c r="L468" s="51" t="s">
        <v>7</v>
      </c>
      <c r="M468" s="79">
        <v>44837</v>
      </c>
      <c r="N468" s="51"/>
      <c r="O468" s="80"/>
      <c r="P468" s="82"/>
      <c r="Q468" s="80"/>
      <c r="R468" s="80"/>
      <c r="S468" s="82"/>
      <c r="T468" s="80"/>
      <c r="U468" s="80"/>
      <c r="V468" s="79"/>
      <c r="W468" s="80"/>
      <c r="X468" s="80"/>
    </row>
    <row r="469" spans="1:24" ht="42" customHeight="1">
      <c r="A469" s="80">
        <f t="shared" si="0"/>
        <v>467</v>
      </c>
      <c r="B469" s="51" t="str">
        <f t="shared" si="1"/>
        <v>MA</v>
      </c>
      <c r="C469" s="51" t="s">
        <v>3386</v>
      </c>
      <c r="D469" s="51" t="s">
        <v>725</v>
      </c>
      <c r="E469" s="51" t="s">
        <v>2533</v>
      </c>
      <c r="F469" s="80"/>
      <c r="G469" s="75">
        <f>4940228688400</f>
        <v>4940228688400</v>
      </c>
      <c r="H469" s="80"/>
      <c r="I469" s="89" t="s">
        <v>3387</v>
      </c>
      <c r="J469" s="80"/>
      <c r="K469" s="80"/>
      <c r="L469" s="51" t="s">
        <v>7</v>
      </c>
      <c r="M469" s="79">
        <v>44837</v>
      </c>
      <c r="N469" s="51"/>
      <c r="O469" s="80"/>
      <c r="P469" s="82"/>
      <c r="Q469" s="80"/>
      <c r="R469" s="80"/>
      <c r="S469" s="82"/>
      <c r="T469" s="80"/>
      <c r="U469" s="80"/>
      <c r="V469" s="79"/>
      <c r="W469" s="80"/>
      <c r="X469" s="80"/>
    </row>
    <row r="470" spans="1:24" ht="42" customHeight="1">
      <c r="A470" s="80">
        <f t="shared" si="0"/>
        <v>468</v>
      </c>
      <c r="B470" s="51" t="str">
        <f t="shared" si="1"/>
        <v>MA</v>
      </c>
      <c r="C470" s="51" t="s">
        <v>3388</v>
      </c>
      <c r="D470" s="51" t="s">
        <v>725</v>
      </c>
      <c r="E470" s="51" t="s">
        <v>2533</v>
      </c>
      <c r="F470" s="80"/>
      <c r="G470" s="75">
        <f>4917624269256</f>
        <v>4917624269256</v>
      </c>
      <c r="H470" s="80"/>
      <c r="I470" s="89" t="s">
        <v>3389</v>
      </c>
      <c r="J470" s="51" t="s">
        <v>3390</v>
      </c>
      <c r="K470" s="80"/>
      <c r="L470" s="51" t="s">
        <v>7</v>
      </c>
      <c r="M470" s="79">
        <v>44837</v>
      </c>
      <c r="N470" s="51"/>
      <c r="O470" s="80"/>
      <c r="P470" s="82"/>
      <c r="Q470" s="80"/>
      <c r="R470" s="80"/>
      <c r="S470" s="82"/>
      <c r="T470" s="80"/>
      <c r="U470" s="80"/>
      <c r="V470" s="79"/>
      <c r="W470" s="80"/>
      <c r="X470" s="80"/>
    </row>
    <row r="471" spans="1:24" ht="42" customHeight="1">
      <c r="A471" s="80">
        <f t="shared" si="0"/>
        <v>469</v>
      </c>
      <c r="B471" s="51" t="str">
        <f t="shared" si="1"/>
        <v>MA</v>
      </c>
      <c r="C471" s="51" t="s">
        <v>3391</v>
      </c>
      <c r="D471" s="51" t="s">
        <v>725</v>
      </c>
      <c r="E471" s="51" t="s">
        <v>2533</v>
      </c>
      <c r="F471" s="80"/>
      <c r="G471" s="75">
        <f>4917623619559</f>
        <v>4917623619559</v>
      </c>
      <c r="H471" s="80"/>
      <c r="I471" s="89" t="s">
        <v>3392</v>
      </c>
      <c r="J471" s="51" t="s">
        <v>3393</v>
      </c>
      <c r="K471" s="80"/>
      <c r="L471" s="51" t="s">
        <v>7</v>
      </c>
      <c r="M471" s="79">
        <v>44837</v>
      </c>
      <c r="N471" s="51"/>
      <c r="O471" s="80"/>
      <c r="P471" s="82"/>
      <c r="Q471" s="80"/>
      <c r="R471" s="80"/>
      <c r="S471" s="82"/>
      <c r="T471" s="80"/>
      <c r="U471" s="80"/>
      <c r="V471" s="79"/>
      <c r="W471" s="80"/>
      <c r="X471" s="80"/>
    </row>
    <row r="472" spans="1:24" ht="42" customHeight="1">
      <c r="A472" s="80">
        <f t="shared" si="0"/>
        <v>470</v>
      </c>
      <c r="B472" s="51" t="str">
        <f t="shared" si="1"/>
        <v>MA</v>
      </c>
      <c r="C472" s="51" t="s">
        <v>3394</v>
      </c>
      <c r="D472" s="51" t="s">
        <v>725</v>
      </c>
      <c r="E472" s="51" t="s">
        <v>2533</v>
      </c>
      <c r="F472" s="80"/>
      <c r="G472" s="75">
        <f>494018071895</f>
        <v>494018071895</v>
      </c>
      <c r="H472" s="80"/>
      <c r="I472" s="89" t="s">
        <v>3395</v>
      </c>
      <c r="J472" s="51" t="s">
        <v>3396</v>
      </c>
      <c r="K472" s="80"/>
      <c r="L472" s="51" t="s">
        <v>7</v>
      </c>
      <c r="M472" s="79">
        <v>44837</v>
      </c>
      <c r="N472" s="51"/>
      <c r="O472" s="80"/>
      <c r="P472" s="82"/>
      <c r="Q472" s="80"/>
      <c r="R472" s="80"/>
      <c r="S472" s="82"/>
      <c r="T472" s="80"/>
      <c r="U472" s="80"/>
      <c r="V472" s="79"/>
      <c r="W472" s="80"/>
      <c r="X472" s="80"/>
    </row>
    <row r="473" spans="1:24" ht="42" customHeight="1">
      <c r="A473" s="80">
        <f t="shared" si="0"/>
        <v>471</v>
      </c>
      <c r="B473" s="51" t="str">
        <f t="shared" si="1"/>
        <v>MA</v>
      </c>
      <c r="C473" s="81" t="s">
        <v>3397</v>
      </c>
      <c r="D473" s="51" t="s">
        <v>725</v>
      </c>
      <c r="E473" s="51" t="s">
        <v>2533</v>
      </c>
      <c r="F473" s="80"/>
      <c r="G473" s="75">
        <f>49408006642</f>
        <v>49408006642</v>
      </c>
      <c r="H473" s="80"/>
      <c r="I473" s="76"/>
      <c r="J473" s="80"/>
      <c r="K473" s="80"/>
      <c r="L473" s="51" t="s">
        <v>78</v>
      </c>
      <c r="M473" s="79">
        <v>44900</v>
      </c>
      <c r="N473" s="51" t="s">
        <v>2538</v>
      </c>
      <c r="O473" s="80"/>
      <c r="P473" s="82"/>
      <c r="Q473" s="80"/>
      <c r="R473" s="80"/>
      <c r="S473" s="82"/>
      <c r="T473" s="80"/>
      <c r="U473" s="80"/>
      <c r="V473" s="79"/>
      <c r="W473" s="80"/>
      <c r="X473" s="80"/>
    </row>
    <row r="474" spans="1:24" ht="42" customHeight="1">
      <c r="A474" s="80">
        <f t="shared" si="0"/>
        <v>472</v>
      </c>
      <c r="B474" s="51" t="str">
        <f t="shared" si="1"/>
        <v>MA</v>
      </c>
      <c r="C474" s="51" t="s">
        <v>3398</v>
      </c>
      <c r="D474" s="51" t="s">
        <v>725</v>
      </c>
      <c r="E474" s="51" t="s">
        <v>2533</v>
      </c>
      <c r="F474" s="80"/>
      <c r="G474" s="75">
        <f>494025776890</f>
        <v>494025776890</v>
      </c>
      <c r="H474" s="80"/>
      <c r="I474" s="122" t="s">
        <v>3399</v>
      </c>
      <c r="J474" s="51" t="s">
        <v>3400</v>
      </c>
      <c r="K474" s="80"/>
      <c r="L474" s="51" t="s">
        <v>7</v>
      </c>
      <c r="M474" s="79">
        <v>44837</v>
      </c>
      <c r="N474" s="51"/>
      <c r="O474" s="80"/>
      <c r="P474" s="82"/>
      <c r="Q474" s="80"/>
      <c r="R474" s="80"/>
      <c r="S474" s="82"/>
      <c r="T474" s="80"/>
      <c r="U474" s="80"/>
      <c r="V474" s="79"/>
      <c r="W474" s="80"/>
      <c r="X474" s="80"/>
    </row>
    <row r="475" spans="1:24" ht="42" customHeight="1">
      <c r="A475" s="80">
        <f t="shared" si="0"/>
        <v>473</v>
      </c>
      <c r="B475" s="51" t="str">
        <f t="shared" si="1"/>
        <v>MA</v>
      </c>
      <c r="C475" s="81" t="s">
        <v>3401</v>
      </c>
      <c r="D475" s="51" t="s">
        <v>725</v>
      </c>
      <c r="E475" s="51" t="s">
        <v>2533</v>
      </c>
      <c r="F475" s="80"/>
      <c r="G475" s="75">
        <f>494018127935</f>
        <v>494018127935</v>
      </c>
      <c r="H475" s="80"/>
      <c r="I475" s="76"/>
      <c r="J475" s="80"/>
      <c r="K475" s="80"/>
      <c r="L475" s="51" t="s">
        <v>78</v>
      </c>
      <c r="M475" s="79">
        <v>44900</v>
      </c>
      <c r="N475" s="51" t="s">
        <v>2699</v>
      </c>
      <c r="O475" s="80"/>
      <c r="P475" s="82"/>
      <c r="Q475" s="80"/>
      <c r="R475" s="80"/>
      <c r="S475" s="82"/>
      <c r="T475" s="80"/>
      <c r="U475" s="80"/>
      <c r="V475" s="79"/>
      <c r="W475" s="80"/>
      <c r="X475" s="80"/>
    </row>
    <row r="476" spans="1:24" ht="42" customHeight="1">
      <c r="A476" s="80">
        <f t="shared" si="0"/>
        <v>474</v>
      </c>
      <c r="B476" s="51" t="str">
        <f t="shared" si="1"/>
        <v>MA</v>
      </c>
      <c r="C476" s="51" t="s">
        <v>3402</v>
      </c>
      <c r="D476" s="51" t="s">
        <v>725</v>
      </c>
      <c r="E476" s="51" t="s">
        <v>2533</v>
      </c>
      <c r="F476" s="80"/>
      <c r="G476" s="75">
        <f>491739330830</f>
        <v>491739330830</v>
      </c>
      <c r="H476" s="80"/>
      <c r="I476" s="89" t="s">
        <v>3403</v>
      </c>
      <c r="J476" s="80"/>
      <c r="K476" s="80"/>
      <c r="L476" s="51" t="s">
        <v>78</v>
      </c>
      <c r="M476" s="79">
        <v>44900</v>
      </c>
      <c r="N476" s="51" t="s">
        <v>2538</v>
      </c>
      <c r="O476" s="80"/>
      <c r="P476" s="82"/>
      <c r="Q476" s="80"/>
      <c r="R476" s="80"/>
      <c r="S476" s="82"/>
      <c r="T476" s="80"/>
      <c r="U476" s="80"/>
      <c r="V476" s="79"/>
      <c r="W476" s="80"/>
      <c r="X476" s="80"/>
    </row>
    <row r="477" spans="1:24" ht="42" customHeight="1">
      <c r="A477" s="80">
        <f t="shared" si="0"/>
        <v>475</v>
      </c>
      <c r="B477" s="51" t="str">
        <f t="shared" si="1"/>
        <v>MA</v>
      </c>
      <c r="C477" s="51" t="s">
        <v>3404</v>
      </c>
      <c r="D477" s="51" t="s">
        <v>725</v>
      </c>
      <c r="E477" s="51" t="s">
        <v>2533</v>
      </c>
      <c r="F477" s="80"/>
      <c r="G477" s="75">
        <f>494070973015</f>
        <v>494070973015</v>
      </c>
      <c r="H477" s="80"/>
      <c r="I477" s="89" t="s">
        <v>3405</v>
      </c>
      <c r="J477" s="51" t="s">
        <v>3406</v>
      </c>
      <c r="K477" s="80"/>
      <c r="L477" s="51" t="s">
        <v>7</v>
      </c>
      <c r="M477" s="79">
        <v>44837</v>
      </c>
      <c r="N477" s="51"/>
      <c r="O477" s="80"/>
      <c r="P477" s="82"/>
      <c r="Q477" s="80"/>
      <c r="R477" s="80"/>
      <c r="S477" s="82"/>
      <c r="T477" s="80"/>
      <c r="U477" s="80"/>
      <c r="V477" s="79"/>
      <c r="W477" s="80"/>
      <c r="X477" s="80"/>
    </row>
    <row r="478" spans="1:24" ht="42" customHeight="1">
      <c r="A478" s="80">
        <f t="shared" si="0"/>
        <v>476</v>
      </c>
      <c r="B478" s="51" t="str">
        <f t="shared" si="1"/>
        <v>MA</v>
      </c>
      <c r="C478" s="51" t="s">
        <v>3407</v>
      </c>
      <c r="D478" s="51" t="s">
        <v>725</v>
      </c>
      <c r="E478" s="51" t="s">
        <v>2533</v>
      </c>
      <c r="F478" s="80"/>
      <c r="G478" s="75">
        <f>4915739410694</f>
        <v>4915739410694</v>
      </c>
      <c r="H478" s="80"/>
      <c r="I478" s="89" t="s">
        <v>3408</v>
      </c>
      <c r="J478" s="51" t="s">
        <v>3409</v>
      </c>
      <c r="K478" s="80"/>
      <c r="L478" s="51" t="s">
        <v>7</v>
      </c>
      <c r="M478" s="79">
        <v>44837</v>
      </c>
      <c r="N478" s="51"/>
      <c r="O478" s="80"/>
      <c r="P478" s="82"/>
      <c r="Q478" s="80"/>
      <c r="R478" s="80"/>
      <c r="S478" s="82"/>
      <c r="T478" s="80"/>
      <c r="U478" s="80"/>
      <c r="V478" s="79"/>
      <c r="W478" s="80"/>
      <c r="X478" s="80"/>
    </row>
    <row r="479" spans="1:24" ht="42" customHeight="1">
      <c r="A479" s="80">
        <f t="shared" si="0"/>
        <v>477</v>
      </c>
      <c r="B479" s="51" t="str">
        <f t="shared" si="1"/>
        <v>MA</v>
      </c>
      <c r="C479" s="51" t="s">
        <v>3410</v>
      </c>
      <c r="D479" s="51" t="s">
        <v>725</v>
      </c>
      <c r="E479" s="51" t="s">
        <v>2533</v>
      </c>
      <c r="F479" s="80"/>
      <c r="G479" s="75">
        <f>49407001640</f>
        <v>49407001640</v>
      </c>
      <c r="H479" s="80"/>
      <c r="I479" s="122" t="s">
        <v>3411</v>
      </c>
      <c r="J479" s="51" t="s">
        <v>3412</v>
      </c>
      <c r="K479" s="80"/>
      <c r="L479" s="51" t="s">
        <v>7</v>
      </c>
      <c r="M479" s="79">
        <v>44837</v>
      </c>
      <c r="N479" s="51"/>
      <c r="O479" s="80"/>
      <c r="P479" s="82"/>
      <c r="Q479" s="80"/>
      <c r="R479" s="80"/>
      <c r="S479" s="82"/>
      <c r="T479" s="80"/>
      <c r="U479" s="80"/>
      <c r="V479" s="79"/>
      <c r="W479" s="80"/>
      <c r="X479" s="80"/>
    </row>
    <row r="480" spans="1:24" ht="42" customHeight="1">
      <c r="A480" s="80">
        <f t="shared" si="0"/>
        <v>478</v>
      </c>
      <c r="B480" s="51" t="str">
        <f t="shared" si="1"/>
        <v>MA</v>
      </c>
      <c r="C480" s="51" t="s">
        <v>3413</v>
      </c>
      <c r="D480" s="51" t="s">
        <v>725</v>
      </c>
      <c r="E480" s="51" t="s">
        <v>2533</v>
      </c>
      <c r="F480" s="80"/>
      <c r="G480" s="75">
        <f>4917664991137</f>
        <v>4917664991137</v>
      </c>
      <c r="H480" s="80"/>
      <c r="I480" s="76"/>
      <c r="J480" s="80"/>
      <c r="K480" s="80"/>
      <c r="L480" s="51" t="s">
        <v>78</v>
      </c>
      <c r="M480" s="79">
        <v>44900</v>
      </c>
      <c r="N480" s="51" t="s">
        <v>2538</v>
      </c>
      <c r="O480" s="80"/>
      <c r="P480" s="82"/>
      <c r="Q480" s="80"/>
      <c r="R480" s="80"/>
      <c r="S480" s="82"/>
      <c r="T480" s="80"/>
      <c r="U480" s="80"/>
      <c r="V480" s="79"/>
      <c r="W480" s="80"/>
      <c r="X480" s="80"/>
    </row>
    <row r="481" spans="1:24" ht="42" customHeight="1">
      <c r="A481" s="80">
        <f t="shared" si="0"/>
        <v>479</v>
      </c>
      <c r="B481" s="51" t="str">
        <f t="shared" si="1"/>
        <v>MA</v>
      </c>
      <c r="C481" s="51" t="s">
        <v>3414</v>
      </c>
      <c r="D481" s="51" t="s">
        <v>725</v>
      </c>
      <c r="E481" s="51" t="s">
        <v>2533</v>
      </c>
      <c r="F481" s="80"/>
      <c r="G481" s="75">
        <f>494069083117</f>
        <v>494069083117</v>
      </c>
      <c r="H481" s="80"/>
      <c r="I481" s="89" t="s">
        <v>3415</v>
      </c>
      <c r="J481" s="51" t="s">
        <v>3416</v>
      </c>
      <c r="K481" s="80"/>
      <c r="L481" s="51" t="s">
        <v>7</v>
      </c>
      <c r="M481" s="79">
        <v>44837</v>
      </c>
      <c r="N481" s="51"/>
      <c r="O481" s="80"/>
      <c r="P481" s="82"/>
      <c r="Q481" s="80"/>
      <c r="R481" s="80"/>
      <c r="S481" s="82"/>
      <c r="T481" s="80"/>
      <c r="U481" s="80"/>
      <c r="V481" s="79"/>
      <c r="W481" s="80"/>
      <c r="X481" s="80"/>
    </row>
    <row r="482" spans="1:24" ht="42" customHeight="1">
      <c r="A482" s="80">
        <f t="shared" si="0"/>
        <v>480</v>
      </c>
      <c r="B482" s="51" t="str">
        <f t="shared" si="1"/>
        <v>MA</v>
      </c>
      <c r="C482" s="51" t="s">
        <v>3417</v>
      </c>
      <c r="D482" s="51" t="s">
        <v>725</v>
      </c>
      <c r="E482" s="51" t="s">
        <v>2533</v>
      </c>
      <c r="F482" s="80"/>
      <c r="G482" s="75">
        <f>4941819289120</f>
        <v>4941819289120</v>
      </c>
      <c r="H482" s="80"/>
      <c r="I482" s="122" t="s">
        <v>3418</v>
      </c>
      <c r="J482" s="51" t="s">
        <v>3419</v>
      </c>
      <c r="K482" s="80"/>
      <c r="L482" s="51" t="s">
        <v>7</v>
      </c>
      <c r="M482" s="79">
        <v>44837</v>
      </c>
      <c r="N482" s="51"/>
      <c r="O482" s="80"/>
      <c r="P482" s="82"/>
      <c r="Q482" s="80"/>
      <c r="R482" s="80"/>
      <c r="S482" s="82"/>
      <c r="T482" s="80"/>
      <c r="U482" s="80"/>
      <c r="V482" s="79"/>
      <c r="W482" s="80"/>
      <c r="X482" s="80"/>
    </row>
    <row r="483" spans="1:24" ht="42" customHeight="1">
      <c r="A483" s="80">
        <f t="shared" si="0"/>
        <v>481</v>
      </c>
      <c r="B483" s="51" t="str">
        <f t="shared" si="1"/>
        <v>MA</v>
      </c>
      <c r="C483" s="51" t="s">
        <v>3420</v>
      </c>
      <c r="D483" s="51" t="s">
        <v>725</v>
      </c>
      <c r="E483" s="51" t="s">
        <v>2533</v>
      </c>
      <c r="F483" s="80"/>
      <c r="G483" s="75">
        <f>49406050044</f>
        <v>49406050044</v>
      </c>
      <c r="H483" s="80"/>
      <c r="I483" s="122" t="s">
        <v>3421</v>
      </c>
      <c r="J483" s="51" t="s">
        <v>3422</v>
      </c>
      <c r="K483" s="80"/>
      <c r="L483" s="51" t="s">
        <v>7</v>
      </c>
      <c r="M483" s="79">
        <v>44837</v>
      </c>
      <c r="N483" s="51"/>
      <c r="O483" s="80"/>
      <c r="P483" s="82"/>
      <c r="Q483" s="80"/>
      <c r="R483" s="80"/>
      <c r="S483" s="82"/>
      <c r="T483" s="80"/>
      <c r="U483" s="80"/>
      <c r="V483" s="79"/>
      <c r="W483" s="80"/>
      <c r="X483" s="80"/>
    </row>
    <row r="484" spans="1:24" ht="42" customHeight="1">
      <c r="A484" s="80">
        <f t="shared" si="0"/>
        <v>482</v>
      </c>
      <c r="B484" s="51" t="str">
        <f t="shared" si="1"/>
        <v>MA</v>
      </c>
      <c r="C484" s="51" t="s">
        <v>3423</v>
      </c>
      <c r="D484" s="51" t="s">
        <v>725</v>
      </c>
      <c r="E484" s="51" t="s">
        <v>2533</v>
      </c>
      <c r="F484" s="80"/>
      <c r="G484" s="75" t="s">
        <v>3424</v>
      </c>
      <c r="H484" s="80"/>
      <c r="I484" s="122" t="s">
        <v>3425</v>
      </c>
      <c r="J484" s="51" t="s">
        <v>3426</v>
      </c>
      <c r="K484" s="80"/>
      <c r="L484" s="51" t="s">
        <v>7</v>
      </c>
      <c r="M484" s="79">
        <v>44837</v>
      </c>
      <c r="N484" s="51"/>
      <c r="O484" s="80"/>
      <c r="P484" s="82"/>
      <c r="Q484" s="80"/>
      <c r="R484" s="80"/>
      <c r="S484" s="82"/>
      <c r="T484" s="80"/>
      <c r="U484" s="80"/>
      <c r="V484" s="79"/>
      <c r="W484" s="80"/>
      <c r="X484" s="80"/>
    </row>
    <row r="485" spans="1:24" ht="42" customHeight="1">
      <c r="A485" s="80">
        <f t="shared" si="0"/>
        <v>483</v>
      </c>
      <c r="B485" s="51" t="str">
        <f t="shared" si="1"/>
        <v>MA</v>
      </c>
      <c r="C485" s="51" t="s">
        <v>3427</v>
      </c>
      <c r="D485" s="51" t="s">
        <v>725</v>
      </c>
      <c r="E485" s="51" t="s">
        <v>2533</v>
      </c>
      <c r="F485" s="80"/>
      <c r="G485" s="75">
        <f>494076428507</f>
        <v>494076428507</v>
      </c>
      <c r="H485" s="80"/>
      <c r="I485" s="122" t="s">
        <v>3428</v>
      </c>
      <c r="J485" s="51" t="s">
        <v>3429</v>
      </c>
      <c r="K485" s="80"/>
      <c r="L485" s="51" t="s">
        <v>7</v>
      </c>
      <c r="M485" s="79">
        <v>44837</v>
      </c>
      <c r="N485" s="51"/>
      <c r="O485" s="80"/>
      <c r="P485" s="82"/>
      <c r="Q485" s="80"/>
      <c r="R485" s="80"/>
      <c r="S485" s="82"/>
      <c r="T485" s="80"/>
      <c r="U485" s="80"/>
      <c r="V485" s="79"/>
      <c r="W485" s="80"/>
      <c r="X485" s="80"/>
    </row>
    <row r="486" spans="1:24" ht="42" customHeight="1">
      <c r="A486" s="80">
        <f t="shared" si="0"/>
        <v>484</v>
      </c>
      <c r="B486" s="51" t="str">
        <f t="shared" si="1"/>
        <v>MA</v>
      </c>
      <c r="C486" s="51" t="s">
        <v>3430</v>
      </c>
      <c r="D486" s="51" t="s">
        <v>725</v>
      </c>
      <c r="E486" s="51" t="s">
        <v>2533</v>
      </c>
      <c r="F486" s="80"/>
      <c r="G486" s="75">
        <f>49408329540</f>
        <v>49408329540</v>
      </c>
      <c r="H486" s="80"/>
      <c r="I486" s="89" t="s">
        <v>3431</v>
      </c>
      <c r="J486" s="51" t="s">
        <v>3432</v>
      </c>
      <c r="K486" s="80"/>
      <c r="L486" s="51" t="s">
        <v>7</v>
      </c>
      <c r="M486" s="79">
        <v>44837</v>
      </c>
      <c r="N486" s="51"/>
      <c r="O486" s="80"/>
      <c r="P486" s="82"/>
      <c r="Q486" s="80"/>
      <c r="R486" s="80"/>
      <c r="S486" s="82"/>
      <c r="T486" s="80"/>
      <c r="U486" s="80"/>
      <c r="V486" s="79"/>
      <c r="W486" s="80"/>
      <c r="X486" s="80"/>
    </row>
    <row r="487" spans="1:24" ht="42" customHeight="1">
      <c r="A487" s="80">
        <f t="shared" si="0"/>
        <v>485</v>
      </c>
      <c r="B487" s="51" t="str">
        <f t="shared" si="1"/>
        <v>MA</v>
      </c>
      <c r="C487" s="51" t="s">
        <v>3433</v>
      </c>
      <c r="D487" s="51" t="s">
        <v>725</v>
      </c>
      <c r="E487" s="51" t="s">
        <v>2533</v>
      </c>
      <c r="F487" s="80"/>
      <c r="G487" s="75">
        <f>494067597672</f>
        <v>494067597672</v>
      </c>
      <c r="H487" s="80"/>
      <c r="I487" s="122" t="s">
        <v>3434</v>
      </c>
      <c r="J487" s="51" t="s">
        <v>3435</v>
      </c>
      <c r="K487" s="80"/>
      <c r="L487" s="51" t="s">
        <v>7</v>
      </c>
      <c r="M487" s="79">
        <v>44837</v>
      </c>
      <c r="N487" s="51"/>
      <c r="O487" s="80"/>
      <c r="P487" s="82"/>
      <c r="Q487" s="80"/>
      <c r="R487" s="80"/>
      <c r="S487" s="82"/>
      <c r="T487" s="80"/>
      <c r="U487" s="80"/>
      <c r="V487" s="79"/>
      <c r="W487" s="80"/>
      <c r="X487" s="80"/>
    </row>
    <row r="488" spans="1:24" ht="42" customHeight="1">
      <c r="A488" s="80">
        <f t="shared" si="0"/>
        <v>486</v>
      </c>
      <c r="B488" s="51" t="str">
        <f t="shared" si="1"/>
        <v>MA</v>
      </c>
      <c r="C488" s="81" t="s">
        <v>3436</v>
      </c>
      <c r="D488" s="51" t="s">
        <v>725</v>
      </c>
      <c r="E488" s="51" t="s">
        <v>2533</v>
      </c>
      <c r="F488" s="80"/>
      <c r="G488" s="75">
        <f>49412172025</f>
        <v>49412172025</v>
      </c>
      <c r="H488" s="80"/>
      <c r="I488" s="122" t="s">
        <v>3437</v>
      </c>
      <c r="J488" s="80"/>
      <c r="K488" s="80"/>
      <c r="L488" s="51" t="s">
        <v>78</v>
      </c>
      <c r="M488" s="79">
        <v>44900</v>
      </c>
      <c r="N488" s="51" t="s">
        <v>2699</v>
      </c>
      <c r="O488" s="80"/>
      <c r="P488" s="82"/>
      <c r="Q488" s="80"/>
      <c r="R488" s="80"/>
      <c r="S488" s="82"/>
      <c r="T488" s="80"/>
      <c r="U488" s="80"/>
      <c r="V488" s="79"/>
      <c r="W488" s="80"/>
      <c r="X488" s="80"/>
    </row>
    <row r="489" spans="1:24" ht="42" customHeight="1">
      <c r="A489" s="80">
        <f t="shared" si="0"/>
        <v>487</v>
      </c>
      <c r="B489" s="51" t="str">
        <f t="shared" si="1"/>
        <v>MA</v>
      </c>
      <c r="C489" s="51" t="s">
        <v>3438</v>
      </c>
      <c r="D489" s="51" t="s">
        <v>725</v>
      </c>
      <c r="E489" s="51" t="s">
        <v>2533</v>
      </c>
      <c r="F489" s="80"/>
      <c r="G489" s="75">
        <f>4941938891670</f>
        <v>4941938891670</v>
      </c>
      <c r="H489" s="80"/>
      <c r="I489" s="76">
        <f>4941938891670</f>
        <v>4941938891670</v>
      </c>
      <c r="J489" s="51" t="s">
        <v>3439</v>
      </c>
      <c r="K489" s="80"/>
      <c r="L489" s="51" t="s">
        <v>7</v>
      </c>
      <c r="M489" s="79">
        <v>44837</v>
      </c>
      <c r="N489" s="51"/>
      <c r="O489" s="51" t="s">
        <v>78</v>
      </c>
      <c r="P489" s="79">
        <v>44907</v>
      </c>
      <c r="Q489" s="51" t="s">
        <v>2538</v>
      </c>
      <c r="R489" s="80"/>
      <c r="S489" s="82"/>
      <c r="T489" s="80"/>
      <c r="U489" s="80"/>
      <c r="V489" s="79"/>
      <c r="W489" s="80"/>
      <c r="X489" s="80"/>
    </row>
    <row r="490" spans="1:24" ht="42" customHeight="1">
      <c r="A490" s="80">
        <f t="shared" si="0"/>
        <v>488</v>
      </c>
      <c r="B490" s="51" t="str">
        <f t="shared" si="1"/>
        <v>MA</v>
      </c>
      <c r="C490" s="51" t="s">
        <v>3440</v>
      </c>
      <c r="D490" s="51" t="s">
        <v>725</v>
      </c>
      <c r="E490" s="51" t="s">
        <v>2533</v>
      </c>
      <c r="F490" s="80"/>
      <c r="G490" s="75">
        <f>494033384840</f>
        <v>494033384840</v>
      </c>
      <c r="H490" s="80"/>
      <c r="I490" s="89" t="s">
        <v>3441</v>
      </c>
      <c r="J490" s="51" t="s">
        <v>3442</v>
      </c>
      <c r="K490" s="80"/>
      <c r="L490" s="51" t="s">
        <v>7</v>
      </c>
      <c r="M490" s="79">
        <v>44837</v>
      </c>
      <c r="N490" s="51"/>
      <c r="O490" s="51" t="s">
        <v>78</v>
      </c>
      <c r="P490" s="79">
        <v>44907</v>
      </c>
      <c r="Q490" s="51" t="s">
        <v>2538</v>
      </c>
      <c r="R490" s="80"/>
      <c r="S490" s="82"/>
      <c r="T490" s="80"/>
      <c r="U490" s="80"/>
      <c r="V490" s="79"/>
      <c r="W490" s="80"/>
      <c r="X490" s="80"/>
    </row>
    <row r="491" spans="1:24" ht="42" customHeight="1">
      <c r="A491" s="80">
        <f t="shared" si="0"/>
        <v>489</v>
      </c>
      <c r="B491" s="51" t="str">
        <f t="shared" si="1"/>
        <v>MA</v>
      </c>
      <c r="C491" s="96" t="s">
        <v>3443</v>
      </c>
      <c r="D491" s="51" t="s">
        <v>725</v>
      </c>
      <c r="E491" s="51" t="s">
        <v>2533</v>
      </c>
      <c r="F491" s="80"/>
      <c r="G491" s="75">
        <f>491623000383</f>
        <v>491623000383</v>
      </c>
      <c r="H491" s="80"/>
      <c r="I491" s="89" t="s">
        <v>3444</v>
      </c>
      <c r="J491" s="80"/>
      <c r="K491" s="80"/>
      <c r="L491" s="51" t="s">
        <v>78</v>
      </c>
      <c r="M491" s="79">
        <v>44900</v>
      </c>
      <c r="N491" s="51" t="s">
        <v>2551</v>
      </c>
      <c r="O491" s="51" t="s">
        <v>78</v>
      </c>
      <c r="P491" s="79">
        <v>44907</v>
      </c>
      <c r="Q491" s="51" t="s">
        <v>2538</v>
      </c>
      <c r="R491" s="80"/>
      <c r="S491" s="82"/>
      <c r="T491" s="80"/>
      <c r="U491" s="80"/>
      <c r="V491" s="79"/>
      <c r="W491" s="80"/>
      <c r="X491" s="80"/>
    </row>
    <row r="492" spans="1:24" ht="42" customHeight="1">
      <c r="A492" s="80">
        <f t="shared" si="0"/>
        <v>490</v>
      </c>
      <c r="B492" s="51" t="str">
        <f t="shared" si="1"/>
        <v>MA</v>
      </c>
      <c r="C492" s="51" t="s">
        <v>3445</v>
      </c>
      <c r="D492" s="51" t="s">
        <v>725</v>
      </c>
      <c r="E492" s="51" t="s">
        <v>2533</v>
      </c>
      <c r="F492" s="80"/>
      <c r="G492" s="75">
        <f>4941879003850</f>
        <v>4941879003850</v>
      </c>
      <c r="H492" s="80"/>
      <c r="I492" s="89" t="s">
        <v>3446</v>
      </c>
      <c r="J492" s="51" t="s">
        <v>3447</v>
      </c>
      <c r="K492" s="80"/>
      <c r="L492" s="51" t="s">
        <v>7</v>
      </c>
      <c r="M492" s="79">
        <v>44837</v>
      </c>
      <c r="N492" s="51"/>
      <c r="O492" s="51" t="s">
        <v>78</v>
      </c>
      <c r="P492" s="79">
        <v>44907</v>
      </c>
      <c r="Q492" s="51" t="s">
        <v>2538</v>
      </c>
      <c r="R492" s="80"/>
      <c r="S492" s="82"/>
      <c r="T492" s="80"/>
      <c r="U492" s="80"/>
      <c r="V492" s="79"/>
      <c r="W492" s="80"/>
      <c r="X492" s="80"/>
    </row>
    <row r="493" spans="1:24" ht="42" customHeight="1">
      <c r="A493" s="80">
        <f t="shared" si="0"/>
        <v>491</v>
      </c>
      <c r="B493" s="51" t="str">
        <f t="shared" si="1"/>
        <v>MA</v>
      </c>
      <c r="C493" s="51" t="s">
        <v>3448</v>
      </c>
      <c r="D493" s="51" t="s">
        <v>725</v>
      </c>
      <c r="E493" s="51" t="s">
        <v>2533</v>
      </c>
      <c r="F493" s="80"/>
      <c r="G493" s="75">
        <f>494105869685</f>
        <v>494105869685</v>
      </c>
      <c r="H493" s="80"/>
      <c r="I493" s="122" t="s">
        <v>3449</v>
      </c>
      <c r="J493" s="51" t="s">
        <v>3396</v>
      </c>
      <c r="K493" s="80"/>
      <c r="L493" s="51" t="s">
        <v>7</v>
      </c>
      <c r="M493" s="79">
        <v>44837</v>
      </c>
      <c r="N493" s="51"/>
      <c r="O493" s="51" t="s">
        <v>78</v>
      </c>
      <c r="P493" s="79">
        <v>44907</v>
      </c>
      <c r="Q493" s="51" t="s">
        <v>2538</v>
      </c>
      <c r="R493" s="80"/>
      <c r="S493" s="82"/>
      <c r="T493" s="80"/>
      <c r="U493" s="80"/>
      <c r="V493" s="79"/>
      <c r="W493" s="80"/>
      <c r="X493" s="80"/>
    </row>
    <row r="494" spans="1:24" ht="42" customHeight="1">
      <c r="A494" s="80">
        <f t="shared" si="0"/>
        <v>492</v>
      </c>
      <c r="B494" s="51" t="str">
        <f t="shared" si="1"/>
        <v>MA</v>
      </c>
      <c r="C494" s="51" t="s">
        <v>3450</v>
      </c>
      <c r="D494" s="51" t="s">
        <v>725</v>
      </c>
      <c r="E494" s="51" t="s">
        <v>2533</v>
      </c>
      <c r="F494" s="80"/>
      <c r="G494" s="75">
        <f>49451492013</f>
        <v>49451492013</v>
      </c>
      <c r="H494" s="80"/>
      <c r="I494" s="122" t="s">
        <v>3451</v>
      </c>
      <c r="J494" s="51" t="s">
        <v>3452</v>
      </c>
      <c r="K494" s="80"/>
      <c r="L494" s="51" t="s">
        <v>7</v>
      </c>
      <c r="M494" s="79">
        <v>44837</v>
      </c>
      <c r="N494" s="51"/>
      <c r="O494" s="80"/>
      <c r="P494" s="82"/>
      <c r="Q494" s="80"/>
      <c r="R494" s="80"/>
      <c r="S494" s="82"/>
      <c r="T494" s="80"/>
      <c r="U494" s="80"/>
      <c r="V494" s="79"/>
      <c r="W494" s="80"/>
      <c r="X494" s="80"/>
    </row>
    <row r="495" spans="1:24" ht="42" customHeight="1">
      <c r="A495" s="80">
        <f t="shared" si="0"/>
        <v>493</v>
      </c>
      <c r="B495" s="51" t="str">
        <f t="shared" si="1"/>
        <v>MA</v>
      </c>
      <c r="C495" s="51" t="s">
        <v>3453</v>
      </c>
      <c r="D495" s="51" t="s">
        <v>725</v>
      </c>
      <c r="E495" s="51" t="s">
        <v>2533</v>
      </c>
      <c r="F495" s="80"/>
      <c r="G495" s="75">
        <f>49407320155</f>
        <v>49407320155</v>
      </c>
      <c r="H495" s="80"/>
      <c r="I495" s="122" t="s">
        <v>3454</v>
      </c>
      <c r="J495" s="80"/>
      <c r="K495" s="80"/>
      <c r="L495" s="51" t="s">
        <v>7</v>
      </c>
      <c r="M495" s="79">
        <v>44837</v>
      </c>
      <c r="N495" s="51"/>
      <c r="O495" s="80"/>
      <c r="P495" s="82"/>
      <c r="Q495" s="80"/>
      <c r="R495" s="80"/>
      <c r="S495" s="82"/>
      <c r="T495" s="80"/>
      <c r="U495" s="80"/>
      <c r="V495" s="79"/>
      <c r="W495" s="80"/>
      <c r="X495" s="80"/>
    </row>
    <row r="496" spans="1:24" ht="42" customHeight="1">
      <c r="A496" s="80">
        <f t="shared" si="0"/>
        <v>494</v>
      </c>
      <c r="B496" s="51" t="str">
        <f t="shared" si="1"/>
        <v>MA</v>
      </c>
      <c r="C496" s="51" t="s">
        <v>3455</v>
      </c>
      <c r="D496" s="51" t="s">
        <v>725</v>
      </c>
      <c r="E496" s="51" t="s">
        <v>2533</v>
      </c>
      <c r="F496" s="80"/>
      <c r="G496" s="75">
        <f>49413136311</f>
        <v>49413136311</v>
      </c>
      <c r="H496" s="80"/>
      <c r="I496" s="122" t="s">
        <v>3456</v>
      </c>
      <c r="J496" s="80"/>
      <c r="K496" s="80"/>
      <c r="L496" s="51" t="s">
        <v>78</v>
      </c>
      <c r="M496" s="79">
        <v>44837</v>
      </c>
      <c r="N496" s="80"/>
      <c r="O496" s="80"/>
      <c r="P496" s="82"/>
      <c r="Q496" s="80"/>
      <c r="R496" s="80"/>
      <c r="S496" s="82"/>
      <c r="T496" s="80"/>
      <c r="U496" s="80"/>
      <c r="V496" s="79"/>
      <c r="W496" s="80"/>
      <c r="X496" s="80"/>
    </row>
    <row r="497" spans="1:24" ht="42" customHeight="1">
      <c r="A497" s="80">
        <f t="shared" si="0"/>
        <v>495</v>
      </c>
      <c r="B497" s="51" t="str">
        <f t="shared" si="1"/>
        <v>MA</v>
      </c>
      <c r="C497" s="51" t="s">
        <v>3457</v>
      </c>
      <c r="D497" s="51" t="s">
        <v>725</v>
      </c>
      <c r="E497" s="51" t="s">
        <v>2533</v>
      </c>
      <c r="F497" s="80"/>
      <c r="G497" s="75">
        <f>491749601424</f>
        <v>491749601424</v>
      </c>
      <c r="H497" s="80"/>
      <c r="I497" s="89" t="s">
        <v>3458</v>
      </c>
      <c r="J497" s="51" t="s">
        <v>3459</v>
      </c>
      <c r="K497" s="80"/>
      <c r="L497" s="51" t="s">
        <v>7</v>
      </c>
      <c r="M497" s="79">
        <v>44837</v>
      </c>
      <c r="N497" s="51"/>
      <c r="O497" s="80"/>
      <c r="P497" s="82"/>
      <c r="Q497" s="80"/>
      <c r="R497" s="80"/>
      <c r="S497" s="82"/>
      <c r="T497" s="80"/>
      <c r="U497" s="80"/>
      <c r="V497" s="79"/>
      <c r="W497" s="80"/>
      <c r="X497" s="80"/>
    </row>
    <row r="498" spans="1:24" ht="42" customHeight="1">
      <c r="A498" s="80">
        <f t="shared" si="0"/>
        <v>496</v>
      </c>
      <c r="B498" s="51" t="str">
        <f t="shared" si="1"/>
        <v>MA</v>
      </c>
      <c r="C498" s="51" t="s">
        <v>3460</v>
      </c>
      <c r="D498" s="51" t="s">
        <v>725</v>
      </c>
      <c r="E498" s="51" t="s">
        <v>2533</v>
      </c>
      <c r="F498" s="80"/>
      <c r="G498" s="75">
        <f>4941936392</f>
        <v>4941936392</v>
      </c>
      <c r="H498" s="80"/>
      <c r="I498" s="122" t="s">
        <v>3461</v>
      </c>
      <c r="J498" s="51" t="s">
        <v>3462</v>
      </c>
      <c r="K498" s="80"/>
      <c r="L498" s="51" t="s">
        <v>7</v>
      </c>
      <c r="M498" s="79">
        <v>44837</v>
      </c>
      <c r="N498" s="51"/>
      <c r="O498" s="80"/>
      <c r="P498" s="82"/>
      <c r="Q498" s="80"/>
      <c r="R498" s="80"/>
      <c r="S498" s="82"/>
      <c r="T498" s="80"/>
      <c r="U498" s="80"/>
      <c r="V498" s="79"/>
      <c r="W498" s="80"/>
      <c r="X498" s="80"/>
    </row>
    <row r="499" spans="1:24" ht="42" customHeight="1">
      <c r="A499" s="80">
        <f t="shared" si="0"/>
        <v>497</v>
      </c>
      <c r="B499" s="51" t="str">
        <f t="shared" si="1"/>
        <v>MA</v>
      </c>
      <c r="C499" s="51" t="s">
        <v>3463</v>
      </c>
      <c r="D499" s="51" t="s">
        <v>725</v>
      </c>
      <c r="E499" s="51" t="s">
        <v>2533</v>
      </c>
      <c r="F499" s="80"/>
      <c r="G499" s="75">
        <f>494131203996</f>
        <v>494131203996</v>
      </c>
      <c r="H499" s="80"/>
      <c r="I499" s="89" t="s">
        <v>3464</v>
      </c>
      <c r="J499" s="51" t="s">
        <v>3465</v>
      </c>
      <c r="K499" s="80"/>
      <c r="L499" s="51" t="s">
        <v>7</v>
      </c>
      <c r="M499" s="79">
        <v>44837</v>
      </c>
      <c r="N499" s="51"/>
      <c r="O499" s="80"/>
      <c r="P499" s="82"/>
      <c r="Q499" s="80"/>
      <c r="R499" s="80"/>
      <c r="S499" s="82"/>
      <c r="T499" s="80"/>
      <c r="U499" s="80"/>
      <c r="V499" s="79"/>
      <c r="W499" s="80"/>
      <c r="X499" s="80"/>
    </row>
    <row r="500" spans="1:24" ht="42" customHeight="1">
      <c r="A500" s="80">
        <f t="shared" si="0"/>
        <v>498</v>
      </c>
      <c r="B500" s="51" t="str">
        <f t="shared" si="1"/>
        <v>MA</v>
      </c>
      <c r="C500" s="51" t="s">
        <v>3466</v>
      </c>
      <c r="D500" s="51" t="s">
        <v>725</v>
      </c>
      <c r="E500" s="51" t="s">
        <v>2533</v>
      </c>
      <c r="F500" s="80"/>
      <c r="G500" s="75">
        <f>49407347710</f>
        <v>49407347710</v>
      </c>
      <c r="H500" s="80"/>
      <c r="I500" s="89" t="s">
        <v>3467</v>
      </c>
      <c r="J500" s="51" t="s">
        <v>3468</v>
      </c>
      <c r="K500" s="80"/>
      <c r="L500" s="51" t="s">
        <v>7</v>
      </c>
      <c r="M500" s="79">
        <v>44837</v>
      </c>
      <c r="N500" s="51"/>
      <c r="O500" s="80"/>
      <c r="P500" s="82"/>
      <c r="Q500" s="80"/>
      <c r="R500" s="80"/>
      <c r="S500" s="82"/>
      <c r="T500" s="80"/>
      <c r="U500" s="80"/>
      <c r="V500" s="79"/>
      <c r="W500" s="80"/>
      <c r="X500" s="80"/>
    </row>
    <row r="501" spans="1:24" ht="42" customHeight="1">
      <c r="A501" s="80">
        <f t="shared" si="0"/>
        <v>499</v>
      </c>
      <c r="B501" s="51" t="str">
        <f t="shared" si="1"/>
        <v>MA</v>
      </c>
      <c r="C501" s="51" t="s">
        <v>3469</v>
      </c>
      <c r="D501" s="51" t="s">
        <v>725</v>
      </c>
      <c r="E501" s="51" t="s">
        <v>2533</v>
      </c>
      <c r="F501" s="80"/>
      <c r="G501" s="75">
        <f>4951939755810</f>
        <v>4951939755810</v>
      </c>
      <c r="H501" s="80"/>
      <c r="I501" s="122" t="s">
        <v>3470</v>
      </c>
      <c r="J501" s="51" t="s">
        <v>3471</v>
      </c>
      <c r="K501" s="80"/>
      <c r="L501" s="51" t="s">
        <v>7</v>
      </c>
      <c r="M501" s="79">
        <v>44837</v>
      </c>
      <c r="N501" s="51"/>
      <c r="O501" s="80"/>
      <c r="P501" s="82"/>
      <c r="Q501" s="80"/>
      <c r="R501" s="80"/>
      <c r="S501" s="82"/>
      <c r="T501" s="80"/>
      <c r="U501" s="80"/>
      <c r="V501" s="79"/>
      <c r="W501" s="80"/>
      <c r="X501" s="80"/>
    </row>
    <row r="502" spans="1:24" ht="42" customHeight="1">
      <c r="A502" s="80">
        <f t="shared" si="0"/>
        <v>500</v>
      </c>
      <c r="B502" s="51" t="str">
        <f t="shared" si="1"/>
        <v>MA</v>
      </c>
      <c r="C502" s="51" t="s">
        <v>3472</v>
      </c>
      <c r="D502" s="51" t="s">
        <v>725</v>
      </c>
      <c r="E502" s="51" t="s">
        <v>2533</v>
      </c>
      <c r="F502" s="80"/>
      <c r="G502" s="75">
        <f>4941318544890</f>
        <v>4941318544890</v>
      </c>
      <c r="H502" s="80"/>
      <c r="I502" s="89" t="s">
        <v>3473</v>
      </c>
      <c r="J502" s="51" t="s">
        <v>3474</v>
      </c>
      <c r="K502" s="80"/>
      <c r="L502" s="51" t="s">
        <v>7</v>
      </c>
      <c r="M502" s="79">
        <v>44837</v>
      </c>
      <c r="N502" s="51"/>
      <c r="O502" s="80"/>
      <c r="P502" s="82"/>
      <c r="Q502" s="80"/>
      <c r="R502" s="80"/>
      <c r="S502" s="82"/>
      <c r="T502" s="80"/>
      <c r="U502" s="80"/>
      <c r="V502" s="79"/>
      <c r="W502" s="80"/>
      <c r="X502" s="80"/>
    </row>
    <row r="503" spans="1:24" ht="42" customHeight="1">
      <c r="A503" s="80">
        <f t="shared" si="0"/>
        <v>501</v>
      </c>
      <c r="B503" s="51" t="str">
        <f t="shared" si="1"/>
        <v>MA</v>
      </c>
      <c r="C503" s="96" t="s">
        <v>3475</v>
      </c>
      <c r="D503" s="51" t="s">
        <v>725</v>
      </c>
      <c r="E503" s="51" t="s">
        <v>2533</v>
      </c>
      <c r="F503" s="80"/>
      <c r="G503" s="75">
        <f>4942142758981</f>
        <v>4942142758981</v>
      </c>
      <c r="H503" s="80"/>
      <c r="I503" s="131" t="s">
        <v>3476</v>
      </c>
      <c r="J503" s="51" t="s">
        <v>3477</v>
      </c>
      <c r="K503" s="80"/>
      <c r="L503" s="51" t="s">
        <v>7</v>
      </c>
      <c r="M503" s="79">
        <v>44837</v>
      </c>
      <c r="N503" s="51"/>
      <c r="O503" s="80"/>
      <c r="P503" s="82"/>
      <c r="Q503" s="80"/>
      <c r="R503" s="80"/>
      <c r="S503" s="82"/>
      <c r="T503" s="80"/>
      <c r="U503" s="80"/>
      <c r="V503" s="79"/>
      <c r="W503" s="80"/>
      <c r="X503" s="80"/>
    </row>
    <row r="504" spans="1:24" ht="42" customHeight="1">
      <c r="A504" s="80">
        <f t="shared" si="0"/>
        <v>502</v>
      </c>
      <c r="B504" s="51" t="str">
        <f t="shared" si="1"/>
        <v>MA</v>
      </c>
      <c r="C504" s="51" t="s">
        <v>3478</v>
      </c>
      <c r="D504" s="51" t="s">
        <v>725</v>
      </c>
      <c r="E504" s="51" t="s">
        <v>2533</v>
      </c>
      <c r="F504" s="80"/>
      <c r="G504" s="75">
        <f>4943481066</f>
        <v>4943481066</v>
      </c>
      <c r="H504" s="80"/>
      <c r="I504" s="122" t="s">
        <v>3479</v>
      </c>
      <c r="J504" s="51" t="s">
        <v>3480</v>
      </c>
      <c r="K504" s="80"/>
      <c r="L504" s="51" t="s">
        <v>7</v>
      </c>
      <c r="M504" s="79">
        <v>44837</v>
      </c>
      <c r="N504" s="51"/>
      <c r="O504" s="80"/>
      <c r="P504" s="82"/>
      <c r="Q504" s="80"/>
      <c r="R504" s="80"/>
      <c r="S504" s="82"/>
      <c r="T504" s="80"/>
      <c r="U504" s="80"/>
      <c r="V504" s="79"/>
      <c r="W504" s="80"/>
      <c r="X504" s="80"/>
    </row>
    <row r="505" spans="1:24" ht="42" customHeight="1">
      <c r="A505" s="80">
        <f t="shared" si="0"/>
        <v>503</v>
      </c>
      <c r="B505" s="51" t="str">
        <f t="shared" si="1"/>
        <v>MA</v>
      </c>
      <c r="C505" s="51" t="s">
        <v>3481</v>
      </c>
      <c r="D505" s="51" t="s">
        <v>725</v>
      </c>
      <c r="E505" s="51" t="s">
        <v>2533</v>
      </c>
      <c r="F505" s="80"/>
      <c r="G505" s="75">
        <f>4945114031352</f>
        <v>4945114031352</v>
      </c>
      <c r="H505" s="80"/>
      <c r="I505" s="76">
        <f>4945114031352</f>
        <v>4945114031352</v>
      </c>
      <c r="J505" s="80"/>
      <c r="K505" s="80"/>
      <c r="L505" s="51" t="s">
        <v>78</v>
      </c>
      <c r="M505" s="79">
        <v>44900</v>
      </c>
      <c r="N505" s="51" t="s">
        <v>2858</v>
      </c>
      <c r="O505" s="80"/>
      <c r="P505" s="82"/>
      <c r="Q505" s="80"/>
      <c r="R505" s="80"/>
      <c r="S505" s="82"/>
      <c r="T505" s="80"/>
      <c r="U505" s="80"/>
      <c r="V505" s="79"/>
      <c r="W505" s="80"/>
      <c r="X505" s="80"/>
    </row>
    <row r="506" spans="1:24" ht="42" customHeight="1">
      <c r="A506" s="80">
        <f t="shared" si="0"/>
        <v>504</v>
      </c>
      <c r="B506" s="51" t="str">
        <f t="shared" si="1"/>
        <v>MA</v>
      </c>
      <c r="C506" s="51" t="s">
        <v>3482</v>
      </c>
      <c r="D506" s="51" t="s">
        <v>725</v>
      </c>
      <c r="E506" s="51" t="s">
        <v>2533</v>
      </c>
      <c r="F506" s="80"/>
      <c r="G506" s="75">
        <f>49439291720</f>
        <v>49439291720</v>
      </c>
      <c r="H506" s="80"/>
      <c r="I506" s="89" t="s">
        <v>3483</v>
      </c>
      <c r="J506" s="51" t="s">
        <v>3484</v>
      </c>
      <c r="K506" s="80"/>
      <c r="L506" s="51" t="s">
        <v>7</v>
      </c>
      <c r="M506" s="79">
        <v>44837</v>
      </c>
      <c r="N506" s="51"/>
      <c r="O506" s="80"/>
      <c r="P506" s="82"/>
      <c r="Q506" s="80"/>
      <c r="R506" s="80"/>
      <c r="S506" s="82"/>
      <c r="T506" s="80"/>
      <c r="U506" s="80"/>
      <c r="V506" s="79"/>
      <c r="W506" s="80"/>
      <c r="X506" s="80"/>
    </row>
    <row r="507" spans="1:24" ht="42" customHeight="1">
      <c r="A507" s="80">
        <f t="shared" si="0"/>
        <v>505</v>
      </c>
      <c r="B507" s="51" t="str">
        <f t="shared" si="1"/>
        <v>MA</v>
      </c>
      <c r="C507" s="51" t="s">
        <v>3485</v>
      </c>
      <c r="D507" s="51" t="s">
        <v>2803</v>
      </c>
      <c r="E507" s="51" t="s">
        <v>2533</v>
      </c>
      <c r="F507" s="80"/>
      <c r="G507" s="75" t="s">
        <v>3486</v>
      </c>
      <c r="H507" s="51" t="s">
        <v>3487</v>
      </c>
      <c r="I507" s="76"/>
      <c r="J507" s="80"/>
      <c r="K507" s="80"/>
      <c r="L507" s="51" t="s">
        <v>78</v>
      </c>
      <c r="M507" s="79">
        <v>44838</v>
      </c>
      <c r="N507" s="51"/>
      <c r="O507" s="80"/>
      <c r="P507" s="82"/>
      <c r="Q507" s="80"/>
      <c r="R507" s="80"/>
      <c r="S507" s="82"/>
      <c r="T507" s="80"/>
      <c r="U507" s="80"/>
      <c r="V507" s="79"/>
      <c r="W507" s="80"/>
      <c r="X507" s="80"/>
    </row>
    <row r="508" spans="1:24" ht="42" customHeight="1">
      <c r="A508" s="80">
        <f t="shared" si="0"/>
        <v>506</v>
      </c>
      <c r="B508" s="51" t="str">
        <f t="shared" si="1"/>
        <v>MA</v>
      </c>
      <c r="C508" s="51" t="s">
        <v>3488</v>
      </c>
      <c r="D508" s="51" t="s">
        <v>725</v>
      </c>
      <c r="E508" s="51" t="s">
        <v>2533</v>
      </c>
      <c r="F508" s="80"/>
      <c r="G508" s="75">
        <f>4942329453969</f>
        <v>4942329453969</v>
      </c>
      <c r="H508" s="80"/>
      <c r="I508" s="89" t="s">
        <v>3489</v>
      </c>
      <c r="J508" s="51" t="s">
        <v>3490</v>
      </c>
      <c r="K508" s="80"/>
      <c r="L508" s="51" t="s">
        <v>7</v>
      </c>
      <c r="M508" s="79">
        <v>44838</v>
      </c>
      <c r="N508" s="51"/>
      <c r="O508" s="80"/>
      <c r="P508" s="82"/>
      <c r="Q508" s="80"/>
      <c r="R508" s="80"/>
      <c r="S508" s="82"/>
      <c r="T508" s="80"/>
      <c r="U508" s="80"/>
      <c r="V508" s="79"/>
      <c r="W508" s="80"/>
      <c r="X508" s="80"/>
    </row>
    <row r="509" spans="1:24" ht="42" customHeight="1">
      <c r="A509" s="80">
        <f t="shared" si="0"/>
        <v>507</v>
      </c>
      <c r="B509" s="51" t="str">
        <f t="shared" si="1"/>
        <v>MA</v>
      </c>
      <c r="C509" s="51" t="s">
        <v>3491</v>
      </c>
      <c r="D509" s="51" t="s">
        <v>725</v>
      </c>
      <c r="E509" s="51" t="s">
        <v>2533</v>
      </c>
      <c r="F509" s="80"/>
      <c r="G509" s="75">
        <f>4943212692121</f>
        <v>4943212692121</v>
      </c>
      <c r="H509" s="80"/>
      <c r="I509" s="89" t="s">
        <v>3492</v>
      </c>
      <c r="J509" s="51" t="s">
        <v>3493</v>
      </c>
      <c r="K509" s="80"/>
      <c r="L509" s="51" t="s">
        <v>7</v>
      </c>
      <c r="M509" s="79">
        <v>44838</v>
      </c>
      <c r="N509" s="51"/>
      <c r="O509" s="80"/>
      <c r="P509" s="82"/>
      <c r="Q509" s="80"/>
      <c r="R509" s="80"/>
      <c r="S509" s="82"/>
      <c r="T509" s="80"/>
      <c r="U509" s="80"/>
      <c r="V509" s="79"/>
      <c r="W509" s="80"/>
      <c r="X509" s="80"/>
    </row>
    <row r="510" spans="1:24" ht="42" customHeight="1">
      <c r="A510" s="80">
        <f t="shared" si="0"/>
        <v>508</v>
      </c>
      <c r="B510" s="51" t="str">
        <f t="shared" si="1"/>
        <v>MA</v>
      </c>
      <c r="C510" s="51" t="s">
        <v>3494</v>
      </c>
      <c r="D510" s="51" t="s">
        <v>725</v>
      </c>
      <c r="E510" s="51" t="s">
        <v>2533</v>
      </c>
      <c r="F510" s="80"/>
      <c r="G510" s="75">
        <f>4954229271635</f>
        <v>4954229271635</v>
      </c>
      <c r="H510" s="80"/>
      <c r="I510" s="122" t="s">
        <v>3495</v>
      </c>
      <c r="J510" s="51" t="s">
        <v>3496</v>
      </c>
      <c r="K510" s="80"/>
      <c r="L510" s="51" t="s">
        <v>7</v>
      </c>
      <c r="M510" s="79">
        <v>44838</v>
      </c>
      <c r="N510" s="51"/>
      <c r="O510" s="80"/>
      <c r="P510" s="82"/>
      <c r="Q510" s="80"/>
      <c r="R510" s="80"/>
      <c r="S510" s="82"/>
      <c r="T510" s="80"/>
      <c r="U510" s="80"/>
      <c r="V510" s="79"/>
      <c r="W510" s="80"/>
      <c r="X510" s="80"/>
    </row>
    <row r="511" spans="1:24" ht="42" customHeight="1">
      <c r="A511" s="80">
        <f t="shared" si="0"/>
        <v>509</v>
      </c>
      <c r="B511" s="51" t="str">
        <f t="shared" si="1"/>
        <v>MA</v>
      </c>
      <c r="C511" s="51" t="s">
        <v>3497</v>
      </c>
      <c r="D511" s="51" t="s">
        <v>725</v>
      </c>
      <c r="E511" s="51" t="s">
        <v>2533</v>
      </c>
      <c r="F511" s="80"/>
      <c r="G511" s="75">
        <f>494713097751</f>
        <v>494713097751</v>
      </c>
      <c r="H511" s="80"/>
      <c r="I511" s="89" t="s">
        <v>3498</v>
      </c>
      <c r="J511" s="94" t="s">
        <v>3499</v>
      </c>
      <c r="K511" s="80"/>
      <c r="L511" s="51" t="s">
        <v>7</v>
      </c>
      <c r="M511" s="79">
        <v>44838</v>
      </c>
      <c r="N511" s="51"/>
      <c r="O511" s="80"/>
      <c r="P511" s="82"/>
      <c r="Q511" s="80"/>
      <c r="R511" s="80"/>
      <c r="S511" s="82"/>
      <c r="T511" s="80"/>
      <c r="U511" s="80"/>
      <c r="V511" s="79"/>
      <c r="W511" s="80"/>
      <c r="X511" s="80"/>
    </row>
    <row r="512" spans="1:24" ht="42" customHeight="1">
      <c r="A512" s="80">
        <f t="shared" si="0"/>
        <v>510</v>
      </c>
      <c r="B512" s="51" t="str">
        <f t="shared" si="1"/>
        <v>MA</v>
      </c>
      <c r="C512" s="51" t="s">
        <v>3500</v>
      </c>
      <c r="D512" s="51" t="s">
        <v>725</v>
      </c>
      <c r="E512" s="51" t="s">
        <v>2533</v>
      </c>
      <c r="F512" s="80"/>
      <c r="G512" s="75">
        <f>49417170420</f>
        <v>49417170420</v>
      </c>
      <c r="H512" s="80"/>
      <c r="I512" s="122" t="s">
        <v>3501</v>
      </c>
      <c r="J512" s="51" t="s">
        <v>3502</v>
      </c>
      <c r="K512" s="80"/>
      <c r="L512" s="51" t="s">
        <v>7</v>
      </c>
      <c r="M512" s="79">
        <v>44838</v>
      </c>
      <c r="N512" s="51"/>
      <c r="O512" s="80"/>
      <c r="P512" s="82"/>
      <c r="Q512" s="80"/>
      <c r="R512" s="80"/>
      <c r="S512" s="82"/>
      <c r="T512" s="80"/>
      <c r="U512" s="80"/>
      <c r="V512" s="79"/>
      <c r="W512" s="80"/>
      <c r="X512" s="80"/>
    </row>
    <row r="513" spans="1:24" ht="42" customHeight="1">
      <c r="A513" s="80">
        <f t="shared" si="0"/>
        <v>511</v>
      </c>
      <c r="B513" s="51" t="str">
        <f t="shared" si="1"/>
        <v>MA</v>
      </c>
      <c r="C513" s="51" t="s">
        <v>3503</v>
      </c>
      <c r="D513" s="51" t="s">
        <v>725</v>
      </c>
      <c r="E513" s="51" t="s">
        <v>2533</v>
      </c>
      <c r="F513" s="80"/>
      <c r="G513" s="75">
        <f>49393164190</f>
        <v>49393164190</v>
      </c>
      <c r="H513" s="80"/>
      <c r="I513" s="89" t="s">
        <v>3504</v>
      </c>
      <c r="J513" s="51" t="s">
        <v>3505</v>
      </c>
      <c r="K513" s="80"/>
      <c r="L513" s="51" t="s">
        <v>7</v>
      </c>
      <c r="M513" s="79">
        <v>44838</v>
      </c>
      <c r="N513" s="51"/>
      <c r="O513" s="80"/>
      <c r="P513" s="82"/>
      <c r="Q513" s="80"/>
      <c r="R513" s="80"/>
      <c r="S513" s="82"/>
      <c r="T513" s="80"/>
      <c r="U513" s="80"/>
      <c r="V513" s="79"/>
      <c r="W513" s="80"/>
      <c r="X513" s="80"/>
    </row>
    <row r="514" spans="1:24" ht="42" customHeight="1">
      <c r="A514" s="80">
        <f t="shared" si="0"/>
        <v>512</v>
      </c>
      <c r="B514" s="51" t="str">
        <f t="shared" si="1"/>
        <v>MA</v>
      </c>
      <c r="C514" s="51" t="s">
        <v>3506</v>
      </c>
      <c r="D514" s="51" t="s">
        <v>725</v>
      </c>
      <c r="E514" s="51" t="s">
        <v>2533</v>
      </c>
      <c r="F514" s="80"/>
      <c r="G514" s="75">
        <f>4938794206898</f>
        <v>4938794206898</v>
      </c>
      <c r="H514" s="80"/>
      <c r="I514" s="89" t="s">
        <v>3507</v>
      </c>
      <c r="J514" s="51" t="s">
        <v>3508</v>
      </c>
      <c r="K514" s="80"/>
      <c r="L514" s="51" t="s">
        <v>7</v>
      </c>
      <c r="M514" s="79">
        <v>44838</v>
      </c>
      <c r="N514" s="51"/>
      <c r="O514" s="80"/>
      <c r="P514" s="82"/>
      <c r="Q514" s="80"/>
      <c r="R514" s="80"/>
      <c r="S514" s="82"/>
      <c r="T514" s="80"/>
      <c r="U514" s="80"/>
      <c r="V514" s="79"/>
      <c r="W514" s="80"/>
      <c r="X514" s="80"/>
    </row>
    <row r="515" spans="1:24" ht="42" customHeight="1">
      <c r="A515" s="80">
        <f t="shared" si="0"/>
        <v>513</v>
      </c>
      <c r="B515" s="51" t="str">
        <f t="shared" si="1"/>
        <v>MA</v>
      </c>
      <c r="C515" s="51" t="s">
        <v>3509</v>
      </c>
      <c r="D515" s="51" t="s">
        <v>725</v>
      </c>
      <c r="E515" s="51" t="s">
        <v>2533</v>
      </c>
      <c r="F515" s="80"/>
      <c r="G515" s="75">
        <f>494515041446</f>
        <v>494515041446</v>
      </c>
      <c r="H515" s="80"/>
      <c r="I515" s="122" t="s">
        <v>3510</v>
      </c>
      <c r="J515" s="51" t="s">
        <v>3511</v>
      </c>
      <c r="K515" s="80"/>
      <c r="L515" s="51" t="s">
        <v>7</v>
      </c>
      <c r="M515" s="79">
        <v>44838</v>
      </c>
      <c r="N515" s="51"/>
      <c r="O515" s="80"/>
      <c r="P515" s="82"/>
      <c r="Q515" s="80"/>
      <c r="R515" s="80"/>
      <c r="S515" s="82"/>
      <c r="T515" s="80"/>
      <c r="U515" s="80"/>
      <c r="V515" s="79"/>
      <c r="W515" s="80"/>
      <c r="X515" s="80"/>
    </row>
    <row r="516" spans="1:24" ht="42" customHeight="1">
      <c r="A516" s="80">
        <f t="shared" si="0"/>
        <v>514</v>
      </c>
      <c r="B516" s="51" t="str">
        <f t="shared" si="1"/>
        <v>MA</v>
      </c>
      <c r="C516" s="51" t="s">
        <v>3512</v>
      </c>
      <c r="D516" s="51" t="s">
        <v>725</v>
      </c>
      <c r="E516" s="51" t="s">
        <v>2533</v>
      </c>
      <c r="F516" s="80"/>
      <c r="G516" s="75">
        <f>494340402564</f>
        <v>494340402564</v>
      </c>
      <c r="H516" s="80"/>
      <c r="I516" s="122" t="s">
        <v>3513</v>
      </c>
      <c r="J516" s="51" t="s">
        <v>3514</v>
      </c>
      <c r="K516" s="80"/>
      <c r="L516" s="51" t="s">
        <v>7</v>
      </c>
      <c r="M516" s="79">
        <v>44838</v>
      </c>
      <c r="N516" s="51"/>
      <c r="O516" s="80"/>
      <c r="P516" s="82"/>
      <c r="Q516" s="80"/>
      <c r="R516" s="80"/>
      <c r="S516" s="82"/>
      <c r="T516" s="80"/>
      <c r="U516" s="80"/>
      <c r="V516" s="79"/>
      <c r="W516" s="80"/>
      <c r="X516" s="80"/>
    </row>
    <row r="517" spans="1:24" ht="42" customHeight="1">
      <c r="A517" s="80">
        <f t="shared" si="0"/>
        <v>515</v>
      </c>
      <c r="B517" s="51" t="str">
        <f t="shared" si="1"/>
        <v>MA</v>
      </c>
      <c r="C517" s="126" t="s">
        <v>3515</v>
      </c>
      <c r="D517" s="51" t="s">
        <v>725</v>
      </c>
      <c r="E517" s="51" t="s">
        <v>2533</v>
      </c>
      <c r="F517" s="80"/>
      <c r="G517" s="75">
        <f>494261818350</f>
        <v>494261818350</v>
      </c>
      <c r="H517" s="80"/>
      <c r="I517" s="89" t="s">
        <v>3516</v>
      </c>
      <c r="J517" s="51" t="s">
        <v>3517</v>
      </c>
      <c r="K517" s="80"/>
      <c r="L517" s="51" t="s">
        <v>7</v>
      </c>
      <c r="M517" s="79">
        <v>44838</v>
      </c>
      <c r="N517" s="51"/>
      <c r="O517" s="80"/>
      <c r="P517" s="82"/>
      <c r="Q517" s="80"/>
      <c r="R517" s="80"/>
      <c r="S517" s="82"/>
      <c r="T517" s="80"/>
      <c r="U517" s="80"/>
      <c r="V517" s="79"/>
      <c r="W517" s="80"/>
      <c r="X517" s="80"/>
    </row>
    <row r="518" spans="1:24" ht="42" customHeight="1">
      <c r="A518" s="80">
        <f t="shared" si="0"/>
        <v>516</v>
      </c>
      <c r="B518" s="51" t="str">
        <f t="shared" si="1"/>
        <v>MA</v>
      </c>
      <c r="C518" s="111" t="s">
        <v>3518</v>
      </c>
      <c r="D518" s="51" t="s">
        <v>725</v>
      </c>
      <c r="E518" s="51" t="s">
        <v>2533</v>
      </c>
      <c r="F518" s="80"/>
      <c r="G518" s="75">
        <f>4915222371110</f>
        <v>4915222371110</v>
      </c>
      <c r="H518" s="80"/>
      <c r="I518" s="129" t="s">
        <v>3519</v>
      </c>
      <c r="J518" s="51" t="s">
        <v>3520</v>
      </c>
      <c r="K518" s="80"/>
      <c r="L518" s="51" t="s">
        <v>7</v>
      </c>
      <c r="M518" s="79">
        <v>44838</v>
      </c>
      <c r="N518" s="51"/>
      <c r="O518" s="80"/>
      <c r="P518" s="82"/>
      <c r="Q518" s="80"/>
      <c r="R518" s="80"/>
      <c r="S518" s="82"/>
      <c r="T518" s="80"/>
      <c r="U518" s="80"/>
      <c r="V518" s="79"/>
      <c r="W518" s="80"/>
      <c r="X518" s="80"/>
    </row>
    <row r="519" spans="1:24" ht="42" customHeight="1">
      <c r="A519" s="80">
        <f t="shared" si="0"/>
        <v>517</v>
      </c>
      <c r="B519" s="51" t="str">
        <f t="shared" si="1"/>
        <v>MA</v>
      </c>
      <c r="C519" s="55" t="s">
        <v>3521</v>
      </c>
      <c r="D519" s="51" t="s">
        <v>725</v>
      </c>
      <c r="E519" s="51" t="s">
        <v>2533</v>
      </c>
      <c r="F519" s="80"/>
      <c r="G519" s="75">
        <f>494515820444</f>
        <v>494515820444</v>
      </c>
      <c r="H519" s="80"/>
      <c r="I519" s="129" t="s">
        <v>3522</v>
      </c>
      <c r="J519" s="51" t="s">
        <v>3523</v>
      </c>
      <c r="K519" s="80"/>
      <c r="L519" s="51" t="s">
        <v>7</v>
      </c>
      <c r="M519" s="79">
        <v>44838</v>
      </c>
      <c r="N519" s="51"/>
      <c r="O519" s="80"/>
      <c r="P519" s="82"/>
      <c r="Q519" s="80"/>
      <c r="R519" s="80"/>
      <c r="S519" s="82"/>
      <c r="T519" s="80"/>
      <c r="U519" s="80"/>
      <c r="V519" s="79"/>
      <c r="W519" s="80"/>
      <c r="X519" s="80"/>
    </row>
    <row r="520" spans="1:24" ht="42" customHeight="1">
      <c r="A520" s="80">
        <f t="shared" si="0"/>
        <v>518</v>
      </c>
      <c r="B520" s="51" t="str">
        <f t="shared" si="1"/>
        <v>MA</v>
      </c>
      <c r="C520" s="51" t="s">
        <v>3524</v>
      </c>
      <c r="D520" s="51" t="s">
        <v>725</v>
      </c>
      <c r="E520" s="51" t="s">
        <v>2533</v>
      </c>
      <c r="F520" s="80"/>
      <c r="G520" s="75">
        <f>494392403762</f>
        <v>494392403762</v>
      </c>
      <c r="H520" s="80"/>
      <c r="I520" s="122" t="s">
        <v>3525</v>
      </c>
      <c r="J520" s="51" t="s">
        <v>3526</v>
      </c>
      <c r="K520" s="80"/>
      <c r="L520" s="51" t="s">
        <v>7</v>
      </c>
      <c r="M520" s="79">
        <v>44838</v>
      </c>
      <c r="N520" s="51"/>
      <c r="O520" s="80"/>
      <c r="P520" s="82"/>
      <c r="Q520" s="80"/>
      <c r="R520" s="80"/>
      <c r="S520" s="82"/>
      <c r="T520" s="80"/>
      <c r="U520" s="80"/>
      <c r="V520" s="79"/>
      <c r="W520" s="80"/>
      <c r="X520" s="80"/>
    </row>
    <row r="521" spans="1:24" ht="42" customHeight="1">
      <c r="A521" s="80">
        <f t="shared" si="0"/>
        <v>519</v>
      </c>
      <c r="B521" s="51" t="str">
        <f t="shared" si="1"/>
        <v>MA</v>
      </c>
      <c r="C521" s="51" t="s">
        <v>3527</v>
      </c>
      <c r="D521" s="51" t="s">
        <v>725</v>
      </c>
      <c r="E521" s="51" t="s">
        <v>2533</v>
      </c>
      <c r="F521" s="80"/>
      <c r="G521" s="75">
        <f>4942184826398</f>
        <v>4942184826398</v>
      </c>
      <c r="H521" s="80"/>
      <c r="I521" s="122" t="s">
        <v>3528</v>
      </c>
      <c r="J521" s="51" t="s">
        <v>3529</v>
      </c>
      <c r="K521" s="80"/>
      <c r="L521" s="51" t="s">
        <v>7</v>
      </c>
      <c r="M521" s="79">
        <v>44838</v>
      </c>
      <c r="N521" s="51"/>
      <c r="O521" s="80"/>
      <c r="P521" s="82"/>
      <c r="Q521" s="80"/>
      <c r="R521" s="80"/>
      <c r="S521" s="82"/>
      <c r="T521" s="80"/>
      <c r="U521" s="80"/>
      <c r="V521" s="79"/>
      <c r="W521" s="80"/>
      <c r="X521" s="80"/>
    </row>
    <row r="522" spans="1:24" ht="42" customHeight="1">
      <c r="A522" s="80">
        <f t="shared" si="0"/>
        <v>520</v>
      </c>
      <c r="B522" s="51" t="str">
        <f t="shared" si="1"/>
        <v>MA</v>
      </c>
      <c r="C522" s="51" t="s">
        <v>3530</v>
      </c>
      <c r="D522" s="51" t="s">
        <v>725</v>
      </c>
      <c r="E522" s="51" t="s">
        <v>2533</v>
      </c>
      <c r="F522" s="80"/>
      <c r="G522" s="75">
        <f>4947195108718</f>
        <v>4947195108718</v>
      </c>
      <c r="H522" s="80"/>
      <c r="I522" s="89" t="s">
        <v>3531</v>
      </c>
      <c r="J522" s="51" t="s">
        <v>3532</v>
      </c>
      <c r="K522" s="80"/>
      <c r="L522" s="51" t="s">
        <v>7</v>
      </c>
      <c r="M522" s="79">
        <v>44838</v>
      </c>
      <c r="N522" s="51"/>
      <c r="O522" s="80"/>
      <c r="P522" s="82"/>
      <c r="Q522" s="80"/>
      <c r="R522" s="80"/>
      <c r="S522" s="82"/>
      <c r="T522" s="80"/>
      <c r="U522" s="80"/>
      <c r="V522" s="79"/>
      <c r="W522" s="80"/>
      <c r="X522" s="80"/>
    </row>
    <row r="523" spans="1:24" ht="42" customHeight="1">
      <c r="A523" s="80">
        <f t="shared" si="0"/>
        <v>521</v>
      </c>
      <c r="B523" s="51" t="str">
        <f t="shared" si="1"/>
        <v>MA</v>
      </c>
      <c r="C523" s="51" t="s">
        <v>3533</v>
      </c>
      <c r="D523" s="51" t="s">
        <v>725</v>
      </c>
      <c r="E523" s="51" t="s">
        <v>2533</v>
      </c>
      <c r="F523" s="80"/>
      <c r="G523" s="75">
        <f>4943482889942</f>
        <v>4943482889942</v>
      </c>
      <c r="H523" s="80"/>
      <c r="I523" s="122" t="s">
        <v>3534</v>
      </c>
      <c r="J523" s="51" t="s">
        <v>3535</v>
      </c>
      <c r="K523" s="80"/>
      <c r="L523" s="51" t="s">
        <v>7</v>
      </c>
      <c r="M523" s="79">
        <v>44838</v>
      </c>
      <c r="N523" s="51"/>
      <c r="O523" s="80"/>
      <c r="P523" s="82"/>
      <c r="Q523" s="80"/>
      <c r="R523" s="80"/>
      <c r="S523" s="82"/>
      <c r="T523" s="80"/>
      <c r="U523" s="80"/>
      <c r="V523" s="79"/>
      <c r="W523" s="80"/>
      <c r="X523" s="80"/>
    </row>
    <row r="524" spans="1:24" ht="42" customHeight="1">
      <c r="A524" s="80">
        <f t="shared" si="0"/>
        <v>522</v>
      </c>
      <c r="B524" s="51" t="str">
        <f t="shared" si="1"/>
        <v>MA</v>
      </c>
      <c r="C524" s="51" t="s">
        <v>3536</v>
      </c>
      <c r="D524" s="51" t="s">
        <v>725</v>
      </c>
      <c r="E524" s="51" t="s">
        <v>2533</v>
      </c>
      <c r="F524" s="80"/>
      <c r="G524" s="75">
        <f>4942442539</f>
        <v>4942442539</v>
      </c>
      <c r="H524" s="80"/>
      <c r="I524" s="89" t="s">
        <v>3537</v>
      </c>
      <c r="J524" s="80"/>
      <c r="K524" s="80"/>
      <c r="L524" s="51" t="s">
        <v>78</v>
      </c>
      <c r="M524" s="79">
        <v>44838</v>
      </c>
      <c r="N524" s="51"/>
      <c r="O524" s="80"/>
      <c r="P524" s="82"/>
      <c r="Q524" s="80"/>
      <c r="R524" s="80"/>
      <c r="S524" s="82"/>
      <c r="T524" s="80"/>
      <c r="U524" s="80"/>
      <c r="V524" s="79"/>
      <c r="W524" s="80"/>
      <c r="X524" s="80"/>
    </row>
    <row r="525" spans="1:24" ht="42" customHeight="1">
      <c r="A525" s="80">
        <f t="shared" si="0"/>
        <v>523</v>
      </c>
      <c r="B525" s="51" t="str">
        <f t="shared" si="1"/>
        <v>MA</v>
      </c>
      <c r="C525" s="51" t="s">
        <v>3538</v>
      </c>
      <c r="D525" s="51" t="s">
        <v>725</v>
      </c>
      <c r="E525" s="51" t="s">
        <v>2533</v>
      </c>
      <c r="F525" s="80"/>
      <c r="G525" s="75">
        <f>4916094482845</f>
        <v>4916094482845</v>
      </c>
      <c r="H525" s="80"/>
      <c r="I525" s="89" t="s">
        <v>3539</v>
      </c>
      <c r="J525" s="51" t="s">
        <v>3540</v>
      </c>
      <c r="K525" s="80"/>
      <c r="L525" s="51" t="s">
        <v>7</v>
      </c>
      <c r="M525" s="79">
        <v>44838</v>
      </c>
      <c r="N525" s="51"/>
      <c r="O525" s="80"/>
      <c r="P525" s="82"/>
      <c r="Q525" s="80"/>
      <c r="R525" s="80"/>
      <c r="S525" s="82"/>
      <c r="T525" s="80"/>
      <c r="U525" s="80"/>
      <c r="V525" s="79"/>
      <c r="W525" s="80"/>
      <c r="X525" s="80"/>
    </row>
    <row r="526" spans="1:24" ht="42" customHeight="1">
      <c r="A526" s="80">
        <f t="shared" si="0"/>
        <v>524</v>
      </c>
      <c r="B526" s="51" t="str">
        <f t="shared" si="1"/>
        <v>MA</v>
      </c>
      <c r="C526" s="51" t="s">
        <v>3541</v>
      </c>
      <c r="D526" s="51" t="s">
        <v>725</v>
      </c>
      <c r="E526" s="51" t="s">
        <v>2533</v>
      </c>
      <c r="F526" s="80"/>
      <c r="G526" s="75">
        <f>49514188580</f>
        <v>49514188580</v>
      </c>
      <c r="H526" s="80"/>
      <c r="I526" s="89" t="s">
        <v>3542</v>
      </c>
      <c r="J526" s="51" t="s">
        <v>3543</v>
      </c>
      <c r="K526" s="80"/>
      <c r="L526" s="51" t="s">
        <v>7</v>
      </c>
      <c r="M526" s="79">
        <v>44838</v>
      </c>
      <c r="N526" s="51"/>
      <c r="O526" s="80"/>
      <c r="P526" s="82"/>
      <c r="Q526" s="80"/>
      <c r="R526" s="80"/>
      <c r="S526" s="82"/>
      <c r="T526" s="80"/>
      <c r="U526" s="80"/>
      <c r="V526" s="79"/>
      <c r="W526" s="80"/>
      <c r="X526" s="80"/>
    </row>
    <row r="527" spans="1:24" ht="42" customHeight="1">
      <c r="A527" s="80">
        <f t="shared" si="0"/>
        <v>525</v>
      </c>
      <c r="B527" s="51" t="str">
        <f t="shared" si="1"/>
        <v>MA</v>
      </c>
      <c r="C527" s="51" t="s">
        <v>3544</v>
      </c>
      <c r="D527" s="51" t="s">
        <v>725</v>
      </c>
      <c r="E527" s="51" t="s">
        <v>2533</v>
      </c>
      <c r="F527" s="80"/>
      <c r="G527" s="75">
        <f>4942167315320</f>
        <v>4942167315320</v>
      </c>
      <c r="H527" s="80"/>
      <c r="I527" s="122" t="s">
        <v>3545</v>
      </c>
      <c r="J527" s="51" t="s">
        <v>3546</v>
      </c>
      <c r="K527" s="80"/>
      <c r="L527" s="51" t="s">
        <v>7</v>
      </c>
      <c r="M527" s="79">
        <v>44838</v>
      </c>
      <c r="N527" s="51"/>
      <c r="O527" s="80"/>
      <c r="P527" s="82"/>
      <c r="Q527" s="80"/>
      <c r="R527" s="80"/>
      <c r="S527" s="82"/>
      <c r="T527" s="80"/>
      <c r="U527" s="80"/>
      <c r="V527" s="79"/>
      <c r="W527" s="80"/>
      <c r="X527" s="80"/>
    </row>
    <row r="528" spans="1:24" ht="42" customHeight="1">
      <c r="A528" s="80">
        <f t="shared" si="0"/>
        <v>526</v>
      </c>
      <c r="B528" s="51" t="str">
        <f t="shared" si="1"/>
        <v>MA</v>
      </c>
      <c r="C528" s="51" t="s">
        <v>3547</v>
      </c>
      <c r="D528" s="51" t="s">
        <v>725</v>
      </c>
      <c r="E528" s="51" t="s">
        <v>2533</v>
      </c>
      <c r="F528" s="80"/>
      <c r="G528" s="75">
        <f>494121750908</f>
        <v>494121750908</v>
      </c>
      <c r="H528" s="80"/>
      <c r="I528" s="76"/>
      <c r="J528" s="51" t="s">
        <v>3548</v>
      </c>
      <c r="K528" s="80"/>
      <c r="L528" s="51" t="s">
        <v>7</v>
      </c>
      <c r="M528" s="79">
        <v>44838</v>
      </c>
      <c r="N528" s="51"/>
      <c r="O528" s="80"/>
      <c r="P528" s="82"/>
      <c r="Q528" s="80"/>
      <c r="R528" s="80"/>
      <c r="S528" s="82"/>
      <c r="T528" s="80"/>
      <c r="U528" s="80"/>
      <c r="V528" s="79"/>
      <c r="W528" s="80"/>
      <c r="X528" s="80"/>
    </row>
    <row r="529" spans="1:24" ht="42" customHeight="1">
      <c r="A529" s="80">
        <f t="shared" si="0"/>
        <v>527</v>
      </c>
      <c r="B529" s="51" t="str">
        <f t="shared" si="1"/>
        <v>MA</v>
      </c>
      <c r="C529" s="51" t="s">
        <v>3549</v>
      </c>
      <c r="D529" s="51" t="s">
        <v>725</v>
      </c>
      <c r="E529" s="51" t="s">
        <v>2533</v>
      </c>
      <c r="F529" s="80"/>
      <c r="G529" s="75">
        <f>4948369957022</f>
        <v>4948369957022</v>
      </c>
      <c r="H529" s="80"/>
      <c r="I529" s="122" t="s">
        <v>3550</v>
      </c>
      <c r="J529" s="51" t="s">
        <v>3551</v>
      </c>
      <c r="K529" s="80"/>
      <c r="L529" s="51" t="s">
        <v>7</v>
      </c>
      <c r="M529" s="79">
        <v>44838</v>
      </c>
      <c r="N529" s="51"/>
      <c r="O529" s="80"/>
      <c r="P529" s="82"/>
      <c r="Q529" s="80"/>
      <c r="R529" s="80"/>
      <c r="S529" s="82"/>
      <c r="T529" s="80"/>
      <c r="U529" s="80"/>
      <c r="V529" s="79"/>
      <c r="W529" s="80"/>
      <c r="X529" s="80"/>
    </row>
    <row r="530" spans="1:24" ht="42" customHeight="1">
      <c r="A530" s="80">
        <f t="shared" si="0"/>
        <v>528</v>
      </c>
      <c r="B530" s="51" t="str">
        <f t="shared" si="1"/>
        <v>MA</v>
      </c>
      <c r="C530" s="51" t="s">
        <v>3552</v>
      </c>
      <c r="D530" s="51" t="s">
        <v>725</v>
      </c>
      <c r="E530" s="51" t="s">
        <v>2533</v>
      </c>
      <c r="F530" s="80"/>
      <c r="G530" s="75">
        <f>494484343</f>
        <v>494484343</v>
      </c>
      <c r="H530" s="80"/>
      <c r="I530" s="89" t="s">
        <v>3553</v>
      </c>
      <c r="J530" s="51" t="s">
        <v>3554</v>
      </c>
      <c r="K530" s="80"/>
      <c r="L530" s="51" t="s">
        <v>7</v>
      </c>
      <c r="M530" s="79">
        <v>44838</v>
      </c>
      <c r="N530" s="51"/>
      <c r="O530" s="80"/>
      <c r="P530" s="82"/>
      <c r="Q530" s="80"/>
      <c r="R530" s="80"/>
      <c r="S530" s="82"/>
      <c r="T530" s="80"/>
      <c r="U530" s="80"/>
      <c r="V530" s="79"/>
      <c r="W530" s="80"/>
      <c r="X530" s="80"/>
    </row>
    <row r="531" spans="1:24" ht="42" customHeight="1">
      <c r="A531" s="80">
        <f t="shared" si="0"/>
        <v>529</v>
      </c>
      <c r="B531" s="51" t="str">
        <f t="shared" si="1"/>
        <v>MA</v>
      </c>
      <c r="C531" s="51" t="s">
        <v>3555</v>
      </c>
      <c r="D531" s="51" t="s">
        <v>725</v>
      </c>
      <c r="E531" s="51" t="s">
        <v>2533</v>
      </c>
      <c r="F531" s="80"/>
      <c r="G531" s="75">
        <f>4952154362624</f>
        <v>4952154362624</v>
      </c>
      <c r="H531" s="80"/>
      <c r="I531" s="122" t="s">
        <v>3556</v>
      </c>
      <c r="J531" s="51" t="s">
        <v>3557</v>
      </c>
      <c r="K531" s="80"/>
      <c r="L531" s="51" t="s">
        <v>7</v>
      </c>
      <c r="M531" s="79">
        <v>44838</v>
      </c>
      <c r="N531" s="51"/>
      <c r="O531" s="80"/>
      <c r="P531" s="82"/>
      <c r="Q531" s="80"/>
      <c r="R531" s="80"/>
      <c r="S531" s="82"/>
      <c r="T531" s="80"/>
      <c r="U531" s="80"/>
      <c r="V531" s="79"/>
      <c r="W531" s="80"/>
      <c r="X531" s="80"/>
    </row>
    <row r="532" spans="1:24" ht="42" customHeight="1">
      <c r="A532" s="80">
        <f t="shared" si="0"/>
        <v>530</v>
      </c>
      <c r="B532" s="51" t="str">
        <f t="shared" si="1"/>
        <v>MA</v>
      </c>
      <c r="C532" s="51" t="s">
        <v>3558</v>
      </c>
      <c r="D532" s="51" t="s">
        <v>1198</v>
      </c>
      <c r="E532" s="51" t="s">
        <v>2533</v>
      </c>
      <c r="F532" s="80"/>
      <c r="G532" s="75">
        <f>48512461611</f>
        <v>48512461611</v>
      </c>
      <c r="H532" s="80"/>
      <c r="I532" s="122" t="s">
        <v>3559</v>
      </c>
      <c r="J532" s="51" t="s">
        <v>3560</v>
      </c>
      <c r="K532" s="80"/>
      <c r="L532" s="51" t="s">
        <v>7</v>
      </c>
      <c r="M532" s="79">
        <v>44838</v>
      </c>
      <c r="N532" s="51"/>
      <c r="O532" s="80"/>
      <c r="P532" s="82"/>
      <c r="Q532" s="80"/>
      <c r="R532" s="80"/>
      <c r="S532" s="82"/>
      <c r="T532" s="80"/>
      <c r="U532" s="80"/>
      <c r="V532" s="79"/>
      <c r="W532" s="80"/>
      <c r="X532" s="80"/>
    </row>
    <row r="533" spans="1:24" ht="42" customHeight="1">
      <c r="A533" s="80">
        <f t="shared" si="0"/>
        <v>531</v>
      </c>
      <c r="B533" s="51" t="str">
        <f t="shared" si="1"/>
        <v>MA</v>
      </c>
      <c r="C533" s="51" t="s">
        <v>3561</v>
      </c>
      <c r="D533" s="51" t="s">
        <v>1198</v>
      </c>
      <c r="E533" s="51" t="s">
        <v>2533</v>
      </c>
      <c r="F533" s="80"/>
      <c r="G533" s="75">
        <f>48733131209</f>
        <v>48733131209</v>
      </c>
      <c r="H533" s="80"/>
      <c r="I533" s="89" t="s">
        <v>3562</v>
      </c>
      <c r="J533" s="51" t="s">
        <v>3563</v>
      </c>
      <c r="K533" s="80"/>
      <c r="L533" s="51" t="s">
        <v>7</v>
      </c>
      <c r="M533" s="79">
        <v>44838</v>
      </c>
      <c r="N533" s="51"/>
      <c r="O533" s="80"/>
      <c r="P533" s="82"/>
      <c r="Q533" s="80"/>
      <c r="R533" s="80"/>
      <c r="S533" s="82"/>
      <c r="T533" s="80"/>
      <c r="U533" s="80"/>
      <c r="V533" s="79"/>
      <c r="W533" s="80"/>
      <c r="X533" s="80"/>
    </row>
    <row r="534" spans="1:24" ht="42" customHeight="1">
      <c r="A534" s="80">
        <f t="shared" si="0"/>
        <v>532</v>
      </c>
      <c r="B534" s="51" t="str">
        <f t="shared" si="1"/>
        <v>MA</v>
      </c>
      <c r="C534" s="51" t="s">
        <v>3564</v>
      </c>
      <c r="D534" s="51" t="s">
        <v>1198</v>
      </c>
      <c r="E534" s="51" t="s">
        <v>2533</v>
      </c>
      <c r="F534" s="80"/>
      <c r="G534" s="75">
        <f>48501104440</f>
        <v>48501104440</v>
      </c>
      <c r="H534" s="80"/>
      <c r="I534" s="122" t="s">
        <v>3565</v>
      </c>
      <c r="J534" s="51" t="s">
        <v>3566</v>
      </c>
      <c r="K534" s="80"/>
      <c r="L534" s="51" t="s">
        <v>7</v>
      </c>
      <c r="M534" s="79">
        <v>44838</v>
      </c>
      <c r="N534" s="51"/>
      <c r="O534" s="80"/>
      <c r="P534" s="82"/>
      <c r="Q534" s="80"/>
      <c r="R534" s="80"/>
      <c r="S534" s="82"/>
      <c r="T534" s="80"/>
      <c r="U534" s="80"/>
      <c r="V534" s="79"/>
      <c r="W534" s="80"/>
      <c r="X534" s="80"/>
    </row>
    <row r="535" spans="1:24" ht="42" customHeight="1">
      <c r="A535" s="80">
        <f t="shared" si="0"/>
        <v>533</v>
      </c>
      <c r="B535" s="51" t="str">
        <f t="shared" si="1"/>
        <v>MA</v>
      </c>
      <c r="C535" s="51" t="s">
        <v>3567</v>
      </c>
      <c r="D535" s="51" t="s">
        <v>1198</v>
      </c>
      <c r="E535" s="51" t="s">
        <v>2533</v>
      </c>
      <c r="F535" s="80"/>
      <c r="G535" s="75">
        <f>48609739361</f>
        <v>48609739361</v>
      </c>
      <c r="H535" s="80"/>
      <c r="I535" s="89" t="s">
        <v>3568</v>
      </c>
      <c r="J535" s="80"/>
      <c r="K535" s="80"/>
      <c r="L535" s="80"/>
      <c r="M535" s="82"/>
      <c r="N535" s="80"/>
      <c r="O535" s="80"/>
      <c r="P535" s="82"/>
      <c r="Q535" s="80"/>
      <c r="R535" s="80"/>
      <c r="S535" s="82"/>
      <c r="T535" s="80"/>
      <c r="U535" s="80"/>
      <c r="V535" s="79"/>
      <c r="W535" s="80"/>
      <c r="X535" s="80"/>
    </row>
    <row r="536" spans="1:24" ht="42" customHeight="1">
      <c r="A536" s="80">
        <f t="shared" si="0"/>
        <v>534</v>
      </c>
      <c r="B536" s="51" t="str">
        <f t="shared" si="1"/>
        <v>MA</v>
      </c>
      <c r="C536" s="51" t="s">
        <v>3569</v>
      </c>
      <c r="D536" s="51" t="s">
        <v>1198</v>
      </c>
      <c r="E536" s="51" t="s">
        <v>2533</v>
      </c>
      <c r="F536" s="80"/>
      <c r="G536" s="75">
        <f>495031972327</f>
        <v>495031972327</v>
      </c>
      <c r="H536" s="80"/>
      <c r="I536" s="89" t="s">
        <v>3570</v>
      </c>
      <c r="J536" s="80"/>
      <c r="K536" s="80"/>
      <c r="L536" s="51" t="s">
        <v>7</v>
      </c>
      <c r="M536" s="79">
        <v>44838</v>
      </c>
      <c r="N536" s="51"/>
      <c r="O536" s="80"/>
      <c r="P536" s="82"/>
      <c r="Q536" s="80"/>
      <c r="R536" s="80"/>
      <c r="S536" s="82"/>
      <c r="T536" s="80"/>
      <c r="U536" s="80"/>
      <c r="V536" s="79"/>
      <c r="W536" s="80"/>
      <c r="X536" s="80"/>
    </row>
    <row r="537" spans="1:24" ht="42" customHeight="1">
      <c r="A537" s="80">
        <f t="shared" si="0"/>
        <v>535</v>
      </c>
      <c r="B537" s="51" t="str">
        <f t="shared" si="1"/>
        <v>MA</v>
      </c>
      <c r="C537" s="51" t="s">
        <v>3571</v>
      </c>
      <c r="D537" s="51" t="s">
        <v>725</v>
      </c>
      <c r="E537" s="51" t="s">
        <v>2533</v>
      </c>
      <c r="F537" s="80"/>
      <c r="G537" s="75">
        <f>49444596220</f>
        <v>49444596220</v>
      </c>
      <c r="H537" s="80"/>
      <c r="I537" s="89" t="s">
        <v>3572</v>
      </c>
      <c r="J537" s="51" t="s">
        <v>3573</v>
      </c>
      <c r="K537" s="80"/>
      <c r="L537" s="51" t="s">
        <v>7</v>
      </c>
      <c r="M537" s="79">
        <v>44838</v>
      </c>
      <c r="N537" s="51"/>
      <c r="O537" s="80"/>
      <c r="P537" s="82"/>
      <c r="Q537" s="80"/>
      <c r="R537" s="80"/>
      <c r="S537" s="82"/>
      <c r="T537" s="80"/>
      <c r="U537" s="80"/>
      <c r="V537" s="79"/>
      <c r="W537" s="80"/>
      <c r="X537" s="80"/>
    </row>
    <row r="538" spans="1:24" ht="42" customHeight="1">
      <c r="A538" s="80">
        <f t="shared" si="0"/>
        <v>536</v>
      </c>
      <c r="B538" s="51" t="str">
        <f t="shared" si="1"/>
        <v>MA</v>
      </c>
      <c r="C538" s="51" t="s">
        <v>3574</v>
      </c>
      <c r="D538" s="51" t="s">
        <v>725</v>
      </c>
      <c r="E538" s="51" t="s">
        <v>2533</v>
      </c>
      <c r="F538" s="80"/>
      <c r="G538" s="75">
        <f>494413611570</f>
        <v>494413611570</v>
      </c>
      <c r="H538" s="80"/>
      <c r="I538" s="122" t="s">
        <v>3575</v>
      </c>
      <c r="J538" s="80"/>
      <c r="K538" s="80"/>
      <c r="L538" s="51" t="s">
        <v>7</v>
      </c>
      <c r="M538" s="79">
        <v>44838</v>
      </c>
      <c r="N538" s="51"/>
      <c r="O538" s="80"/>
      <c r="P538" s="82"/>
      <c r="Q538" s="80"/>
      <c r="R538" s="80"/>
      <c r="S538" s="82"/>
      <c r="T538" s="80"/>
      <c r="U538" s="80"/>
      <c r="V538" s="79"/>
      <c r="W538" s="80"/>
      <c r="X538" s="80"/>
    </row>
    <row r="539" spans="1:24" ht="42" customHeight="1">
      <c r="A539" s="80">
        <f t="shared" si="0"/>
        <v>537</v>
      </c>
      <c r="B539" s="51" t="str">
        <f t="shared" si="1"/>
        <v>MA</v>
      </c>
      <c r="C539" s="51" t="s">
        <v>3576</v>
      </c>
      <c r="D539" s="51" t="s">
        <v>725</v>
      </c>
      <c r="E539" s="51" t="s">
        <v>2533</v>
      </c>
      <c r="F539" s="80"/>
      <c r="G539" s="75">
        <f>4947181366</f>
        <v>4947181366</v>
      </c>
      <c r="H539" s="80"/>
      <c r="I539" s="122" t="s">
        <v>3577</v>
      </c>
      <c r="J539" s="51" t="s">
        <v>3578</v>
      </c>
      <c r="K539" s="80"/>
      <c r="L539" s="51" t="s">
        <v>7</v>
      </c>
      <c r="M539" s="79">
        <v>44838</v>
      </c>
      <c r="N539" s="51"/>
      <c r="O539" s="80"/>
      <c r="P539" s="82"/>
      <c r="Q539" s="80"/>
      <c r="R539" s="80"/>
      <c r="S539" s="82"/>
      <c r="T539" s="80"/>
      <c r="U539" s="80"/>
      <c r="V539" s="79"/>
      <c r="W539" s="80"/>
      <c r="X539" s="80"/>
    </row>
    <row r="540" spans="1:24" ht="42" customHeight="1">
      <c r="A540" s="80">
        <f t="shared" si="0"/>
        <v>538</v>
      </c>
      <c r="B540" s="51" t="str">
        <f t="shared" si="1"/>
        <v>MA</v>
      </c>
      <c r="C540" s="51" t="s">
        <v>3579</v>
      </c>
      <c r="D540" s="51" t="s">
        <v>725</v>
      </c>
      <c r="E540" s="51" t="s">
        <v>2533</v>
      </c>
      <c r="F540" s="80"/>
      <c r="G540" s="75">
        <f>4944978581840</f>
        <v>4944978581840</v>
      </c>
      <c r="H540" s="80"/>
      <c r="I540" s="122" t="s">
        <v>3580</v>
      </c>
      <c r="J540" s="51" t="s">
        <v>3581</v>
      </c>
      <c r="K540" s="80"/>
      <c r="L540" s="51" t="s">
        <v>7</v>
      </c>
      <c r="M540" s="79">
        <v>44838</v>
      </c>
      <c r="N540" s="51"/>
      <c r="O540" s="80"/>
      <c r="P540" s="82"/>
      <c r="Q540" s="80"/>
      <c r="R540" s="80"/>
      <c r="S540" s="82"/>
      <c r="T540" s="80"/>
      <c r="U540" s="80"/>
      <c r="V540" s="79"/>
      <c r="W540" s="80"/>
      <c r="X540" s="80"/>
    </row>
    <row r="541" spans="1:24" ht="42" customHeight="1">
      <c r="A541" s="80">
        <f t="shared" si="0"/>
        <v>539</v>
      </c>
      <c r="B541" s="51" t="str">
        <f t="shared" si="1"/>
        <v>MA</v>
      </c>
      <c r="C541" s="85" t="s">
        <v>854</v>
      </c>
      <c r="D541" s="51" t="s">
        <v>601</v>
      </c>
      <c r="E541" s="51" t="s">
        <v>2533</v>
      </c>
      <c r="F541" s="80"/>
      <c r="G541" s="75" t="s">
        <v>855</v>
      </c>
      <c r="H541" s="80"/>
      <c r="I541" s="76"/>
      <c r="J541" s="80"/>
      <c r="K541" s="80"/>
      <c r="L541" s="51" t="s">
        <v>2999</v>
      </c>
      <c r="M541" s="79">
        <v>44838</v>
      </c>
      <c r="N541" s="51"/>
      <c r="O541" s="51" t="s">
        <v>78</v>
      </c>
      <c r="P541" s="79">
        <v>44852</v>
      </c>
      <c r="Q541" s="51" t="s">
        <v>2538</v>
      </c>
      <c r="R541" s="80"/>
      <c r="S541" s="82"/>
      <c r="T541" s="80"/>
      <c r="U541" s="80"/>
      <c r="V541" s="79"/>
      <c r="W541" s="80"/>
      <c r="X541" s="80"/>
    </row>
    <row r="542" spans="1:24" ht="42" customHeight="1">
      <c r="A542" s="80">
        <f t="shared" si="0"/>
        <v>540</v>
      </c>
      <c r="B542" s="51" t="str">
        <f t="shared" si="1"/>
        <v>MA</v>
      </c>
      <c r="C542" s="51" t="s">
        <v>3582</v>
      </c>
      <c r="D542" s="51" t="s">
        <v>725</v>
      </c>
      <c r="E542" s="51" t="s">
        <v>2533</v>
      </c>
      <c r="F542" s="80"/>
      <c r="G542" s="75">
        <f>494765830421</f>
        <v>494765830421</v>
      </c>
      <c r="H542" s="80"/>
      <c r="I542" s="89" t="s">
        <v>3583</v>
      </c>
      <c r="J542" s="80"/>
      <c r="K542" s="80"/>
      <c r="L542" s="51" t="s">
        <v>7</v>
      </c>
      <c r="M542" s="79">
        <v>44838</v>
      </c>
      <c r="N542" s="51"/>
      <c r="O542" s="80"/>
      <c r="P542" s="82"/>
      <c r="Q542" s="80"/>
      <c r="R542" s="80"/>
      <c r="S542" s="82"/>
      <c r="T542" s="80"/>
      <c r="U542" s="80"/>
      <c r="V542" s="79"/>
      <c r="W542" s="80"/>
      <c r="X542" s="80"/>
    </row>
    <row r="543" spans="1:24" ht="42" customHeight="1">
      <c r="A543" s="80">
        <f t="shared" si="0"/>
        <v>541</v>
      </c>
      <c r="B543" s="51" t="str">
        <f t="shared" si="1"/>
        <v>MA</v>
      </c>
      <c r="C543" s="51" t="s">
        <v>3584</v>
      </c>
      <c r="D543" s="51" t="s">
        <v>725</v>
      </c>
      <c r="E543" s="51" t="s">
        <v>2533</v>
      </c>
      <c r="F543" s="80"/>
      <c r="G543" s="75">
        <f>4947178135</f>
        <v>4947178135</v>
      </c>
      <c r="H543" s="80"/>
      <c r="I543" s="89" t="s">
        <v>3585</v>
      </c>
      <c r="J543" s="80"/>
      <c r="K543" s="80"/>
      <c r="L543" s="51" t="s">
        <v>78</v>
      </c>
      <c r="M543" s="82"/>
      <c r="N543" s="80"/>
      <c r="O543" s="80"/>
      <c r="P543" s="82"/>
      <c r="Q543" s="80"/>
      <c r="R543" s="80"/>
      <c r="S543" s="82"/>
      <c r="T543" s="80"/>
      <c r="U543" s="80"/>
      <c r="V543" s="79"/>
      <c r="W543" s="80"/>
      <c r="X543" s="80"/>
    </row>
    <row r="544" spans="1:24" ht="42" customHeight="1">
      <c r="A544" s="80">
        <f t="shared" si="0"/>
        <v>542</v>
      </c>
      <c r="B544" s="51" t="str">
        <f t="shared" si="1"/>
        <v>MA</v>
      </c>
      <c r="C544" s="51" t="s">
        <v>3586</v>
      </c>
      <c r="D544" s="51" t="s">
        <v>725</v>
      </c>
      <c r="E544" s="51" t="s">
        <v>2533</v>
      </c>
      <c r="F544" s="80"/>
      <c r="G544" s="75">
        <f>49531848065</f>
        <v>49531848065</v>
      </c>
      <c r="H544" s="80"/>
      <c r="I544" s="89" t="s">
        <v>3587</v>
      </c>
      <c r="J544" s="80"/>
      <c r="K544" s="80"/>
      <c r="L544" s="80"/>
      <c r="M544" s="82"/>
      <c r="N544" s="80"/>
      <c r="O544" s="80"/>
      <c r="P544" s="82"/>
      <c r="Q544" s="80"/>
      <c r="R544" s="80"/>
      <c r="S544" s="82"/>
      <c r="T544" s="80"/>
      <c r="U544" s="80"/>
      <c r="V544" s="79"/>
      <c r="W544" s="80"/>
      <c r="X544" s="80"/>
    </row>
    <row r="545" spans="1:24" ht="42" customHeight="1">
      <c r="A545" s="80">
        <f t="shared" si="0"/>
        <v>543</v>
      </c>
      <c r="B545" s="51" t="str">
        <f t="shared" si="1"/>
        <v>MA</v>
      </c>
      <c r="C545" s="51" t="s">
        <v>3588</v>
      </c>
      <c r="D545" s="51" t="s">
        <v>725</v>
      </c>
      <c r="E545" s="51" t="s">
        <v>2533</v>
      </c>
      <c r="F545" s="80"/>
      <c r="G545" s="107">
        <f>4944078929</f>
        <v>4944078929</v>
      </c>
      <c r="H545" s="80"/>
      <c r="I545" s="89" t="s">
        <v>3589</v>
      </c>
      <c r="J545" s="80"/>
      <c r="K545" s="80"/>
      <c r="L545" s="51" t="s">
        <v>7</v>
      </c>
      <c r="M545" s="79">
        <v>44838</v>
      </c>
      <c r="N545" s="51"/>
      <c r="O545" s="80"/>
      <c r="P545" s="82"/>
      <c r="Q545" s="80"/>
      <c r="R545" s="80"/>
      <c r="S545" s="82"/>
      <c r="T545" s="80"/>
      <c r="U545" s="80"/>
      <c r="V545" s="79"/>
      <c r="W545" s="80"/>
      <c r="X545" s="80"/>
    </row>
    <row r="546" spans="1:24" ht="42" customHeight="1">
      <c r="A546" s="80">
        <f t="shared" si="0"/>
        <v>544</v>
      </c>
      <c r="B546" s="51" t="str">
        <f t="shared" si="1"/>
        <v>MA</v>
      </c>
      <c r="C546" s="51" t="s">
        <v>3590</v>
      </c>
      <c r="D546" s="51" t="s">
        <v>3591</v>
      </c>
      <c r="E546" s="51" t="s">
        <v>2547</v>
      </c>
      <c r="F546" s="80"/>
      <c r="G546" s="75" t="s">
        <v>3592</v>
      </c>
      <c r="H546" s="80"/>
      <c r="I546" s="76"/>
      <c r="J546" s="80"/>
      <c r="K546" s="80"/>
      <c r="L546" s="51" t="s">
        <v>78</v>
      </c>
      <c r="M546" s="79">
        <v>44838</v>
      </c>
      <c r="N546" s="51"/>
      <c r="O546" s="80"/>
      <c r="P546" s="82"/>
      <c r="Q546" s="80"/>
      <c r="R546" s="80"/>
      <c r="S546" s="82"/>
      <c r="T546" s="80"/>
      <c r="U546" s="80"/>
      <c r="V546" s="79"/>
      <c r="W546" s="80"/>
      <c r="X546" s="80"/>
    </row>
    <row r="547" spans="1:24" ht="42" customHeight="1">
      <c r="A547" s="80">
        <f t="shared" si="0"/>
        <v>545</v>
      </c>
      <c r="B547" s="51" t="str">
        <f t="shared" si="1"/>
        <v>MA</v>
      </c>
      <c r="C547" s="51" t="s">
        <v>3593</v>
      </c>
      <c r="D547" s="51" t="s">
        <v>725</v>
      </c>
      <c r="E547" s="51" t="s">
        <v>2533</v>
      </c>
      <c r="F547" s="80"/>
      <c r="G547" s="75">
        <f>493034389749</f>
        <v>493034389749</v>
      </c>
      <c r="H547" s="80"/>
      <c r="I547" s="89" t="s">
        <v>3594</v>
      </c>
      <c r="J547" s="51" t="s">
        <v>3595</v>
      </c>
      <c r="K547" s="80"/>
      <c r="L547" s="51" t="s">
        <v>7</v>
      </c>
      <c r="M547" s="79">
        <v>44838</v>
      </c>
      <c r="N547" s="51"/>
      <c r="O547" s="80"/>
      <c r="P547" s="82"/>
      <c r="Q547" s="80"/>
      <c r="R547" s="80"/>
      <c r="S547" s="82"/>
      <c r="T547" s="80"/>
      <c r="U547" s="80"/>
      <c r="V547" s="79"/>
      <c r="W547" s="80"/>
      <c r="X547" s="80"/>
    </row>
    <row r="548" spans="1:24" ht="42" customHeight="1">
      <c r="A548" s="80">
        <f t="shared" si="0"/>
        <v>546</v>
      </c>
      <c r="B548" s="51" t="str">
        <f t="shared" si="1"/>
        <v>MA</v>
      </c>
      <c r="C548" s="51" t="s">
        <v>3596</v>
      </c>
      <c r="D548" s="51" t="s">
        <v>725</v>
      </c>
      <c r="E548" s="51" t="s">
        <v>2533</v>
      </c>
      <c r="F548" s="80"/>
      <c r="G548" s="75">
        <f>491715293703</f>
        <v>491715293703</v>
      </c>
      <c r="H548" s="80"/>
      <c r="I548" s="89" t="s">
        <v>3597</v>
      </c>
      <c r="J548" s="80"/>
      <c r="K548" s="80"/>
      <c r="L548" s="51" t="s">
        <v>78</v>
      </c>
      <c r="M548" s="79">
        <v>44838</v>
      </c>
      <c r="N548" s="51"/>
      <c r="O548" s="80"/>
      <c r="P548" s="82"/>
      <c r="Q548" s="80"/>
      <c r="R548" s="80"/>
      <c r="S548" s="82"/>
      <c r="T548" s="80"/>
      <c r="U548" s="80"/>
      <c r="V548" s="79"/>
      <c r="W548" s="80"/>
      <c r="X548" s="80"/>
    </row>
    <row r="549" spans="1:24" ht="42" customHeight="1">
      <c r="A549" s="80">
        <f t="shared" si="0"/>
        <v>547</v>
      </c>
      <c r="B549" s="51" t="str">
        <f t="shared" si="1"/>
        <v>MA</v>
      </c>
      <c r="C549" s="51" t="s">
        <v>3598</v>
      </c>
      <c r="D549" s="51" t="s">
        <v>725</v>
      </c>
      <c r="E549" s="51" t="s">
        <v>2533</v>
      </c>
      <c r="F549" s="80"/>
      <c r="G549" s="75">
        <f>4933794381063</f>
        <v>4933794381063</v>
      </c>
      <c r="H549" s="80"/>
      <c r="I549" s="89" t="s">
        <v>3599</v>
      </c>
      <c r="J549" s="51" t="s">
        <v>3600</v>
      </c>
      <c r="K549" s="80"/>
      <c r="L549" s="51" t="s">
        <v>7</v>
      </c>
      <c r="M549" s="79">
        <v>44838</v>
      </c>
      <c r="N549" s="51"/>
      <c r="O549" s="80"/>
      <c r="P549" s="82"/>
      <c r="Q549" s="80"/>
      <c r="R549" s="80"/>
      <c r="S549" s="82"/>
      <c r="T549" s="80"/>
      <c r="U549" s="80"/>
      <c r="V549" s="79"/>
      <c r="W549" s="80"/>
      <c r="X549" s="80"/>
    </row>
    <row r="550" spans="1:24" ht="42" customHeight="1">
      <c r="A550" s="80">
        <f t="shared" si="0"/>
        <v>548</v>
      </c>
      <c r="B550" s="51" t="str">
        <f t="shared" si="1"/>
        <v>MA</v>
      </c>
      <c r="C550" s="51" t="s">
        <v>3601</v>
      </c>
      <c r="D550" s="51" t="s">
        <v>725</v>
      </c>
      <c r="E550" s="51" t="s">
        <v>2533</v>
      </c>
      <c r="F550" s="80"/>
      <c r="G550" s="75">
        <f>493062930500</f>
        <v>493062930500</v>
      </c>
      <c r="H550" s="80"/>
      <c r="I550" s="54" t="s">
        <v>3602</v>
      </c>
      <c r="J550" s="80"/>
      <c r="K550" s="80"/>
      <c r="L550" s="51" t="s">
        <v>7</v>
      </c>
      <c r="M550" s="79">
        <v>44838</v>
      </c>
      <c r="N550" s="51"/>
      <c r="O550" s="80"/>
      <c r="P550" s="82"/>
      <c r="Q550" s="80"/>
      <c r="R550" s="80"/>
      <c r="S550" s="82"/>
      <c r="T550" s="80"/>
      <c r="U550" s="80"/>
      <c r="V550" s="79"/>
      <c r="W550" s="80"/>
      <c r="X550" s="80"/>
    </row>
    <row r="551" spans="1:24" ht="42" customHeight="1">
      <c r="A551" s="80">
        <f t="shared" si="0"/>
        <v>549</v>
      </c>
      <c r="B551" s="51" t="str">
        <f t="shared" si="1"/>
        <v>MA</v>
      </c>
      <c r="C551" s="51" t="s">
        <v>3603</v>
      </c>
      <c r="D551" s="51" t="s">
        <v>725</v>
      </c>
      <c r="E551" s="51" t="s">
        <v>2533</v>
      </c>
      <c r="F551" s="80"/>
      <c r="G551" s="75">
        <f>49305771342110</f>
        <v>49305771342110</v>
      </c>
      <c r="H551" s="80"/>
      <c r="I551" s="89" t="s">
        <v>3604</v>
      </c>
      <c r="J551" s="51" t="s">
        <v>3605</v>
      </c>
      <c r="K551" s="80"/>
      <c r="L551" s="51" t="s">
        <v>7</v>
      </c>
      <c r="M551" s="79">
        <v>44838</v>
      </c>
      <c r="N551" s="51"/>
      <c r="O551" s="80"/>
      <c r="P551" s="82"/>
      <c r="Q551" s="80"/>
      <c r="R551" s="80"/>
      <c r="S551" s="82"/>
      <c r="T551" s="80"/>
      <c r="U551" s="80"/>
      <c r="V551" s="79"/>
      <c r="W551" s="80"/>
      <c r="X551" s="80"/>
    </row>
    <row r="552" spans="1:24" ht="42" customHeight="1">
      <c r="A552" s="80">
        <f t="shared" si="0"/>
        <v>550</v>
      </c>
      <c r="B552" s="51" t="str">
        <f t="shared" si="1"/>
        <v>MA</v>
      </c>
      <c r="C552" s="51" t="s">
        <v>3606</v>
      </c>
      <c r="D552" s="51" t="s">
        <v>725</v>
      </c>
      <c r="E552" s="51" t="s">
        <v>2533</v>
      </c>
      <c r="F552" s="80"/>
      <c r="G552" s="75">
        <f>493040998660</f>
        <v>493040998660</v>
      </c>
      <c r="H552" s="80"/>
      <c r="I552" s="89" t="s">
        <v>3607</v>
      </c>
      <c r="J552" s="80"/>
      <c r="K552" s="80"/>
      <c r="L552" s="80"/>
      <c r="M552" s="82"/>
      <c r="N552" s="80"/>
      <c r="O552" s="80"/>
      <c r="P552" s="82"/>
      <c r="Q552" s="80"/>
      <c r="R552" s="80"/>
      <c r="S552" s="82"/>
      <c r="T552" s="80"/>
      <c r="U552" s="80"/>
      <c r="V552" s="79"/>
      <c r="W552" s="80"/>
      <c r="X552" s="80"/>
    </row>
    <row r="553" spans="1:24" ht="42" customHeight="1">
      <c r="A553" s="80">
        <f t="shared" si="0"/>
        <v>551</v>
      </c>
      <c r="B553" s="51" t="str">
        <f t="shared" si="1"/>
        <v>MA</v>
      </c>
      <c r="C553" s="51" t="s">
        <v>3608</v>
      </c>
      <c r="D553" s="51" t="s">
        <v>725</v>
      </c>
      <c r="E553" s="51" t="s">
        <v>2533</v>
      </c>
      <c r="F553" s="80"/>
      <c r="G553" s="75">
        <f>493098508222</f>
        <v>493098508222</v>
      </c>
      <c r="H553" s="80"/>
      <c r="I553" s="89" t="s">
        <v>3609</v>
      </c>
      <c r="J553" s="94" t="s">
        <v>3610</v>
      </c>
      <c r="K553" s="80"/>
      <c r="L553" s="51" t="s">
        <v>7</v>
      </c>
      <c r="M553" s="79">
        <v>44838</v>
      </c>
      <c r="N553" s="51"/>
      <c r="O553" s="80"/>
      <c r="P553" s="82"/>
      <c r="Q553" s="80"/>
      <c r="R553" s="80"/>
      <c r="S553" s="82"/>
      <c r="T553" s="80"/>
      <c r="U553" s="80"/>
      <c r="V553" s="79"/>
      <c r="W553" s="80"/>
      <c r="X553" s="80"/>
    </row>
    <row r="554" spans="1:24" ht="42" customHeight="1">
      <c r="A554" s="80">
        <f t="shared" si="0"/>
        <v>552</v>
      </c>
      <c r="B554" s="51" t="str">
        <f t="shared" si="1"/>
        <v>MA</v>
      </c>
      <c r="C554" s="51" t="s">
        <v>3611</v>
      </c>
      <c r="D554" s="51" t="s">
        <v>2839</v>
      </c>
      <c r="E554" s="51" t="s">
        <v>2533</v>
      </c>
      <c r="F554" s="80"/>
      <c r="G554" s="75" t="s">
        <v>3612</v>
      </c>
      <c r="H554" s="80"/>
      <c r="I554" s="76"/>
      <c r="J554" s="77" t="s">
        <v>3613</v>
      </c>
      <c r="K554" s="80"/>
      <c r="L554" s="51" t="s">
        <v>78</v>
      </c>
      <c r="M554" s="79">
        <v>44841</v>
      </c>
      <c r="N554" s="51"/>
      <c r="O554" s="80"/>
      <c r="P554" s="82"/>
      <c r="Q554" s="80"/>
      <c r="R554" s="80"/>
      <c r="S554" s="82"/>
      <c r="T554" s="80"/>
      <c r="U554" s="80"/>
      <c r="V554" s="79"/>
      <c r="W554" s="80"/>
      <c r="X554" s="80"/>
    </row>
    <row r="555" spans="1:24" ht="42" customHeight="1">
      <c r="A555" s="80">
        <f t="shared" si="0"/>
        <v>553</v>
      </c>
      <c r="B555" s="51" t="str">
        <f t="shared" si="1"/>
        <v>MA</v>
      </c>
      <c r="C555" s="51" t="s">
        <v>3614</v>
      </c>
      <c r="D555" s="51" t="s">
        <v>2839</v>
      </c>
      <c r="E555" s="51" t="s">
        <v>2533</v>
      </c>
      <c r="F555" s="80"/>
      <c r="G555" s="75" t="s">
        <v>3615</v>
      </c>
      <c r="H555" s="80"/>
      <c r="I555" s="76"/>
      <c r="J555" s="96" t="s">
        <v>3616</v>
      </c>
      <c r="K555" s="80"/>
      <c r="L555" s="51" t="s">
        <v>78</v>
      </c>
      <c r="M555" s="79">
        <v>44841</v>
      </c>
      <c r="N555" s="51"/>
      <c r="O555" s="80"/>
      <c r="P555" s="82"/>
      <c r="Q555" s="80"/>
      <c r="R555" s="80"/>
      <c r="S555" s="82"/>
      <c r="T555" s="80"/>
      <c r="U555" s="80"/>
      <c r="V555" s="79"/>
      <c r="W555" s="80"/>
      <c r="X555" s="80"/>
    </row>
    <row r="556" spans="1:24" ht="42" customHeight="1">
      <c r="A556" s="80">
        <f t="shared" si="0"/>
        <v>554</v>
      </c>
      <c r="B556" s="51" t="str">
        <f t="shared" si="1"/>
        <v>MA</v>
      </c>
      <c r="C556" s="51" t="s">
        <v>3617</v>
      </c>
      <c r="D556" s="51" t="s">
        <v>2839</v>
      </c>
      <c r="E556" s="51" t="s">
        <v>2533</v>
      </c>
      <c r="F556" s="80"/>
      <c r="G556" s="75" t="s">
        <v>3618</v>
      </c>
      <c r="H556" s="51" t="s">
        <v>3619</v>
      </c>
      <c r="I556" s="76"/>
      <c r="J556" s="80"/>
      <c r="K556" s="80"/>
      <c r="L556" s="51" t="s">
        <v>78</v>
      </c>
      <c r="M556" s="79">
        <v>44841</v>
      </c>
      <c r="N556" s="51"/>
      <c r="O556" s="51" t="s">
        <v>98</v>
      </c>
      <c r="P556" s="79">
        <v>44848</v>
      </c>
      <c r="Q556" s="51" t="s">
        <v>2561</v>
      </c>
      <c r="R556" s="80"/>
      <c r="S556" s="82"/>
      <c r="T556" s="80"/>
      <c r="U556" s="80"/>
      <c r="V556" s="79"/>
      <c r="W556" s="80"/>
      <c r="X556" s="80"/>
    </row>
    <row r="557" spans="1:24" ht="42" customHeight="1">
      <c r="A557" s="80">
        <f t="shared" si="0"/>
        <v>555</v>
      </c>
      <c r="B557" s="51" t="str">
        <f t="shared" si="1"/>
        <v>MA</v>
      </c>
      <c r="C557" s="132" t="s">
        <v>3620</v>
      </c>
      <c r="D557" s="51" t="s">
        <v>2839</v>
      </c>
      <c r="E557" s="51" t="s">
        <v>2533</v>
      </c>
      <c r="F557" s="80"/>
      <c r="G557" s="75" t="s">
        <v>3621</v>
      </c>
      <c r="H557" s="80"/>
      <c r="I557" s="76"/>
      <c r="J557" s="77" t="s">
        <v>3622</v>
      </c>
      <c r="K557" s="80"/>
      <c r="L557" s="51" t="s">
        <v>78</v>
      </c>
      <c r="M557" s="79">
        <v>44841</v>
      </c>
      <c r="N557" s="51"/>
      <c r="O557" s="51" t="s">
        <v>78</v>
      </c>
      <c r="P557" s="79"/>
      <c r="Q557" s="80"/>
      <c r="R557" s="80"/>
      <c r="S557" s="82"/>
      <c r="T557" s="80"/>
      <c r="U557" s="80"/>
      <c r="V557" s="79"/>
      <c r="W557" s="80"/>
      <c r="X557" s="51" t="s">
        <v>3623</v>
      </c>
    </row>
    <row r="558" spans="1:24" ht="42" customHeight="1">
      <c r="A558" s="80">
        <f t="shared" si="0"/>
        <v>556</v>
      </c>
      <c r="B558" s="51" t="str">
        <f t="shared" si="1"/>
        <v>MA</v>
      </c>
      <c r="C558" s="51" t="s">
        <v>3624</v>
      </c>
      <c r="D558" s="51" t="s">
        <v>2839</v>
      </c>
      <c r="E558" s="51" t="s">
        <v>2533</v>
      </c>
      <c r="F558" s="80"/>
      <c r="G558" s="75" t="s">
        <v>3625</v>
      </c>
      <c r="H558" s="80"/>
      <c r="I558" s="76"/>
      <c r="J558" s="80"/>
      <c r="K558" s="80"/>
      <c r="L558" s="51" t="s">
        <v>78</v>
      </c>
      <c r="M558" s="79">
        <v>44841</v>
      </c>
      <c r="N558" s="51"/>
      <c r="O558" s="51" t="s">
        <v>78</v>
      </c>
      <c r="P558" s="79">
        <v>44848</v>
      </c>
      <c r="Q558" s="51" t="s">
        <v>2561</v>
      </c>
      <c r="R558" s="80"/>
      <c r="S558" s="82"/>
      <c r="T558" s="80"/>
      <c r="U558" s="80"/>
      <c r="V558" s="79"/>
      <c r="W558" s="80"/>
      <c r="X558" s="80"/>
    </row>
    <row r="559" spans="1:24" ht="42" customHeight="1">
      <c r="A559" s="80">
        <f t="shared" si="0"/>
        <v>557</v>
      </c>
      <c r="B559" s="51" t="str">
        <f t="shared" si="1"/>
        <v>MA</v>
      </c>
      <c r="C559" s="51" t="s">
        <v>3626</v>
      </c>
      <c r="D559" s="51" t="s">
        <v>2839</v>
      </c>
      <c r="E559" s="51" t="s">
        <v>2547</v>
      </c>
      <c r="F559" s="80"/>
      <c r="G559" s="75" t="s">
        <v>3627</v>
      </c>
      <c r="H559" s="80"/>
      <c r="I559" s="76"/>
      <c r="J559" s="77" t="s">
        <v>3628</v>
      </c>
      <c r="K559" s="80"/>
      <c r="L559" s="51" t="s">
        <v>78</v>
      </c>
      <c r="M559" s="79">
        <v>44841</v>
      </c>
      <c r="N559" s="51"/>
      <c r="O559" s="51" t="s">
        <v>7</v>
      </c>
      <c r="P559" s="79">
        <v>44862</v>
      </c>
      <c r="Q559" s="51" t="s">
        <v>2551</v>
      </c>
      <c r="R559" s="80"/>
      <c r="S559" s="82"/>
      <c r="T559" s="80"/>
      <c r="U559" s="80"/>
      <c r="V559" s="79"/>
      <c r="W559" s="80"/>
      <c r="X559" s="80"/>
    </row>
    <row r="560" spans="1:24" ht="42" customHeight="1">
      <c r="A560" s="80">
        <f t="shared" si="0"/>
        <v>558</v>
      </c>
      <c r="B560" s="51" t="str">
        <f t="shared" si="1"/>
        <v>MA</v>
      </c>
      <c r="C560" s="51" t="s">
        <v>3629</v>
      </c>
      <c r="D560" s="51" t="s">
        <v>2839</v>
      </c>
      <c r="E560" s="51" t="s">
        <v>2547</v>
      </c>
      <c r="F560" s="80"/>
      <c r="G560" s="75" t="s">
        <v>3630</v>
      </c>
      <c r="H560" s="80"/>
      <c r="I560" s="76"/>
      <c r="J560" s="56" t="s">
        <v>3631</v>
      </c>
      <c r="K560" s="80"/>
      <c r="L560" s="51" t="s">
        <v>78</v>
      </c>
      <c r="M560" s="79">
        <v>44841</v>
      </c>
      <c r="N560" s="51"/>
      <c r="O560" s="51" t="s">
        <v>78</v>
      </c>
      <c r="P560" s="79">
        <v>44848</v>
      </c>
      <c r="Q560" s="51" t="s">
        <v>2538</v>
      </c>
      <c r="R560" s="80"/>
      <c r="S560" s="82"/>
      <c r="T560" s="80"/>
      <c r="U560" s="80"/>
      <c r="V560" s="79"/>
      <c r="W560" s="80"/>
      <c r="X560" s="80"/>
    </row>
    <row r="561" spans="1:24" ht="42" customHeight="1">
      <c r="A561" s="80">
        <f t="shared" si="0"/>
        <v>559</v>
      </c>
      <c r="B561" s="51" t="str">
        <f t="shared" si="1"/>
        <v>MA</v>
      </c>
      <c r="C561" s="51" t="s">
        <v>3632</v>
      </c>
      <c r="D561" s="51" t="s">
        <v>2839</v>
      </c>
      <c r="E561" s="51" t="s">
        <v>2533</v>
      </c>
      <c r="F561" s="80"/>
      <c r="G561" s="75" t="s">
        <v>3633</v>
      </c>
      <c r="H561" s="80"/>
      <c r="I561" s="76"/>
      <c r="J561" s="77" t="s">
        <v>3634</v>
      </c>
      <c r="K561" s="80"/>
      <c r="L561" s="51" t="s">
        <v>78</v>
      </c>
      <c r="M561" s="79">
        <v>44841</v>
      </c>
      <c r="N561" s="51"/>
      <c r="O561" s="80"/>
      <c r="P561" s="82"/>
      <c r="Q561" s="80"/>
      <c r="R561" s="80"/>
      <c r="S561" s="82"/>
      <c r="T561" s="80"/>
      <c r="U561" s="80"/>
      <c r="V561" s="79"/>
      <c r="W561" s="80"/>
      <c r="X561" s="80"/>
    </row>
    <row r="562" spans="1:24" ht="42" customHeight="1">
      <c r="A562" s="80">
        <f t="shared" si="0"/>
        <v>560</v>
      </c>
      <c r="B562" s="51" t="str">
        <f t="shared" si="1"/>
        <v>MA</v>
      </c>
      <c r="C562" s="51" t="s">
        <v>3635</v>
      </c>
      <c r="D562" s="51" t="s">
        <v>2839</v>
      </c>
      <c r="E562" s="51" t="s">
        <v>2547</v>
      </c>
      <c r="F562" s="80"/>
      <c r="G562" s="75" t="s">
        <v>3636</v>
      </c>
      <c r="H562" s="80"/>
      <c r="I562" s="76"/>
      <c r="J562" s="96" t="s">
        <v>3637</v>
      </c>
      <c r="K562" s="80"/>
      <c r="L562" s="51" t="s">
        <v>78</v>
      </c>
      <c r="M562" s="79">
        <v>44841</v>
      </c>
      <c r="N562" s="51"/>
      <c r="O562" s="51" t="s">
        <v>78</v>
      </c>
      <c r="P562" s="79">
        <v>44848</v>
      </c>
      <c r="Q562" s="51" t="s">
        <v>2699</v>
      </c>
      <c r="R562" s="80"/>
      <c r="S562" s="82"/>
      <c r="T562" s="80"/>
      <c r="U562" s="80"/>
      <c r="V562" s="79"/>
      <c r="W562" s="80"/>
      <c r="X562" s="51" t="s">
        <v>3638</v>
      </c>
    </row>
    <row r="563" spans="1:24" ht="42" customHeight="1">
      <c r="A563" s="80">
        <f t="shared" si="0"/>
        <v>561</v>
      </c>
      <c r="B563" s="51" t="str">
        <f t="shared" si="1"/>
        <v>MA</v>
      </c>
      <c r="C563" s="51" t="s">
        <v>3639</v>
      </c>
      <c r="D563" s="51" t="s">
        <v>2839</v>
      </c>
      <c r="E563" s="51" t="s">
        <v>2533</v>
      </c>
      <c r="F563" s="80"/>
      <c r="G563" s="75" t="s">
        <v>3640</v>
      </c>
      <c r="H563" s="80"/>
      <c r="I563" s="76"/>
      <c r="J563" s="80"/>
      <c r="K563" s="80"/>
      <c r="L563" s="51" t="s">
        <v>78</v>
      </c>
      <c r="M563" s="79">
        <v>44841</v>
      </c>
      <c r="N563" s="51"/>
      <c r="O563" s="80"/>
      <c r="P563" s="82"/>
      <c r="Q563" s="80"/>
      <c r="R563" s="80"/>
      <c r="S563" s="82"/>
      <c r="T563" s="80"/>
      <c r="U563" s="80"/>
      <c r="V563" s="79"/>
      <c r="W563" s="80"/>
      <c r="X563" s="80"/>
    </row>
    <row r="564" spans="1:24" ht="42" customHeight="1">
      <c r="A564" s="80">
        <f t="shared" si="0"/>
        <v>562</v>
      </c>
      <c r="B564" s="51" t="str">
        <f t="shared" si="1"/>
        <v>MA</v>
      </c>
      <c r="C564" s="51" t="s">
        <v>3641</v>
      </c>
      <c r="D564" s="51" t="s">
        <v>995</v>
      </c>
      <c r="E564" s="51" t="s">
        <v>2547</v>
      </c>
      <c r="F564" s="80"/>
      <c r="G564" s="133" t="s">
        <v>3642</v>
      </c>
      <c r="H564" s="80"/>
      <c r="I564" s="76"/>
      <c r="J564" s="77" t="s">
        <v>3643</v>
      </c>
      <c r="K564" s="80"/>
      <c r="L564" s="51" t="s">
        <v>78</v>
      </c>
      <c r="M564" s="79">
        <v>44841</v>
      </c>
      <c r="N564" s="51"/>
      <c r="O564" s="80"/>
      <c r="P564" s="82"/>
      <c r="Q564" s="80"/>
      <c r="R564" s="80"/>
      <c r="S564" s="82"/>
      <c r="T564" s="80"/>
      <c r="U564" s="80"/>
      <c r="V564" s="79"/>
      <c r="W564" s="80"/>
      <c r="X564" s="80"/>
    </row>
    <row r="565" spans="1:24" ht="42" customHeight="1">
      <c r="A565" s="80">
        <f t="shared" si="0"/>
        <v>563</v>
      </c>
      <c r="B565" s="51" t="str">
        <f t="shared" si="1"/>
        <v>MA</v>
      </c>
      <c r="C565" s="51" t="s">
        <v>3644</v>
      </c>
      <c r="D565" s="51" t="s">
        <v>995</v>
      </c>
      <c r="E565" s="51" t="s">
        <v>2533</v>
      </c>
      <c r="F565" s="80"/>
      <c r="G565" s="134" t="s">
        <v>3645</v>
      </c>
      <c r="H565" s="80"/>
      <c r="I565" s="76"/>
      <c r="J565" s="77" t="s">
        <v>3646</v>
      </c>
      <c r="K565" s="80"/>
      <c r="L565" s="51" t="s">
        <v>78</v>
      </c>
      <c r="M565" s="79">
        <v>44841</v>
      </c>
      <c r="N565" s="51"/>
      <c r="O565" s="80"/>
      <c r="P565" s="82"/>
      <c r="Q565" s="80"/>
      <c r="R565" s="80"/>
      <c r="S565" s="82"/>
      <c r="T565" s="80"/>
      <c r="U565" s="80"/>
      <c r="V565" s="79"/>
      <c r="W565" s="80"/>
      <c r="X565" s="80"/>
    </row>
    <row r="566" spans="1:24" ht="42" customHeight="1">
      <c r="A566" s="80">
        <f t="shared" si="0"/>
        <v>564</v>
      </c>
      <c r="B566" s="51" t="str">
        <f t="shared" si="1"/>
        <v>MA</v>
      </c>
      <c r="C566" s="51" t="s">
        <v>3647</v>
      </c>
      <c r="D566" s="51" t="s">
        <v>995</v>
      </c>
      <c r="E566" s="51" t="s">
        <v>2533</v>
      </c>
      <c r="F566" s="80"/>
      <c r="G566" s="75" t="s">
        <v>3648</v>
      </c>
      <c r="H566" s="80"/>
      <c r="I566" s="76"/>
      <c r="J566" s="77" t="s">
        <v>3649</v>
      </c>
      <c r="K566" s="80"/>
      <c r="L566" s="51" t="s">
        <v>78</v>
      </c>
      <c r="M566" s="79">
        <v>44841</v>
      </c>
      <c r="N566" s="51"/>
      <c r="O566" s="80"/>
      <c r="P566" s="82"/>
      <c r="Q566" s="80"/>
      <c r="R566" s="80"/>
      <c r="S566" s="82"/>
      <c r="T566" s="80"/>
      <c r="U566" s="80"/>
      <c r="V566" s="79"/>
      <c r="W566" s="80"/>
      <c r="X566" s="80"/>
    </row>
    <row r="567" spans="1:24" ht="42" customHeight="1">
      <c r="A567" s="80">
        <f t="shared" si="0"/>
        <v>565</v>
      </c>
      <c r="B567" s="51" t="str">
        <f t="shared" si="1"/>
        <v>MA</v>
      </c>
      <c r="C567" s="51" t="s">
        <v>994</v>
      </c>
      <c r="D567" s="51" t="s">
        <v>995</v>
      </c>
      <c r="E567" s="51" t="s">
        <v>2533</v>
      </c>
      <c r="F567" s="80"/>
      <c r="G567" s="75" t="s">
        <v>3650</v>
      </c>
      <c r="H567" s="51" t="s">
        <v>3651</v>
      </c>
      <c r="I567" s="76"/>
      <c r="J567" s="77" t="s">
        <v>3652</v>
      </c>
      <c r="K567" s="80"/>
      <c r="L567" s="51" t="s">
        <v>78</v>
      </c>
      <c r="M567" s="79">
        <v>44841</v>
      </c>
      <c r="N567" s="51" t="s">
        <v>2551</v>
      </c>
      <c r="O567" s="51" t="s">
        <v>78</v>
      </c>
      <c r="P567" s="79">
        <v>44855</v>
      </c>
      <c r="Q567" s="51" t="s">
        <v>2538</v>
      </c>
      <c r="R567" s="80"/>
      <c r="S567" s="82"/>
      <c r="T567" s="80"/>
      <c r="U567" s="80"/>
      <c r="V567" s="79"/>
      <c r="W567" s="80"/>
      <c r="X567" s="80"/>
    </row>
    <row r="568" spans="1:24" ht="42" customHeight="1">
      <c r="A568" s="80">
        <f t="shared" si="0"/>
        <v>566</v>
      </c>
      <c r="B568" s="51" t="str">
        <f t="shared" si="1"/>
        <v>MA</v>
      </c>
      <c r="C568" s="51" t="s">
        <v>3653</v>
      </c>
      <c r="D568" s="51" t="s">
        <v>995</v>
      </c>
      <c r="E568" s="51" t="s">
        <v>2533</v>
      </c>
      <c r="F568" s="80"/>
      <c r="G568" s="75" t="s">
        <v>3654</v>
      </c>
      <c r="H568" s="80"/>
      <c r="I568" s="76"/>
      <c r="J568" s="96" t="s">
        <v>3655</v>
      </c>
      <c r="K568" s="80"/>
      <c r="L568" s="51" t="s">
        <v>78</v>
      </c>
      <c r="M568" s="79">
        <v>44841</v>
      </c>
      <c r="N568" s="51" t="s">
        <v>2561</v>
      </c>
      <c r="O568" s="51" t="s">
        <v>78</v>
      </c>
      <c r="P568" s="79">
        <v>44855</v>
      </c>
      <c r="Q568" s="51" t="s">
        <v>2538</v>
      </c>
      <c r="R568" s="80"/>
      <c r="S568" s="82"/>
      <c r="T568" s="80"/>
      <c r="U568" s="80"/>
      <c r="V568" s="79"/>
      <c r="W568" s="80"/>
      <c r="X568" s="80"/>
    </row>
    <row r="569" spans="1:24" ht="42" customHeight="1">
      <c r="A569" s="80">
        <f t="shared" si="0"/>
        <v>567</v>
      </c>
      <c r="B569" s="51" t="str">
        <f t="shared" si="1"/>
        <v>MA</v>
      </c>
      <c r="C569" s="51" t="s">
        <v>3656</v>
      </c>
      <c r="D569" s="51" t="s">
        <v>995</v>
      </c>
      <c r="E569" s="51" t="s">
        <v>2533</v>
      </c>
      <c r="F569" s="80"/>
      <c r="G569" s="75">
        <v>37455409900</v>
      </c>
      <c r="H569" s="80"/>
      <c r="I569" s="76"/>
      <c r="J569" s="77" t="s">
        <v>3657</v>
      </c>
      <c r="K569" s="80"/>
      <c r="L569" s="51" t="s">
        <v>78</v>
      </c>
      <c r="M569" s="79">
        <v>44841</v>
      </c>
      <c r="N569" s="51" t="s">
        <v>2551</v>
      </c>
      <c r="O569" s="51" t="s">
        <v>78</v>
      </c>
      <c r="P569" s="79">
        <v>44855</v>
      </c>
      <c r="Q569" s="51" t="s">
        <v>2742</v>
      </c>
      <c r="R569" s="80"/>
      <c r="S569" s="82"/>
      <c r="T569" s="80"/>
      <c r="U569" s="80"/>
      <c r="V569" s="79"/>
      <c r="W569" s="80"/>
      <c r="X569" s="80"/>
    </row>
    <row r="570" spans="1:24" ht="42" customHeight="1">
      <c r="A570" s="80">
        <f t="shared" si="0"/>
        <v>568</v>
      </c>
      <c r="B570" s="51" t="str">
        <f t="shared" si="1"/>
        <v>MA</v>
      </c>
      <c r="C570" s="51" t="s">
        <v>3658</v>
      </c>
      <c r="D570" s="51" t="s">
        <v>1009</v>
      </c>
      <c r="E570" s="51" t="s">
        <v>2533</v>
      </c>
      <c r="F570" s="80"/>
      <c r="G570" s="75">
        <f>359898383670</f>
        <v>359898383670</v>
      </c>
      <c r="H570" s="80"/>
      <c r="I570" s="76"/>
      <c r="J570" s="56" t="s">
        <v>3659</v>
      </c>
      <c r="K570" s="80"/>
      <c r="L570" s="51" t="s">
        <v>78</v>
      </c>
      <c r="M570" s="79">
        <v>44841</v>
      </c>
      <c r="N570" s="51"/>
      <c r="O570" s="80"/>
      <c r="P570" s="82"/>
      <c r="Q570" s="80"/>
      <c r="R570" s="80"/>
      <c r="S570" s="82"/>
      <c r="T570" s="80"/>
      <c r="U570" s="80"/>
      <c r="V570" s="79"/>
      <c r="W570" s="80"/>
      <c r="X570" s="80"/>
    </row>
    <row r="571" spans="1:24" ht="42" customHeight="1">
      <c r="A571" s="80">
        <f t="shared" si="0"/>
        <v>569</v>
      </c>
      <c r="B571" s="51" t="str">
        <f t="shared" si="1"/>
        <v>MA</v>
      </c>
      <c r="C571" s="51" t="s">
        <v>3660</v>
      </c>
      <c r="D571" s="51" t="s">
        <v>1697</v>
      </c>
      <c r="E571" s="51" t="s">
        <v>2533</v>
      </c>
      <c r="F571" s="80"/>
      <c r="G571" s="75">
        <f>40736831831</f>
        <v>40736831831</v>
      </c>
      <c r="H571" s="80"/>
      <c r="I571" s="76"/>
      <c r="J571" s="96" t="s">
        <v>3661</v>
      </c>
      <c r="K571" s="80"/>
      <c r="L571" s="51" t="s">
        <v>78</v>
      </c>
      <c r="M571" s="79">
        <v>44841</v>
      </c>
      <c r="N571" s="51"/>
      <c r="O571" s="80"/>
      <c r="P571" s="82"/>
      <c r="Q571" s="80"/>
      <c r="R571" s="80"/>
      <c r="S571" s="82"/>
      <c r="T571" s="80"/>
      <c r="U571" s="80"/>
      <c r="V571" s="79"/>
      <c r="W571" s="80"/>
      <c r="X571" s="80"/>
    </row>
    <row r="572" spans="1:24" ht="42" customHeight="1">
      <c r="A572" s="80">
        <f t="shared" si="0"/>
        <v>570</v>
      </c>
      <c r="B572" s="51" t="str">
        <f t="shared" si="1"/>
        <v>MA</v>
      </c>
      <c r="C572" s="51" t="s">
        <v>3662</v>
      </c>
      <c r="D572" s="51" t="s">
        <v>1697</v>
      </c>
      <c r="E572" s="51" t="s">
        <v>2547</v>
      </c>
      <c r="F572" s="80"/>
      <c r="G572" s="75">
        <f>40722348238</f>
        <v>40722348238</v>
      </c>
      <c r="H572" s="80"/>
      <c r="I572" s="76"/>
      <c r="J572" s="96" t="s">
        <v>1705</v>
      </c>
      <c r="K572" s="80"/>
      <c r="L572" s="51" t="s">
        <v>78</v>
      </c>
      <c r="M572" s="79">
        <v>44841</v>
      </c>
      <c r="N572" s="51"/>
      <c r="O572" s="80"/>
      <c r="P572" s="82"/>
      <c r="Q572" s="80"/>
      <c r="R572" s="80"/>
      <c r="S572" s="82"/>
      <c r="T572" s="80"/>
      <c r="U572" s="80"/>
      <c r="V572" s="79"/>
      <c r="W572" s="80"/>
      <c r="X572" s="80"/>
    </row>
    <row r="573" spans="1:24" ht="42" customHeight="1">
      <c r="A573" s="80">
        <f t="shared" si="0"/>
        <v>571</v>
      </c>
      <c r="B573" s="51" t="str">
        <f t="shared" si="1"/>
        <v>MA</v>
      </c>
      <c r="C573" s="51" t="s">
        <v>3663</v>
      </c>
      <c r="D573" s="51" t="s">
        <v>1697</v>
      </c>
      <c r="E573" s="51" t="s">
        <v>2547</v>
      </c>
      <c r="F573" s="80"/>
      <c r="G573" s="75">
        <f>40736831831</f>
        <v>40736831831</v>
      </c>
      <c r="H573" s="80"/>
      <c r="I573" s="76"/>
      <c r="J573" s="96" t="s">
        <v>3664</v>
      </c>
      <c r="K573" s="80"/>
      <c r="L573" s="51" t="s">
        <v>78</v>
      </c>
      <c r="M573" s="79">
        <v>44841</v>
      </c>
      <c r="N573" s="51"/>
      <c r="O573" s="80"/>
      <c r="P573" s="82"/>
      <c r="Q573" s="80"/>
      <c r="R573" s="80"/>
      <c r="S573" s="82"/>
      <c r="T573" s="80"/>
      <c r="U573" s="80"/>
      <c r="V573" s="79"/>
      <c r="W573" s="80"/>
      <c r="X573" s="80"/>
    </row>
    <row r="574" spans="1:24" ht="42" customHeight="1">
      <c r="A574" s="80">
        <f t="shared" si="0"/>
        <v>572</v>
      </c>
      <c r="B574" s="51" t="str">
        <f t="shared" si="1"/>
        <v>MA</v>
      </c>
      <c r="C574" s="51" t="s">
        <v>3665</v>
      </c>
      <c r="D574" s="51" t="s">
        <v>3666</v>
      </c>
      <c r="E574" s="51" t="s">
        <v>2533</v>
      </c>
      <c r="F574" s="80"/>
      <c r="G574" s="75" t="s">
        <v>3667</v>
      </c>
      <c r="H574" s="80"/>
      <c r="I574" s="76"/>
      <c r="J574" s="80"/>
      <c r="K574" s="80"/>
      <c r="L574" s="51" t="s">
        <v>78</v>
      </c>
      <c r="M574" s="79">
        <v>44841</v>
      </c>
      <c r="N574" s="51" t="s">
        <v>2551</v>
      </c>
      <c r="O574" s="51" t="s">
        <v>78</v>
      </c>
      <c r="P574" s="79">
        <v>44855</v>
      </c>
      <c r="Q574" s="51" t="s">
        <v>2553</v>
      </c>
      <c r="R574" s="80"/>
      <c r="S574" s="82"/>
      <c r="T574" s="80"/>
      <c r="U574" s="80"/>
      <c r="V574" s="79"/>
      <c r="W574" s="80"/>
      <c r="X574" s="80"/>
    </row>
    <row r="575" spans="1:24" ht="42" customHeight="1">
      <c r="A575" s="80">
        <f t="shared" si="0"/>
        <v>573</v>
      </c>
      <c r="B575" s="51" t="str">
        <f t="shared" si="1"/>
        <v>MA</v>
      </c>
      <c r="C575" s="51" t="s">
        <v>3668</v>
      </c>
      <c r="D575" s="51" t="s">
        <v>725</v>
      </c>
      <c r="E575" s="51" t="s">
        <v>2533</v>
      </c>
      <c r="F575" s="80"/>
      <c r="G575" s="75">
        <f>4933792098640</f>
        <v>4933792098640</v>
      </c>
      <c r="H575" s="80"/>
      <c r="I575" s="76"/>
      <c r="J575" s="80"/>
      <c r="K575" s="80"/>
      <c r="L575" s="51" t="s">
        <v>7</v>
      </c>
      <c r="M575" s="79">
        <v>44841</v>
      </c>
      <c r="N575" s="51"/>
      <c r="O575" s="80"/>
      <c r="P575" s="82"/>
      <c r="Q575" s="80"/>
      <c r="R575" s="80"/>
      <c r="S575" s="82"/>
      <c r="T575" s="80"/>
      <c r="U575" s="80"/>
      <c r="V575" s="79"/>
      <c r="W575" s="80"/>
      <c r="X575" s="80"/>
    </row>
    <row r="576" spans="1:24" ht="42" customHeight="1">
      <c r="A576" s="80">
        <f t="shared" si="0"/>
        <v>574</v>
      </c>
      <c r="B576" s="51" t="str">
        <f t="shared" si="1"/>
        <v>MA</v>
      </c>
      <c r="C576" s="51" t="s">
        <v>3669</v>
      </c>
      <c r="D576" s="51" t="s">
        <v>725</v>
      </c>
      <c r="E576" s="51" t="s">
        <v>2533</v>
      </c>
      <c r="F576" s="80"/>
      <c r="G576" s="75">
        <f>491788769935</f>
        <v>491788769935</v>
      </c>
      <c r="H576" s="80"/>
      <c r="I576" s="76"/>
      <c r="J576" s="96" t="s">
        <v>3670</v>
      </c>
      <c r="K576" s="80"/>
      <c r="L576" s="51" t="s">
        <v>7</v>
      </c>
      <c r="M576" s="79">
        <v>44841</v>
      </c>
      <c r="N576" s="51"/>
      <c r="O576" s="80"/>
      <c r="P576" s="82"/>
      <c r="Q576" s="80"/>
      <c r="R576" s="80"/>
      <c r="S576" s="82"/>
      <c r="T576" s="80"/>
      <c r="U576" s="80"/>
      <c r="V576" s="79"/>
      <c r="W576" s="80"/>
      <c r="X576" s="80"/>
    </row>
    <row r="577" spans="1:24" ht="42" customHeight="1">
      <c r="A577" s="80">
        <f t="shared" si="0"/>
        <v>575</v>
      </c>
      <c r="B577" s="51" t="str">
        <f t="shared" si="1"/>
        <v>MA</v>
      </c>
      <c r="C577" s="51" t="s">
        <v>3671</v>
      </c>
      <c r="D577" s="51" t="s">
        <v>725</v>
      </c>
      <c r="E577" s="51" t="s">
        <v>2533</v>
      </c>
      <c r="F577" s="80"/>
      <c r="G577" s="75">
        <f>493022683403</f>
        <v>493022683403</v>
      </c>
      <c r="H577" s="80"/>
      <c r="I577" s="135"/>
      <c r="J577" s="77" t="s">
        <v>3672</v>
      </c>
      <c r="K577" s="80"/>
      <c r="L577" s="51" t="s">
        <v>7</v>
      </c>
      <c r="M577" s="79">
        <v>44841</v>
      </c>
      <c r="N577" s="51"/>
      <c r="O577" s="80"/>
      <c r="P577" s="82"/>
      <c r="Q577" s="80"/>
      <c r="R577" s="80"/>
      <c r="S577" s="82"/>
      <c r="T577" s="80"/>
      <c r="U577" s="80"/>
      <c r="V577" s="79"/>
      <c r="W577" s="80"/>
      <c r="X577" s="80"/>
    </row>
    <row r="578" spans="1:24" ht="42" customHeight="1">
      <c r="A578" s="80">
        <f t="shared" si="0"/>
        <v>576</v>
      </c>
      <c r="B578" s="51" t="str">
        <f t="shared" si="1"/>
        <v>MA</v>
      </c>
      <c r="C578" s="51" t="s">
        <v>3673</v>
      </c>
      <c r="D578" s="51" t="s">
        <v>3674</v>
      </c>
      <c r="E578" s="51" t="s">
        <v>2533</v>
      </c>
      <c r="F578" s="80"/>
      <c r="G578" s="75">
        <f>43386221723</f>
        <v>43386221723</v>
      </c>
      <c r="H578" s="80"/>
      <c r="I578" s="54" t="s">
        <v>3675</v>
      </c>
      <c r="J578" s="77" t="s">
        <v>3676</v>
      </c>
      <c r="K578" s="80"/>
      <c r="L578" s="51" t="s">
        <v>7</v>
      </c>
      <c r="M578" s="79">
        <v>44841</v>
      </c>
      <c r="N578" s="51"/>
      <c r="O578" s="80"/>
      <c r="P578" s="82"/>
      <c r="Q578" s="80"/>
      <c r="R578" s="80"/>
      <c r="S578" s="82"/>
      <c r="T578" s="80"/>
      <c r="U578" s="51" t="s">
        <v>78</v>
      </c>
      <c r="V578" s="79">
        <v>44886</v>
      </c>
      <c r="W578" s="51" t="s">
        <v>2538</v>
      </c>
      <c r="X578" s="80"/>
    </row>
    <row r="579" spans="1:24" ht="42" customHeight="1">
      <c r="A579" s="80">
        <f t="shared" si="0"/>
        <v>577</v>
      </c>
      <c r="B579" s="51" t="str">
        <f t="shared" si="1"/>
        <v>MA</v>
      </c>
      <c r="C579" s="51" t="s">
        <v>3677</v>
      </c>
      <c r="D579" s="51" t="s">
        <v>3674</v>
      </c>
      <c r="E579" s="51" t="s">
        <v>2533</v>
      </c>
      <c r="F579" s="80"/>
      <c r="G579" s="75">
        <f>436648222523</f>
        <v>436648222523</v>
      </c>
      <c r="H579" s="80"/>
      <c r="I579" s="54" t="s">
        <v>3678</v>
      </c>
      <c r="J579" s="77" t="s">
        <v>3679</v>
      </c>
      <c r="K579" s="80"/>
      <c r="L579" s="51" t="s">
        <v>7</v>
      </c>
      <c r="M579" s="79">
        <v>44841</v>
      </c>
      <c r="N579" s="51"/>
      <c r="O579" s="51" t="s">
        <v>78</v>
      </c>
      <c r="P579" s="79">
        <v>44845</v>
      </c>
      <c r="Q579" s="51" t="s">
        <v>2538</v>
      </c>
      <c r="R579" s="80"/>
      <c r="S579" s="82"/>
      <c r="T579" s="80"/>
      <c r="U579" s="51" t="s">
        <v>78</v>
      </c>
      <c r="V579" s="79">
        <v>44886</v>
      </c>
      <c r="W579" s="51" t="s">
        <v>2538</v>
      </c>
      <c r="X579" s="80"/>
    </row>
    <row r="580" spans="1:24" ht="42" customHeight="1">
      <c r="A580" s="80">
        <f t="shared" si="0"/>
        <v>578</v>
      </c>
      <c r="B580" s="51" t="str">
        <f t="shared" si="1"/>
        <v>MA</v>
      </c>
      <c r="C580" s="51" t="s">
        <v>3680</v>
      </c>
      <c r="D580" s="51" t="s">
        <v>3674</v>
      </c>
      <c r="E580" s="51" t="s">
        <v>2533</v>
      </c>
      <c r="F580" s="80"/>
      <c r="G580" s="75">
        <f>436649224203</f>
        <v>436649224203</v>
      </c>
      <c r="H580" s="80"/>
      <c r="I580" s="54" t="s">
        <v>3681</v>
      </c>
      <c r="J580" s="77" t="s">
        <v>3682</v>
      </c>
      <c r="K580" s="80"/>
      <c r="L580" s="51" t="s">
        <v>7</v>
      </c>
      <c r="M580" s="79">
        <v>44841</v>
      </c>
      <c r="N580" s="51"/>
      <c r="O580" s="80"/>
      <c r="P580" s="82"/>
      <c r="Q580" s="80"/>
      <c r="R580" s="80"/>
      <c r="S580" s="82"/>
      <c r="T580" s="80"/>
      <c r="U580" s="51" t="s">
        <v>78</v>
      </c>
      <c r="V580" s="79">
        <v>44886</v>
      </c>
      <c r="W580" s="51" t="s">
        <v>2538</v>
      </c>
      <c r="X580" s="80"/>
    </row>
    <row r="581" spans="1:24" ht="42" customHeight="1">
      <c r="A581" s="80">
        <f t="shared" si="0"/>
        <v>579</v>
      </c>
      <c r="B581" s="51" t="str">
        <f t="shared" si="1"/>
        <v>MA</v>
      </c>
      <c r="C581" s="51" t="s">
        <v>3683</v>
      </c>
      <c r="D581" s="51" t="s">
        <v>3674</v>
      </c>
      <c r="E581" s="51" t="s">
        <v>2533</v>
      </c>
      <c r="F581" s="80"/>
      <c r="G581" s="75">
        <f>4377475120</f>
        <v>4377475120</v>
      </c>
      <c r="H581" s="80"/>
      <c r="I581" s="54" t="s">
        <v>3684</v>
      </c>
      <c r="J581" s="77" t="s">
        <v>3685</v>
      </c>
      <c r="K581" s="80"/>
      <c r="L581" s="51" t="s">
        <v>7</v>
      </c>
      <c r="M581" s="79">
        <v>44841</v>
      </c>
      <c r="N581" s="51"/>
      <c r="O581" s="80"/>
      <c r="P581" s="82"/>
      <c r="Q581" s="80"/>
      <c r="R581" s="80"/>
      <c r="S581" s="82"/>
      <c r="T581" s="80"/>
      <c r="U581" s="51" t="s">
        <v>78</v>
      </c>
      <c r="V581" s="79">
        <v>44886</v>
      </c>
      <c r="W581" s="51" t="s">
        <v>2538</v>
      </c>
      <c r="X581" s="80"/>
    </row>
    <row r="582" spans="1:24" ht="42" customHeight="1">
      <c r="A582" s="80">
        <f t="shared" si="0"/>
        <v>580</v>
      </c>
      <c r="B582" s="51" t="str">
        <f t="shared" si="1"/>
        <v>MA</v>
      </c>
      <c r="C582" s="51" t="s">
        <v>3686</v>
      </c>
      <c r="D582" s="51" t="s">
        <v>3674</v>
      </c>
      <c r="E582" s="51" t="s">
        <v>2533</v>
      </c>
      <c r="F582" s="80"/>
      <c r="G582" s="75">
        <f>436602402612</f>
        <v>436602402612</v>
      </c>
      <c r="H582" s="80"/>
      <c r="I582" s="76"/>
      <c r="J582" s="77" t="s">
        <v>3687</v>
      </c>
      <c r="K582" s="80"/>
      <c r="L582" s="51" t="s">
        <v>7</v>
      </c>
      <c r="M582" s="79">
        <v>44841</v>
      </c>
      <c r="N582" s="51"/>
      <c r="O582" s="80"/>
      <c r="P582" s="82"/>
      <c r="Q582" s="80"/>
      <c r="R582" s="80"/>
      <c r="S582" s="82"/>
      <c r="T582" s="80"/>
      <c r="U582" s="51" t="s">
        <v>78</v>
      </c>
      <c r="V582" s="79">
        <v>44886</v>
      </c>
      <c r="W582" s="51" t="s">
        <v>2538</v>
      </c>
      <c r="X582" s="80"/>
    </row>
    <row r="583" spans="1:24" ht="42" customHeight="1">
      <c r="A583" s="80">
        <f t="shared" si="0"/>
        <v>581</v>
      </c>
      <c r="B583" s="51" t="str">
        <f t="shared" si="1"/>
        <v>MA</v>
      </c>
      <c r="C583" s="51" t="s">
        <v>3688</v>
      </c>
      <c r="D583" s="51" t="s">
        <v>3674</v>
      </c>
      <c r="E583" s="51" t="s">
        <v>2533</v>
      </c>
      <c r="F583" s="80"/>
      <c r="G583" s="75">
        <f>436603751180</f>
        <v>436603751180</v>
      </c>
      <c r="H583" s="80"/>
      <c r="I583" s="54" t="s">
        <v>3689</v>
      </c>
      <c r="J583" s="77" t="s">
        <v>3690</v>
      </c>
      <c r="K583" s="80"/>
      <c r="L583" s="51" t="s">
        <v>7</v>
      </c>
      <c r="M583" s="79">
        <v>44841</v>
      </c>
      <c r="N583" s="51"/>
      <c r="O583" s="80"/>
      <c r="P583" s="82"/>
      <c r="Q583" s="80"/>
      <c r="R583" s="80"/>
      <c r="S583" s="82"/>
      <c r="T583" s="80"/>
      <c r="U583" s="51" t="s">
        <v>78</v>
      </c>
      <c r="V583" s="79">
        <v>44886</v>
      </c>
      <c r="W583" s="51" t="s">
        <v>2538</v>
      </c>
      <c r="X583" s="80"/>
    </row>
    <row r="584" spans="1:24" ht="42" customHeight="1">
      <c r="A584" s="80">
        <f t="shared" si="0"/>
        <v>582</v>
      </c>
      <c r="B584" s="51" t="str">
        <f t="shared" si="1"/>
        <v>MA</v>
      </c>
      <c r="C584" s="51" t="s">
        <v>3691</v>
      </c>
      <c r="D584" s="51" t="s">
        <v>3674</v>
      </c>
      <c r="E584" s="51" t="s">
        <v>2533</v>
      </c>
      <c r="F584" s="80"/>
      <c r="G584" s="75">
        <f>437472200603</f>
        <v>437472200603</v>
      </c>
      <c r="H584" s="80"/>
      <c r="I584" s="76"/>
      <c r="J584" s="96" t="s">
        <v>3692</v>
      </c>
      <c r="K584" s="80"/>
      <c r="L584" s="51" t="s">
        <v>7</v>
      </c>
      <c r="M584" s="79">
        <v>44841</v>
      </c>
      <c r="N584" s="51"/>
      <c r="O584" s="80"/>
      <c r="P584" s="82"/>
      <c r="Q584" s="80"/>
      <c r="R584" s="80"/>
      <c r="S584" s="82"/>
      <c r="T584" s="80"/>
      <c r="U584" s="80"/>
      <c r="V584" s="79"/>
      <c r="W584" s="80"/>
      <c r="X584" s="80"/>
    </row>
    <row r="585" spans="1:24" ht="42" customHeight="1">
      <c r="A585" s="80">
        <f t="shared" si="0"/>
        <v>583</v>
      </c>
      <c r="B585" s="51" t="str">
        <f t="shared" si="1"/>
        <v>MA</v>
      </c>
      <c r="C585" s="51" t="s">
        <v>3693</v>
      </c>
      <c r="D585" s="51" t="s">
        <v>3674</v>
      </c>
      <c r="E585" s="51" t="s">
        <v>2533</v>
      </c>
      <c r="F585" s="80"/>
      <c r="G585" s="75">
        <f>436603741908</f>
        <v>436603741908</v>
      </c>
      <c r="H585" s="80"/>
      <c r="I585" s="54" t="s">
        <v>3694</v>
      </c>
      <c r="J585" s="77" t="s">
        <v>3695</v>
      </c>
      <c r="K585" s="80"/>
      <c r="L585" s="51" t="s">
        <v>7</v>
      </c>
      <c r="M585" s="79">
        <v>44841</v>
      </c>
      <c r="N585" s="51"/>
      <c r="O585" s="80"/>
      <c r="P585" s="82"/>
      <c r="Q585" s="80"/>
      <c r="R585" s="80"/>
      <c r="S585" s="82"/>
      <c r="T585" s="80"/>
      <c r="U585" s="80"/>
      <c r="V585" s="79"/>
      <c r="W585" s="80"/>
      <c r="X585" s="80"/>
    </row>
    <row r="586" spans="1:24" ht="42" customHeight="1">
      <c r="A586" s="80">
        <f t="shared" si="0"/>
        <v>584</v>
      </c>
      <c r="B586" s="51" t="str">
        <f t="shared" si="1"/>
        <v>MA</v>
      </c>
      <c r="C586" s="51" t="s">
        <v>3696</v>
      </c>
      <c r="D586" s="51" t="s">
        <v>3674</v>
      </c>
      <c r="E586" s="51" t="s">
        <v>2533</v>
      </c>
      <c r="F586" s="80"/>
      <c r="G586" s="75">
        <f>43622931000</f>
        <v>43622931000</v>
      </c>
      <c r="H586" s="80"/>
      <c r="I586" s="54" t="s">
        <v>3697</v>
      </c>
      <c r="J586" s="96" t="s">
        <v>3698</v>
      </c>
      <c r="K586" s="80"/>
      <c r="L586" s="51" t="s">
        <v>7</v>
      </c>
      <c r="M586" s="79">
        <v>44841</v>
      </c>
      <c r="N586" s="51"/>
      <c r="O586" s="80"/>
      <c r="P586" s="82"/>
      <c r="Q586" s="80"/>
      <c r="R586" s="80"/>
      <c r="S586" s="82"/>
      <c r="T586" s="80"/>
      <c r="U586" s="80"/>
      <c r="V586" s="79"/>
      <c r="W586" s="80"/>
      <c r="X586" s="80"/>
    </row>
    <row r="587" spans="1:24" ht="42" customHeight="1">
      <c r="A587" s="80">
        <f t="shared" si="0"/>
        <v>585</v>
      </c>
      <c r="B587" s="51" t="str">
        <f t="shared" si="1"/>
        <v>MA</v>
      </c>
      <c r="C587" s="51" t="s">
        <v>3699</v>
      </c>
      <c r="D587" s="51" t="s">
        <v>3674</v>
      </c>
      <c r="E587" s="51" t="s">
        <v>2533</v>
      </c>
      <c r="F587" s="80"/>
      <c r="G587" s="75">
        <f>436641378817</f>
        <v>436641378817</v>
      </c>
      <c r="H587" s="80"/>
      <c r="I587" s="76"/>
      <c r="J587" s="77" t="s">
        <v>3700</v>
      </c>
      <c r="K587" s="80"/>
      <c r="L587" s="51" t="s">
        <v>7</v>
      </c>
      <c r="M587" s="79">
        <v>44841</v>
      </c>
      <c r="N587" s="51"/>
      <c r="O587" s="80"/>
      <c r="P587" s="82"/>
      <c r="Q587" s="80"/>
      <c r="R587" s="80"/>
      <c r="S587" s="82"/>
      <c r="T587" s="80"/>
      <c r="U587" s="80"/>
      <c r="V587" s="79"/>
      <c r="W587" s="80"/>
      <c r="X587" s="80"/>
    </row>
    <row r="588" spans="1:24" ht="42" customHeight="1">
      <c r="A588" s="80">
        <f t="shared" si="0"/>
        <v>586</v>
      </c>
      <c r="B588" s="51" t="str">
        <f t="shared" si="1"/>
        <v>MA</v>
      </c>
      <c r="C588" s="51" t="s">
        <v>3701</v>
      </c>
      <c r="D588" s="51" t="s">
        <v>3674</v>
      </c>
      <c r="E588" s="51" t="s">
        <v>2533</v>
      </c>
      <c r="F588" s="80"/>
      <c r="G588" s="75">
        <f>436643000613</f>
        <v>436643000613</v>
      </c>
      <c r="H588" s="80"/>
      <c r="I588" s="54" t="s">
        <v>3702</v>
      </c>
      <c r="J588" s="96" t="s">
        <v>3703</v>
      </c>
      <c r="K588" s="80"/>
      <c r="L588" s="51" t="s">
        <v>7</v>
      </c>
      <c r="M588" s="79">
        <v>44841</v>
      </c>
      <c r="N588" s="51"/>
      <c r="O588" s="80"/>
      <c r="P588" s="82"/>
      <c r="Q588" s="80"/>
      <c r="R588" s="80"/>
      <c r="S588" s="82"/>
      <c r="T588" s="80"/>
      <c r="U588" s="80"/>
      <c r="V588" s="79"/>
      <c r="W588" s="80"/>
      <c r="X588" s="80"/>
    </row>
    <row r="589" spans="1:24" ht="42" customHeight="1">
      <c r="A589" s="80">
        <f t="shared" si="0"/>
        <v>587</v>
      </c>
      <c r="B589" s="51" t="str">
        <f t="shared" si="1"/>
        <v>MA</v>
      </c>
      <c r="C589" s="51" t="s">
        <v>3704</v>
      </c>
      <c r="D589" s="51" t="s">
        <v>3674</v>
      </c>
      <c r="E589" s="51" t="s">
        <v>2533</v>
      </c>
      <c r="F589" s="80"/>
      <c r="G589" s="75">
        <f>436602402612</f>
        <v>436602402612</v>
      </c>
      <c r="H589" s="80"/>
      <c r="I589" s="89" t="s">
        <v>3705</v>
      </c>
      <c r="J589" s="51" t="s">
        <v>3706</v>
      </c>
      <c r="K589" s="80"/>
      <c r="L589" s="51" t="s">
        <v>7</v>
      </c>
      <c r="M589" s="79">
        <v>44841</v>
      </c>
      <c r="N589" s="51"/>
      <c r="O589" s="80"/>
      <c r="P589" s="82"/>
      <c r="Q589" s="80"/>
      <c r="R589" s="80"/>
      <c r="S589" s="82"/>
      <c r="T589" s="80"/>
      <c r="U589" s="80"/>
      <c r="V589" s="79"/>
      <c r="W589" s="80"/>
      <c r="X589" s="80"/>
    </row>
    <row r="590" spans="1:24" ht="42" customHeight="1">
      <c r="A590" s="80">
        <f t="shared" si="0"/>
        <v>588</v>
      </c>
      <c r="B590" s="51" t="str">
        <f t="shared" si="1"/>
        <v>MA</v>
      </c>
      <c r="C590" s="51" t="s">
        <v>3707</v>
      </c>
      <c r="D590" s="51" t="s">
        <v>3674</v>
      </c>
      <c r="E590" s="51" t="s">
        <v>2533</v>
      </c>
      <c r="F590" s="80"/>
      <c r="G590" s="75">
        <f>4333383430</f>
        <v>4333383430</v>
      </c>
      <c r="H590" s="80"/>
      <c r="I590" s="89" t="s">
        <v>3708</v>
      </c>
      <c r="J590" s="51" t="s">
        <v>3709</v>
      </c>
      <c r="K590" s="80"/>
      <c r="L590" s="51" t="s">
        <v>7</v>
      </c>
      <c r="M590" s="79">
        <v>44841</v>
      </c>
      <c r="N590" s="51"/>
      <c r="O590" s="80"/>
      <c r="P590" s="82"/>
      <c r="Q590" s="80"/>
      <c r="R590" s="80"/>
      <c r="S590" s="82"/>
      <c r="T590" s="80"/>
      <c r="U590" s="80"/>
      <c r="V590" s="79"/>
      <c r="W590" s="80"/>
      <c r="X590" s="80"/>
    </row>
    <row r="591" spans="1:24" ht="42" customHeight="1">
      <c r="A591" s="80">
        <f t="shared" si="0"/>
        <v>589</v>
      </c>
      <c r="B591" s="51" t="str">
        <f t="shared" si="1"/>
        <v>MA</v>
      </c>
      <c r="C591" s="126" t="s">
        <v>3710</v>
      </c>
      <c r="D591" s="51" t="s">
        <v>3674</v>
      </c>
      <c r="E591" s="51" t="s">
        <v>2533</v>
      </c>
      <c r="F591" s="80"/>
      <c r="G591" s="75">
        <f>43386222223</f>
        <v>43386222223</v>
      </c>
      <c r="H591" s="80"/>
      <c r="I591" s="54" t="s">
        <v>3711</v>
      </c>
      <c r="J591" s="77" t="s">
        <v>3708</v>
      </c>
      <c r="K591" s="80"/>
      <c r="L591" s="51" t="s">
        <v>7</v>
      </c>
      <c r="M591" s="79">
        <v>44841</v>
      </c>
      <c r="N591" s="51"/>
      <c r="O591" s="80"/>
      <c r="P591" s="82"/>
      <c r="Q591" s="80"/>
      <c r="R591" s="80"/>
      <c r="S591" s="82"/>
      <c r="T591" s="80"/>
      <c r="U591" s="80"/>
      <c r="V591" s="79"/>
      <c r="W591" s="80"/>
      <c r="X591" s="80"/>
    </row>
    <row r="592" spans="1:24" ht="42" customHeight="1">
      <c r="A592" s="80">
        <f t="shared" si="0"/>
        <v>590</v>
      </c>
      <c r="B592" s="51" t="str">
        <f t="shared" si="1"/>
        <v>MA</v>
      </c>
      <c r="C592" s="111" t="s">
        <v>3288</v>
      </c>
      <c r="D592" s="51" t="s">
        <v>3674</v>
      </c>
      <c r="E592" s="80"/>
      <c r="F592" s="80"/>
      <c r="G592" s="75"/>
      <c r="H592" s="80"/>
      <c r="I592" s="76"/>
      <c r="J592" s="80"/>
      <c r="K592" s="80"/>
      <c r="L592" s="80"/>
      <c r="M592" s="79">
        <v>44819</v>
      </c>
      <c r="N592" s="80"/>
      <c r="O592" s="80"/>
      <c r="P592" s="82"/>
      <c r="Q592" s="80"/>
      <c r="R592" s="80"/>
      <c r="S592" s="82"/>
      <c r="T592" s="80"/>
      <c r="U592" s="80"/>
      <c r="V592" s="79"/>
      <c r="W592" s="80"/>
      <c r="X592" s="80"/>
    </row>
    <row r="593" spans="1:24" ht="42" customHeight="1">
      <c r="A593" s="80">
        <f t="shared" si="0"/>
        <v>591</v>
      </c>
      <c r="B593" s="51" t="str">
        <f t="shared" si="1"/>
        <v>MA</v>
      </c>
      <c r="C593" s="51" t="s">
        <v>3712</v>
      </c>
      <c r="D593" s="51" t="s">
        <v>2864</v>
      </c>
      <c r="E593" s="51" t="s">
        <v>2533</v>
      </c>
      <c r="F593" s="80"/>
      <c r="G593" s="75">
        <f>99312247732</f>
        <v>99312247732</v>
      </c>
      <c r="H593" s="80"/>
      <c r="I593" s="89" t="s">
        <v>3713</v>
      </c>
      <c r="J593" s="80"/>
      <c r="K593" s="80"/>
      <c r="L593" s="51" t="s">
        <v>78</v>
      </c>
      <c r="M593" s="79">
        <v>44844</v>
      </c>
      <c r="N593" s="51"/>
      <c r="O593" s="80"/>
      <c r="P593" s="82"/>
      <c r="Q593" s="80"/>
      <c r="R593" s="80"/>
      <c r="S593" s="82"/>
      <c r="T593" s="80"/>
      <c r="U593" s="80"/>
      <c r="V593" s="79"/>
      <c r="W593" s="80"/>
      <c r="X593" s="80"/>
    </row>
    <row r="594" spans="1:24" ht="42" customHeight="1">
      <c r="A594" s="80">
        <f t="shared" si="0"/>
        <v>592</v>
      </c>
      <c r="B594" s="51" t="str">
        <f t="shared" si="1"/>
        <v>MA</v>
      </c>
      <c r="C594" s="51" t="s">
        <v>3714</v>
      </c>
      <c r="D594" s="51" t="s">
        <v>2864</v>
      </c>
      <c r="E594" s="51" t="s">
        <v>2533</v>
      </c>
      <c r="F594" s="80"/>
      <c r="G594" s="75">
        <f>99312463434</f>
        <v>99312463434</v>
      </c>
      <c r="H594" s="80"/>
      <c r="I594" s="89" t="s">
        <v>3715</v>
      </c>
      <c r="J594" s="80"/>
      <c r="K594" s="80"/>
      <c r="L594" s="51" t="s">
        <v>78</v>
      </c>
      <c r="M594" s="79">
        <v>44844</v>
      </c>
      <c r="N594" s="51"/>
      <c r="O594" s="80"/>
      <c r="P594" s="82"/>
      <c r="Q594" s="80"/>
      <c r="R594" s="80"/>
      <c r="S594" s="82"/>
      <c r="T594" s="80"/>
      <c r="U594" s="80"/>
      <c r="V594" s="79"/>
      <c r="W594" s="80"/>
      <c r="X594" s="80"/>
    </row>
    <row r="595" spans="1:24" ht="42" customHeight="1">
      <c r="A595" s="80">
        <f t="shared" si="0"/>
        <v>593</v>
      </c>
      <c r="B595" s="51" t="str">
        <f t="shared" si="1"/>
        <v>MA</v>
      </c>
      <c r="C595" s="51" t="s">
        <v>3716</v>
      </c>
      <c r="D595" s="51" t="s">
        <v>2869</v>
      </c>
      <c r="E595" s="51" t="s">
        <v>2547</v>
      </c>
      <c r="F595" s="80"/>
      <c r="G595" s="75" t="s">
        <v>3717</v>
      </c>
      <c r="H595" s="80"/>
      <c r="I595" s="76"/>
      <c r="J595" s="77" t="s">
        <v>3718</v>
      </c>
      <c r="K595" s="80"/>
      <c r="L595" s="51" t="s">
        <v>78</v>
      </c>
      <c r="M595" s="79">
        <v>44844</v>
      </c>
      <c r="N595" s="51"/>
      <c r="O595" s="80"/>
      <c r="P595" s="82"/>
      <c r="Q595" s="80"/>
      <c r="R595" s="80"/>
      <c r="S595" s="82"/>
      <c r="T595" s="80"/>
      <c r="U595" s="80"/>
      <c r="V595" s="79"/>
      <c r="W595" s="80"/>
      <c r="X595" s="80"/>
    </row>
    <row r="596" spans="1:24" ht="42" customHeight="1">
      <c r="A596" s="80">
        <f t="shared" si="0"/>
        <v>594</v>
      </c>
      <c r="B596" s="51" t="str">
        <f t="shared" si="1"/>
        <v>MA</v>
      </c>
      <c r="C596" s="85" t="s">
        <v>3719</v>
      </c>
      <c r="D596" s="51" t="s">
        <v>746</v>
      </c>
      <c r="E596" s="51" t="s">
        <v>2533</v>
      </c>
      <c r="F596" s="80"/>
      <c r="G596" s="75">
        <f>966550022135</f>
        <v>966550022135</v>
      </c>
      <c r="H596" s="80"/>
      <c r="I596" s="76"/>
      <c r="J596" s="80"/>
      <c r="K596" s="80"/>
      <c r="L596" s="51" t="s">
        <v>78</v>
      </c>
      <c r="M596" s="79">
        <v>44844</v>
      </c>
      <c r="N596" s="51"/>
      <c r="O596" s="80"/>
      <c r="P596" s="82"/>
      <c r="Q596" s="80"/>
      <c r="R596" s="80"/>
      <c r="S596" s="82"/>
      <c r="T596" s="80"/>
      <c r="U596" s="80"/>
      <c r="V596" s="79"/>
      <c r="W596" s="80"/>
      <c r="X596" s="80"/>
    </row>
    <row r="597" spans="1:24" ht="42" customHeight="1">
      <c r="A597" s="80">
        <f t="shared" si="0"/>
        <v>595</v>
      </c>
      <c r="B597" s="51" t="str">
        <f t="shared" si="1"/>
        <v>MA</v>
      </c>
      <c r="C597" s="87" t="s">
        <v>3720</v>
      </c>
      <c r="D597" s="80"/>
      <c r="E597" s="80"/>
      <c r="F597" s="80"/>
      <c r="G597" s="75"/>
      <c r="H597" s="80"/>
      <c r="I597" s="76"/>
      <c r="J597" s="80"/>
      <c r="K597" s="80"/>
      <c r="L597" s="80"/>
      <c r="M597" s="79">
        <v>44817</v>
      </c>
      <c r="N597" s="80"/>
      <c r="O597" s="80"/>
      <c r="P597" s="82"/>
      <c r="Q597" s="80"/>
      <c r="R597" s="80"/>
      <c r="S597" s="82"/>
      <c r="T597" s="80"/>
      <c r="U597" s="80"/>
      <c r="V597" s="79"/>
      <c r="W597" s="80"/>
      <c r="X597" s="80"/>
    </row>
    <row r="598" spans="1:24" ht="42" customHeight="1">
      <c r="A598" s="80">
        <f t="shared" si="0"/>
        <v>596</v>
      </c>
      <c r="B598" s="51" t="str">
        <f t="shared" si="1"/>
        <v>MA</v>
      </c>
      <c r="C598" s="85" t="s">
        <v>3721</v>
      </c>
      <c r="D598" s="51" t="s">
        <v>746</v>
      </c>
      <c r="E598" s="51" t="s">
        <v>3141</v>
      </c>
      <c r="F598" s="80"/>
      <c r="G598" s="75">
        <f>966533927499</f>
        <v>966533927499</v>
      </c>
      <c r="H598" s="80"/>
      <c r="I598" s="76"/>
      <c r="J598" s="80"/>
      <c r="K598" s="80"/>
      <c r="L598" s="51" t="s">
        <v>78</v>
      </c>
      <c r="M598" s="79">
        <v>44844</v>
      </c>
      <c r="N598" s="51"/>
      <c r="O598" s="80"/>
      <c r="P598" s="82"/>
      <c r="Q598" s="80"/>
      <c r="R598" s="80"/>
      <c r="S598" s="82"/>
      <c r="T598" s="80"/>
      <c r="U598" s="80"/>
      <c r="V598" s="79"/>
      <c r="W598" s="80"/>
      <c r="X598" s="80"/>
    </row>
    <row r="599" spans="1:24" ht="42" customHeight="1">
      <c r="A599" s="80">
        <f t="shared" si="0"/>
        <v>597</v>
      </c>
      <c r="B599" s="51" t="str">
        <f t="shared" si="1"/>
        <v>MA</v>
      </c>
      <c r="C599" s="85" t="s">
        <v>3722</v>
      </c>
      <c r="D599" s="51" t="s">
        <v>746</v>
      </c>
      <c r="E599" s="51" t="s">
        <v>2533</v>
      </c>
      <c r="F599" s="80"/>
      <c r="G599" s="75">
        <f>966537003196</f>
        <v>966537003196</v>
      </c>
      <c r="H599" s="80"/>
      <c r="I599" s="76"/>
      <c r="J599" s="80"/>
      <c r="K599" s="80"/>
      <c r="L599" s="51" t="s">
        <v>78</v>
      </c>
      <c r="M599" s="79">
        <v>44844</v>
      </c>
      <c r="N599" s="51"/>
      <c r="O599" s="80"/>
      <c r="P599" s="82"/>
      <c r="Q599" s="80"/>
      <c r="R599" s="80"/>
      <c r="S599" s="82"/>
      <c r="T599" s="80"/>
      <c r="U599" s="80"/>
      <c r="V599" s="79"/>
      <c r="W599" s="80"/>
      <c r="X599" s="80"/>
    </row>
    <row r="600" spans="1:24" ht="42" customHeight="1">
      <c r="A600" s="80">
        <f t="shared" si="0"/>
        <v>598</v>
      </c>
      <c r="B600" s="51" t="str">
        <f t="shared" si="1"/>
        <v>MA</v>
      </c>
      <c r="C600" s="51" t="s">
        <v>3723</v>
      </c>
      <c r="D600" s="51" t="s">
        <v>746</v>
      </c>
      <c r="E600" s="51" t="s">
        <v>2533</v>
      </c>
      <c r="F600" s="80"/>
      <c r="G600" s="75">
        <f>966547550689</f>
        <v>966547550689</v>
      </c>
      <c r="H600" s="80"/>
      <c r="I600" s="76"/>
      <c r="J600" s="80"/>
      <c r="K600" s="80"/>
      <c r="L600" s="51" t="s">
        <v>78</v>
      </c>
      <c r="M600" s="79">
        <v>44844</v>
      </c>
      <c r="N600" s="51"/>
      <c r="O600" s="80"/>
      <c r="P600" s="82"/>
      <c r="Q600" s="80"/>
      <c r="R600" s="80"/>
      <c r="S600" s="82"/>
      <c r="T600" s="80"/>
      <c r="U600" s="80"/>
      <c r="V600" s="79"/>
      <c r="W600" s="80"/>
      <c r="X600" s="80"/>
    </row>
    <row r="601" spans="1:24" ht="42" customHeight="1">
      <c r="A601" s="80">
        <f t="shared" si="0"/>
        <v>599</v>
      </c>
      <c r="B601" s="51" t="str">
        <f t="shared" si="1"/>
        <v>MA</v>
      </c>
      <c r="C601" s="51" t="s">
        <v>3724</v>
      </c>
      <c r="D601" s="51" t="s">
        <v>746</v>
      </c>
      <c r="E601" s="51" t="s">
        <v>2533</v>
      </c>
      <c r="F601" s="80"/>
      <c r="G601" s="75">
        <f>966537042444</f>
        <v>966537042444</v>
      </c>
      <c r="H601" s="80"/>
      <c r="I601" s="76"/>
      <c r="J601" s="80"/>
      <c r="K601" s="80"/>
      <c r="L601" s="51" t="s">
        <v>78</v>
      </c>
      <c r="M601" s="79">
        <v>44844</v>
      </c>
      <c r="N601" s="51"/>
      <c r="O601" s="80"/>
      <c r="P601" s="82"/>
      <c r="Q601" s="80"/>
      <c r="R601" s="80"/>
      <c r="S601" s="82"/>
      <c r="T601" s="80"/>
      <c r="U601" s="80"/>
      <c r="V601" s="79"/>
      <c r="W601" s="80"/>
      <c r="X601" s="80"/>
    </row>
    <row r="602" spans="1:24" ht="42" customHeight="1">
      <c r="A602" s="80">
        <f t="shared" si="0"/>
        <v>600</v>
      </c>
      <c r="B602" s="51" t="str">
        <f t="shared" si="1"/>
        <v>MA</v>
      </c>
      <c r="C602" s="85" t="s">
        <v>3725</v>
      </c>
      <c r="D602" s="51" t="s">
        <v>746</v>
      </c>
      <c r="E602" s="51" t="s">
        <v>2533</v>
      </c>
      <c r="F602" s="80"/>
      <c r="G602" s="75">
        <f>966560647446</f>
        <v>966560647446</v>
      </c>
      <c r="H602" s="80"/>
      <c r="I602" s="76"/>
      <c r="J602" s="80"/>
      <c r="K602" s="80"/>
      <c r="L602" s="51" t="s">
        <v>78</v>
      </c>
      <c r="M602" s="79">
        <v>44844</v>
      </c>
      <c r="N602" s="51"/>
      <c r="O602" s="80"/>
      <c r="P602" s="82"/>
      <c r="Q602" s="80"/>
      <c r="R602" s="80"/>
      <c r="S602" s="82"/>
      <c r="T602" s="80"/>
      <c r="U602" s="80"/>
      <c r="V602" s="79"/>
      <c r="W602" s="80"/>
      <c r="X602" s="80"/>
    </row>
    <row r="603" spans="1:24" ht="42" customHeight="1">
      <c r="A603" s="80">
        <f t="shared" si="0"/>
        <v>601</v>
      </c>
      <c r="B603" s="51" t="str">
        <f t="shared" si="1"/>
        <v>MA</v>
      </c>
      <c r="C603" s="51" t="s">
        <v>3726</v>
      </c>
      <c r="D603" s="51" t="s">
        <v>746</v>
      </c>
      <c r="E603" s="51" t="s">
        <v>2533</v>
      </c>
      <c r="F603" s="80"/>
      <c r="G603" s="75">
        <f>966500001458</f>
        <v>966500001458</v>
      </c>
      <c r="H603" s="80"/>
      <c r="I603" s="76"/>
      <c r="J603" s="80"/>
      <c r="K603" s="80"/>
      <c r="L603" s="51" t="s">
        <v>78</v>
      </c>
      <c r="M603" s="79">
        <v>44844</v>
      </c>
      <c r="N603" s="51"/>
      <c r="O603" s="80"/>
      <c r="P603" s="82"/>
      <c r="Q603" s="80"/>
      <c r="R603" s="80"/>
      <c r="S603" s="82"/>
      <c r="T603" s="80"/>
      <c r="U603" s="80"/>
      <c r="V603" s="79"/>
      <c r="W603" s="80"/>
      <c r="X603" s="80"/>
    </row>
    <row r="604" spans="1:24" ht="42" customHeight="1">
      <c r="A604" s="80">
        <f t="shared" si="0"/>
        <v>602</v>
      </c>
      <c r="B604" s="51" t="str">
        <f t="shared" si="1"/>
        <v>MA</v>
      </c>
      <c r="C604" s="51" t="s">
        <v>3727</v>
      </c>
      <c r="D604" s="51" t="s">
        <v>746</v>
      </c>
      <c r="E604" s="51" t="s">
        <v>2533</v>
      </c>
      <c r="F604" s="80"/>
      <c r="G604" s="75">
        <f>966560476143</f>
        <v>966560476143</v>
      </c>
      <c r="H604" s="80"/>
      <c r="I604" s="76"/>
      <c r="J604" s="80"/>
      <c r="K604" s="80"/>
      <c r="L604" s="51" t="s">
        <v>78</v>
      </c>
      <c r="M604" s="79">
        <v>44844</v>
      </c>
      <c r="N604" s="51"/>
      <c r="O604" s="80"/>
      <c r="P604" s="82"/>
      <c r="Q604" s="80"/>
      <c r="R604" s="80"/>
      <c r="S604" s="82"/>
      <c r="T604" s="80"/>
      <c r="U604" s="80"/>
      <c r="V604" s="79"/>
      <c r="W604" s="80"/>
      <c r="X604" s="80"/>
    </row>
    <row r="605" spans="1:24" ht="42" customHeight="1">
      <c r="A605" s="80">
        <f t="shared" si="0"/>
        <v>603</v>
      </c>
      <c r="B605" s="51" t="str">
        <f t="shared" si="1"/>
        <v>MA</v>
      </c>
      <c r="C605" s="51" t="s">
        <v>3728</v>
      </c>
      <c r="D605" s="51" t="s">
        <v>746</v>
      </c>
      <c r="E605" s="51" t="s">
        <v>2533</v>
      </c>
      <c r="F605" s="80"/>
      <c r="G605" s="75">
        <f>966541541514</f>
        <v>966541541514</v>
      </c>
      <c r="H605" s="80"/>
      <c r="I605" s="76"/>
      <c r="J605" s="80"/>
      <c r="K605" s="80"/>
      <c r="L605" s="51" t="s">
        <v>78</v>
      </c>
      <c r="M605" s="79">
        <v>44844</v>
      </c>
      <c r="N605" s="51"/>
      <c r="O605" s="80"/>
      <c r="P605" s="82"/>
      <c r="Q605" s="80"/>
      <c r="R605" s="80"/>
      <c r="S605" s="82"/>
      <c r="T605" s="80"/>
      <c r="U605" s="80"/>
      <c r="V605" s="79"/>
      <c r="W605" s="80"/>
      <c r="X605" s="80"/>
    </row>
    <row r="606" spans="1:24" ht="42" customHeight="1">
      <c r="A606" s="80">
        <f t="shared" si="0"/>
        <v>604</v>
      </c>
      <c r="B606" s="51" t="str">
        <f t="shared" si="1"/>
        <v>MA</v>
      </c>
      <c r="C606" s="51" t="s">
        <v>3729</v>
      </c>
      <c r="D606" s="51" t="s">
        <v>746</v>
      </c>
      <c r="E606" s="51" t="s">
        <v>2533</v>
      </c>
      <c r="F606" s="80"/>
      <c r="G606" s="75">
        <f>966580212400</f>
        <v>966580212400</v>
      </c>
      <c r="H606" s="80"/>
      <c r="I606" s="76"/>
      <c r="J606" s="80"/>
      <c r="K606" s="80"/>
      <c r="L606" s="51" t="s">
        <v>78</v>
      </c>
      <c r="M606" s="79">
        <v>44844</v>
      </c>
      <c r="N606" s="51"/>
      <c r="O606" s="80"/>
      <c r="P606" s="82"/>
      <c r="Q606" s="80"/>
      <c r="R606" s="80"/>
      <c r="S606" s="82"/>
      <c r="T606" s="80"/>
      <c r="U606" s="80"/>
      <c r="V606" s="79"/>
      <c r="W606" s="80"/>
      <c r="X606" s="80"/>
    </row>
    <row r="607" spans="1:24" ht="42" customHeight="1">
      <c r="A607" s="80">
        <f t="shared" si="0"/>
        <v>605</v>
      </c>
      <c r="B607" s="51" t="str">
        <f t="shared" si="1"/>
        <v>MA</v>
      </c>
      <c r="C607" s="81" t="s">
        <v>3730</v>
      </c>
      <c r="D607" s="51" t="s">
        <v>746</v>
      </c>
      <c r="E607" s="51" t="s">
        <v>2533</v>
      </c>
      <c r="F607" s="80"/>
      <c r="G607" s="75"/>
      <c r="H607" s="80"/>
      <c r="I607" s="76"/>
      <c r="J607" s="80"/>
      <c r="K607" s="80"/>
      <c r="L607" s="80"/>
      <c r="M607" s="79">
        <v>44833</v>
      </c>
      <c r="N607" s="80"/>
      <c r="O607" s="80"/>
      <c r="P607" s="82"/>
      <c r="Q607" s="80"/>
      <c r="R607" s="80"/>
      <c r="S607" s="82"/>
      <c r="T607" s="80"/>
      <c r="U607" s="80"/>
      <c r="V607" s="79"/>
      <c r="W607" s="80"/>
      <c r="X607" s="80"/>
    </row>
    <row r="608" spans="1:24" ht="42" customHeight="1">
      <c r="A608" s="80">
        <f t="shared" si="0"/>
        <v>606</v>
      </c>
      <c r="B608" s="51" t="str">
        <f t="shared" si="1"/>
        <v>MA</v>
      </c>
      <c r="C608" s="51" t="s">
        <v>3731</v>
      </c>
      <c r="D608" s="51" t="s">
        <v>746</v>
      </c>
      <c r="E608" s="51" t="s">
        <v>3141</v>
      </c>
      <c r="F608" s="80"/>
      <c r="G608" s="75">
        <f>966548725727</f>
        <v>966548725727</v>
      </c>
      <c r="H608" s="80"/>
      <c r="I608" s="76"/>
      <c r="J608" s="80"/>
      <c r="K608" s="80"/>
      <c r="L608" s="51" t="s">
        <v>78</v>
      </c>
      <c r="M608" s="79">
        <v>44844</v>
      </c>
      <c r="N608" s="51"/>
      <c r="O608" s="80"/>
      <c r="P608" s="82"/>
      <c r="Q608" s="80"/>
      <c r="R608" s="80"/>
      <c r="S608" s="82"/>
      <c r="T608" s="80"/>
      <c r="U608" s="80"/>
      <c r="V608" s="79"/>
      <c r="W608" s="80"/>
      <c r="X608" s="80"/>
    </row>
    <row r="609" spans="1:24" ht="42" customHeight="1">
      <c r="A609" s="80">
        <f t="shared" si="0"/>
        <v>607</v>
      </c>
      <c r="B609" s="51" t="str">
        <f t="shared" si="1"/>
        <v>MA</v>
      </c>
      <c r="C609" s="51" t="s">
        <v>3732</v>
      </c>
      <c r="D609" s="51" t="s">
        <v>746</v>
      </c>
      <c r="E609" s="51" t="s">
        <v>2533</v>
      </c>
      <c r="F609" s="80"/>
      <c r="G609" s="75" t="s">
        <v>3733</v>
      </c>
      <c r="H609" s="80"/>
      <c r="I609" s="76"/>
      <c r="J609" s="80"/>
      <c r="K609" s="80"/>
      <c r="L609" s="51" t="s">
        <v>78</v>
      </c>
      <c r="M609" s="79">
        <v>44844</v>
      </c>
      <c r="N609" s="51"/>
      <c r="O609" s="51" t="s">
        <v>78</v>
      </c>
      <c r="P609" s="79">
        <v>44845</v>
      </c>
      <c r="Q609" s="51" t="s">
        <v>2561</v>
      </c>
      <c r="R609" s="80"/>
      <c r="S609" s="82"/>
      <c r="T609" s="80"/>
      <c r="U609" s="80"/>
      <c r="V609" s="79"/>
      <c r="W609" s="80"/>
      <c r="X609" s="80"/>
    </row>
    <row r="610" spans="1:24" ht="42" customHeight="1">
      <c r="A610" s="80">
        <f t="shared" si="0"/>
        <v>608</v>
      </c>
      <c r="B610" s="51" t="str">
        <f t="shared" si="1"/>
        <v>MA</v>
      </c>
      <c r="C610" s="51" t="s">
        <v>3734</v>
      </c>
      <c r="D610" s="51" t="s">
        <v>746</v>
      </c>
      <c r="E610" s="51" t="s">
        <v>2533</v>
      </c>
      <c r="F610" s="80"/>
      <c r="G610" s="75">
        <f>966599750786</f>
        <v>966599750786</v>
      </c>
      <c r="H610" s="80"/>
      <c r="I610" s="76"/>
      <c r="J610" s="80"/>
      <c r="K610" s="80"/>
      <c r="L610" s="51" t="s">
        <v>78</v>
      </c>
      <c r="M610" s="79">
        <v>44844</v>
      </c>
      <c r="N610" s="51"/>
      <c r="O610" s="80"/>
      <c r="P610" s="82"/>
      <c r="Q610" s="80"/>
      <c r="R610" s="80"/>
      <c r="S610" s="82"/>
      <c r="T610" s="80"/>
      <c r="U610" s="80"/>
      <c r="V610" s="79"/>
      <c r="W610" s="80"/>
      <c r="X610" s="80"/>
    </row>
    <row r="611" spans="1:24" ht="42" customHeight="1">
      <c r="A611" s="80">
        <f t="shared" si="0"/>
        <v>609</v>
      </c>
      <c r="B611" s="51" t="str">
        <f t="shared" si="1"/>
        <v>MA</v>
      </c>
      <c r="C611" s="85" t="s">
        <v>3735</v>
      </c>
      <c r="D611" s="51" t="s">
        <v>746</v>
      </c>
      <c r="E611" s="51" t="s">
        <v>2533</v>
      </c>
      <c r="F611" s="80"/>
      <c r="G611" s="75" t="s">
        <v>3736</v>
      </c>
      <c r="H611" s="80"/>
      <c r="I611" s="76"/>
      <c r="J611" s="80"/>
      <c r="K611" s="80"/>
      <c r="L611" s="51" t="s">
        <v>78</v>
      </c>
      <c r="M611" s="79">
        <v>44844</v>
      </c>
      <c r="N611" s="51"/>
      <c r="O611" s="80"/>
      <c r="P611" s="82"/>
      <c r="Q611" s="80"/>
      <c r="R611" s="80"/>
      <c r="S611" s="82"/>
      <c r="T611" s="80"/>
      <c r="U611" s="80"/>
      <c r="V611" s="79"/>
      <c r="W611" s="80"/>
      <c r="X611" s="80"/>
    </row>
    <row r="612" spans="1:24" ht="42" customHeight="1">
      <c r="A612" s="80">
        <f t="shared" si="0"/>
        <v>610</v>
      </c>
      <c r="B612" s="51" t="str">
        <f t="shared" si="1"/>
        <v>MA</v>
      </c>
      <c r="C612" s="85" t="s">
        <v>3737</v>
      </c>
      <c r="D612" s="51" t="s">
        <v>746</v>
      </c>
      <c r="E612" s="51" t="s">
        <v>2533</v>
      </c>
      <c r="F612" s="80"/>
      <c r="G612" s="75">
        <f>966551166029</f>
        <v>966551166029</v>
      </c>
      <c r="H612" s="80"/>
      <c r="I612" s="76"/>
      <c r="J612" s="77" t="s">
        <v>3738</v>
      </c>
      <c r="K612" s="80"/>
      <c r="L612" s="51" t="s">
        <v>78</v>
      </c>
      <c r="M612" s="79">
        <v>44844</v>
      </c>
      <c r="N612" s="51"/>
      <c r="O612" s="80"/>
      <c r="P612" s="82"/>
      <c r="Q612" s="80"/>
      <c r="R612" s="80"/>
      <c r="S612" s="82"/>
      <c r="T612" s="80"/>
      <c r="U612" s="80"/>
      <c r="V612" s="79"/>
      <c r="W612" s="80"/>
      <c r="X612" s="80"/>
    </row>
    <row r="613" spans="1:24" ht="42" customHeight="1">
      <c r="A613" s="80">
        <f t="shared" si="0"/>
        <v>611</v>
      </c>
      <c r="B613" s="51" t="str">
        <f t="shared" si="1"/>
        <v>MA</v>
      </c>
      <c r="C613" s="51" t="s">
        <v>3739</v>
      </c>
      <c r="D613" s="51" t="s">
        <v>746</v>
      </c>
      <c r="E613" s="51" t="s">
        <v>2533</v>
      </c>
      <c r="F613" s="80"/>
      <c r="G613" s="75" t="s">
        <v>3740</v>
      </c>
      <c r="H613" s="80"/>
      <c r="I613" s="76"/>
      <c r="J613" s="80"/>
      <c r="K613" s="80"/>
      <c r="L613" s="51" t="s">
        <v>78</v>
      </c>
      <c r="M613" s="79">
        <v>44844</v>
      </c>
      <c r="N613" s="51"/>
      <c r="O613" s="80"/>
      <c r="P613" s="82"/>
      <c r="Q613" s="80"/>
      <c r="R613" s="80"/>
      <c r="S613" s="82"/>
      <c r="T613" s="80"/>
      <c r="U613" s="80"/>
      <c r="V613" s="79"/>
      <c r="W613" s="80"/>
      <c r="X613" s="80"/>
    </row>
    <row r="614" spans="1:24" ht="42" customHeight="1">
      <c r="A614" s="80">
        <f t="shared" si="0"/>
        <v>612</v>
      </c>
      <c r="B614" s="51" t="str">
        <f t="shared" si="1"/>
        <v>MA</v>
      </c>
      <c r="C614" s="51" t="s">
        <v>3741</v>
      </c>
      <c r="D614" s="51" t="s">
        <v>746</v>
      </c>
      <c r="E614" s="51" t="s">
        <v>2533</v>
      </c>
      <c r="F614" s="80"/>
      <c r="G614" s="75">
        <f>966555010975</f>
        <v>966555010975</v>
      </c>
      <c r="H614" s="80"/>
      <c r="I614" s="76"/>
      <c r="J614" s="80"/>
      <c r="K614" s="80"/>
      <c r="L614" s="51" t="s">
        <v>78</v>
      </c>
      <c r="M614" s="79">
        <v>44844</v>
      </c>
      <c r="N614" s="51"/>
      <c r="O614" s="80"/>
      <c r="P614" s="82"/>
      <c r="Q614" s="80"/>
      <c r="R614" s="80"/>
      <c r="S614" s="82"/>
      <c r="T614" s="80"/>
      <c r="U614" s="80"/>
      <c r="V614" s="79"/>
      <c r="W614" s="80"/>
      <c r="X614" s="80"/>
    </row>
    <row r="615" spans="1:24" ht="42" customHeight="1">
      <c r="A615" s="80">
        <f t="shared" si="0"/>
        <v>613</v>
      </c>
      <c r="B615" s="51" t="str">
        <f t="shared" si="1"/>
        <v>MA</v>
      </c>
      <c r="C615" s="85" t="s">
        <v>3742</v>
      </c>
      <c r="D615" s="51" t="s">
        <v>746</v>
      </c>
      <c r="E615" s="51" t="s">
        <v>2533</v>
      </c>
      <c r="F615" s="80"/>
      <c r="G615" s="75" t="s">
        <v>3743</v>
      </c>
      <c r="H615" s="80"/>
      <c r="I615" s="76"/>
      <c r="J615" s="80"/>
      <c r="K615" s="80"/>
      <c r="L615" s="51" t="s">
        <v>78</v>
      </c>
      <c r="M615" s="79">
        <v>44844</v>
      </c>
      <c r="N615" s="51"/>
      <c r="O615" s="80"/>
      <c r="P615" s="82"/>
      <c r="Q615" s="80"/>
      <c r="R615" s="80"/>
      <c r="S615" s="82"/>
      <c r="T615" s="80"/>
      <c r="U615" s="80"/>
      <c r="V615" s="79"/>
      <c r="W615" s="80"/>
      <c r="X615" s="80"/>
    </row>
    <row r="616" spans="1:24" ht="42" customHeight="1">
      <c r="A616" s="80">
        <f t="shared" si="0"/>
        <v>614</v>
      </c>
      <c r="B616" s="51" t="str">
        <f t="shared" si="1"/>
        <v>MA</v>
      </c>
      <c r="C616" s="85" t="s">
        <v>3744</v>
      </c>
      <c r="D616" s="51" t="s">
        <v>746</v>
      </c>
      <c r="E616" s="51" t="s">
        <v>2533</v>
      </c>
      <c r="F616" s="80"/>
      <c r="G616" s="75" t="s">
        <v>3745</v>
      </c>
      <c r="H616" s="80"/>
      <c r="I616" s="76"/>
      <c r="J616" s="80"/>
      <c r="K616" s="80"/>
      <c r="L616" s="51" t="s">
        <v>78</v>
      </c>
      <c r="M616" s="79">
        <v>44844</v>
      </c>
      <c r="N616" s="51"/>
      <c r="O616" s="80"/>
      <c r="P616" s="82"/>
      <c r="Q616" s="80"/>
      <c r="R616" s="80"/>
      <c r="S616" s="82"/>
      <c r="T616" s="80"/>
      <c r="U616" s="80"/>
      <c r="V616" s="79"/>
      <c r="W616" s="80"/>
      <c r="X616" s="80"/>
    </row>
    <row r="617" spans="1:24" ht="42" customHeight="1">
      <c r="A617" s="80">
        <f t="shared" si="0"/>
        <v>615</v>
      </c>
      <c r="B617" s="51" t="str">
        <f t="shared" si="1"/>
        <v>MA</v>
      </c>
      <c r="C617" s="85" t="s">
        <v>3746</v>
      </c>
      <c r="D617" s="51" t="s">
        <v>746</v>
      </c>
      <c r="E617" s="51" t="s">
        <v>2533</v>
      </c>
      <c r="F617" s="80"/>
      <c r="G617" s="75" t="s">
        <v>3747</v>
      </c>
      <c r="H617" s="80"/>
      <c r="I617" s="76"/>
      <c r="J617" s="80"/>
      <c r="K617" s="80"/>
      <c r="L617" s="51" t="s">
        <v>78</v>
      </c>
      <c r="M617" s="79">
        <v>44844</v>
      </c>
      <c r="N617" s="51"/>
      <c r="O617" s="80"/>
      <c r="P617" s="82"/>
      <c r="Q617" s="80"/>
      <c r="R617" s="80"/>
      <c r="S617" s="82"/>
      <c r="T617" s="80"/>
      <c r="U617" s="80"/>
      <c r="V617" s="79"/>
      <c r="W617" s="80"/>
      <c r="X617" s="80"/>
    </row>
    <row r="618" spans="1:24" ht="42" customHeight="1">
      <c r="A618" s="80">
        <f t="shared" si="0"/>
        <v>616</v>
      </c>
      <c r="B618" s="51" t="str">
        <f t="shared" si="1"/>
        <v>MA</v>
      </c>
      <c r="C618" s="81" t="s">
        <v>3748</v>
      </c>
      <c r="D618" s="51" t="s">
        <v>746</v>
      </c>
      <c r="E618" s="51" t="s">
        <v>2533</v>
      </c>
      <c r="F618" s="80"/>
      <c r="G618" s="75"/>
      <c r="H618" s="80"/>
      <c r="I618" s="76"/>
      <c r="J618" s="80"/>
      <c r="K618" s="80"/>
      <c r="L618" s="80"/>
      <c r="M618" s="79">
        <v>44754</v>
      </c>
      <c r="N618" s="80"/>
      <c r="O618" s="80"/>
      <c r="P618" s="82"/>
      <c r="Q618" s="80"/>
      <c r="R618" s="80"/>
      <c r="S618" s="82"/>
      <c r="T618" s="80"/>
      <c r="U618" s="80"/>
      <c r="V618" s="79"/>
      <c r="W618" s="80"/>
      <c r="X618" s="80"/>
    </row>
    <row r="619" spans="1:24" ht="42" customHeight="1">
      <c r="A619" s="80">
        <f t="shared" si="0"/>
        <v>617</v>
      </c>
      <c r="B619" s="51" t="str">
        <f t="shared" si="1"/>
        <v>MA</v>
      </c>
      <c r="C619" s="51" t="s">
        <v>3749</v>
      </c>
      <c r="D619" s="51" t="s">
        <v>746</v>
      </c>
      <c r="E619" s="51" t="s">
        <v>2547</v>
      </c>
      <c r="F619" s="80"/>
      <c r="G619" s="75">
        <f>20225726501</f>
        <v>20225726501</v>
      </c>
      <c r="H619" s="80"/>
      <c r="I619" s="76"/>
      <c r="J619" s="80"/>
      <c r="K619" s="80"/>
      <c r="L619" s="51" t="s">
        <v>78</v>
      </c>
      <c r="M619" s="79">
        <v>44844</v>
      </c>
      <c r="N619" s="51"/>
      <c r="O619" s="80"/>
      <c r="P619" s="82"/>
      <c r="Q619" s="80"/>
      <c r="R619" s="80"/>
      <c r="S619" s="82"/>
      <c r="T619" s="80"/>
      <c r="U619" s="80"/>
      <c r="V619" s="79"/>
      <c r="W619" s="80"/>
      <c r="X619" s="80"/>
    </row>
    <row r="620" spans="1:24" ht="42" customHeight="1">
      <c r="A620" s="80">
        <f t="shared" si="0"/>
        <v>618</v>
      </c>
      <c r="B620" s="51" t="str">
        <f t="shared" si="1"/>
        <v>MA</v>
      </c>
      <c r="C620" s="126" t="s">
        <v>3750</v>
      </c>
      <c r="D620" s="51" t="s">
        <v>746</v>
      </c>
      <c r="E620" s="51" t="s">
        <v>2533</v>
      </c>
      <c r="F620" s="80"/>
      <c r="G620" s="75">
        <f>966558340993</f>
        <v>966558340993</v>
      </c>
      <c r="H620" s="80"/>
      <c r="I620" s="76"/>
      <c r="J620" s="80"/>
      <c r="K620" s="80"/>
      <c r="L620" s="51" t="s">
        <v>78</v>
      </c>
      <c r="M620" s="79">
        <v>44844</v>
      </c>
      <c r="N620" s="51"/>
      <c r="O620" s="80"/>
      <c r="P620" s="82"/>
      <c r="Q620" s="80"/>
      <c r="R620" s="80"/>
      <c r="S620" s="82"/>
      <c r="T620" s="80"/>
      <c r="U620" s="80"/>
      <c r="V620" s="79"/>
      <c r="W620" s="80"/>
      <c r="X620" s="80"/>
    </row>
    <row r="621" spans="1:24" ht="42" customHeight="1">
      <c r="A621" s="80">
        <f t="shared" si="0"/>
        <v>619</v>
      </c>
      <c r="B621" s="51" t="str">
        <f t="shared" si="1"/>
        <v>MA</v>
      </c>
      <c r="C621" s="126" t="s">
        <v>3751</v>
      </c>
      <c r="D621" s="51" t="s">
        <v>746</v>
      </c>
      <c r="E621" s="51" t="s">
        <v>2533</v>
      </c>
      <c r="F621" s="80"/>
      <c r="G621" s="75">
        <f>966126375719</f>
        <v>966126375719</v>
      </c>
      <c r="H621" s="80"/>
      <c r="I621" s="76"/>
      <c r="J621" s="80"/>
      <c r="K621" s="80"/>
      <c r="L621" s="51" t="s">
        <v>78</v>
      </c>
      <c r="M621" s="79">
        <v>44844</v>
      </c>
      <c r="N621" s="51"/>
      <c r="O621" s="80"/>
      <c r="P621" s="82"/>
      <c r="Q621" s="80"/>
      <c r="R621" s="80"/>
      <c r="S621" s="82"/>
      <c r="T621" s="80"/>
      <c r="U621" s="80"/>
      <c r="V621" s="79"/>
      <c r="W621" s="80"/>
      <c r="X621" s="80"/>
    </row>
    <row r="622" spans="1:24" ht="42" customHeight="1">
      <c r="A622" s="80">
        <f t="shared" si="0"/>
        <v>620</v>
      </c>
      <c r="B622" s="51" t="str">
        <f t="shared" si="1"/>
        <v>MA</v>
      </c>
      <c r="C622" s="99" t="s">
        <v>3752</v>
      </c>
      <c r="D622" s="51" t="s">
        <v>746</v>
      </c>
      <c r="E622" s="51" t="s">
        <v>2533</v>
      </c>
      <c r="F622" s="80"/>
      <c r="G622" s="75">
        <f>966126224641</f>
        <v>966126224641</v>
      </c>
      <c r="H622" s="80"/>
      <c r="I622" s="76"/>
      <c r="J622" s="80"/>
      <c r="K622" s="80"/>
      <c r="L622" s="51" t="s">
        <v>7</v>
      </c>
      <c r="M622" s="79">
        <v>44844</v>
      </c>
      <c r="N622" s="51"/>
      <c r="O622" s="80"/>
      <c r="P622" s="82"/>
      <c r="Q622" s="80"/>
      <c r="R622" s="80"/>
      <c r="S622" s="82"/>
      <c r="T622" s="80"/>
      <c r="U622" s="80"/>
      <c r="V622" s="79"/>
      <c r="W622" s="80"/>
      <c r="X622" s="80"/>
    </row>
    <row r="623" spans="1:24" ht="42" customHeight="1">
      <c r="A623" s="80">
        <f t="shared" si="0"/>
        <v>621</v>
      </c>
      <c r="B623" s="51" t="str">
        <f t="shared" si="1"/>
        <v>MA</v>
      </c>
      <c r="C623" s="51" t="s">
        <v>3753</v>
      </c>
      <c r="D623" s="51" t="s">
        <v>746</v>
      </c>
      <c r="E623" s="51" t="s">
        <v>2547</v>
      </c>
      <c r="F623" s="80"/>
      <c r="G623" s="75" t="s">
        <v>3754</v>
      </c>
      <c r="H623" s="80"/>
      <c r="I623" s="54" t="s">
        <v>3755</v>
      </c>
      <c r="J623" s="80"/>
      <c r="K623" s="80"/>
      <c r="L623" s="51" t="s">
        <v>78</v>
      </c>
      <c r="M623" s="79">
        <v>44844</v>
      </c>
      <c r="N623" s="51"/>
      <c r="O623" s="80"/>
      <c r="P623" s="82"/>
      <c r="Q623" s="80"/>
      <c r="R623" s="80"/>
      <c r="S623" s="82"/>
      <c r="T623" s="80"/>
      <c r="U623" s="80"/>
      <c r="V623" s="79"/>
      <c r="W623" s="80"/>
      <c r="X623" s="80"/>
    </row>
    <row r="624" spans="1:24" ht="42" customHeight="1">
      <c r="A624" s="80">
        <f t="shared" si="0"/>
        <v>622</v>
      </c>
      <c r="B624" s="51" t="str">
        <f t="shared" si="1"/>
        <v>MA</v>
      </c>
      <c r="C624" s="51" t="s">
        <v>3756</v>
      </c>
      <c r="D624" s="51" t="s">
        <v>746</v>
      </c>
      <c r="E624" s="51" t="s">
        <v>2559</v>
      </c>
      <c r="F624" s="80"/>
      <c r="G624" s="75"/>
      <c r="H624" s="80"/>
      <c r="I624" s="76"/>
      <c r="J624" s="80"/>
      <c r="K624" s="80"/>
      <c r="L624" s="51" t="s">
        <v>7</v>
      </c>
      <c r="M624" s="79">
        <v>44844</v>
      </c>
      <c r="N624" s="51"/>
      <c r="O624" s="80"/>
      <c r="P624" s="82"/>
      <c r="Q624" s="80"/>
      <c r="R624" s="80"/>
      <c r="S624" s="82"/>
      <c r="T624" s="80"/>
      <c r="U624" s="80"/>
      <c r="V624" s="79"/>
      <c r="W624" s="80"/>
      <c r="X624" s="80"/>
    </row>
    <row r="625" spans="1:24" ht="42" customHeight="1">
      <c r="A625" s="80">
        <f t="shared" si="0"/>
        <v>623</v>
      </c>
      <c r="B625" s="51" t="str">
        <f t="shared" si="1"/>
        <v>MA</v>
      </c>
      <c r="C625" s="87" t="s">
        <v>3757</v>
      </c>
      <c r="D625" s="51" t="s">
        <v>746</v>
      </c>
      <c r="E625" s="51" t="s">
        <v>2533</v>
      </c>
      <c r="F625" s="80"/>
      <c r="G625" s="75"/>
      <c r="H625" s="80"/>
      <c r="I625" s="76"/>
      <c r="J625" s="80"/>
      <c r="K625" s="80"/>
      <c r="L625" s="80"/>
      <c r="M625" s="79">
        <v>44832</v>
      </c>
      <c r="N625" s="80"/>
      <c r="O625" s="80"/>
      <c r="P625" s="82"/>
      <c r="Q625" s="80"/>
      <c r="R625" s="80"/>
      <c r="S625" s="82"/>
      <c r="T625" s="80"/>
      <c r="U625" s="80"/>
      <c r="V625" s="79"/>
      <c r="W625" s="80"/>
      <c r="X625" s="80"/>
    </row>
    <row r="626" spans="1:24" ht="42" customHeight="1">
      <c r="A626" s="80">
        <f t="shared" si="0"/>
        <v>624</v>
      </c>
      <c r="B626" s="51" t="str">
        <f t="shared" si="1"/>
        <v>MA</v>
      </c>
      <c r="C626" s="85" t="s">
        <v>3758</v>
      </c>
      <c r="D626" s="51" t="s">
        <v>746</v>
      </c>
      <c r="E626" s="51" t="s">
        <v>2533</v>
      </c>
      <c r="F626" s="80"/>
      <c r="G626" s="75">
        <f>966536573333</f>
        <v>966536573333</v>
      </c>
      <c r="H626" s="80"/>
      <c r="I626" s="76"/>
      <c r="J626" s="77" t="s">
        <v>3759</v>
      </c>
      <c r="K626" s="80"/>
      <c r="L626" s="51" t="s">
        <v>78</v>
      </c>
      <c r="M626" s="79">
        <v>44844</v>
      </c>
      <c r="N626" s="51"/>
      <c r="O626" s="80"/>
      <c r="P626" s="82"/>
      <c r="Q626" s="80"/>
      <c r="R626" s="80"/>
      <c r="S626" s="82"/>
      <c r="T626" s="80"/>
      <c r="U626" s="80"/>
      <c r="V626" s="79"/>
      <c r="W626" s="80"/>
      <c r="X626" s="80"/>
    </row>
    <row r="627" spans="1:24" ht="42" customHeight="1">
      <c r="A627" s="80">
        <f t="shared" si="0"/>
        <v>625</v>
      </c>
      <c r="B627" s="51" t="str">
        <f t="shared" si="1"/>
        <v>MA</v>
      </c>
      <c r="C627" s="51" t="s">
        <v>3760</v>
      </c>
      <c r="D627" s="51" t="s">
        <v>746</v>
      </c>
      <c r="E627" s="51" t="s">
        <v>2533</v>
      </c>
      <c r="F627" s="80"/>
      <c r="G627" s="75">
        <f>966554445325</f>
        <v>966554445325</v>
      </c>
      <c r="H627" s="80"/>
      <c r="I627" s="76"/>
      <c r="J627" s="77" t="s">
        <v>3761</v>
      </c>
      <c r="K627" s="80"/>
      <c r="L627" s="51" t="s">
        <v>78</v>
      </c>
      <c r="M627" s="79">
        <v>44844</v>
      </c>
      <c r="N627" s="51"/>
      <c r="O627" s="80"/>
      <c r="P627" s="82"/>
      <c r="Q627" s="80"/>
      <c r="R627" s="80"/>
      <c r="S627" s="82"/>
      <c r="T627" s="80"/>
      <c r="U627" s="80"/>
      <c r="V627" s="79"/>
      <c r="W627" s="80"/>
      <c r="X627" s="80"/>
    </row>
    <row r="628" spans="1:24" ht="42" customHeight="1">
      <c r="A628" s="80">
        <f t="shared" si="0"/>
        <v>626</v>
      </c>
      <c r="B628" s="51" t="str">
        <f t="shared" si="1"/>
        <v>MA</v>
      </c>
      <c r="C628" s="51" t="s">
        <v>3762</v>
      </c>
      <c r="D628" s="51" t="s">
        <v>746</v>
      </c>
      <c r="E628" s="51" t="s">
        <v>2533</v>
      </c>
      <c r="F628" s="80"/>
      <c r="G628" s="75" t="s">
        <v>3763</v>
      </c>
      <c r="H628" s="136" t="s">
        <v>3764</v>
      </c>
      <c r="I628" s="76"/>
      <c r="J628" s="80"/>
      <c r="K628" s="80"/>
      <c r="L628" s="51" t="s">
        <v>78</v>
      </c>
      <c r="M628" s="79">
        <v>44844</v>
      </c>
      <c r="N628" s="51"/>
      <c r="O628" s="80"/>
      <c r="P628" s="82"/>
      <c r="Q628" s="80"/>
      <c r="R628" s="80"/>
      <c r="S628" s="82"/>
      <c r="T628" s="80"/>
      <c r="U628" s="80"/>
      <c r="V628" s="79"/>
      <c r="W628" s="80"/>
      <c r="X628" s="80"/>
    </row>
    <row r="629" spans="1:24" ht="42" customHeight="1">
      <c r="A629" s="80">
        <f t="shared" si="0"/>
        <v>627</v>
      </c>
      <c r="B629" s="51" t="str">
        <f t="shared" si="1"/>
        <v>MA</v>
      </c>
      <c r="C629" s="110" t="s">
        <v>3765</v>
      </c>
      <c r="D629" s="51" t="s">
        <v>746</v>
      </c>
      <c r="E629" s="51" t="s">
        <v>2533</v>
      </c>
      <c r="F629" s="80"/>
      <c r="G629" s="75">
        <f>966541755420</f>
        <v>966541755420</v>
      </c>
      <c r="H629" s="80"/>
      <c r="I629" s="76"/>
      <c r="J629" s="80"/>
      <c r="K629" s="80"/>
      <c r="L629" s="51" t="s">
        <v>78</v>
      </c>
      <c r="M629" s="79">
        <v>44844</v>
      </c>
      <c r="N629" s="51"/>
      <c r="O629" s="80"/>
      <c r="P629" s="82"/>
      <c r="Q629" s="80"/>
      <c r="R629" s="80"/>
      <c r="S629" s="82"/>
      <c r="T629" s="80"/>
      <c r="U629" s="80"/>
      <c r="V629" s="79"/>
      <c r="W629" s="80"/>
      <c r="X629" s="80"/>
    </row>
    <row r="630" spans="1:24" ht="42" customHeight="1">
      <c r="A630" s="80">
        <f t="shared" si="0"/>
        <v>628</v>
      </c>
      <c r="B630" s="51" t="str">
        <f t="shared" si="1"/>
        <v>MA</v>
      </c>
      <c r="C630" s="99" t="s">
        <v>3766</v>
      </c>
      <c r="D630" s="51" t="s">
        <v>746</v>
      </c>
      <c r="E630" s="51" t="s">
        <v>2533</v>
      </c>
      <c r="F630" s="80"/>
      <c r="G630" s="75">
        <f>966138100349</f>
        <v>966138100349</v>
      </c>
      <c r="H630" s="80"/>
      <c r="I630" s="76"/>
      <c r="J630" s="80"/>
      <c r="K630" s="80"/>
      <c r="L630" s="51" t="s">
        <v>7</v>
      </c>
      <c r="M630" s="79">
        <v>44844</v>
      </c>
      <c r="N630" s="51"/>
      <c r="O630" s="80"/>
      <c r="P630" s="82"/>
      <c r="Q630" s="80"/>
      <c r="R630" s="80"/>
      <c r="S630" s="82"/>
      <c r="T630" s="80"/>
      <c r="U630" s="80"/>
      <c r="V630" s="79"/>
      <c r="W630" s="80"/>
      <c r="X630" s="80"/>
    </row>
    <row r="631" spans="1:24" ht="42" customHeight="1">
      <c r="A631" s="80">
        <f t="shared" si="0"/>
        <v>629</v>
      </c>
      <c r="B631" s="51" t="str">
        <f t="shared" si="1"/>
        <v>MA</v>
      </c>
      <c r="C631" s="85" t="s">
        <v>3767</v>
      </c>
      <c r="D631" s="51" t="s">
        <v>746</v>
      </c>
      <c r="E631" s="51" t="s">
        <v>2533</v>
      </c>
      <c r="F631" s="80"/>
      <c r="G631" s="75">
        <f>966112650065</f>
        <v>966112650065</v>
      </c>
      <c r="H631" s="80"/>
      <c r="I631" s="76"/>
      <c r="J631" s="80"/>
      <c r="K631" s="80"/>
      <c r="L631" s="51" t="s">
        <v>7</v>
      </c>
      <c r="M631" s="79">
        <v>44844</v>
      </c>
      <c r="N631" s="51"/>
      <c r="O631" s="80"/>
      <c r="P631" s="82"/>
      <c r="Q631" s="80"/>
      <c r="R631" s="80"/>
      <c r="S631" s="82"/>
      <c r="T631" s="80"/>
      <c r="U631" s="80"/>
      <c r="V631" s="79"/>
      <c r="W631" s="80"/>
      <c r="X631" s="80"/>
    </row>
    <row r="632" spans="1:24" ht="42" customHeight="1">
      <c r="A632" s="80">
        <f t="shared" si="0"/>
        <v>630</v>
      </c>
      <c r="B632" s="51" t="str">
        <f t="shared" si="1"/>
        <v>MA</v>
      </c>
      <c r="C632" s="51" t="s">
        <v>3768</v>
      </c>
      <c r="D632" s="51" t="s">
        <v>746</v>
      </c>
      <c r="E632" s="51" t="s">
        <v>2533</v>
      </c>
      <c r="F632" s="80"/>
      <c r="G632" s="75"/>
      <c r="H632" s="80"/>
      <c r="I632" s="54" t="s">
        <v>3769</v>
      </c>
      <c r="J632" s="80"/>
      <c r="K632" s="80"/>
      <c r="L632" s="51" t="s">
        <v>7</v>
      </c>
      <c r="M632" s="79">
        <v>44844</v>
      </c>
      <c r="N632" s="51"/>
      <c r="O632" s="51" t="s">
        <v>7</v>
      </c>
      <c r="P632" s="79">
        <v>44848</v>
      </c>
      <c r="Q632" s="51" t="s">
        <v>2551</v>
      </c>
      <c r="R632" s="51" t="s">
        <v>7</v>
      </c>
      <c r="S632" s="79">
        <v>44865</v>
      </c>
      <c r="T632" s="51" t="s">
        <v>2551</v>
      </c>
      <c r="U632" s="80"/>
      <c r="V632" s="79"/>
      <c r="W632" s="80"/>
      <c r="X632" s="80"/>
    </row>
    <row r="633" spans="1:24" ht="42" customHeight="1">
      <c r="A633" s="80">
        <f t="shared" si="0"/>
        <v>631</v>
      </c>
      <c r="B633" s="51" t="str">
        <f t="shared" si="1"/>
        <v>MA</v>
      </c>
      <c r="C633" s="86" t="s">
        <v>3770</v>
      </c>
      <c r="D633" s="51" t="s">
        <v>746</v>
      </c>
      <c r="E633" s="51" t="s">
        <v>2533</v>
      </c>
      <c r="F633" s="80"/>
      <c r="G633" s="75"/>
      <c r="H633" s="80"/>
      <c r="I633" s="54" t="s">
        <v>3771</v>
      </c>
      <c r="J633" s="80"/>
      <c r="K633" s="80"/>
      <c r="L633" s="51" t="s">
        <v>7</v>
      </c>
      <c r="M633" s="79">
        <v>44844</v>
      </c>
      <c r="N633" s="51"/>
      <c r="O633" s="80"/>
      <c r="P633" s="82"/>
      <c r="Q633" s="80"/>
      <c r="R633" s="51" t="s">
        <v>7</v>
      </c>
      <c r="S633" s="79">
        <v>44865</v>
      </c>
      <c r="T633" s="51" t="s">
        <v>2553</v>
      </c>
      <c r="U633" s="80"/>
      <c r="V633" s="79"/>
      <c r="W633" s="80"/>
      <c r="X633" s="80"/>
    </row>
    <row r="634" spans="1:24" ht="42" customHeight="1">
      <c r="A634" s="80">
        <f t="shared" si="0"/>
        <v>632</v>
      </c>
      <c r="B634" s="51" t="str">
        <f t="shared" si="1"/>
        <v>MA</v>
      </c>
      <c r="C634" s="87" t="s">
        <v>3772</v>
      </c>
      <c r="D634" s="51" t="s">
        <v>746</v>
      </c>
      <c r="E634" s="51" t="s">
        <v>2533</v>
      </c>
      <c r="F634" s="80"/>
      <c r="G634" s="75"/>
      <c r="H634" s="80"/>
      <c r="I634" s="76"/>
      <c r="J634" s="80"/>
      <c r="K634" s="80"/>
      <c r="L634" s="51" t="s">
        <v>78</v>
      </c>
      <c r="M634" s="79">
        <v>44844</v>
      </c>
      <c r="N634" s="51"/>
      <c r="O634" s="80"/>
      <c r="P634" s="82"/>
      <c r="Q634" s="80"/>
      <c r="R634" s="80"/>
      <c r="S634" s="82"/>
      <c r="T634" s="80"/>
      <c r="U634" s="80"/>
      <c r="V634" s="79"/>
      <c r="W634" s="80"/>
      <c r="X634" s="80"/>
    </row>
    <row r="635" spans="1:24" ht="42" customHeight="1">
      <c r="A635" s="80">
        <f t="shared" si="0"/>
        <v>633</v>
      </c>
      <c r="B635" s="51" t="str">
        <f t="shared" si="1"/>
        <v>MA</v>
      </c>
      <c r="C635" s="51" t="s">
        <v>3773</v>
      </c>
      <c r="D635" s="51" t="s">
        <v>995</v>
      </c>
      <c r="E635" s="51" t="s">
        <v>2533</v>
      </c>
      <c r="F635" s="80"/>
      <c r="G635" s="75" t="s">
        <v>3774</v>
      </c>
      <c r="H635" s="80"/>
      <c r="I635" s="76"/>
      <c r="J635" s="80"/>
      <c r="K635" s="80"/>
      <c r="L635" s="51" t="s">
        <v>78</v>
      </c>
      <c r="M635" s="79">
        <v>44844</v>
      </c>
      <c r="N635" s="51"/>
      <c r="O635" s="80"/>
      <c r="P635" s="82"/>
      <c r="Q635" s="80"/>
      <c r="R635" s="80"/>
      <c r="S635" s="82"/>
      <c r="T635" s="80"/>
      <c r="U635" s="80"/>
      <c r="V635" s="79"/>
      <c r="W635" s="80"/>
      <c r="X635" s="80"/>
    </row>
    <row r="636" spans="1:24" ht="42" customHeight="1">
      <c r="A636" s="80">
        <f t="shared" si="0"/>
        <v>634</v>
      </c>
      <c r="B636" s="51" t="str">
        <f t="shared" si="1"/>
        <v>MA</v>
      </c>
      <c r="C636" s="81" t="s">
        <v>3775</v>
      </c>
      <c r="D636" s="80"/>
      <c r="E636" s="51" t="s">
        <v>2533</v>
      </c>
      <c r="F636" s="80"/>
      <c r="G636" s="75"/>
      <c r="H636" s="80"/>
      <c r="I636" s="76"/>
      <c r="J636" s="80"/>
      <c r="K636" s="80"/>
      <c r="L636" s="51" t="s">
        <v>78</v>
      </c>
      <c r="M636" s="79">
        <v>44844</v>
      </c>
      <c r="N636" s="51"/>
      <c r="O636" s="80"/>
      <c r="P636" s="82"/>
      <c r="Q636" s="80"/>
      <c r="R636" s="80"/>
      <c r="S636" s="82"/>
      <c r="T636" s="80"/>
      <c r="U636" s="80"/>
      <c r="V636" s="79"/>
      <c r="W636" s="80"/>
      <c r="X636" s="80"/>
    </row>
    <row r="637" spans="1:24" ht="42" customHeight="1">
      <c r="A637" s="80">
        <f t="shared" si="0"/>
        <v>635</v>
      </c>
      <c r="B637" s="51" t="str">
        <f t="shared" si="1"/>
        <v>MA</v>
      </c>
      <c r="C637" s="85" t="s">
        <v>3776</v>
      </c>
      <c r="D637" s="51" t="s">
        <v>746</v>
      </c>
      <c r="E637" s="51" t="s">
        <v>2533</v>
      </c>
      <c r="F637" s="80"/>
      <c r="G637" s="75">
        <f>966505728661</f>
        <v>966505728661</v>
      </c>
      <c r="H637" s="80"/>
      <c r="I637" s="76"/>
      <c r="J637" s="80"/>
      <c r="K637" s="80"/>
      <c r="L637" s="51" t="s">
        <v>78</v>
      </c>
      <c r="M637" s="79">
        <v>44845</v>
      </c>
      <c r="N637" s="51"/>
      <c r="O637" s="80"/>
      <c r="P637" s="82"/>
      <c r="Q637" s="80"/>
      <c r="R637" s="51" t="s">
        <v>78</v>
      </c>
      <c r="S637" s="79">
        <v>44865</v>
      </c>
      <c r="T637" s="51" t="s">
        <v>2742</v>
      </c>
      <c r="U637" s="80"/>
      <c r="V637" s="79"/>
      <c r="W637" s="80"/>
      <c r="X637" s="80"/>
    </row>
    <row r="638" spans="1:24" ht="42" customHeight="1">
      <c r="A638" s="80">
        <f t="shared" si="0"/>
        <v>636</v>
      </c>
      <c r="B638" s="51" t="str">
        <f t="shared" si="1"/>
        <v>MA</v>
      </c>
      <c r="C638" s="87" t="s">
        <v>3777</v>
      </c>
      <c r="D638" s="51" t="s">
        <v>746</v>
      </c>
      <c r="E638" s="51" t="s">
        <v>2533</v>
      </c>
      <c r="F638" s="80"/>
      <c r="G638" s="75"/>
      <c r="H638" s="80"/>
      <c r="I638" s="76"/>
      <c r="J638" s="80"/>
      <c r="K638" s="80"/>
      <c r="L638" s="80"/>
      <c r="M638" s="79">
        <v>44763</v>
      </c>
      <c r="N638" s="80"/>
      <c r="O638" s="80"/>
      <c r="P638" s="82"/>
      <c r="Q638" s="80"/>
      <c r="R638" s="80"/>
      <c r="S638" s="82"/>
      <c r="T638" s="80"/>
      <c r="U638" s="80"/>
      <c r="V638" s="79"/>
      <c r="W638" s="80"/>
      <c r="X638" s="80"/>
    </row>
    <row r="639" spans="1:24" ht="42" customHeight="1">
      <c r="A639" s="80">
        <f t="shared" si="0"/>
        <v>637</v>
      </c>
      <c r="B639" s="51" t="str">
        <f t="shared" si="1"/>
        <v>MA</v>
      </c>
      <c r="C639" s="51" t="s">
        <v>3778</v>
      </c>
      <c r="D639" s="51" t="s">
        <v>746</v>
      </c>
      <c r="E639" s="51" t="s">
        <v>2533</v>
      </c>
      <c r="F639" s="80"/>
      <c r="G639" s="75" t="s">
        <v>3779</v>
      </c>
      <c r="H639" s="80"/>
      <c r="I639" s="76"/>
      <c r="J639" s="80"/>
      <c r="K639" s="80"/>
      <c r="L639" s="51" t="s">
        <v>78</v>
      </c>
      <c r="M639" s="79">
        <v>44845</v>
      </c>
      <c r="N639" s="51"/>
      <c r="O639" s="80"/>
      <c r="P639" s="82"/>
      <c r="Q639" s="80"/>
      <c r="R639" s="51" t="s">
        <v>78</v>
      </c>
      <c r="S639" s="79">
        <v>44865</v>
      </c>
      <c r="T639" s="51" t="s">
        <v>2635</v>
      </c>
      <c r="U639" s="80"/>
      <c r="V639" s="79"/>
      <c r="W639" s="80"/>
      <c r="X639" s="80"/>
    </row>
    <row r="640" spans="1:24" ht="42" customHeight="1">
      <c r="A640" s="80">
        <f t="shared" si="0"/>
        <v>638</v>
      </c>
      <c r="B640" s="51" t="str">
        <f t="shared" si="1"/>
        <v>MA</v>
      </c>
      <c r="C640" s="85" t="s">
        <v>3777</v>
      </c>
      <c r="D640" s="51" t="s">
        <v>746</v>
      </c>
      <c r="E640" s="51" t="s">
        <v>2559</v>
      </c>
      <c r="F640" s="80"/>
      <c r="G640" s="75">
        <f>966504716186</f>
        <v>966504716186</v>
      </c>
      <c r="H640" s="80"/>
      <c r="I640" s="54" t="s">
        <v>3780</v>
      </c>
      <c r="J640" s="80"/>
      <c r="K640" s="80"/>
      <c r="L640" s="51" t="s">
        <v>78</v>
      </c>
      <c r="M640" s="79">
        <v>44845</v>
      </c>
      <c r="N640" s="51"/>
      <c r="O640" s="80"/>
      <c r="P640" s="82"/>
      <c r="Q640" s="80"/>
      <c r="R640" s="51" t="s">
        <v>78</v>
      </c>
      <c r="S640" s="79">
        <v>44865</v>
      </c>
      <c r="T640" s="51" t="s">
        <v>2560</v>
      </c>
      <c r="U640" s="80"/>
      <c r="V640" s="79"/>
      <c r="W640" s="80"/>
      <c r="X640" s="80"/>
    </row>
    <row r="641" spans="1:24" ht="42" customHeight="1">
      <c r="A641" s="80">
        <f t="shared" si="0"/>
        <v>639</v>
      </c>
      <c r="B641" s="51" t="str">
        <f t="shared" si="1"/>
        <v>MA</v>
      </c>
      <c r="C641" s="85" t="s">
        <v>3781</v>
      </c>
      <c r="D641" s="51" t="s">
        <v>746</v>
      </c>
      <c r="E641" s="51" t="s">
        <v>3141</v>
      </c>
      <c r="F641" s="80"/>
      <c r="G641" s="75" t="s">
        <v>3782</v>
      </c>
      <c r="H641" s="80"/>
      <c r="I641" s="76"/>
      <c r="J641" s="77" t="s">
        <v>3783</v>
      </c>
      <c r="K641" s="80"/>
      <c r="L641" s="51" t="s">
        <v>78</v>
      </c>
      <c r="M641" s="79">
        <v>44845</v>
      </c>
      <c r="N641" s="51"/>
      <c r="O641" s="80"/>
      <c r="P641" s="82"/>
      <c r="Q641" s="80"/>
      <c r="R641" s="51" t="s">
        <v>78</v>
      </c>
      <c r="S641" s="79">
        <v>44865</v>
      </c>
      <c r="T641" s="51" t="s">
        <v>2742</v>
      </c>
      <c r="U641" s="80"/>
      <c r="V641" s="79"/>
      <c r="W641" s="80"/>
      <c r="X641" s="80"/>
    </row>
    <row r="642" spans="1:24" ht="42" customHeight="1">
      <c r="A642" s="80">
        <f t="shared" si="0"/>
        <v>640</v>
      </c>
      <c r="B642" s="51" t="str">
        <f t="shared" si="1"/>
        <v>MA</v>
      </c>
      <c r="C642" s="85" t="s">
        <v>3784</v>
      </c>
      <c r="D642" s="51" t="s">
        <v>746</v>
      </c>
      <c r="E642" s="51" t="s">
        <v>2533</v>
      </c>
      <c r="F642" s="80"/>
      <c r="G642" s="75" t="s">
        <v>3785</v>
      </c>
      <c r="H642" s="80"/>
      <c r="I642" s="76"/>
      <c r="J642" s="80"/>
      <c r="K642" s="80"/>
      <c r="L642" s="51" t="s">
        <v>78</v>
      </c>
      <c r="M642" s="79">
        <v>44845</v>
      </c>
      <c r="N642" s="51"/>
      <c r="O642" s="80"/>
      <c r="P642" s="82"/>
      <c r="Q642" s="80"/>
      <c r="R642" s="51" t="s">
        <v>78</v>
      </c>
      <c r="S642" s="79">
        <v>44865</v>
      </c>
      <c r="T642" s="51" t="s">
        <v>2635</v>
      </c>
      <c r="U642" s="80"/>
      <c r="V642" s="79"/>
      <c r="W642" s="80"/>
      <c r="X642" s="80"/>
    </row>
    <row r="643" spans="1:24" ht="42" customHeight="1">
      <c r="A643" s="80">
        <f t="shared" si="0"/>
        <v>641</v>
      </c>
      <c r="B643" s="51" t="str">
        <f t="shared" si="1"/>
        <v>MA</v>
      </c>
      <c r="C643" s="85" t="s">
        <v>3786</v>
      </c>
      <c r="D643" s="51" t="s">
        <v>746</v>
      </c>
      <c r="E643" s="51" t="s">
        <v>2533</v>
      </c>
      <c r="F643" s="80"/>
      <c r="G643" s="75" t="s">
        <v>3787</v>
      </c>
      <c r="H643" s="80"/>
      <c r="I643" s="76"/>
      <c r="J643" s="80"/>
      <c r="K643" s="80"/>
      <c r="L643" s="51" t="s">
        <v>78</v>
      </c>
      <c r="M643" s="79">
        <v>44845</v>
      </c>
      <c r="N643" s="51"/>
      <c r="O643" s="80"/>
      <c r="P643" s="82"/>
      <c r="Q643" s="80"/>
      <c r="R643" s="51" t="s">
        <v>78</v>
      </c>
      <c r="S643" s="79">
        <v>44865</v>
      </c>
      <c r="T643" s="51" t="s">
        <v>2561</v>
      </c>
      <c r="U643" s="80"/>
      <c r="V643" s="79"/>
      <c r="W643" s="80"/>
      <c r="X643" s="80"/>
    </row>
    <row r="644" spans="1:24" ht="42" customHeight="1">
      <c r="A644" s="80">
        <f t="shared" si="0"/>
        <v>642</v>
      </c>
      <c r="B644" s="51" t="str">
        <f t="shared" si="1"/>
        <v>MA</v>
      </c>
      <c r="C644" s="85" t="s">
        <v>3788</v>
      </c>
      <c r="D644" s="51" t="s">
        <v>746</v>
      </c>
      <c r="E644" s="51" t="s">
        <v>2533</v>
      </c>
      <c r="F644" s="80"/>
      <c r="G644" s="75">
        <v>966539383400</v>
      </c>
      <c r="H644" s="80"/>
      <c r="I644" s="76"/>
      <c r="J644" s="80"/>
      <c r="K644" s="80"/>
      <c r="L644" s="51" t="s">
        <v>78</v>
      </c>
      <c r="M644" s="79">
        <v>44845</v>
      </c>
      <c r="N644" s="51"/>
      <c r="O644" s="80"/>
      <c r="P644" s="82"/>
      <c r="Q644" s="80"/>
      <c r="R644" s="51" t="s">
        <v>78</v>
      </c>
      <c r="S644" s="79">
        <v>44865</v>
      </c>
      <c r="T644" s="51" t="s">
        <v>2635</v>
      </c>
      <c r="U644" s="80"/>
      <c r="V644" s="79"/>
      <c r="W644" s="80"/>
      <c r="X644" s="80"/>
    </row>
    <row r="645" spans="1:24" ht="42" customHeight="1">
      <c r="A645" s="80">
        <f t="shared" si="0"/>
        <v>643</v>
      </c>
      <c r="B645" s="51" t="str">
        <f t="shared" si="1"/>
        <v>MA</v>
      </c>
      <c r="C645" s="85" t="s">
        <v>3789</v>
      </c>
      <c r="D645" s="51" t="s">
        <v>746</v>
      </c>
      <c r="E645" s="51" t="s">
        <v>2559</v>
      </c>
      <c r="F645" s="80"/>
      <c r="G645" s="75">
        <f>966507700515</f>
        <v>966507700515</v>
      </c>
      <c r="H645" s="80"/>
      <c r="I645" s="76"/>
      <c r="J645" s="80"/>
      <c r="K645" s="80"/>
      <c r="L645" s="51" t="s">
        <v>78</v>
      </c>
      <c r="M645" s="79">
        <v>44845</v>
      </c>
      <c r="N645" s="51"/>
      <c r="O645" s="80"/>
      <c r="P645" s="82"/>
      <c r="Q645" s="80"/>
      <c r="R645" s="80"/>
      <c r="S645" s="82"/>
      <c r="T645" s="80"/>
      <c r="U645" s="80"/>
      <c r="V645" s="79"/>
      <c r="W645" s="80"/>
      <c r="X645" s="80"/>
    </row>
    <row r="646" spans="1:24" ht="42" customHeight="1">
      <c r="A646" s="80">
        <f t="shared" si="0"/>
        <v>644</v>
      </c>
      <c r="B646" s="51" t="str">
        <f t="shared" si="1"/>
        <v>MA</v>
      </c>
      <c r="C646" s="81" t="s">
        <v>3790</v>
      </c>
      <c r="D646" s="51" t="s">
        <v>725</v>
      </c>
      <c r="E646" s="51" t="s">
        <v>2533</v>
      </c>
      <c r="F646" s="80"/>
      <c r="G646" s="75"/>
      <c r="H646" s="80"/>
      <c r="I646" s="76"/>
      <c r="J646" s="80"/>
      <c r="K646" s="80"/>
      <c r="L646" s="51" t="s">
        <v>78</v>
      </c>
      <c r="M646" s="79">
        <v>44845</v>
      </c>
      <c r="N646" s="51"/>
      <c r="O646" s="80"/>
      <c r="P646" s="82"/>
      <c r="Q646" s="80"/>
      <c r="R646" s="80"/>
      <c r="S646" s="82"/>
      <c r="T646" s="80"/>
      <c r="U646" s="80"/>
      <c r="V646" s="79"/>
      <c r="W646" s="80"/>
      <c r="X646" s="80"/>
    </row>
    <row r="647" spans="1:24" ht="42" customHeight="1">
      <c r="A647" s="80">
        <f t="shared" si="0"/>
        <v>645</v>
      </c>
      <c r="B647" s="51" t="str">
        <f t="shared" si="1"/>
        <v>MA</v>
      </c>
      <c r="C647" s="51" t="s">
        <v>3791</v>
      </c>
      <c r="D647" s="51" t="s">
        <v>725</v>
      </c>
      <c r="E647" s="51" t="s">
        <v>2533</v>
      </c>
      <c r="F647" s="80"/>
      <c r="G647" s="75">
        <f>4917622108634</f>
        <v>4917622108634</v>
      </c>
      <c r="H647" s="51" t="s">
        <v>726</v>
      </c>
      <c r="I647" s="76"/>
      <c r="J647" s="80"/>
      <c r="K647" s="80"/>
      <c r="L647" s="51" t="s">
        <v>78</v>
      </c>
      <c r="M647" s="79">
        <v>44845</v>
      </c>
      <c r="N647" s="51"/>
      <c r="O647" s="51" t="s">
        <v>78</v>
      </c>
      <c r="P647" s="79">
        <v>44872</v>
      </c>
      <c r="Q647" s="51" t="s">
        <v>2635</v>
      </c>
      <c r="R647" s="51" t="s">
        <v>98</v>
      </c>
      <c r="S647" s="79">
        <v>44865</v>
      </c>
      <c r="T647" s="80"/>
      <c r="U647" s="51" t="s">
        <v>98</v>
      </c>
      <c r="V647" s="79">
        <v>44907</v>
      </c>
      <c r="W647" s="51" t="s">
        <v>2561</v>
      </c>
      <c r="X647" s="80"/>
    </row>
    <row r="648" spans="1:24" ht="42" customHeight="1">
      <c r="A648" s="80">
        <f t="shared" si="0"/>
        <v>646</v>
      </c>
      <c r="B648" s="51" t="str">
        <f t="shared" si="1"/>
        <v>MA</v>
      </c>
      <c r="C648" s="51" t="s">
        <v>3792</v>
      </c>
      <c r="D648" s="51" t="s">
        <v>725</v>
      </c>
      <c r="E648" s="51" t="s">
        <v>2533</v>
      </c>
      <c r="F648" s="80"/>
      <c r="G648" s="75">
        <f>4951212069150</f>
        <v>4951212069150</v>
      </c>
      <c r="H648" s="80"/>
      <c r="I648" s="76"/>
      <c r="J648" s="80"/>
      <c r="K648" s="80"/>
      <c r="L648" s="51" t="s">
        <v>78</v>
      </c>
      <c r="M648" s="79">
        <v>44845</v>
      </c>
      <c r="N648" s="51"/>
      <c r="O648" s="80"/>
      <c r="P648" s="82"/>
      <c r="Q648" s="80"/>
      <c r="R648" s="80"/>
      <c r="S648" s="82"/>
      <c r="T648" s="80"/>
      <c r="U648" s="80"/>
      <c r="V648" s="79"/>
      <c r="W648" s="80"/>
      <c r="X648" s="51" t="s">
        <v>3793</v>
      </c>
    </row>
    <row r="649" spans="1:24" ht="42" customHeight="1">
      <c r="A649" s="80">
        <f t="shared" si="0"/>
        <v>647</v>
      </c>
      <c r="B649" s="51" t="str">
        <f t="shared" si="1"/>
        <v>MA</v>
      </c>
      <c r="C649" s="81" t="s">
        <v>3794</v>
      </c>
      <c r="D649" s="51" t="s">
        <v>725</v>
      </c>
      <c r="E649" s="51" t="s">
        <v>2533</v>
      </c>
      <c r="F649" s="80"/>
      <c r="G649" s="75"/>
      <c r="H649" s="80"/>
      <c r="I649" s="76"/>
      <c r="J649" s="80"/>
      <c r="K649" s="80"/>
      <c r="L649" s="51" t="s">
        <v>78</v>
      </c>
      <c r="M649" s="79">
        <v>44845</v>
      </c>
      <c r="N649" s="51"/>
      <c r="O649" s="80"/>
      <c r="P649" s="82"/>
      <c r="Q649" s="80"/>
      <c r="R649" s="80"/>
      <c r="S649" s="82"/>
      <c r="T649" s="80"/>
      <c r="U649" s="80"/>
      <c r="V649" s="79"/>
      <c r="W649" s="80"/>
      <c r="X649" s="51"/>
    </row>
    <row r="650" spans="1:24" ht="42" customHeight="1">
      <c r="A650" s="80">
        <f t="shared" si="0"/>
        <v>648</v>
      </c>
      <c r="B650" s="51" t="str">
        <f t="shared" si="1"/>
        <v>MA</v>
      </c>
      <c r="C650" s="51" t="s">
        <v>3795</v>
      </c>
      <c r="D650" s="51" t="s">
        <v>725</v>
      </c>
      <c r="E650" s="51" t="s">
        <v>2533</v>
      </c>
      <c r="F650" s="80"/>
      <c r="G650" s="75">
        <f>495132585634</f>
        <v>495132585634</v>
      </c>
      <c r="H650" s="80"/>
      <c r="I650" s="76"/>
      <c r="J650" s="80"/>
      <c r="K650" s="80"/>
      <c r="L650" s="51" t="s">
        <v>78</v>
      </c>
      <c r="M650" s="79">
        <v>44873</v>
      </c>
      <c r="N650" s="51" t="s">
        <v>2538</v>
      </c>
      <c r="O650" s="80"/>
      <c r="P650" s="82"/>
      <c r="Q650" s="80"/>
      <c r="R650" s="80"/>
      <c r="S650" s="82"/>
      <c r="T650" s="80"/>
      <c r="U650" s="80"/>
      <c r="V650" s="79"/>
      <c r="W650" s="80"/>
      <c r="X650" s="80"/>
    </row>
    <row r="651" spans="1:24" ht="42" customHeight="1">
      <c r="A651" s="80">
        <f t="shared" si="0"/>
        <v>649</v>
      </c>
      <c r="B651" s="51" t="str">
        <f t="shared" si="1"/>
        <v>MA</v>
      </c>
      <c r="C651" s="51" t="s">
        <v>3796</v>
      </c>
      <c r="D651" s="51" t="s">
        <v>725</v>
      </c>
      <c r="E651" s="51" t="s">
        <v>2533</v>
      </c>
      <c r="F651" s="80"/>
      <c r="G651" s="75">
        <f>495112609000</f>
        <v>495112609000</v>
      </c>
      <c r="H651" s="80"/>
      <c r="I651" s="54" t="s">
        <v>3797</v>
      </c>
      <c r="J651" s="77" t="s">
        <v>3798</v>
      </c>
      <c r="K651" s="80"/>
      <c r="L651" s="51" t="s">
        <v>78</v>
      </c>
      <c r="M651" s="79">
        <v>44873</v>
      </c>
      <c r="N651" s="51" t="s">
        <v>2545</v>
      </c>
      <c r="O651" s="80"/>
      <c r="P651" s="82"/>
      <c r="Q651" s="80"/>
      <c r="R651" s="80"/>
      <c r="S651" s="82"/>
      <c r="T651" s="80"/>
      <c r="U651" s="80"/>
      <c r="V651" s="79"/>
      <c r="W651" s="80"/>
      <c r="X651" s="51" t="s">
        <v>3799</v>
      </c>
    </row>
    <row r="652" spans="1:24" ht="42" customHeight="1">
      <c r="A652" s="80">
        <f t="shared" si="0"/>
        <v>650</v>
      </c>
      <c r="B652" s="51" t="str">
        <f t="shared" si="1"/>
        <v>MA</v>
      </c>
      <c r="C652" s="81" t="s">
        <v>3800</v>
      </c>
      <c r="D652" s="51" t="s">
        <v>725</v>
      </c>
      <c r="E652" s="51" t="s">
        <v>3141</v>
      </c>
      <c r="F652" s="51" t="s">
        <v>3801</v>
      </c>
      <c r="G652" s="75">
        <f>49503261055</f>
        <v>49503261055</v>
      </c>
      <c r="H652" s="80"/>
      <c r="I652" s="76"/>
      <c r="J652" s="80"/>
      <c r="K652" s="80"/>
      <c r="L652" s="51" t="s">
        <v>78</v>
      </c>
      <c r="M652" s="79">
        <v>44873</v>
      </c>
      <c r="N652" s="51" t="s">
        <v>2558</v>
      </c>
      <c r="O652" s="80"/>
      <c r="P652" s="82"/>
      <c r="Q652" s="80"/>
      <c r="R652" s="80"/>
      <c r="S652" s="82"/>
      <c r="T652" s="80"/>
      <c r="U652" s="80"/>
      <c r="V652" s="79"/>
      <c r="W652" s="80"/>
      <c r="X652" s="80"/>
    </row>
    <row r="653" spans="1:24" ht="42" customHeight="1">
      <c r="A653" s="80">
        <f t="shared" si="0"/>
        <v>651</v>
      </c>
      <c r="B653" s="51" t="str">
        <f t="shared" si="1"/>
        <v>MA</v>
      </c>
      <c r="C653" s="51" t="s">
        <v>3802</v>
      </c>
      <c r="D653" s="51" t="s">
        <v>725</v>
      </c>
      <c r="E653" s="51" t="s">
        <v>2533</v>
      </c>
      <c r="F653" s="80"/>
      <c r="G653" s="75">
        <f>4951281660</f>
        <v>4951281660</v>
      </c>
      <c r="H653" s="80"/>
      <c r="I653" s="89" t="s">
        <v>3803</v>
      </c>
      <c r="J653" s="80"/>
      <c r="K653" s="80"/>
      <c r="L653" s="51" t="s">
        <v>78</v>
      </c>
      <c r="M653" s="79">
        <v>44873</v>
      </c>
      <c r="N653" s="51" t="s">
        <v>2545</v>
      </c>
      <c r="O653" s="80"/>
      <c r="P653" s="82"/>
      <c r="Q653" s="80"/>
      <c r="R653" s="80"/>
      <c r="S653" s="82"/>
      <c r="T653" s="80"/>
      <c r="U653" s="80"/>
      <c r="V653" s="79"/>
      <c r="W653" s="80"/>
      <c r="X653" s="80"/>
    </row>
    <row r="654" spans="1:24" ht="42" customHeight="1">
      <c r="A654" s="80">
        <f t="shared" si="0"/>
        <v>652</v>
      </c>
      <c r="B654" s="51" t="str">
        <f t="shared" si="1"/>
        <v>MA</v>
      </c>
      <c r="C654" s="51" t="s">
        <v>3804</v>
      </c>
      <c r="D654" s="51" t="s">
        <v>725</v>
      </c>
      <c r="E654" s="51" t="s">
        <v>2533</v>
      </c>
      <c r="F654" s="80"/>
      <c r="G654" s="75">
        <f>4950415088</f>
        <v>4950415088</v>
      </c>
      <c r="H654" s="80"/>
      <c r="I654" s="76"/>
      <c r="J654" s="51" t="s">
        <v>3805</v>
      </c>
      <c r="K654" s="80"/>
      <c r="L654" s="51" t="s">
        <v>78</v>
      </c>
      <c r="M654" s="79">
        <v>44873</v>
      </c>
      <c r="N654" s="51" t="s">
        <v>2545</v>
      </c>
      <c r="O654" s="80"/>
      <c r="P654" s="82"/>
      <c r="Q654" s="80"/>
      <c r="R654" s="80"/>
      <c r="S654" s="82"/>
      <c r="T654" s="80"/>
      <c r="U654" s="80"/>
      <c r="V654" s="79"/>
      <c r="W654" s="80"/>
      <c r="X654" s="80"/>
    </row>
    <row r="655" spans="1:24" ht="42" customHeight="1">
      <c r="A655" s="80">
        <f t="shared" si="0"/>
        <v>653</v>
      </c>
      <c r="B655" s="51" t="str">
        <f t="shared" si="1"/>
        <v>MA</v>
      </c>
      <c r="C655" s="51" t="s">
        <v>3806</v>
      </c>
      <c r="D655" s="51" t="s">
        <v>725</v>
      </c>
      <c r="E655" s="51" t="s">
        <v>2533</v>
      </c>
      <c r="F655" s="80"/>
      <c r="G655" s="75" t="s">
        <v>3807</v>
      </c>
      <c r="H655" s="51" t="s">
        <v>3808</v>
      </c>
      <c r="I655" s="76"/>
      <c r="J655" s="80"/>
      <c r="K655" s="80"/>
      <c r="L655" s="51" t="s">
        <v>78</v>
      </c>
      <c r="M655" s="79">
        <v>44845</v>
      </c>
      <c r="N655" s="51" t="s">
        <v>2561</v>
      </c>
      <c r="O655" s="51" t="s">
        <v>78</v>
      </c>
      <c r="P655" s="79">
        <v>44855</v>
      </c>
      <c r="Q655" s="51" t="s">
        <v>2742</v>
      </c>
      <c r="R655" s="51" t="s">
        <v>98</v>
      </c>
      <c r="S655" s="79">
        <v>44907</v>
      </c>
      <c r="T655" s="51" t="s">
        <v>2561</v>
      </c>
      <c r="U655" s="80"/>
      <c r="V655" s="79"/>
      <c r="W655" s="80"/>
      <c r="X655" s="80"/>
    </row>
    <row r="656" spans="1:24" ht="42" customHeight="1">
      <c r="A656" s="80">
        <f t="shared" si="0"/>
        <v>654</v>
      </c>
      <c r="B656" s="51" t="str">
        <f t="shared" si="1"/>
        <v>MA</v>
      </c>
      <c r="C656" s="85" t="s">
        <v>3809</v>
      </c>
      <c r="D656" s="51" t="s">
        <v>746</v>
      </c>
      <c r="E656" s="51" t="s">
        <v>2533</v>
      </c>
      <c r="F656" s="80"/>
      <c r="G656" s="75">
        <f>966543454845</f>
        <v>966543454845</v>
      </c>
      <c r="H656" s="80"/>
      <c r="I656" s="76"/>
      <c r="J656" s="80"/>
      <c r="K656" s="80"/>
      <c r="L656" s="51" t="s">
        <v>78</v>
      </c>
      <c r="M656" s="79">
        <v>44845</v>
      </c>
      <c r="N656" s="51"/>
      <c r="O656" s="80"/>
      <c r="P656" s="82"/>
      <c r="Q656" s="80"/>
      <c r="R656" s="51" t="s">
        <v>78</v>
      </c>
      <c r="S656" s="79">
        <v>44865</v>
      </c>
      <c r="T656" s="51" t="s">
        <v>2538</v>
      </c>
      <c r="U656" s="80"/>
      <c r="V656" s="79"/>
      <c r="W656" s="80"/>
      <c r="X656" s="80"/>
    </row>
    <row r="657" spans="1:24" ht="42" customHeight="1">
      <c r="A657" s="80">
        <f t="shared" si="0"/>
        <v>655</v>
      </c>
      <c r="B657" s="51" t="str">
        <f t="shared" si="1"/>
        <v>MA</v>
      </c>
      <c r="C657" s="51" t="s">
        <v>3760</v>
      </c>
      <c r="D657" s="51" t="s">
        <v>746</v>
      </c>
      <c r="E657" s="51" t="s">
        <v>2547</v>
      </c>
      <c r="F657" s="80"/>
      <c r="G657" s="75" t="s">
        <v>3810</v>
      </c>
      <c r="H657" s="80"/>
      <c r="I657" s="54" t="s">
        <v>3811</v>
      </c>
      <c r="J657" s="77" t="s">
        <v>3812</v>
      </c>
      <c r="K657" s="80"/>
      <c r="L657" s="51" t="s">
        <v>78</v>
      </c>
      <c r="M657" s="79">
        <v>44845</v>
      </c>
      <c r="N657" s="51" t="s">
        <v>2551</v>
      </c>
      <c r="O657" s="51" t="s">
        <v>7</v>
      </c>
      <c r="P657" s="79">
        <v>44848</v>
      </c>
      <c r="Q657" s="51" t="s">
        <v>2551</v>
      </c>
      <c r="R657" s="51" t="s">
        <v>78</v>
      </c>
      <c r="S657" s="79">
        <v>44865</v>
      </c>
      <c r="T657" s="51" t="s">
        <v>2551</v>
      </c>
      <c r="U657" s="80"/>
      <c r="V657" s="79"/>
      <c r="W657" s="80"/>
      <c r="X657" s="80"/>
    </row>
    <row r="658" spans="1:24" ht="42" customHeight="1">
      <c r="A658" s="80">
        <f t="shared" si="0"/>
        <v>656</v>
      </c>
      <c r="B658" s="51" t="str">
        <f t="shared" si="1"/>
        <v>MA</v>
      </c>
      <c r="C658" s="51" t="s">
        <v>3813</v>
      </c>
      <c r="D658" s="51" t="s">
        <v>746</v>
      </c>
      <c r="E658" s="51" t="s">
        <v>2547</v>
      </c>
      <c r="F658" s="80"/>
      <c r="G658" s="75"/>
      <c r="H658" s="80"/>
      <c r="I658" s="54" t="s">
        <v>3814</v>
      </c>
      <c r="J658" s="80"/>
      <c r="K658" s="80"/>
      <c r="L658" s="51" t="s">
        <v>7</v>
      </c>
      <c r="M658" s="79">
        <v>44845</v>
      </c>
      <c r="N658" s="51"/>
      <c r="O658" s="80"/>
      <c r="P658" s="82"/>
      <c r="Q658" s="80"/>
      <c r="R658" s="51" t="s">
        <v>78</v>
      </c>
      <c r="S658" s="79">
        <v>44865</v>
      </c>
      <c r="T658" s="51" t="s">
        <v>2632</v>
      </c>
      <c r="U658" s="80"/>
      <c r="V658" s="79"/>
      <c r="W658" s="80"/>
      <c r="X658" s="80"/>
    </row>
    <row r="659" spans="1:24" ht="42" customHeight="1">
      <c r="A659" s="80">
        <f t="shared" si="0"/>
        <v>657</v>
      </c>
      <c r="B659" s="51" t="str">
        <f t="shared" si="1"/>
        <v>MA</v>
      </c>
      <c r="C659" s="51" t="s">
        <v>3815</v>
      </c>
      <c r="D659" s="51" t="s">
        <v>746</v>
      </c>
      <c r="E659" s="51" t="s">
        <v>2547</v>
      </c>
      <c r="F659" s="80"/>
      <c r="G659" s="75" t="s">
        <v>3816</v>
      </c>
      <c r="H659" s="80"/>
      <c r="I659" s="54" t="s">
        <v>3817</v>
      </c>
      <c r="J659" s="77" t="s">
        <v>3818</v>
      </c>
      <c r="K659" s="80"/>
      <c r="L659" s="51" t="s">
        <v>78</v>
      </c>
      <c r="M659" s="79">
        <v>44858</v>
      </c>
      <c r="N659" s="51" t="s">
        <v>2545</v>
      </c>
      <c r="O659" s="80"/>
      <c r="P659" s="82"/>
      <c r="Q659" s="80"/>
      <c r="R659" s="51" t="s">
        <v>78</v>
      </c>
      <c r="S659" s="79">
        <v>44865</v>
      </c>
      <c r="T659" s="51" t="s">
        <v>2545</v>
      </c>
      <c r="U659" s="80"/>
      <c r="V659" s="79"/>
      <c r="W659" s="80"/>
      <c r="X659" s="80"/>
    </row>
    <row r="660" spans="1:24" ht="42" customHeight="1">
      <c r="A660" s="80">
        <f t="shared" si="0"/>
        <v>658</v>
      </c>
      <c r="B660" s="51" t="str">
        <f t="shared" si="1"/>
        <v>MA</v>
      </c>
      <c r="C660" s="51" t="s">
        <v>3819</v>
      </c>
      <c r="D660" s="51" t="s">
        <v>627</v>
      </c>
      <c r="E660" s="51" t="s">
        <v>2547</v>
      </c>
      <c r="F660" s="80"/>
      <c r="G660" s="75">
        <v>97142279666</v>
      </c>
      <c r="H660" s="80"/>
      <c r="I660" s="76"/>
      <c r="J660" s="77" t="s">
        <v>3820</v>
      </c>
      <c r="K660" s="80"/>
      <c r="L660" s="51" t="s">
        <v>78</v>
      </c>
      <c r="M660" s="79">
        <v>44845</v>
      </c>
      <c r="N660" s="51"/>
      <c r="O660" s="80"/>
      <c r="P660" s="82"/>
      <c r="Q660" s="80"/>
      <c r="R660" s="80"/>
      <c r="S660" s="82"/>
      <c r="T660" s="80"/>
      <c r="U660" s="80"/>
      <c r="V660" s="79"/>
      <c r="W660" s="80"/>
      <c r="X660" s="80"/>
    </row>
    <row r="661" spans="1:24" ht="42" customHeight="1">
      <c r="A661" s="80">
        <f t="shared" si="0"/>
        <v>659</v>
      </c>
      <c r="B661" s="51" t="str">
        <f t="shared" si="1"/>
        <v>MA</v>
      </c>
      <c r="C661" s="51" t="s">
        <v>3821</v>
      </c>
      <c r="D661" s="51" t="s">
        <v>627</v>
      </c>
      <c r="E661" s="51" t="s">
        <v>2547</v>
      </c>
      <c r="F661" s="80"/>
      <c r="G661" s="75" t="s">
        <v>3822</v>
      </c>
      <c r="H661" s="80"/>
      <c r="I661" s="76"/>
      <c r="J661" s="77" t="s">
        <v>3823</v>
      </c>
      <c r="K661" s="80"/>
      <c r="L661" s="51" t="s">
        <v>78</v>
      </c>
      <c r="M661" s="79">
        <v>44845</v>
      </c>
      <c r="N661" s="51"/>
      <c r="O661" s="80"/>
      <c r="P661" s="82"/>
      <c r="Q661" s="80"/>
      <c r="R661" s="80"/>
      <c r="S661" s="82"/>
      <c r="T661" s="80"/>
      <c r="U661" s="80"/>
      <c r="V661" s="79"/>
      <c r="W661" s="80"/>
      <c r="X661" s="80"/>
    </row>
    <row r="662" spans="1:24" ht="42" customHeight="1">
      <c r="A662" s="80">
        <f t="shared" si="0"/>
        <v>660</v>
      </c>
      <c r="B662" s="51" t="str">
        <f t="shared" si="1"/>
        <v>MA</v>
      </c>
      <c r="C662" s="51" t="s">
        <v>3824</v>
      </c>
      <c r="D662" s="51" t="s">
        <v>725</v>
      </c>
      <c r="E662" s="51" t="s">
        <v>2533</v>
      </c>
      <c r="F662" s="80"/>
      <c r="G662" s="75">
        <f>495042913017</f>
        <v>495042913017</v>
      </c>
      <c r="H662" s="51" t="s">
        <v>3825</v>
      </c>
      <c r="I662" s="76"/>
      <c r="J662" s="96" t="s">
        <v>3826</v>
      </c>
      <c r="K662" s="80"/>
      <c r="L662" s="51" t="s">
        <v>78</v>
      </c>
      <c r="M662" s="79">
        <v>44873</v>
      </c>
      <c r="N662" s="51" t="s">
        <v>2551</v>
      </c>
      <c r="O662" s="80"/>
      <c r="P662" s="82"/>
      <c r="Q662" s="80"/>
      <c r="R662" s="80"/>
      <c r="S662" s="82"/>
      <c r="T662" s="80"/>
      <c r="U662" s="80"/>
      <c r="V662" s="79"/>
      <c r="W662" s="80"/>
      <c r="X662" s="80"/>
    </row>
    <row r="663" spans="1:24" ht="42" customHeight="1">
      <c r="A663" s="80">
        <f t="shared" si="0"/>
        <v>661</v>
      </c>
      <c r="B663" s="51" t="str">
        <f t="shared" si="1"/>
        <v>MA</v>
      </c>
      <c r="C663" s="51" t="s">
        <v>3827</v>
      </c>
      <c r="D663" s="51" t="s">
        <v>2917</v>
      </c>
      <c r="E663" s="51" t="s">
        <v>2547</v>
      </c>
      <c r="F663" s="80"/>
      <c r="G663" s="75" t="s">
        <v>3828</v>
      </c>
      <c r="H663" s="80"/>
      <c r="I663" s="76"/>
      <c r="J663" s="80"/>
      <c r="K663" s="80"/>
      <c r="L663" s="51" t="s">
        <v>78</v>
      </c>
      <c r="M663" s="79">
        <v>44845</v>
      </c>
      <c r="N663" s="51" t="s">
        <v>2551</v>
      </c>
      <c r="O663" s="51" t="s">
        <v>78</v>
      </c>
      <c r="P663" s="79">
        <v>44828</v>
      </c>
      <c r="Q663" s="51" t="s">
        <v>2566</v>
      </c>
      <c r="R663" s="80"/>
      <c r="S663" s="82"/>
      <c r="T663" s="80"/>
      <c r="U663" s="80"/>
      <c r="V663" s="79"/>
      <c r="W663" s="80"/>
      <c r="X663" s="80"/>
    </row>
    <row r="664" spans="1:24" ht="42" customHeight="1">
      <c r="A664" s="80">
        <f t="shared" si="0"/>
        <v>662</v>
      </c>
      <c r="B664" s="51" t="str">
        <f t="shared" si="1"/>
        <v>MA</v>
      </c>
      <c r="C664" s="51" t="s">
        <v>3829</v>
      </c>
      <c r="D664" s="51" t="s">
        <v>725</v>
      </c>
      <c r="E664" s="51" t="s">
        <v>2533</v>
      </c>
      <c r="F664" s="80"/>
      <c r="G664" s="75">
        <f>492219527550</f>
        <v>492219527550</v>
      </c>
      <c r="H664" s="80"/>
      <c r="I664" s="54" t="s">
        <v>3830</v>
      </c>
      <c r="J664" s="77" t="s">
        <v>3831</v>
      </c>
      <c r="K664" s="80"/>
      <c r="L664" s="51" t="s">
        <v>78</v>
      </c>
      <c r="M664" s="79">
        <v>44873</v>
      </c>
      <c r="N664" s="51" t="s">
        <v>2545</v>
      </c>
      <c r="O664" s="80"/>
      <c r="P664" s="82"/>
      <c r="Q664" s="80"/>
      <c r="R664" s="80"/>
      <c r="S664" s="82"/>
      <c r="T664" s="80"/>
      <c r="U664" s="80"/>
      <c r="V664" s="79"/>
      <c r="W664" s="80"/>
      <c r="X664" s="80"/>
    </row>
    <row r="665" spans="1:24" ht="42" customHeight="1">
      <c r="A665" s="80">
        <f t="shared" si="0"/>
        <v>663</v>
      </c>
      <c r="B665" s="51" t="str">
        <f t="shared" si="1"/>
        <v>MA</v>
      </c>
      <c r="C665" s="51" t="s">
        <v>3832</v>
      </c>
      <c r="D665" s="51" t="s">
        <v>725</v>
      </c>
      <c r="E665" s="51" t="s">
        <v>2533</v>
      </c>
      <c r="F665" s="80"/>
      <c r="G665" s="75">
        <f>4922188927</f>
        <v>4922188927</v>
      </c>
      <c r="H665" s="51" t="s">
        <v>3833</v>
      </c>
      <c r="I665" s="54" t="s">
        <v>3834</v>
      </c>
      <c r="J665" s="96" t="s">
        <v>3835</v>
      </c>
      <c r="K665" s="80"/>
      <c r="L665" s="51" t="s">
        <v>78</v>
      </c>
      <c r="M665" s="79">
        <v>44873</v>
      </c>
      <c r="N665" s="51" t="s">
        <v>2551</v>
      </c>
      <c r="O665" s="80"/>
      <c r="P665" s="82"/>
      <c r="Q665" s="80"/>
      <c r="R665" s="80"/>
      <c r="S665" s="82"/>
      <c r="T665" s="80"/>
      <c r="U665" s="80"/>
      <c r="V665" s="79"/>
      <c r="W665" s="80"/>
      <c r="X665" s="51" t="s">
        <v>3836</v>
      </c>
    </row>
    <row r="666" spans="1:24" ht="42" customHeight="1">
      <c r="A666" s="80">
        <f t="shared" si="0"/>
        <v>664</v>
      </c>
      <c r="B666" s="51" t="str">
        <f t="shared" si="1"/>
        <v>MA</v>
      </c>
      <c r="C666" s="51" t="s">
        <v>3837</v>
      </c>
      <c r="D666" s="51" t="s">
        <v>725</v>
      </c>
      <c r="E666" s="51" t="s">
        <v>2533</v>
      </c>
      <c r="F666" s="80"/>
      <c r="G666" s="75">
        <f>48509632437</f>
        <v>48509632437</v>
      </c>
      <c r="H666" s="80"/>
      <c r="I666" s="54" t="s">
        <v>3838</v>
      </c>
      <c r="J666" s="77" t="s">
        <v>3839</v>
      </c>
      <c r="K666" s="80"/>
      <c r="L666" s="51" t="s">
        <v>78</v>
      </c>
      <c r="M666" s="79">
        <v>44873</v>
      </c>
      <c r="N666" s="51" t="s">
        <v>2551</v>
      </c>
      <c r="O666" s="80"/>
      <c r="P666" s="82"/>
      <c r="Q666" s="80"/>
      <c r="R666" s="80"/>
      <c r="S666" s="82"/>
      <c r="T666" s="80"/>
      <c r="U666" s="51" t="s">
        <v>78</v>
      </c>
      <c r="V666" s="79">
        <v>44886</v>
      </c>
      <c r="W666" s="51" t="s">
        <v>2551</v>
      </c>
      <c r="X666" s="80"/>
    </row>
    <row r="667" spans="1:24" ht="42" customHeight="1">
      <c r="A667" s="80">
        <f t="shared" si="0"/>
        <v>665</v>
      </c>
      <c r="B667" s="51" t="str">
        <f t="shared" si="1"/>
        <v>MA</v>
      </c>
      <c r="C667" s="51" t="s">
        <v>3840</v>
      </c>
      <c r="D667" s="51" t="s">
        <v>725</v>
      </c>
      <c r="E667" s="51" t="s">
        <v>2533</v>
      </c>
      <c r="F667" s="80"/>
      <c r="G667" s="75">
        <f>4915787000450</f>
        <v>4915787000450</v>
      </c>
      <c r="H667" s="80"/>
      <c r="I667" s="54" t="s">
        <v>3841</v>
      </c>
      <c r="J667" s="77" t="s">
        <v>3842</v>
      </c>
      <c r="K667" s="80"/>
      <c r="L667" s="51" t="s">
        <v>78</v>
      </c>
      <c r="M667" s="79">
        <v>44873</v>
      </c>
      <c r="N667" s="51" t="s">
        <v>2545</v>
      </c>
      <c r="O667" s="80"/>
      <c r="P667" s="82"/>
      <c r="Q667" s="80"/>
      <c r="R667" s="80"/>
      <c r="S667" s="82"/>
      <c r="T667" s="80"/>
      <c r="U667" s="80"/>
      <c r="V667" s="79"/>
      <c r="W667" s="80"/>
      <c r="X667" s="80"/>
    </row>
    <row r="668" spans="1:24" ht="42" customHeight="1">
      <c r="A668" s="80">
        <f t="shared" si="0"/>
        <v>666</v>
      </c>
      <c r="B668" s="51" t="str">
        <f t="shared" si="1"/>
        <v>MA</v>
      </c>
      <c r="C668" s="51" t="s">
        <v>3843</v>
      </c>
      <c r="D668" s="51" t="s">
        <v>725</v>
      </c>
      <c r="E668" s="51" t="s">
        <v>2533</v>
      </c>
      <c r="F668" s="80"/>
      <c r="G668" s="75">
        <f>4915167723398</f>
        <v>4915167723398</v>
      </c>
      <c r="H668" s="80"/>
      <c r="I668" s="54" t="s">
        <v>3844</v>
      </c>
      <c r="J668" s="56" t="s">
        <v>3845</v>
      </c>
      <c r="K668" s="80"/>
      <c r="L668" s="51" t="s">
        <v>78</v>
      </c>
      <c r="M668" s="79">
        <v>44873</v>
      </c>
      <c r="N668" s="51" t="s">
        <v>2551</v>
      </c>
      <c r="O668" s="51" t="s">
        <v>78</v>
      </c>
      <c r="P668" s="79">
        <v>44862</v>
      </c>
      <c r="Q668" s="51" t="s">
        <v>2551</v>
      </c>
      <c r="R668" s="80"/>
      <c r="S668" s="82"/>
      <c r="T668" s="80"/>
      <c r="U668" s="80"/>
      <c r="V668" s="79"/>
      <c r="W668" s="80"/>
      <c r="X668" s="51" t="s">
        <v>3846</v>
      </c>
    </row>
    <row r="669" spans="1:24" ht="42" customHeight="1">
      <c r="A669" s="80">
        <f t="shared" si="0"/>
        <v>667</v>
      </c>
      <c r="B669" s="51" t="str">
        <f t="shared" si="1"/>
        <v>MA</v>
      </c>
      <c r="C669" s="51" t="s">
        <v>3847</v>
      </c>
      <c r="D669" s="51" t="s">
        <v>725</v>
      </c>
      <c r="E669" s="51" t="s">
        <v>2533</v>
      </c>
      <c r="F669" s="80"/>
      <c r="G669" s="75">
        <f>4922166396336</f>
        <v>4922166396336</v>
      </c>
      <c r="H669" s="51" t="s">
        <v>3848</v>
      </c>
      <c r="I669" s="129" t="s">
        <v>3849</v>
      </c>
      <c r="J669" s="96" t="s">
        <v>3850</v>
      </c>
      <c r="K669" s="80"/>
      <c r="L669" s="51" t="s">
        <v>78</v>
      </c>
      <c r="M669" s="79">
        <v>44873</v>
      </c>
      <c r="N669" s="51" t="s">
        <v>2551</v>
      </c>
      <c r="O669" s="80"/>
      <c r="P669" s="82"/>
      <c r="Q669" s="80"/>
      <c r="R669" s="80"/>
      <c r="S669" s="82"/>
      <c r="T669" s="80"/>
      <c r="U669" s="80"/>
      <c r="V669" s="79"/>
      <c r="W669" s="80"/>
      <c r="X669" s="80"/>
    </row>
    <row r="670" spans="1:24" ht="42" customHeight="1">
      <c r="A670" s="80">
        <f t="shared" si="0"/>
        <v>668</v>
      </c>
      <c r="B670" s="51" t="str">
        <f t="shared" si="1"/>
        <v>MA</v>
      </c>
      <c r="C670" s="51" t="s">
        <v>3851</v>
      </c>
      <c r="D670" s="51" t="s">
        <v>725</v>
      </c>
      <c r="E670" s="51" t="s">
        <v>2533</v>
      </c>
      <c r="F670" s="80"/>
      <c r="G670" s="75">
        <f>4922335418301</f>
        <v>4922335418301</v>
      </c>
      <c r="H670" s="80"/>
      <c r="I670" s="54" t="s">
        <v>3852</v>
      </c>
      <c r="J670" s="96" t="s">
        <v>3853</v>
      </c>
      <c r="K670" s="80"/>
      <c r="L670" s="51" t="s">
        <v>78</v>
      </c>
      <c r="M670" s="79">
        <v>44873</v>
      </c>
      <c r="N670" s="51" t="s">
        <v>2545</v>
      </c>
      <c r="O670" s="80"/>
      <c r="P670" s="82"/>
      <c r="Q670" s="80"/>
      <c r="R670" s="80"/>
      <c r="S670" s="82"/>
      <c r="T670" s="80"/>
      <c r="U670" s="80"/>
      <c r="V670" s="79"/>
      <c r="W670" s="80"/>
      <c r="X670" s="80"/>
    </row>
    <row r="671" spans="1:24" ht="42" customHeight="1">
      <c r="A671" s="80">
        <f t="shared" si="0"/>
        <v>669</v>
      </c>
      <c r="B671" s="51" t="str">
        <f t="shared" si="1"/>
        <v>MA</v>
      </c>
      <c r="C671" s="81" t="s">
        <v>3854</v>
      </c>
      <c r="D671" s="51" t="s">
        <v>725</v>
      </c>
      <c r="E671" s="51" t="s">
        <v>2533</v>
      </c>
      <c r="F671" s="80"/>
      <c r="G671" s="75"/>
      <c r="H671" s="80"/>
      <c r="I671" s="76"/>
      <c r="J671" s="80"/>
      <c r="K671" s="80"/>
      <c r="L671" s="51" t="s">
        <v>78</v>
      </c>
      <c r="M671" s="79">
        <v>44873</v>
      </c>
      <c r="N671" s="51" t="s">
        <v>2558</v>
      </c>
      <c r="O671" s="80"/>
      <c r="P671" s="82"/>
      <c r="Q671" s="80"/>
      <c r="R671" s="80"/>
      <c r="S671" s="82"/>
      <c r="T671" s="80"/>
      <c r="U671" s="80"/>
      <c r="V671" s="79"/>
      <c r="W671" s="80"/>
      <c r="X671" s="51" t="s">
        <v>3855</v>
      </c>
    </row>
    <row r="672" spans="1:24" ht="42" customHeight="1">
      <c r="A672" s="80">
        <f t="shared" si="0"/>
        <v>670</v>
      </c>
      <c r="B672" s="51" t="str">
        <f t="shared" si="1"/>
        <v>MA</v>
      </c>
      <c r="C672" s="51" t="s">
        <v>3856</v>
      </c>
      <c r="D672" s="51" t="s">
        <v>725</v>
      </c>
      <c r="E672" s="51" t="s">
        <v>2533</v>
      </c>
      <c r="F672" s="80"/>
      <c r="G672" s="75">
        <f>49223251910</f>
        <v>49223251910</v>
      </c>
      <c r="H672" s="80"/>
      <c r="I672" s="54" t="s">
        <v>3857</v>
      </c>
      <c r="J672" s="77" t="s">
        <v>3858</v>
      </c>
      <c r="K672" s="80"/>
      <c r="L672" s="51" t="s">
        <v>78</v>
      </c>
      <c r="M672" s="79">
        <v>44873</v>
      </c>
      <c r="N672" s="51" t="s">
        <v>2545</v>
      </c>
      <c r="O672" s="80"/>
      <c r="P672" s="82"/>
      <c r="Q672" s="80"/>
      <c r="R672" s="80"/>
      <c r="S672" s="82"/>
      <c r="T672" s="80"/>
      <c r="U672" s="80"/>
      <c r="V672" s="79"/>
      <c r="W672" s="80"/>
      <c r="X672" s="80"/>
    </row>
    <row r="673" spans="1:24" ht="42" customHeight="1">
      <c r="A673" s="80">
        <f t="shared" si="0"/>
        <v>671</v>
      </c>
      <c r="B673" s="51" t="str">
        <f t="shared" si="1"/>
        <v>MA</v>
      </c>
      <c r="C673" s="51" t="s">
        <v>3859</v>
      </c>
      <c r="D673" s="51" t="s">
        <v>725</v>
      </c>
      <c r="E673" s="51" t="s">
        <v>2533</v>
      </c>
      <c r="F673" s="80"/>
      <c r="G673" s="75">
        <f>4922323014208</f>
        <v>4922323014208</v>
      </c>
      <c r="H673" s="80"/>
      <c r="I673" s="54" t="s">
        <v>3860</v>
      </c>
      <c r="J673" s="56" t="s">
        <v>3861</v>
      </c>
      <c r="K673" s="80"/>
      <c r="L673" s="51" t="s">
        <v>78</v>
      </c>
      <c r="M673" s="79">
        <v>44873</v>
      </c>
      <c r="N673" s="51" t="s">
        <v>2545</v>
      </c>
      <c r="O673" s="51" t="s">
        <v>7</v>
      </c>
      <c r="P673" s="79">
        <v>44897</v>
      </c>
      <c r="Q673" s="51" t="s">
        <v>2551</v>
      </c>
      <c r="R673" s="80"/>
      <c r="S673" s="82"/>
      <c r="T673" s="80"/>
      <c r="U673" s="80"/>
      <c r="V673" s="79"/>
      <c r="W673" s="80"/>
      <c r="X673" s="80"/>
    </row>
    <row r="674" spans="1:24" ht="42" customHeight="1">
      <c r="A674" s="80">
        <f t="shared" si="0"/>
        <v>672</v>
      </c>
      <c r="B674" s="51" t="str">
        <f t="shared" si="1"/>
        <v>MA</v>
      </c>
      <c r="C674" s="126" t="s">
        <v>3862</v>
      </c>
      <c r="D674" s="51" t="s">
        <v>725</v>
      </c>
      <c r="E674" s="51" t="s">
        <v>2533</v>
      </c>
      <c r="F674" s="80"/>
      <c r="G674" s="75">
        <f>492212576809</f>
        <v>492212576809</v>
      </c>
      <c r="H674" s="80"/>
      <c r="I674" s="76"/>
      <c r="J674" s="56" t="s">
        <v>3863</v>
      </c>
      <c r="K674" s="80"/>
      <c r="L674" s="51" t="s">
        <v>78</v>
      </c>
      <c r="M674" s="79">
        <v>44873</v>
      </c>
      <c r="N674" s="51" t="s">
        <v>2538</v>
      </c>
      <c r="O674" s="80"/>
      <c r="P674" s="82"/>
      <c r="Q674" s="80"/>
      <c r="R674" s="80"/>
      <c r="S674" s="82"/>
      <c r="T674" s="80"/>
      <c r="U674" s="80"/>
      <c r="V674" s="79"/>
      <c r="W674" s="80"/>
      <c r="X674" s="80"/>
    </row>
    <row r="675" spans="1:24" ht="42" customHeight="1">
      <c r="A675" s="80">
        <f t="shared" si="0"/>
        <v>673</v>
      </c>
      <c r="B675" s="51" t="str">
        <f t="shared" si="1"/>
        <v>MA</v>
      </c>
      <c r="C675" s="111" t="s">
        <v>3864</v>
      </c>
      <c r="D675" s="51" t="s">
        <v>725</v>
      </c>
      <c r="E675" s="51" t="s">
        <v>2533</v>
      </c>
      <c r="F675" s="80"/>
      <c r="G675" s="107">
        <f>4922334094003</f>
        <v>4922334094003</v>
      </c>
      <c r="H675" s="80"/>
      <c r="I675" s="76"/>
      <c r="J675" s="56" t="s">
        <v>3865</v>
      </c>
      <c r="K675" s="80"/>
      <c r="L675" s="51" t="s">
        <v>78</v>
      </c>
      <c r="M675" s="79">
        <v>44873</v>
      </c>
      <c r="N675" s="51" t="s">
        <v>2538</v>
      </c>
      <c r="O675" s="80"/>
      <c r="P675" s="82"/>
      <c r="Q675" s="80"/>
      <c r="R675" s="80"/>
      <c r="S675" s="82"/>
      <c r="T675" s="80"/>
      <c r="U675" s="80"/>
      <c r="V675" s="79"/>
      <c r="W675" s="80"/>
      <c r="X675" s="80"/>
    </row>
    <row r="676" spans="1:24" ht="42" customHeight="1">
      <c r="A676" s="80">
        <f t="shared" si="0"/>
        <v>674</v>
      </c>
      <c r="B676" s="51" t="str">
        <f t="shared" si="1"/>
        <v>MA</v>
      </c>
      <c r="C676" s="83" t="s">
        <v>3866</v>
      </c>
      <c r="D676" s="51" t="s">
        <v>725</v>
      </c>
      <c r="E676" s="51" t="s">
        <v>2533</v>
      </c>
      <c r="F676" s="80"/>
      <c r="G676" s="75">
        <f>49221677888211</f>
        <v>49221677888211</v>
      </c>
      <c r="H676" s="51" t="s">
        <v>3867</v>
      </c>
      <c r="I676" s="137"/>
      <c r="J676" s="56" t="s">
        <v>3868</v>
      </c>
      <c r="K676" s="80"/>
      <c r="L676" s="51" t="s">
        <v>78</v>
      </c>
      <c r="M676" s="79">
        <v>44873</v>
      </c>
      <c r="N676" s="51" t="s">
        <v>2551</v>
      </c>
      <c r="O676" s="80"/>
      <c r="P676" s="82"/>
      <c r="Q676" s="80"/>
      <c r="R676" s="80"/>
      <c r="S676" s="82"/>
      <c r="T676" s="80"/>
      <c r="U676" s="51" t="s">
        <v>78</v>
      </c>
      <c r="V676" s="79">
        <v>44886</v>
      </c>
      <c r="W676" s="51" t="s">
        <v>2553</v>
      </c>
      <c r="X676" s="80"/>
    </row>
    <row r="677" spans="1:24" ht="42" customHeight="1">
      <c r="A677" s="80">
        <f t="shared" si="0"/>
        <v>675</v>
      </c>
      <c r="B677" s="51" t="str">
        <f t="shared" si="1"/>
        <v>MA</v>
      </c>
      <c r="C677" s="81" t="s">
        <v>3869</v>
      </c>
      <c r="D677" s="51" t="s">
        <v>725</v>
      </c>
      <c r="E677" s="51" t="s">
        <v>2533</v>
      </c>
      <c r="F677" s="80"/>
      <c r="G677" s="75">
        <f>49221860220</f>
        <v>49221860220</v>
      </c>
      <c r="H677" s="80"/>
      <c r="I677" s="76"/>
      <c r="J677" s="77" t="s">
        <v>3870</v>
      </c>
      <c r="K677" s="80"/>
      <c r="L677" s="51" t="s">
        <v>78</v>
      </c>
      <c r="M677" s="79">
        <v>44755</v>
      </c>
      <c r="N677" s="80"/>
      <c r="O677" s="80"/>
      <c r="P677" s="82"/>
      <c r="Q677" s="80"/>
      <c r="R677" s="80"/>
      <c r="S677" s="82"/>
      <c r="T677" s="80"/>
      <c r="U677" s="80"/>
      <c r="V677" s="79"/>
      <c r="W677" s="80"/>
      <c r="X677" s="80"/>
    </row>
    <row r="678" spans="1:24" ht="42" customHeight="1">
      <c r="A678" s="80">
        <f t="shared" si="0"/>
        <v>676</v>
      </c>
      <c r="B678" s="51" t="str">
        <f t="shared" si="1"/>
        <v>MA</v>
      </c>
      <c r="C678" s="51" t="s">
        <v>3871</v>
      </c>
      <c r="D678" s="51" t="s">
        <v>725</v>
      </c>
      <c r="E678" s="51" t="s">
        <v>2533</v>
      </c>
      <c r="F678" s="80"/>
      <c r="G678" s="75">
        <f>49221612114</f>
        <v>49221612114</v>
      </c>
      <c r="H678" s="51" t="s">
        <v>3872</v>
      </c>
      <c r="I678" s="54" t="s">
        <v>3873</v>
      </c>
      <c r="J678" s="77" t="s">
        <v>3874</v>
      </c>
      <c r="K678" s="80"/>
      <c r="L678" s="51" t="s">
        <v>78</v>
      </c>
      <c r="M678" s="79">
        <v>44873</v>
      </c>
      <c r="N678" s="51" t="s">
        <v>2545</v>
      </c>
      <c r="O678" s="51" t="s">
        <v>78</v>
      </c>
      <c r="P678" s="79">
        <v>44897</v>
      </c>
      <c r="Q678" s="51" t="s">
        <v>2551</v>
      </c>
      <c r="R678" s="80"/>
      <c r="S678" s="82"/>
      <c r="T678" s="80"/>
      <c r="U678" s="80"/>
      <c r="V678" s="79"/>
      <c r="W678" s="80"/>
      <c r="X678" s="80"/>
    </row>
    <row r="679" spans="1:24" ht="42" customHeight="1">
      <c r="A679" s="80">
        <f t="shared" si="0"/>
        <v>677</v>
      </c>
      <c r="B679" s="51" t="str">
        <f t="shared" si="1"/>
        <v>MA</v>
      </c>
      <c r="C679" s="81" t="s">
        <v>3875</v>
      </c>
      <c r="D679" s="51" t="s">
        <v>725</v>
      </c>
      <c r="E679" s="51" t="s">
        <v>2533</v>
      </c>
      <c r="F679" s="80"/>
      <c r="G679" s="75">
        <f>49221860220</f>
        <v>49221860220</v>
      </c>
      <c r="H679" s="80"/>
      <c r="I679" s="129" t="s">
        <v>3870</v>
      </c>
      <c r="J679" s="96" t="s">
        <v>3870</v>
      </c>
      <c r="K679" s="80"/>
      <c r="L679" s="51" t="s">
        <v>78</v>
      </c>
      <c r="M679" s="79">
        <v>44873</v>
      </c>
      <c r="N679" s="51" t="s">
        <v>2558</v>
      </c>
      <c r="O679" s="80"/>
      <c r="P679" s="82"/>
      <c r="Q679" s="80"/>
      <c r="R679" s="80"/>
      <c r="S679" s="82"/>
      <c r="T679" s="80"/>
      <c r="U679" s="80"/>
      <c r="V679" s="79"/>
      <c r="W679" s="80"/>
      <c r="X679" s="80"/>
    </row>
    <row r="680" spans="1:24" ht="42" customHeight="1">
      <c r="A680" s="80">
        <f t="shared" si="0"/>
        <v>678</v>
      </c>
      <c r="B680" s="51" t="str">
        <f t="shared" si="1"/>
        <v>MA</v>
      </c>
      <c r="C680" s="81" t="s">
        <v>3876</v>
      </c>
      <c r="D680" s="51" t="s">
        <v>725</v>
      </c>
      <c r="E680" s="51" t="s">
        <v>2533</v>
      </c>
      <c r="F680" s="80"/>
      <c r="G680" s="75">
        <f>4922344357584</f>
        <v>4922344357584</v>
      </c>
      <c r="H680" s="80"/>
      <c r="I680" s="122" t="s">
        <v>3877</v>
      </c>
      <c r="J680" s="51" t="s">
        <v>3878</v>
      </c>
      <c r="K680" s="80"/>
      <c r="L680" s="51" t="s">
        <v>78</v>
      </c>
      <c r="M680" s="79">
        <v>44869</v>
      </c>
      <c r="N680" s="51" t="s">
        <v>2558</v>
      </c>
      <c r="O680" s="80"/>
      <c r="P680" s="82"/>
      <c r="Q680" s="80"/>
      <c r="R680" s="80"/>
      <c r="S680" s="82"/>
      <c r="T680" s="80"/>
      <c r="U680" s="80"/>
      <c r="V680" s="79"/>
      <c r="W680" s="80"/>
      <c r="X680" s="80"/>
    </row>
    <row r="681" spans="1:24" ht="42" customHeight="1">
      <c r="A681" s="80">
        <f t="shared" si="0"/>
        <v>679</v>
      </c>
      <c r="B681" s="51" t="str">
        <f t="shared" si="1"/>
        <v>MA</v>
      </c>
      <c r="C681" s="81" t="s">
        <v>3879</v>
      </c>
      <c r="D681" s="51" t="s">
        <v>725</v>
      </c>
      <c r="E681" s="51" t="s">
        <v>2533</v>
      </c>
      <c r="F681" s="80"/>
      <c r="G681" s="75">
        <f>4922412614677</f>
        <v>4922412614677</v>
      </c>
      <c r="H681" s="80"/>
      <c r="I681" s="76"/>
      <c r="J681" s="80"/>
      <c r="K681" s="80"/>
      <c r="L681" s="51" t="s">
        <v>78</v>
      </c>
      <c r="M681" s="79">
        <v>44848</v>
      </c>
      <c r="N681" s="51"/>
      <c r="O681" s="80"/>
      <c r="P681" s="82"/>
      <c r="Q681" s="80"/>
      <c r="R681" s="80"/>
      <c r="S681" s="82"/>
      <c r="T681" s="80"/>
      <c r="U681" s="80"/>
      <c r="V681" s="79"/>
      <c r="W681" s="80"/>
      <c r="X681" s="80"/>
    </row>
    <row r="682" spans="1:24" ht="42" customHeight="1">
      <c r="A682" s="80">
        <f t="shared" si="0"/>
        <v>680</v>
      </c>
      <c r="B682" s="51" t="str">
        <f t="shared" si="1"/>
        <v>MA</v>
      </c>
      <c r="C682" s="81" t="s">
        <v>3880</v>
      </c>
      <c r="D682" s="51" t="s">
        <v>725</v>
      </c>
      <c r="E682" s="51" t="s">
        <v>2547</v>
      </c>
      <c r="F682" s="80"/>
      <c r="G682" s="75">
        <f>4926198340</f>
        <v>4926198340</v>
      </c>
      <c r="H682" s="80"/>
      <c r="I682" s="122" t="s">
        <v>3881</v>
      </c>
      <c r="J682" s="138" t="s">
        <v>3882</v>
      </c>
      <c r="K682" s="80"/>
      <c r="L682" s="51" t="s">
        <v>78</v>
      </c>
      <c r="M682" s="79">
        <v>44869</v>
      </c>
      <c r="N682" s="51" t="s">
        <v>2538</v>
      </c>
      <c r="O682" s="80"/>
      <c r="P682" s="82"/>
      <c r="Q682" s="80"/>
      <c r="R682" s="80"/>
      <c r="S682" s="82"/>
      <c r="T682" s="80"/>
      <c r="U682" s="80"/>
      <c r="V682" s="79"/>
      <c r="W682" s="80"/>
      <c r="X682" s="80"/>
    </row>
    <row r="683" spans="1:24" ht="42" customHeight="1">
      <c r="A683" s="80">
        <f t="shared" si="0"/>
        <v>681</v>
      </c>
      <c r="B683" s="51" t="str">
        <f t="shared" si="1"/>
        <v>MA</v>
      </c>
      <c r="C683" s="51" t="s">
        <v>3883</v>
      </c>
      <c r="D683" s="51" t="s">
        <v>725</v>
      </c>
      <c r="E683" s="51" t="s">
        <v>2547</v>
      </c>
      <c r="F683" s="80"/>
      <c r="G683" s="75">
        <f>498219997080</f>
        <v>498219997080</v>
      </c>
      <c r="H683" s="80"/>
      <c r="I683" s="89" t="s">
        <v>3884</v>
      </c>
      <c r="J683" s="51" t="s">
        <v>3885</v>
      </c>
      <c r="K683" s="80"/>
      <c r="L683" s="51" t="s">
        <v>78</v>
      </c>
      <c r="M683" s="79">
        <v>44873</v>
      </c>
      <c r="N683" s="51" t="s">
        <v>2545</v>
      </c>
      <c r="O683" s="51" t="s">
        <v>78</v>
      </c>
      <c r="P683" s="79">
        <v>44897</v>
      </c>
      <c r="Q683" s="51" t="s">
        <v>2545</v>
      </c>
      <c r="R683" s="80"/>
      <c r="S683" s="82"/>
      <c r="T683" s="80"/>
      <c r="U683" s="80"/>
      <c r="V683" s="79"/>
      <c r="W683" s="80"/>
      <c r="X683" s="80"/>
    </row>
    <row r="684" spans="1:24" ht="42" customHeight="1">
      <c r="A684" s="80">
        <f t="shared" si="0"/>
        <v>682</v>
      </c>
      <c r="B684" s="51" t="str">
        <f t="shared" si="1"/>
        <v>MA</v>
      </c>
      <c r="C684" s="81" t="s">
        <v>3886</v>
      </c>
      <c r="D684" s="51" t="s">
        <v>725</v>
      </c>
      <c r="E684" s="80"/>
      <c r="F684" s="80"/>
      <c r="G684" s="75"/>
      <c r="H684" s="80"/>
      <c r="I684" s="76"/>
      <c r="J684" s="80"/>
      <c r="K684" s="80"/>
      <c r="L684" s="80"/>
      <c r="M684" s="79">
        <v>44756</v>
      </c>
      <c r="N684" s="80"/>
      <c r="O684" s="80"/>
      <c r="P684" s="82"/>
      <c r="Q684" s="80"/>
      <c r="R684" s="80"/>
      <c r="S684" s="82"/>
      <c r="T684" s="80"/>
      <c r="U684" s="80"/>
      <c r="V684" s="79"/>
      <c r="W684" s="80"/>
      <c r="X684" s="80"/>
    </row>
    <row r="685" spans="1:24" ht="42" customHeight="1">
      <c r="A685" s="80">
        <f t="shared" si="0"/>
        <v>683</v>
      </c>
      <c r="B685" s="51" t="str">
        <f t="shared" si="1"/>
        <v>MA</v>
      </c>
      <c r="C685" s="81" t="s">
        <v>3887</v>
      </c>
      <c r="D685" s="51" t="s">
        <v>725</v>
      </c>
      <c r="E685" s="51" t="s">
        <v>2547</v>
      </c>
      <c r="F685" s="80"/>
      <c r="G685" s="75">
        <f>4956195358</f>
        <v>4956195358</v>
      </c>
      <c r="H685" s="51" t="s">
        <v>3888</v>
      </c>
      <c r="I685" s="89" t="s">
        <v>3889</v>
      </c>
      <c r="J685" s="51" t="s">
        <v>3890</v>
      </c>
      <c r="K685" s="80"/>
      <c r="L685" s="51" t="s">
        <v>78</v>
      </c>
      <c r="M685" s="79">
        <v>44869</v>
      </c>
      <c r="N685" s="51" t="s">
        <v>2538</v>
      </c>
      <c r="O685" s="51" t="s">
        <v>78</v>
      </c>
      <c r="P685" s="79">
        <v>44872</v>
      </c>
      <c r="Q685" s="51" t="s">
        <v>2552</v>
      </c>
      <c r="R685" s="51" t="s">
        <v>7</v>
      </c>
      <c r="S685" s="79">
        <v>44897</v>
      </c>
      <c r="T685" s="51" t="s">
        <v>2551</v>
      </c>
      <c r="U685" s="80"/>
      <c r="V685" s="79"/>
      <c r="W685" s="80"/>
      <c r="X685" s="51" t="s">
        <v>3891</v>
      </c>
    </row>
    <row r="686" spans="1:24" ht="42" customHeight="1">
      <c r="A686" s="80">
        <f t="shared" si="0"/>
        <v>684</v>
      </c>
      <c r="B686" s="51" t="str">
        <f t="shared" si="1"/>
        <v>MA</v>
      </c>
      <c r="C686" s="51" t="s">
        <v>3892</v>
      </c>
      <c r="D686" s="51" t="s">
        <v>725</v>
      </c>
      <c r="E686" s="51" t="s">
        <v>2547</v>
      </c>
      <c r="F686" s="80"/>
      <c r="G686" s="75">
        <f>4924219658230</f>
        <v>4924219658230</v>
      </c>
      <c r="H686" s="80"/>
      <c r="I686" s="54" t="s">
        <v>3893</v>
      </c>
      <c r="J686" s="77" t="s">
        <v>3894</v>
      </c>
      <c r="K686" s="80"/>
      <c r="L686" s="51" t="s">
        <v>78</v>
      </c>
      <c r="M686" s="79">
        <v>44869</v>
      </c>
      <c r="N686" s="51" t="s">
        <v>2538</v>
      </c>
      <c r="O686" s="51" t="s">
        <v>78</v>
      </c>
      <c r="P686" s="79">
        <v>44872</v>
      </c>
      <c r="Q686" s="51" t="s">
        <v>2545</v>
      </c>
      <c r="R686" s="51" t="s">
        <v>78</v>
      </c>
      <c r="S686" s="79">
        <v>44897</v>
      </c>
      <c r="T686" s="51" t="s">
        <v>2538</v>
      </c>
      <c r="U686" s="80"/>
      <c r="V686" s="79"/>
      <c r="W686" s="80"/>
      <c r="X686" s="80"/>
    </row>
    <row r="687" spans="1:24" ht="42" customHeight="1">
      <c r="A687" s="80">
        <f t="shared" si="0"/>
        <v>685</v>
      </c>
      <c r="B687" s="51" t="str">
        <f t="shared" si="1"/>
        <v>MA</v>
      </c>
      <c r="C687" s="51" t="s">
        <v>3895</v>
      </c>
      <c r="D687" s="51" t="s">
        <v>725</v>
      </c>
      <c r="E687" s="51" t="s">
        <v>2547</v>
      </c>
      <c r="F687" s="80"/>
      <c r="G687" s="75">
        <f>4952425989175</f>
        <v>4952425989175</v>
      </c>
      <c r="H687" s="80"/>
      <c r="I687" s="54" t="s">
        <v>3896</v>
      </c>
      <c r="J687" s="77" t="s">
        <v>3897</v>
      </c>
      <c r="K687" s="80"/>
      <c r="L687" s="51" t="s">
        <v>78</v>
      </c>
      <c r="M687" s="79">
        <v>44887</v>
      </c>
      <c r="N687" s="51" t="s">
        <v>2538</v>
      </c>
      <c r="O687" s="51" t="s">
        <v>78</v>
      </c>
      <c r="P687" s="79">
        <v>44872</v>
      </c>
      <c r="Q687" s="51" t="s">
        <v>2551</v>
      </c>
      <c r="R687" s="51" t="s">
        <v>7</v>
      </c>
      <c r="S687" s="79">
        <v>44897</v>
      </c>
      <c r="T687" s="51" t="s">
        <v>2551</v>
      </c>
      <c r="U687" s="80"/>
      <c r="V687" s="79"/>
      <c r="W687" s="80"/>
      <c r="X687" s="80"/>
    </row>
    <row r="688" spans="1:24" ht="42" customHeight="1">
      <c r="A688" s="80">
        <f t="shared" si="0"/>
        <v>686</v>
      </c>
      <c r="B688" s="51" t="str">
        <f t="shared" si="1"/>
        <v>MA</v>
      </c>
      <c r="C688" s="51" t="s">
        <v>3898</v>
      </c>
      <c r="D688" s="51" t="s">
        <v>725</v>
      </c>
      <c r="E688" s="51" t="s">
        <v>2547</v>
      </c>
      <c r="F688" s="80"/>
      <c r="G688" s="75">
        <f>4997729322828</f>
        <v>4997729322828</v>
      </c>
      <c r="H688" s="80"/>
      <c r="I688" s="54" t="s">
        <v>3899</v>
      </c>
      <c r="J688" s="77" t="s">
        <v>3900</v>
      </c>
      <c r="K688" s="80"/>
      <c r="L688" s="51" t="s">
        <v>78</v>
      </c>
      <c r="M688" s="79">
        <v>44887</v>
      </c>
      <c r="N688" s="51" t="s">
        <v>2538</v>
      </c>
      <c r="O688" s="51" t="s">
        <v>78</v>
      </c>
      <c r="P688" s="79">
        <v>44872</v>
      </c>
      <c r="Q688" s="51" t="s">
        <v>2545</v>
      </c>
      <c r="R688" s="51" t="s">
        <v>78</v>
      </c>
      <c r="S688" s="79">
        <v>44897</v>
      </c>
      <c r="T688" s="51" t="s">
        <v>2545</v>
      </c>
      <c r="U688" s="80"/>
      <c r="V688" s="79"/>
      <c r="W688" s="80"/>
      <c r="X688" s="51" t="s">
        <v>3901</v>
      </c>
    </row>
    <row r="689" spans="1:24" ht="42" customHeight="1">
      <c r="A689" s="80">
        <f t="shared" si="0"/>
        <v>687</v>
      </c>
      <c r="B689" s="51" t="str">
        <f t="shared" si="1"/>
        <v>MA</v>
      </c>
      <c r="C689" s="81" t="s">
        <v>3902</v>
      </c>
      <c r="D689" s="51" t="s">
        <v>725</v>
      </c>
      <c r="E689" s="51" t="s">
        <v>2547</v>
      </c>
      <c r="F689" s="80"/>
      <c r="G689" s="75"/>
      <c r="H689" s="80"/>
      <c r="I689" s="76"/>
      <c r="J689" s="80"/>
      <c r="K689" s="80"/>
      <c r="L689" s="80"/>
      <c r="M689" s="79">
        <v>44759</v>
      </c>
      <c r="N689" s="80"/>
      <c r="O689" s="80"/>
      <c r="P689" s="82"/>
      <c r="Q689" s="80"/>
      <c r="R689" s="80"/>
      <c r="S689" s="82"/>
      <c r="T689" s="80"/>
      <c r="U689" s="80"/>
      <c r="V689" s="79"/>
      <c r="W689" s="80"/>
      <c r="X689" s="80"/>
    </row>
    <row r="690" spans="1:24" ht="42" customHeight="1">
      <c r="A690" s="80">
        <f t="shared" si="0"/>
        <v>688</v>
      </c>
      <c r="B690" s="51" t="str">
        <f t="shared" si="1"/>
        <v>MA</v>
      </c>
      <c r="C690" s="81" t="s">
        <v>3903</v>
      </c>
      <c r="D690" s="51" t="s">
        <v>992</v>
      </c>
      <c r="E690" s="51" t="s">
        <v>2547</v>
      </c>
      <c r="F690" s="80"/>
      <c r="G690" s="75"/>
      <c r="H690" s="80"/>
      <c r="I690" s="76"/>
      <c r="J690" s="80"/>
      <c r="K690" s="80"/>
      <c r="L690" s="51" t="s">
        <v>78</v>
      </c>
      <c r="M690" s="79">
        <v>44848</v>
      </c>
      <c r="N690" s="51"/>
      <c r="O690" s="80"/>
      <c r="P690" s="82"/>
      <c r="Q690" s="80"/>
      <c r="R690" s="80"/>
      <c r="S690" s="82"/>
      <c r="T690" s="80"/>
      <c r="U690" s="80"/>
      <c r="V690" s="79"/>
      <c r="W690" s="80"/>
      <c r="X690" s="80"/>
    </row>
    <row r="691" spans="1:24" ht="42" customHeight="1">
      <c r="A691" s="80">
        <f t="shared" si="0"/>
        <v>689</v>
      </c>
      <c r="B691" s="51" t="str">
        <f t="shared" si="1"/>
        <v>MA</v>
      </c>
      <c r="C691" s="51" t="s">
        <v>3904</v>
      </c>
      <c r="D691" s="51" t="s">
        <v>725</v>
      </c>
      <c r="E691" s="51" t="s">
        <v>2533</v>
      </c>
      <c r="F691" s="80"/>
      <c r="G691" s="75" t="s">
        <v>3905</v>
      </c>
      <c r="H691" s="51" t="s">
        <v>3906</v>
      </c>
      <c r="I691" s="54" t="s">
        <v>3907</v>
      </c>
      <c r="J691" s="77" t="s">
        <v>3908</v>
      </c>
      <c r="K691" s="80"/>
      <c r="L691" s="51" t="s">
        <v>78</v>
      </c>
      <c r="M691" s="79">
        <v>44869</v>
      </c>
      <c r="N691" s="51" t="s">
        <v>2561</v>
      </c>
      <c r="O691" s="51" t="s">
        <v>78</v>
      </c>
      <c r="P691" s="79">
        <v>44872</v>
      </c>
      <c r="Q691" s="51" t="s">
        <v>2545</v>
      </c>
      <c r="R691" s="51" t="s">
        <v>78</v>
      </c>
      <c r="S691" s="79">
        <v>44894</v>
      </c>
      <c r="T691" s="51" t="s">
        <v>2623</v>
      </c>
      <c r="U691" s="80"/>
      <c r="V691" s="79"/>
      <c r="W691" s="80"/>
      <c r="X691" s="80"/>
    </row>
    <row r="692" spans="1:24" ht="42" customHeight="1">
      <c r="A692" s="80">
        <f t="shared" si="0"/>
        <v>690</v>
      </c>
      <c r="B692" s="51" t="str">
        <f t="shared" si="1"/>
        <v>MA</v>
      </c>
      <c r="C692" s="81" t="s">
        <v>3909</v>
      </c>
      <c r="D692" s="51" t="s">
        <v>725</v>
      </c>
      <c r="E692" s="51" t="s">
        <v>2533</v>
      </c>
      <c r="F692" s="80"/>
      <c r="G692" s="75">
        <f>4922418668001</f>
        <v>4922418668001</v>
      </c>
      <c r="H692" s="80"/>
      <c r="I692" s="54" t="s">
        <v>3910</v>
      </c>
      <c r="J692" s="96" t="s">
        <v>3911</v>
      </c>
      <c r="K692" s="80"/>
      <c r="L692" s="51" t="s">
        <v>78</v>
      </c>
      <c r="M692" s="79">
        <v>44869</v>
      </c>
      <c r="N692" s="51" t="s">
        <v>2558</v>
      </c>
      <c r="O692" s="80"/>
      <c r="P692" s="82"/>
      <c r="Q692" s="80"/>
      <c r="R692" s="80"/>
      <c r="S692" s="82"/>
      <c r="T692" s="80"/>
      <c r="U692" s="80"/>
      <c r="V692" s="79"/>
      <c r="W692" s="80"/>
      <c r="X692" s="80"/>
    </row>
    <row r="693" spans="1:24" ht="42" customHeight="1">
      <c r="A693" s="80">
        <f t="shared" si="0"/>
        <v>691</v>
      </c>
      <c r="B693" s="51" t="str">
        <f t="shared" si="1"/>
        <v>MA</v>
      </c>
      <c r="C693" s="81" t="s">
        <v>3912</v>
      </c>
      <c r="D693" s="51" t="s">
        <v>725</v>
      </c>
      <c r="E693" s="51" t="s">
        <v>2533</v>
      </c>
      <c r="F693" s="80"/>
      <c r="G693" s="75">
        <v>4922414939356</v>
      </c>
      <c r="H693" s="80"/>
      <c r="I693" s="54" t="s">
        <v>3913</v>
      </c>
      <c r="J693" s="96" t="s">
        <v>3914</v>
      </c>
      <c r="K693" s="80"/>
      <c r="L693" s="51" t="s">
        <v>7</v>
      </c>
      <c r="M693" s="79">
        <v>44869</v>
      </c>
      <c r="N693" s="51" t="s">
        <v>2558</v>
      </c>
      <c r="O693" s="80"/>
      <c r="P693" s="82"/>
      <c r="Q693" s="80"/>
      <c r="R693" s="80"/>
      <c r="S693" s="82"/>
      <c r="T693" s="80"/>
      <c r="U693" s="80"/>
      <c r="V693" s="79"/>
      <c r="W693" s="80"/>
      <c r="X693" s="80"/>
    </row>
    <row r="694" spans="1:24" ht="42" customHeight="1">
      <c r="A694" s="80">
        <f t="shared" si="0"/>
        <v>692</v>
      </c>
      <c r="B694" s="51" t="str">
        <f t="shared" si="1"/>
        <v>MA</v>
      </c>
      <c r="C694" s="51" t="s">
        <v>3915</v>
      </c>
      <c r="D694" s="51" t="s">
        <v>725</v>
      </c>
      <c r="E694" s="51" t="s">
        <v>2533</v>
      </c>
      <c r="F694" s="80"/>
      <c r="G694" s="75">
        <f>49784491120</f>
        <v>49784491120</v>
      </c>
      <c r="H694" s="80"/>
      <c r="I694" s="139" t="s">
        <v>3916</v>
      </c>
      <c r="J694" s="96" t="s">
        <v>3917</v>
      </c>
      <c r="K694" s="80"/>
      <c r="L694" s="51" t="s">
        <v>78</v>
      </c>
      <c r="M694" s="79">
        <v>44869</v>
      </c>
      <c r="N694" s="51" t="s">
        <v>2552</v>
      </c>
      <c r="O694" s="51" t="s">
        <v>78</v>
      </c>
      <c r="P694" s="79">
        <v>44872</v>
      </c>
      <c r="Q694" s="51" t="s">
        <v>2545</v>
      </c>
      <c r="R694" s="51" t="s">
        <v>78</v>
      </c>
      <c r="S694" s="79">
        <v>44894</v>
      </c>
      <c r="T694" s="51" t="s">
        <v>2545</v>
      </c>
      <c r="U694" s="80"/>
      <c r="V694" s="79"/>
      <c r="W694" s="80"/>
      <c r="X694" s="51" t="s">
        <v>3918</v>
      </c>
    </row>
    <row r="695" spans="1:24" ht="42" customHeight="1">
      <c r="A695" s="80">
        <f t="shared" si="0"/>
        <v>693</v>
      </c>
      <c r="B695" s="51" t="str">
        <f t="shared" si="1"/>
        <v>MA</v>
      </c>
      <c r="C695" s="81" t="s">
        <v>3919</v>
      </c>
      <c r="D695" s="51" t="s">
        <v>725</v>
      </c>
      <c r="E695" s="51" t="s">
        <v>2533</v>
      </c>
      <c r="F695" s="80"/>
      <c r="G695" s="75"/>
      <c r="H695" s="80"/>
      <c r="I695" s="54" t="s">
        <v>3920</v>
      </c>
      <c r="J695" s="80"/>
      <c r="K695" s="80"/>
      <c r="L695" s="51" t="s">
        <v>7</v>
      </c>
      <c r="M695" s="79">
        <v>44869</v>
      </c>
      <c r="N695" s="51" t="s">
        <v>2558</v>
      </c>
      <c r="O695" s="80"/>
      <c r="P695" s="82"/>
      <c r="Q695" s="80"/>
      <c r="R695" s="80"/>
      <c r="S695" s="82"/>
      <c r="T695" s="80"/>
      <c r="U695" s="80"/>
      <c r="V695" s="79"/>
      <c r="W695" s="80"/>
      <c r="X695" s="80"/>
    </row>
    <row r="696" spans="1:24" ht="42" customHeight="1">
      <c r="A696" s="80">
        <f t="shared" si="0"/>
        <v>694</v>
      </c>
      <c r="B696" s="51" t="str">
        <f t="shared" si="1"/>
        <v>MA</v>
      </c>
      <c r="C696" s="81" t="s">
        <v>3921</v>
      </c>
      <c r="D696" s="51" t="s">
        <v>725</v>
      </c>
      <c r="E696" s="51" t="s">
        <v>2533</v>
      </c>
      <c r="F696" s="80"/>
      <c r="G696" s="75">
        <f>492236748820</f>
        <v>492236748820</v>
      </c>
      <c r="H696" s="80"/>
      <c r="I696" s="54" t="s">
        <v>3922</v>
      </c>
      <c r="J696" s="96" t="s">
        <v>3923</v>
      </c>
      <c r="K696" s="80"/>
      <c r="L696" s="51" t="s">
        <v>78</v>
      </c>
      <c r="M696" s="79">
        <v>44869</v>
      </c>
      <c r="N696" s="51" t="s">
        <v>2558</v>
      </c>
      <c r="O696" s="80"/>
      <c r="P696" s="82"/>
      <c r="Q696" s="80"/>
      <c r="R696" s="80"/>
      <c r="S696" s="82"/>
      <c r="T696" s="80"/>
      <c r="U696" s="80"/>
      <c r="V696" s="79"/>
      <c r="W696" s="80"/>
      <c r="X696" s="80"/>
    </row>
    <row r="697" spans="1:24" ht="42" customHeight="1">
      <c r="A697" s="80">
        <f t="shared" si="0"/>
        <v>695</v>
      </c>
      <c r="B697" s="51" t="str">
        <f t="shared" si="1"/>
        <v>MA</v>
      </c>
      <c r="C697" s="51" t="s">
        <v>3924</v>
      </c>
      <c r="D697" s="51" t="s">
        <v>725</v>
      </c>
      <c r="E697" s="51" t="s">
        <v>2533</v>
      </c>
      <c r="F697" s="80"/>
      <c r="G697" s="75">
        <f>49224151605</f>
        <v>49224151605</v>
      </c>
      <c r="H697" s="80"/>
      <c r="I697" s="122" t="s">
        <v>3925</v>
      </c>
      <c r="J697" s="51" t="s">
        <v>3926</v>
      </c>
      <c r="K697" s="80"/>
      <c r="L697" s="51" t="s">
        <v>78</v>
      </c>
      <c r="M697" s="79">
        <v>44869</v>
      </c>
      <c r="N697" s="51" t="s">
        <v>2538</v>
      </c>
      <c r="O697" s="51" t="s">
        <v>78</v>
      </c>
      <c r="P697" s="79">
        <v>44872</v>
      </c>
      <c r="Q697" s="51" t="s">
        <v>2538</v>
      </c>
      <c r="R697" s="51" t="s">
        <v>78</v>
      </c>
      <c r="S697" s="79">
        <v>44894</v>
      </c>
      <c r="T697" s="51" t="s">
        <v>2545</v>
      </c>
      <c r="U697" s="80"/>
      <c r="V697" s="79"/>
      <c r="W697" s="80"/>
      <c r="X697" s="80"/>
    </row>
    <row r="698" spans="1:24" ht="42" customHeight="1">
      <c r="A698" s="80">
        <f t="shared" si="0"/>
        <v>696</v>
      </c>
      <c r="B698" s="51" t="str">
        <f t="shared" si="1"/>
        <v>MA</v>
      </c>
      <c r="C698" s="81" t="s">
        <v>3927</v>
      </c>
      <c r="D698" s="51" t="s">
        <v>725</v>
      </c>
      <c r="E698" s="51" t="s">
        <v>2533</v>
      </c>
      <c r="F698" s="80"/>
      <c r="G698" s="75">
        <f>492205948880</f>
        <v>492205948880</v>
      </c>
      <c r="H698" s="80"/>
      <c r="I698" s="89" t="s">
        <v>3928</v>
      </c>
      <c r="J698" s="80"/>
      <c r="K698" s="80"/>
      <c r="L698" s="51" t="s">
        <v>78</v>
      </c>
      <c r="M698" s="79">
        <v>44869</v>
      </c>
      <c r="N698" s="51" t="s">
        <v>2558</v>
      </c>
      <c r="O698" s="80"/>
      <c r="P698" s="82"/>
      <c r="Q698" s="80"/>
      <c r="R698" s="80"/>
      <c r="S698" s="82"/>
      <c r="T698" s="80"/>
      <c r="U698" s="80"/>
      <c r="V698" s="79"/>
      <c r="W698" s="80"/>
      <c r="X698" s="80"/>
    </row>
    <row r="699" spans="1:24" ht="42" customHeight="1">
      <c r="A699" s="80">
        <f t="shared" si="0"/>
        <v>697</v>
      </c>
      <c r="B699" s="51" t="str">
        <f t="shared" si="1"/>
        <v>MA</v>
      </c>
      <c r="C699" s="81" t="s">
        <v>3929</v>
      </c>
      <c r="D699" s="51" t="s">
        <v>725</v>
      </c>
      <c r="E699" s="51" t="s">
        <v>2533</v>
      </c>
      <c r="F699" s="80"/>
      <c r="G699" s="75">
        <f>4922412615444</f>
        <v>4922412615444</v>
      </c>
      <c r="H699" s="80"/>
      <c r="I699" s="76"/>
      <c r="J699" s="96" t="s">
        <v>3930</v>
      </c>
      <c r="K699" s="80"/>
      <c r="L699" s="51" t="s">
        <v>78</v>
      </c>
      <c r="M699" s="79">
        <v>44869</v>
      </c>
      <c r="N699" s="51" t="s">
        <v>2538</v>
      </c>
      <c r="O699" s="51" t="s">
        <v>78</v>
      </c>
      <c r="P699" s="79">
        <v>44872</v>
      </c>
      <c r="Q699" s="51" t="s">
        <v>2538</v>
      </c>
      <c r="R699" s="51" t="s">
        <v>78</v>
      </c>
      <c r="S699" s="79">
        <v>44894</v>
      </c>
      <c r="T699" s="51" t="s">
        <v>2699</v>
      </c>
      <c r="U699" s="80"/>
      <c r="V699" s="79"/>
      <c r="W699" s="80"/>
      <c r="X699" s="80"/>
    </row>
    <row r="700" spans="1:24" ht="42" customHeight="1">
      <c r="A700" s="80">
        <f t="shared" si="0"/>
        <v>698</v>
      </c>
      <c r="B700" s="51" t="str">
        <f t="shared" si="1"/>
        <v>MA</v>
      </c>
      <c r="C700" s="81" t="s">
        <v>3931</v>
      </c>
      <c r="D700" s="51" t="s">
        <v>725</v>
      </c>
      <c r="E700" s="51" t="s">
        <v>2533</v>
      </c>
      <c r="F700" s="80"/>
      <c r="G700" s="75">
        <f>4922678721684</f>
        <v>4922678721684</v>
      </c>
      <c r="H700" s="80"/>
      <c r="I700" s="122" t="s">
        <v>3932</v>
      </c>
      <c r="J700" s="51" t="s">
        <v>3933</v>
      </c>
      <c r="K700" s="80"/>
      <c r="L700" s="51" t="s">
        <v>78</v>
      </c>
      <c r="M700" s="79">
        <v>44869</v>
      </c>
      <c r="N700" s="51" t="s">
        <v>2558</v>
      </c>
      <c r="O700" s="80"/>
      <c r="P700" s="82"/>
      <c r="Q700" s="80"/>
      <c r="R700" s="80"/>
      <c r="S700" s="82"/>
      <c r="T700" s="80"/>
      <c r="U700" s="80"/>
      <c r="V700" s="79"/>
      <c r="W700" s="80"/>
      <c r="X700" s="80"/>
    </row>
    <row r="701" spans="1:24" ht="42" customHeight="1">
      <c r="A701" s="80">
        <f t="shared" si="0"/>
        <v>699</v>
      </c>
      <c r="B701" s="51" t="str">
        <f t="shared" si="1"/>
        <v>MA</v>
      </c>
      <c r="C701" s="56" t="s">
        <v>3934</v>
      </c>
      <c r="D701" s="51" t="s">
        <v>725</v>
      </c>
      <c r="E701" s="51" t="s">
        <v>2540</v>
      </c>
      <c r="F701" s="80"/>
      <c r="G701" s="75">
        <f>4921914223421</f>
        <v>4921914223421</v>
      </c>
      <c r="H701" s="80"/>
      <c r="I701" s="89" t="s">
        <v>3935</v>
      </c>
      <c r="J701" s="51" t="s">
        <v>3936</v>
      </c>
      <c r="K701" s="80"/>
      <c r="L701" s="51" t="s">
        <v>78</v>
      </c>
      <c r="M701" s="79">
        <v>44869</v>
      </c>
      <c r="N701" s="51" t="s">
        <v>2538</v>
      </c>
      <c r="O701" s="51" t="s">
        <v>78</v>
      </c>
      <c r="P701" s="79">
        <v>44872</v>
      </c>
      <c r="Q701" s="51" t="s">
        <v>2545</v>
      </c>
      <c r="R701" s="51" t="s">
        <v>78</v>
      </c>
      <c r="S701" s="79">
        <v>44894</v>
      </c>
      <c r="T701" s="51" t="s">
        <v>2545</v>
      </c>
      <c r="U701" s="80"/>
      <c r="V701" s="79"/>
      <c r="W701" s="80"/>
      <c r="X701" s="80"/>
    </row>
    <row r="702" spans="1:24" ht="42" customHeight="1">
      <c r="A702" s="80">
        <f t="shared" si="0"/>
        <v>700</v>
      </c>
      <c r="B702" s="51" t="str">
        <f t="shared" si="1"/>
        <v>MA</v>
      </c>
      <c r="C702" s="85" t="s">
        <v>3937</v>
      </c>
      <c r="D702" s="51" t="s">
        <v>746</v>
      </c>
      <c r="E702" s="51" t="s">
        <v>2533</v>
      </c>
      <c r="F702" s="80"/>
      <c r="G702" s="75" t="s">
        <v>3938</v>
      </c>
      <c r="H702" s="80"/>
      <c r="I702" s="76"/>
      <c r="J702" s="51" t="s">
        <v>3939</v>
      </c>
      <c r="K702" s="80"/>
      <c r="L702" s="51" t="s">
        <v>7</v>
      </c>
      <c r="M702" s="79">
        <v>44848</v>
      </c>
      <c r="N702" s="51" t="s">
        <v>2552</v>
      </c>
      <c r="O702" s="51" t="s">
        <v>7</v>
      </c>
      <c r="P702" s="79">
        <v>44862</v>
      </c>
      <c r="Q702" s="51" t="s">
        <v>2551</v>
      </c>
      <c r="R702" s="80"/>
      <c r="S702" s="82"/>
      <c r="T702" s="80"/>
      <c r="U702" s="80"/>
      <c r="V702" s="79"/>
      <c r="W702" s="80"/>
      <c r="X702" s="80"/>
    </row>
    <row r="703" spans="1:24" ht="42" customHeight="1">
      <c r="A703" s="80">
        <f t="shared" si="0"/>
        <v>701</v>
      </c>
      <c r="B703" s="51" t="str">
        <f t="shared" si="1"/>
        <v>MA</v>
      </c>
      <c r="C703" s="51" t="s">
        <v>3940</v>
      </c>
      <c r="D703" s="51" t="s">
        <v>746</v>
      </c>
      <c r="E703" s="51" t="s">
        <v>2533</v>
      </c>
      <c r="F703" s="80"/>
      <c r="G703" s="75" t="s">
        <v>3941</v>
      </c>
      <c r="H703" s="80"/>
      <c r="I703" s="76"/>
      <c r="J703" s="51" t="s">
        <v>3942</v>
      </c>
      <c r="K703" s="80"/>
      <c r="L703" s="51" t="s">
        <v>7</v>
      </c>
      <c r="M703" s="79">
        <v>44848</v>
      </c>
      <c r="N703" s="51"/>
      <c r="O703" s="80"/>
      <c r="P703" s="82"/>
      <c r="Q703" s="80"/>
      <c r="R703" s="51" t="s">
        <v>78</v>
      </c>
      <c r="S703" s="79">
        <v>44865</v>
      </c>
      <c r="T703" s="51" t="s">
        <v>2561</v>
      </c>
      <c r="U703" s="80"/>
      <c r="V703" s="79"/>
      <c r="W703" s="80"/>
      <c r="X703" s="80"/>
    </row>
    <row r="704" spans="1:24" ht="42" customHeight="1">
      <c r="A704" s="80">
        <f t="shared" si="0"/>
        <v>702</v>
      </c>
      <c r="B704" s="51" t="str">
        <f t="shared" si="1"/>
        <v>MA</v>
      </c>
      <c r="C704" s="51" t="s">
        <v>3943</v>
      </c>
      <c r="D704" s="51" t="s">
        <v>746</v>
      </c>
      <c r="E704" s="51" t="s">
        <v>2533</v>
      </c>
      <c r="F704" s="80"/>
      <c r="G704" s="75" t="s">
        <v>3944</v>
      </c>
      <c r="H704" s="80"/>
      <c r="I704" s="76"/>
      <c r="J704" s="80"/>
      <c r="K704" s="80"/>
      <c r="L704" s="51" t="s">
        <v>78</v>
      </c>
      <c r="M704" s="79">
        <v>44865</v>
      </c>
      <c r="N704" s="51" t="s">
        <v>2632</v>
      </c>
      <c r="O704" s="80"/>
      <c r="P704" s="82"/>
      <c r="Q704" s="80"/>
      <c r="R704" s="80"/>
      <c r="S704" s="82"/>
      <c r="T704" s="80"/>
      <c r="U704" s="80"/>
      <c r="V704" s="79"/>
      <c r="W704" s="80"/>
      <c r="X704" s="80"/>
    </row>
    <row r="705" spans="1:24" ht="42" customHeight="1">
      <c r="A705" s="80">
        <f t="shared" si="0"/>
        <v>703</v>
      </c>
      <c r="B705" s="51" t="str">
        <f t="shared" si="1"/>
        <v>MA</v>
      </c>
      <c r="C705" s="51" t="s">
        <v>3945</v>
      </c>
      <c r="D705" s="51" t="s">
        <v>746</v>
      </c>
      <c r="E705" s="51" t="s">
        <v>2533</v>
      </c>
      <c r="F705" s="80"/>
      <c r="G705" s="75" t="s">
        <v>3946</v>
      </c>
      <c r="H705" s="51">
        <v>0</v>
      </c>
      <c r="I705" s="76"/>
      <c r="J705" s="80"/>
      <c r="K705" s="80"/>
      <c r="L705" s="51" t="s">
        <v>78</v>
      </c>
      <c r="M705" s="79">
        <v>44865</v>
      </c>
      <c r="N705" s="51" t="s">
        <v>2538</v>
      </c>
      <c r="O705" s="80"/>
      <c r="P705" s="82"/>
      <c r="Q705" s="80"/>
      <c r="R705" s="80"/>
      <c r="S705" s="82"/>
      <c r="T705" s="80"/>
      <c r="U705" s="80"/>
      <c r="V705" s="79"/>
      <c r="W705" s="80"/>
      <c r="X705" s="80"/>
    </row>
    <row r="706" spans="1:24" ht="42" customHeight="1">
      <c r="A706" s="80">
        <f t="shared" si="0"/>
        <v>704</v>
      </c>
      <c r="B706" s="51" t="str">
        <f t="shared" si="1"/>
        <v>MA</v>
      </c>
      <c r="C706" s="51" t="s">
        <v>3947</v>
      </c>
      <c r="D706" s="51" t="s">
        <v>746</v>
      </c>
      <c r="E706" s="51" t="s">
        <v>2533</v>
      </c>
      <c r="F706" s="80"/>
      <c r="G706" s="75" t="s">
        <v>3948</v>
      </c>
      <c r="H706" s="80"/>
      <c r="I706" s="76"/>
      <c r="J706" s="80"/>
      <c r="K706" s="80"/>
      <c r="L706" s="51" t="s">
        <v>78</v>
      </c>
      <c r="M706" s="79">
        <v>44865</v>
      </c>
      <c r="N706" s="51" t="s">
        <v>2561</v>
      </c>
      <c r="O706" s="80"/>
      <c r="P706" s="82"/>
      <c r="Q706" s="80"/>
      <c r="R706" s="80"/>
      <c r="S706" s="82"/>
      <c r="T706" s="80"/>
      <c r="U706" s="80"/>
      <c r="V706" s="79"/>
      <c r="W706" s="80"/>
      <c r="X706" s="80"/>
    </row>
    <row r="707" spans="1:24" ht="42" customHeight="1">
      <c r="A707" s="80">
        <f t="shared" si="0"/>
        <v>705</v>
      </c>
      <c r="B707" s="51" t="str">
        <f t="shared" si="1"/>
        <v>MA</v>
      </c>
      <c r="C707" s="81" t="s">
        <v>3949</v>
      </c>
      <c r="D707" s="51" t="s">
        <v>746</v>
      </c>
      <c r="E707" s="51" t="s">
        <v>2533</v>
      </c>
      <c r="F707" s="80"/>
      <c r="G707" s="75" t="s">
        <v>3950</v>
      </c>
      <c r="H707" s="80"/>
      <c r="I707" s="76"/>
      <c r="J707" s="80"/>
      <c r="K707" s="80"/>
      <c r="L707" s="80"/>
      <c r="M707" s="79">
        <v>44763</v>
      </c>
      <c r="N707" s="80"/>
      <c r="O707" s="80"/>
      <c r="P707" s="82"/>
      <c r="Q707" s="80"/>
      <c r="R707" s="80"/>
      <c r="S707" s="82"/>
      <c r="T707" s="80"/>
      <c r="U707" s="80"/>
      <c r="V707" s="79"/>
      <c r="W707" s="80"/>
      <c r="X707" s="80"/>
    </row>
    <row r="708" spans="1:24" ht="42" customHeight="1">
      <c r="A708" s="80">
        <f t="shared" si="0"/>
        <v>706</v>
      </c>
      <c r="B708" s="51" t="str">
        <f t="shared" si="1"/>
        <v>MA</v>
      </c>
      <c r="C708" s="51" t="s">
        <v>3951</v>
      </c>
      <c r="D708" s="51" t="s">
        <v>2917</v>
      </c>
      <c r="E708" s="51" t="s">
        <v>2547</v>
      </c>
      <c r="F708" s="80"/>
      <c r="G708" s="75" t="s">
        <v>3952</v>
      </c>
      <c r="H708" s="80"/>
      <c r="I708" s="76"/>
      <c r="J708" s="80"/>
      <c r="K708" s="80"/>
      <c r="L708" s="51" t="s">
        <v>78</v>
      </c>
      <c r="M708" s="79">
        <v>44828</v>
      </c>
      <c r="N708" s="51" t="s">
        <v>2560</v>
      </c>
      <c r="O708" s="80"/>
      <c r="P708" s="82"/>
      <c r="Q708" s="80"/>
      <c r="R708" s="80"/>
      <c r="S708" s="82"/>
      <c r="T708" s="80"/>
      <c r="U708" s="80"/>
      <c r="V708" s="79"/>
      <c r="W708" s="80"/>
      <c r="X708" s="80"/>
    </row>
    <row r="709" spans="1:24" ht="42" customHeight="1">
      <c r="A709" s="80">
        <f t="shared" si="0"/>
        <v>707</v>
      </c>
      <c r="B709" s="51" t="str">
        <f t="shared" si="1"/>
        <v>MA</v>
      </c>
      <c r="C709" s="51" t="s">
        <v>3953</v>
      </c>
      <c r="D709" s="51" t="s">
        <v>2917</v>
      </c>
      <c r="E709" s="51" t="s">
        <v>2547</v>
      </c>
      <c r="F709" s="80"/>
      <c r="G709" s="75">
        <v>201281160020</v>
      </c>
      <c r="H709" s="51" t="s">
        <v>3954</v>
      </c>
      <c r="I709" s="76"/>
      <c r="J709" s="77" t="s">
        <v>3955</v>
      </c>
      <c r="K709" s="80"/>
      <c r="L709" s="51" t="s">
        <v>7</v>
      </c>
      <c r="M709" s="79">
        <v>44858</v>
      </c>
      <c r="N709" s="51" t="s">
        <v>2561</v>
      </c>
      <c r="O709" s="80"/>
      <c r="P709" s="82"/>
      <c r="Q709" s="80"/>
      <c r="R709" s="80"/>
      <c r="S709" s="82"/>
      <c r="T709" s="80"/>
      <c r="U709" s="80"/>
      <c r="V709" s="79"/>
      <c r="W709" s="80"/>
      <c r="X709" s="80"/>
    </row>
    <row r="710" spans="1:24" ht="42" customHeight="1">
      <c r="A710" s="80">
        <f t="shared" si="0"/>
        <v>708</v>
      </c>
      <c r="B710" s="51" t="str">
        <f t="shared" si="1"/>
        <v>MA</v>
      </c>
      <c r="C710" s="51" t="s">
        <v>3956</v>
      </c>
      <c r="D710" s="51" t="s">
        <v>2917</v>
      </c>
      <c r="E710" s="51" t="s">
        <v>2547</v>
      </c>
      <c r="F710" s="80"/>
      <c r="G710" s="75" t="s">
        <v>3957</v>
      </c>
      <c r="H710" s="80"/>
      <c r="I710" s="76"/>
      <c r="J710" s="80"/>
      <c r="K710" s="80"/>
      <c r="L710" s="80"/>
      <c r="M710" s="82"/>
      <c r="N710" s="80"/>
      <c r="O710" s="80"/>
      <c r="P710" s="82"/>
      <c r="Q710" s="80"/>
      <c r="R710" s="80"/>
      <c r="S710" s="82"/>
      <c r="T710" s="80"/>
      <c r="U710" s="80"/>
      <c r="V710" s="79"/>
      <c r="W710" s="80"/>
      <c r="X710" s="80"/>
    </row>
    <row r="711" spans="1:24" ht="42" customHeight="1">
      <c r="A711" s="80">
        <f t="shared" si="0"/>
        <v>709</v>
      </c>
      <c r="B711" s="51" t="str">
        <f t="shared" si="1"/>
        <v>MA</v>
      </c>
      <c r="C711" s="51" t="s">
        <v>3958</v>
      </c>
      <c r="D711" s="51" t="s">
        <v>2917</v>
      </c>
      <c r="E711" s="51" t="s">
        <v>2547</v>
      </c>
      <c r="F711" s="80"/>
      <c r="G711" s="75">
        <v>1288882790</v>
      </c>
      <c r="H711" s="80"/>
      <c r="I711" s="54" t="s">
        <v>3959</v>
      </c>
      <c r="J711" s="80"/>
      <c r="K711" s="80"/>
      <c r="L711" s="51" t="s">
        <v>78</v>
      </c>
      <c r="M711" s="79">
        <v>44858</v>
      </c>
      <c r="N711" s="51" t="s">
        <v>2545</v>
      </c>
      <c r="O711" s="80"/>
      <c r="P711" s="82"/>
      <c r="Q711" s="80"/>
      <c r="R711" s="80"/>
      <c r="S711" s="82"/>
      <c r="T711" s="80"/>
      <c r="U711" s="80"/>
      <c r="V711" s="79"/>
      <c r="W711" s="80"/>
      <c r="X711" s="80"/>
    </row>
    <row r="712" spans="1:24" ht="42" customHeight="1">
      <c r="A712" s="80">
        <f t="shared" si="0"/>
        <v>710</v>
      </c>
      <c r="B712" s="51" t="str">
        <f t="shared" si="1"/>
        <v>MA</v>
      </c>
      <c r="C712" s="51" t="s">
        <v>3960</v>
      </c>
      <c r="D712" s="51" t="s">
        <v>2917</v>
      </c>
      <c r="E712" s="51" t="s">
        <v>2547</v>
      </c>
      <c r="F712" s="80"/>
      <c r="G712" s="140" t="s">
        <v>3961</v>
      </c>
      <c r="H712" s="80"/>
      <c r="I712" s="54" t="s">
        <v>3962</v>
      </c>
      <c r="J712" s="80"/>
      <c r="K712" s="80"/>
      <c r="L712" s="51" t="s">
        <v>7</v>
      </c>
      <c r="M712" s="79">
        <v>44848</v>
      </c>
      <c r="N712" s="51"/>
      <c r="O712" s="80"/>
      <c r="P712" s="82"/>
      <c r="Q712" s="80"/>
      <c r="R712" s="80"/>
      <c r="S712" s="82"/>
      <c r="T712" s="80"/>
      <c r="U712" s="80"/>
      <c r="V712" s="79"/>
      <c r="W712" s="80"/>
      <c r="X712" s="80"/>
    </row>
    <row r="713" spans="1:24" ht="42" customHeight="1">
      <c r="A713" s="80">
        <f t="shared" si="0"/>
        <v>711</v>
      </c>
      <c r="B713" s="51" t="str">
        <f t="shared" si="1"/>
        <v>MA</v>
      </c>
      <c r="C713" s="51" t="s">
        <v>3963</v>
      </c>
      <c r="D713" s="51" t="s">
        <v>2917</v>
      </c>
      <c r="E713" s="51" t="s">
        <v>2547</v>
      </c>
      <c r="F713" s="80"/>
      <c r="G713" s="75"/>
      <c r="H713" s="80"/>
      <c r="I713" s="89" t="s">
        <v>3964</v>
      </c>
      <c r="J713" s="80"/>
      <c r="K713" s="80"/>
      <c r="L713" s="51" t="s">
        <v>7</v>
      </c>
      <c r="M713" s="79">
        <v>44848</v>
      </c>
      <c r="N713" s="51"/>
      <c r="O713" s="80"/>
      <c r="P713" s="82"/>
      <c r="Q713" s="80"/>
      <c r="R713" s="80"/>
      <c r="S713" s="82"/>
      <c r="T713" s="80"/>
      <c r="U713" s="80"/>
      <c r="V713" s="79"/>
      <c r="W713" s="80"/>
      <c r="X713" s="80"/>
    </row>
    <row r="714" spans="1:24" ht="42" customHeight="1">
      <c r="A714" s="80">
        <f t="shared" si="0"/>
        <v>712</v>
      </c>
      <c r="B714" s="51" t="str">
        <f t="shared" si="1"/>
        <v>MA</v>
      </c>
      <c r="C714" s="83" t="s">
        <v>3965</v>
      </c>
      <c r="D714" s="51" t="s">
        <v>725</v>
      </c>
      <c r="E714" s="51" t="s">
        <v>2547</v>
      </c>
      <c r="F714" s="80"/>
      <c r="G714" s="75" t="s">
        <v>3966</v>
      </c>
      <c r="H714" s="51" t="s">
        <v>3967</v>
      </c>
      <c r="I714" s="89" t="s">
        <v>3968</v>
      </c>
      <c r="J714" s="80"/>
      <c r="K714" s="80"/>
      <c r="L714" s="51" t="s">
        <v>78</v>
      </c>
      <c r="M714" s="79">
        <v>44869</v>
      </c>
      <c r="N714" s="51" t="s">
        <v>2561</v>
      </c>
      <c r="O714" s="51" t="s">
        <v>98</v>
      </c>
      <c r="P714" s="79">
        <v>44894</v>
      </c>
      <c r="Q714" s="51" t="s">
        <v>2561</v>
      </c>
      <c r="R714" s="80"/>
      <c r="S714" s="82"/>
      <c r="T714" s="80"/>
      <c r="U714" s="80"/>
      <c r="V714" s="79"/>
      <c r="W714" s="80"/>
      <c r="X714" s="80"/>
    </row>
    <row r="715" spans="1:24" ht="42" customHeight="1">
      <c r="A715" s="80">
        <f t="shared" si="0"/>
        <v>713</v>
      </c>
      <c r="B715" s="51" t="str">
        <f t="shared" si="1"/>
        <v>MA</v>
      </c>
      <c r="C715" s="51" t="s">
        <v>3969</v>
      </c>
      <c r="D715" s="51" t="s">
        <v>984</v>
      </c>
      <c r="E715" s="51" t="s">
        <v>2547</v>
      </c>
      <c r="F715" s="80"/>
      <c r="G715" s="75"/>
      <c r="H715" s="80"/>
      <c r="I715" s="76"/>
      <c r="J715" s="51" t="s">
        <v>3970</v>
      </c>
      <c r="K715" s="80"/>
      <c r="L715" s="51" t="s">
        <v>7</v>
      </c>
      <c r="M715" s="79">
        <v>44848</v>
      </c>
      <c r="N715" s="51"/>
      <c r="O715" s="80"/>
      <c r="P715" s="82"/>
      <c r="Q715" s="80"/>
      <c r="R715" s="80"/>
      <c r="S715" s="82"/>
      <c r="T715" s="80"/>
      <c r="U715" s="80"/>
      <c r="V715" s="79"/>
      <c r="W715" s="80"/>
      <c r="X715" s="80"/>
    </row>
    <row r="716" spans="1:24" ht="42" customHeight="1">
      <c r="A716" s="80">
        <f t="shared" si="0"/>
        <v>714</v>
      </c>
      <c r="B716" s="51" t="str">
        <f t="shared" si="1"/>
        <v>MA</v>
      </c>
      <c r="C716" s="51" t="s">
        <v>3971</v>
      </c>
      <c r="D716" s="51" t="s">
        <v>2917</v>
      </c>
      <c r="E716" s="51" t="s">
        <v>2547</v>
      </c>
      <c r="F716" s="80"/>
      <c r="G716" s="75"/>
      <c r="H716" s="80"/>
      <c r="I716" s="141" t="s">
        <v>3972</v>
      </c>
      <c r="J716" s="80"/>
      <c r="K716" s="80"/>
      <c r="L716" s="51" t="s">
        <v>7</v>
      </c>
      <c r="M716" s="79">
        <v>44848</v>
      </c>
      <c r="N716" s="51" t="s">
        <v>2551</v>
      </c>
      <c r="O716" s="51" t="s">
        <v>78</v>
      </c>
      <c r="P716" s="79">
        <v>44858</v>
      </c>
      <c r="Q716" s="51" t="s">
        <v>2701</v>
      </c>
      <c r="R716" s="80"/>
      <c r="S716" s="82"/>
      <c r="T716" s="80"/>
      <c r="U716" s="80"/>
      <c r="V716" s="79"/>
      <c r="W716" s="80"/>
      <c r="X716" s="80"/>
    </row>
    <row r="717" spans="1:24" ht="42" customHeight="1">
      <c r="A717" s="80">
        <f t="shared" si="0"/>
        <v>715</v>
      </c>
      <c r="B717" s="51" t="str">
        <f t="shared" si="1"/>
        <v>MA</v>
      </c>
      <c r="C717" s="51" t="s">
        <v>3973</v>
      </c>
      <c r="D717" s="51" t="s">
        <v>627</v>
      </c>
      <c r="E717" s="51" t="s">
        <v>2547</v>
      </c>
      <c r="F717" s="80"/>
      <c r="G717" s="75"/>
      <c r="H717" s="80"/>
      <c r="I717" s="54" t="s">
        <v>3974</v>
      </c>
      <c r="J717" s="51" t="s">
        <v>3817</v>
      </c>
      <c r="K717" s="80"/>
      <c r="L717" s="51" t="s">
        <v>78</v>
      </c>
      <c r="M717" s="79">
        <v>44851</v>
      </c>
      <c r="N717" s="51"/>
      <c r="O717" s="80"/>
      <c r="P717" s="82"/>
      <c r="Q717" s="80"/>
      <c r="R717" s="80"/>
      <c r="S717" s="82"/>
      <c r="T717" s="80"/>
      <c r="U717" s="80"/>
      <c r="V717" s="79"/>
      <c r="W717" s="80"/>
      <c r="X717" s="80"/>
    </row>
    <row r="718" spans="1:24" ht="42" customHeight="1">
      <c r="A718" s="80">
        <f t="shared" si="0"/>
        <v>716</v>
      </c>
      <c r="B718" s="51" t="str">
        <f t="shared" si="1"/>
        <v>MA</v>
      </c>
      <c r="C718" s="51" t="s">
        <v>3975</v>
      </c>
      <c r="D718" s="51" t="s">
        <v>627</v>
      </c>
      <c r="E718" s="51" t="s">
        <v>2547</v>
      </c>
      <c r="F718" s="80"/>
      <c r="G718" s="75"/>
      <c r="H718" s="80"/>
      <c r="I718" s="54" t="s">
        <v>3976</v>
      </c>
      <c r="J718" s="51" t="s">
        <v>3977</v>
      </c>
      <c r="K718" s="80"/>
      <c r="L718" s="51" t="s">
        <v>78</v>
      </c>
      <c r="M718" s="79">
        <v>44851</v>
      </c>
      <c r="N718" s="51" t="s">
        <v>2551</v>
      </c>
      <c r="O718" s="51" t="s">
        <v>78</v>
      </c>
      <c r="P718" s="79">
        <v>44858</v>
      </c>
      <c r="Q718" s="51" t="s">
        <v>2545</v>
      </c>
      <c r="R718" s="80"/>
      <c r="S718" s="82"/>
      <c r="T718" s="80"/>
      <c r="U718" s="80"/>
      <c r="V718" s="79"/>
      <c r="W718" s="80"/>
      <c r="X718" s="80"/>
    </row>
    <row r="719" spans="1:24" ht="42" customHeight="1">
      <c r="A719" s="80">
        <f t="shared" si="0"/>
        <v>717</v>
      </c>
      <c r="B719" s="51" t="str">
        <f t="shared" si="1"/>
        <v>MA</v>
      </c>
      <c r="C719" s="51" t="s">
        <v>3978</v>
      </c>
      <c r="D719" s="51" t="s">
        <v>627</v>
      </c>
      <c r="E719" s="51" t="s">
        <v>2547</v>
      </c>
      <c r="F719" s="80"/>
      <c r="G719" s="75"/>
      <c r="H719" s="80"/>
      <c r="I719" s="54" t="s">
        <v>3979</v>
      </c>
      <c r="J719" s="80"/>
      <c r="K719" s="80"/>
      <c r="L719" s="51" t="s">
        <v>78</v>
      </c>
      <c r="M719" s="79">
        <v>44851</v>
      </c>
      <c r="N719" s="51"/>
      <c r="O719" s="80"/>
      <c r="P719" s="82"/>
      <c r="Q719" s="80"/>
      <c r="R719" s="80"/>
      <c r="S719" s="82"/>
      <c r="T719" s="80"/>
      <c r="U719" s="80"/>
      <c r="V719" s="79"/>
      <c r="W719" s="80"/>
      <c r="X719" s="80"/>
    </row>
    <row r="720" spans="1:24" ht="42" customHeight="1">
      <c r="A720" s="80">
        <f t="shared" si="0"/>
        <v>718</v>
      </c>
      <c r="B720" s="51" t="str">
        <f t="shared" si="1"/>
        <v>MA</v>
      </c>
      <c r="C720" s="51" t="s">
        <v>3980</v>
      </c>
      <c r="D720" s="51" t="s">
        <v>627</v>
      </c>
      <c r="E720" s="51" t="s">
        <v>2547</v>
      </c>
      <c r="F720" s="80"/>
      <c r="G720" s="75"/>
      <c r="H720" s="80"/>
      <c r="I720" s="54" t="s">
        <v>3981</v>
      </c>
      <c r="J720" s="51" t="s">
        <v>3982</v>
      </c>
      <c r="K720" s="80"/>
      <c r="L720" s="51" t="s">
        <v>78</v>
      </c>
      <c r="M720" s="79">
        <v>44851</v>
      </c>
      <c r="N720" s="51"/>
      <c r="O720" s="80"/>
      <c r="P720" s="82"/>
      <c r="Q720" s="80"/>
      <c r="R720" s="80"/>
      <c r="S720" s="82"/>
      <c r="T720" s="80"/>
      <c r="U720" s="80"/>
      <c r="V720" s="79"/>
      <c r="W720" s="80"/>
      <c r="X720" s="80"/>
    </row>
    <row r="721" spans="1:24" ht="42" customHeight="1">
      <c r="A721" s="80">
        <f t="shared" si="0"/>
        <v>719</v>
      </c>
      <c r="B721" s="51" t="str">
        <f t="shared" si="1"/>
        <v>MA</v>
      </c>
      <c r="C721" s="51" t="s">
        <v>3983</v>
      </c>
      <c r="D721" s="51" t="s">
        <v>627</v>
      </c>
      <c r="E721" s="51" t="s">
        <v>2547</v>
      </c>
      <c r="F721" s="80"/>
      <c r="G721" s="142" t="s">
        <v>3984</v>
      </c>
      <c r="H721" s="80"/>
      <c r="I721" s="54" t="s">
        <v>3985</v>
      </c>
      <c r="J721" s="51" t="s">
        <v>3986</v>
      </c>
      <c r="K721" s="80"/>
      <c r="L721" s="51" t="s">
        <v>78</v>
      </c>
      <c r="M721" s="79">
        <v>44851</v>
      </c>
      <c r="N721" s="51"/>
      <c r="O721" s="80"/>
      <c r="P721" s="82"/>
      <c r="Q721" s="80"/>
      <c r="R721" s="80"/>
      <c r="S721" s="82"/>
      <c r="T721" s="80"/>
      <c r="U721" s="80"/>
      <c r="V721" s="79"/>
      <c r="W721" s="80"/>
      <c r="X721" s="80"/>
    </row>
    <row r="722" spans="1:24" ht="42" customHeight="1">
      <c r="A722" s="80">
        <f t="shared" si="0"/>
        <v>720</v>
      </c>
      <c r="B722" s="51" t="str">
        <f t="shared" si="1"/>
        <v>MA</v>
      </c>
      <c r="C722" s="51" t="s">
        <v>3987</v>
      </c>
      <c r="D722" s="51" t="s">
        <v>627</v>
      </c>
      <c r="E722" s="51" t="s">
        <v>2547</v>
      </c>
      <c r="F722" s="80"/>
      <c r="G722" s="75" t="s">
        <v>619</v>
      </c>
      <c r="H722" s="80"/>
      <c r="I722" s="89" t="s">
        <v>3988</v>
      </c>
      <c r="J722" s="51" t="s">
        <v>3396</v>
      </c>
      <c r="K722" s="80"/>
      <c r="L722" s="51" t="s">
        <v>78</v>
      </c>
      <c r="M722" s="79">
        <v>44851</v>
      </c>
      <c r="N722" s="51"/>
      <c r="O722" s="80"/>
      <c r="P722" s="82"/>
      <c r="Q722" s="80"/>
      <c r="R722" s="80"/>
      <c r="S722" s="82"/>
      <c r="T722" s="80"/>
      <c r="U722" s="80"/>
      <c r="V722" s="79"/>
      <c r="W722" s="80"/>
      <c r="X722" s="80"/>
    </row>
    <row r="723" spans="1:24" ht="42" customHeight="1">
      <c r="A723" s="80">
        <f t="shared" si="0"/>
        <v>721</v>
      </c>
      <c r="B723" s="51" t="str">
        <f t="shared" si="1"/>
        <v>MA</v>
      </c>
      <c r="C723" s="51" t="s">
        <v>3989</v>
      </c>
      <c r="D723" s="51" t="s">
        <v>627</v>
      </c>
      <c r="E723" s="51" t="s">
        <v>2547</v>
      </c>
      <c r="F723" s="80"/>
      <c r="G723" s="75" t="s">
        <v>3979</v>
      </c>
      <c r="H723" s="80"/>
      <c r="I723" s="76"/>
      <c r="J723" s="80"/>
      <c r="K723" s="80"/>
      <c r="L723" s="51" t="s">
        <v>98</v>
      </c>
      <c r="M723" s="79">
        <v>44851</v>
      </c>
      <c r="N723" s="51"/>
      <c r="O723" s="80"/>
      <c r="P723" s="82"/>
      <c r="Q723" s="80"/>
      <c r="R723" s="80"/>
      <c r="S723" s="82"/>
      <c r="T723" s="80"/>
      <c r="U723" s="80"/>
      <c r="V723" s="79"/>
      <c r="W723" s="80"/>
      <c r="X723" s="80"/>
    </row>
    <row r="724" spans="1:24" ht="42" customHeight="1">
      <c r="A724" s="80">
        <f t="shared" si="0"/>
        <v>722</v>
      </c>
      <c r="B724" s="51" t="str">
        <f t="shared" si="1"/>
        <v>MA</v>
      </c>
      <c r="C724" s="51" t="s">
        <v>3990</v>
      </c>
      <c r="D724" s="51" t="s">
        <v>627</v>
      </c>
      <c r="E724" s="51" t="s">
        <v>2547</v>
      </c>
      <c r="F724" s="80"/>
      <c r="G724" s="75" t="s">
        <v>3991</v>
      </c>
      <c r="H724" s="80"/>
      <c r="I724" s="54" t="s">
        <v>3992</v>
      </c>
      <c r="J724" s="80"/>
      <c r="K724" s="80"/>
      <c r="L724" s="51" t="s">
        <v>78</v>
      </c>
      <c r="M724" s="79">
        <v>44851</v>
      </c>
      <c r="N724" s="51"/>
      <c r="O724" s="80"/>
      <c r="P724" s="82"/>
      <c r="Q724" s="80"/>
      <c r="R724" s="80"/>
      <c r="S724" s="82"/>
      <c r="T724" s="80"/>
      <c r="U724" s="80"/>
      <c r="V724" s="79"/>
      <c r="W724" s="80"/>
      <c r="X724" s="80"/>
    </row>
    <row r="725" spans="1:24" ht="42" customHeight="1">
      <c r="A725" s="80">
        <f t="shared" si="0"/>
        <v>723</v>
      </c>
      <c r="B725" s="51" t="str">
        <f t="shared" si="1"/>
        <v>MA</v>
      </c>
      <c r="C725" s="51" t="s">
        <v>3993</v>
      </c>
      <c r="D725" s="51" t="s">
        <v>627</v>
      </c>
      <c r="E725" s="51" t="s">
        <v>2547</v>
      </c>
      <c r="F725" s="80"/>
      <c r="G725" s="75" t="s">
        <v>3994</v>
      </c>
      <c r="H725" s="80"/>
      <c r="I725" s="76"/>
      <c r="J725" s="80"/>
      <c r="K725" s="80"/>
      <c r="L725" s="51" t="s">
        <v>78</v>
      </c>
      <c r="M725" s="79">
        <v>44851</v>
      </c>
      <c r="N725" s="51" t="s">
        <v>2551</v>
      </c>
      <c r="O725" s="51" t="s">
        <v>78</v>
      </c>
      <c r="P725" s="79">
        <v>44858</v>
      </c>
      <c r="Q725" s="51" t="s">
        <v>2553</v>
      </c>
      <c r="R725" s="80"/>
      <c r="S725" s="82"/>
      <c r="T725" s="80"/>
      <c r="U725" s="80"/>
      <c r="V725" s="79"/>
      <c r="W725" s="80"/>
      <c r="X725" s="80"/>
    </row>
    <row r="726" spans="1:24" ht="42" customHeight="1">
      <c r="A726" s="80">
        <f t="shared" si="0"/>
        <v>724</v>
      </c>
      <c r="B726" s="51" t="str">
        <f t="shared" si="1"/>
        <v>MA</v>
      </c>
      <c r="C726" s="51" t="s">
        <v>3995</v>
      </c>
      <c r="D726" s="51" t="s">
        <v>627</v>
      </c>
      <c r="E726" s="51" t="s">
        <v>2547</v>
      </c>
      <c r="F726" s="80"/>
      <c r="G726" s="75" t="s">
        <v>3996</v>
      </c>
      <c r="H726" s="80"/>
      <c r="I726" s="54" t="s">
        <v>3997</v>
      </c>
      <c r="J726" s="96" t="s">
        <v>3998</v>
      </c>
      <c r="K726" s="80"/>
      <c r="L726" s="51" t="s">
        <v>78</v>
      </c>
      <c r="M726" s="79">
        <v>44851</v>
      </c>
      <c r="N726" s="51" t="s">
        <v>2545</v>
      </c>
      <c r="O726" s="80"/>
      <c r="P726" s="82"/>
      <c r="Q726" s="80"/>
      <c r="R726" s="80"/>
      <c r="S726" s="82"/>
      <c r="T726" s="80"/>
      <c r="U726" s="80"/>
      <c r="V726" s="79"/>
      <c r="W726" s="80"/>
      <c r="X726" s="80"/>
    </row>
    <row r="727" spans="1:24" ht="42" customHeight="1">
      <c r="A727" s="80">
        <f t="shared" si="0"/>
        <v>725</v>
      </c>
      <c r="B727" s="51" t="str">
        <f t="shared" si="1"/>
        <v>MA</v>
      </c>
      <c r="C727" s="51" t="s">
        <v>3999</v>
      </c>
      <c r="D727" s="51" t="s">
        <v>627</v>
      </c>
      <c r="E727" s="51" t="s">
        <v>2547</v>
      </c>
      <c r="F727" s="80"/>
      <c r="G727" s="75">
        <v>97125541536</v>
      </c>
      <c r="H727" s="51" t="s">
        <v>4000</v>
      </c>
      <c r="I727" s="76"/>
      <c r="J727" s="80"/>
      <c r="K727" s="80"/>
      <c r="L727" s="51" t="s">
        <v>78</v>
      </c>
      <c r="M727" s="79">
        <v>44851</v>
      </c>
      <c r="N727" s="51"/>
      <c r="O727" s="80"/>
      <c r="P727" s="82"/>
      <c r="Q727" s="80"/>
      <c r="R727" s="80"/>
      <c r="S727" s="82"/>
      <c r="T727" s="80"/>
      <c r="U727" s="80"/>
      <c r="V727" s="79"/>
      <c r="W727" s="80"/>
      <c r="X727" s="80"/>
    </row>
    <row r="728" spans="1:24" ht="42" customHeight="1">
      <c r="A728" s="80">
        <f t="shared" si="0"/>
        <v>726</v>
      </c>
      <c r="B728" s="51" t="str">
        <f t="shared" si="1"/>
        <v>MA</v>
      </c>
      <c r="C728" s="51" t="s">
        <v>4001</v>
      </c>
      <c r="D728" s="51" t="s">
        <v>627</v>
      </c>
      <c r="E728" s="51" t="s">
        <v>2547</v>
      </c>
      <c r="F728" s="51" t="s">
        <v>79</v>
      </c>
      <c r="G728" s="75" t="s">
        <v>4002</v>
      </c>
      <c r="H728" s="51" t="s">
        <v>4003</v>
      </c>
      <c r="I728" s="76"/>
      <c r="J728" s="77" t="s">
        <v>4004</v>
      </c>
      <c r="K728" s="80"/>
      <c r="L728" s="51" t="s">
        <v>78</v>
      </c>
      <c r="M728" s="79">
        <v>44851</v>
      </c>
      <c r="N728" s="51"/>
      <c r="O728" s="80"/>
      <c r="P728" s="82"/>
      <c r="Q728" s="80"/>
      <c r="R728" s="80"/>
      <c r="S728" s="82"/>
      <c r="T728" s="80"/>
      <c r="U728" s="80"/>
      <c r="V728" s="79"/>
      <c r="W728" s="80"/>
      <c r="X728" s="80"/>
    </row>
    <row r="729" spans="1:24" ht="42" customHeight="1">
      <c r="A729" s="80">
        <f t="shared" si="0"/>
        <v>727</v>
      </c>
      <c r="B729" s="51" t="str">
        <f t="shared" si="1"/>
        <v>MA</v>
      </c>
      <c r="C729" s="51" t="s">
        <v>4005</v>
      </c>
      <c r="D729" s="51" t="s">
        <v>627</v>
      </c>
      <c r="E729" s="51" t="s">
        <v>2547</v>
      </c>
      <c r="F729" s="80"/>
      <c r="G729" s="75" t="s">
        <v>4006</v>
      </c>
      <c r="H729" s="80"/>
      <c r="I729" s="76"/>
      <c r="J729" s="80"/>
      <c r="K729" s="80"/>
      <c r="L729" s="51" t="s">
        <v>78</v>
      </c>
      <c r="M729" s="79">
        <v>44851</v>
      </c>
      <c r="N729" s="51" t="s">
        <v>2551</v>
      </c>
      <c r="O729" s="51" t="s">
        <v>78</v>
      </c>
      <c r="P729" s="79">
        <v>44858</v>
      </c>
      <c r="Q729" s="51" t="s">
        <v>2553</v>
      </c>
      <c r="R729" s="80"/>
      <c r="S729" s="82"/>
      <c r="T729" s="80"/>
      <c r="U729" s="80"/>
      <c r="V729" s="79"/>
      <c r="W729" s="80"/>
      <c r="X729" s="80"/>
    </row>
    <row r="730" spans="1:24" ht="42" customHeight="1">
      <c r="A730" s="80">
        <f t="shared" si="0"/>
        <v>728</v>
      </c>
      <c r="B730" s="51" t="str">
        <f t="shared" si="1"/>
        <v>MA</v>
      </c>
      <c r="C730" s="85" t="s">
        <v>4007</v>
      </c>
      <c r="D730" s="51" t="s">
        <v>2933</v>
      </c>
      <c r="E730" s="51" t="s">
        <v>2533</v>
      </c>
      <c r="F730" s="80"/>
      <c r="G730" s="75">
        <v>972568888440</v>
      </c>
      <c r="H730" s="80"/>
      <c r="I730" s="76"/>
      <c r="J730" s="80"/>
      <c r="K730" s="80"/>
      <c r="L730" s="51" t="s">
        <v>78</v>
      </c>
      <c r="M730" s="79">
        <v>44851</v>
      </c>
      <c r="N730" s="51"/>
      <c r="O730" s="80"/>
      <c r="P730" s="82"/>
      <c r="Q730" s="80"/>
      <c r="R730" s="80"/>
      <c r="S730" s="82"/>
      <c r="T730" s="80"/>
      <c r="U730" s="80"/>
      <c r="V730" s="79"/>
      <c r="W730" s="80"/>
      <c r="X730" s="80"/>
    </row>
    <row r="731" spans="1:24" ht="42" customHeight="1">
      <c r="A731" s="80">
        <f t="shared" si="0"/>
        <v>729</v>
      </c>
      <c r="B731" s="51" t="str">
        <f t="shared" si="1"/>
        <v>MA</v>
      </c>
      <c r="C731" s="51" t="s">
        <v>4008</v>
      </c>
      <c r="D731" s="51" t="s">
        <v>459</v>
      </c>
      <c r="E731" s="51" t="s">
        <v>2533</v>
      </c>
      <c r="F731" s="80"/>
      <c r="G731" s="75" t="s">
        <v>4009</v>
      </c>
      <c r="H731" s="80"/>
      <c r="I731" s="76"/>
      <c r="J731" s="80"/>
      <c r="K731" s="80"/>
      <c r="L731" s="51" t="s">
        <v>78</v>
      </c>
      <c r="M731" s="79">
        <v>44851</v>
      </c>
      <c r="N731" s="51"/>
      <c r="O731" s="80"/>
      <c r="P731" s="82"/>
      <c r="Q731" s="80"/>
      <c r="R731" s="80"/>
      <c r="S731" s="82"/>
      <c r="T731" s="80"/>
      <c r="U731" s="80"/>
      <c r="V731" s="79"/>
      <c r="W731" s="80"/>
      <c r="X731" s="80"/>
    </row>
    <row r="732" spans="1:24" ht="42" customHeight="1">
      <c r="A732" s="80">
        <f t="shared" si="0"/>
        <v>730</v>
      </c>
      <c r="B732" s="51" t="str">
        <f t="shared" si="1"/>
        <v>MA</v>
      </c>
      <c r="C732" s="51" t="s">
        <v>4010</v>
      </c>
      <c r="D732" s="51" t="s">
        <v>746</v>
      </c>
      <c r="E732" s="51" t="s">
        <v>2533</v>
      </c>
      <c r="F732" s="80"/>
      <c r="G732" s="75" t="s">
        <v>4011</v>
      </c>
      <c r="H732" s="80"/>
      <c r="I732" s="76"/>
      <c r="J732" s="80"/>
      <c r="K732" s="80"/>
      <c r="L732" s="51" t="s">
        <v>78</v>
      </c>
      <c r="M732" s="79">
        <v>44821</v>
      </c>
      <c r="N732" s="51"/>
      <c r="O732" s="80"/>
      <c r="P732" s="82"/>
      <c r="Q732" s="80"/>
      <c r="R732" s="80"/>
      <c r="S732" s="82"/>
      <c r="T732" s="80"/>
      <c r="U732" s="80"/>
      <c r="V732" s="79"/>
      <c r="W732" s="80"/>
      <c r="X732" s="80"/>
    </row>
    <row r="733" spans="1:24" ht="42" customHeight="1">
      <c r="A733" s="80">
        <f t="shared" si="0"/>
        <v>731</v>
      </c>
      <c r="B733" s="51" t="str">
        <f t="shared" si="1"/>
        <v>MA</v>
      </c>
      <c r="C733" s="51" t="s">
        <v>4012</v>
      </c>
      <c r="D733" s="51" t="s">
        <v>4013</v>
      </c>
      <c r="E733" s="51" t="s">
        <v>2533</v>
      </c>
      <c r="F733" s="80"/>
      <c r="G733" s="75" t="s">
        <v>4014</v>
      </c>
      <c r="H733" s="51" t="s">
        <v>4015</v>
      </c>
      <c r="I733" s="76"/>
      <c r="J733" s="80"/>
      <c r="K733" s="80"/>
      <c r="L733" s="51" t="s">
        <v>78</v>
      </c>
      <c r="M733" s="79">
        <v>44821</v>
      </c>
      <c r="N733" s="51"/>
      <c r="O733" s="80"/>
      <c r="P733" s="82"/>
      <c r="Q733" s="80"/>
      <c r="R733" s="80"/>
      <c r="S733" s="82"/>
      <c r="T733" s="80"/>
      <c r="U733" s="80"/>
      <c r="V733" s="79"/>
      <c r="W733" s="80"/>
      <c r="X733" s="80"/>
    </row>
    <row r="734" spans="1:24" ht="42" customHeight="1">
      <c r="A734" s="80">
        <f t="shared" si="0"/>
        <v>732</v>
      </c>
      <c r="B734" s="51" t="str">
        <f t="shared" si="1"/>
        <v>MA</v>
      </c>
      <c r="C734" s="51" t="s">
        <v>4016</v>
      </c>
      <c r="D734" s="51" t="s">
        <v>2893</v>
      </c>
      <c r="E734" s="51" t="s">
        <v>2533</v>
      </c>
      <c r="F734" s="80"/>
      <c r="G734" s="75" t="s">
        <v>2894</v>
      </c>
      <c r="H734" s="51" t="s">
        <v>2895</v>
      </c>
      <c r="I734" s="76"/>
      <c r="J734" s="80"/>
      <c r="K734" s="80"/>
      <c r="L734" s="51" t="s">
        <v>78</v>
      </c>
      <c r="M734" s="79">
        <v>44869</v>
      </c>
      <c r="N734" s="51" t="s">
        <v>2635</v>
      </c>
      <c r="O734" s="80"/>
      <c r="P734" s="82"/>
      <c r="Q734" s="80"/>
      <c r="R734" s="80"/>
      <c r="S734" s="82"/>
      <c r="T734" s="80"/>
      <c r="U734" s="80"/>
      <c r="V734" s="79"/>
      <c r="W734" s="80"/>
      <c r="X734" s="80"/>
    </row>
    <row r="735" spans="1:24" ht="42" customHeight="1">
      <c r="A735" s="80">
        <f t="shared" si="0"/>
        <v>733</v>
      </c>
      <c r="B735" s="51" t="str">
        <f t="shared" si="1"/>
        <v>MA</v>
      </c>
      <c r="C735" s="51" t="s">
        <v>4017</v>
      </c>
      <c r="D735" s="51" t="s">
        <v>1428</v>
      </c>
      <c r="E735" s="51" t="s">
        <v>3141</v>
      </c>
      <c r="F735" s="80"/>
      <c r="G735" s="75" t="s">
        <v>4018</v>
      </c>
      <c r="H735" s="51" t="s">
        <v>2958</v>
      </c>
      <c r="I735" s="76"/>
      <c r="J735" s="80"/>
      <c r="K735" s="80"/>
      <c r="L735" s="51" t="s">
        <v>78</v>
      </c>
      <c r="M735" s="79">
        <v>44851</v>
      </c>
      <c r="N735" s="51"/>
      <c r="O735" s="80"/>
      <c r="P735" s="82"/>
      <c r="Q735" s="80"/>
      <c r="R735" s="80"/>
      <c r="S735" s="82"/>
      <c r="T735" s="80"/>
      <c r="U735" s="80"/>
      <c r="V735" s="79"/>
      <c r="W735" s="80"/>
      <c r="X735" s="80"/>
    </row>
    <row r="736" spans="1:24" ht="42" customHeight="1">
      <c r="A736" s="80">
        <f t="shared" si="0"/>
        <v>734</v>
      </c>
      <c r="B736" s="51" t="str">
        <f t="shared" si="1"/>
        <v>MA</v>
      </c>
      <c r="C736" s="51" t="s">
        <v>4019</v>
      </c>
      <c r="D736" s="51" t="s">
        <v>627</v>
      </c>
      <c r="E736" s="51" t="s">
        <v>2533</v>
      </c>
      <c r="F736" s="80"/>
      <c r="G736" s="75" t="s">
        <v>4020</v>
      </c>
      <c r="H736" s="51" t="s">
        <v>695</v>
      </c>
      <c r="I736" s="76"/>
      <c r="J736" s="80"/>
      <c r="K736" s="80"/>
      <c r="L736" s="51" t="s">
        <v>78</v>
      </c>
      <c r="M736" s="79">
        <v>44852</v>
      </c>
      <c r="N736" s="51"/>
      <c r="O736" s="80"/>
      <c r="P736" s="82"/>
      <c r="Q736" s="80"/>
      <c r="R736" s="80"/>
      <c r="S736" s="82"/>
      <c r="T736" s="80"/>
      <c r="U736" s="80"/>
      <c r="V736" s="79"/>
      <c r="W736" s="80"/>
      <c r="X736" s="80"/>
    </row>
    <row r="737" spans="1:24" ht="42" customHeight="1">
      <c r="A737" s="80">
        <f t="shared" si="0"/>
        <v>735</v>
      </c>
      <c r="B737" s="51" t="str">
        <f t="shared" si="1"/>
        <v>MA</v>
      </c>
      <c r="C737" s="51" t="s">
        <v>4021</v>
      </c>
      <c r="D737" s="51" t="s">
        <v>627</v>
      </c>
      <c r="E737" s="51" t="s">
        <v>2547</v>
      </c>
      <c r="F737" s="80"/>
      <c r="G737" s="75" t="s">
        <v>4022</v>
      </c>
      <c r="H737" s="80"/>
      <c r="I737" s="54" t="s">
        <v>4023</v>
      </c>
      <c r="J737" s="80"/>
      <c r="K737" s="80"/>
      <c r="L737" s="51" t="s">
        <v>78</v>
      </c>
      <c r="M737" s="79">
        <v>44852</v>
      </c>
      <c r="N737" s="51"/>
      <c r="O737" s="80"/>
      <c r="P737" s="82"/>
      <c r="Q737" s="80"/>
      <c r="R737" s="80"/>
      <c r="S737" s="82"/>
      <c r="T737" s="80"/>
      <c r="U737" s="80"/>
      <c r="V737" s="79"/>
      <c r="W737" s="80"/>
      <c r="X737" s="80"/>
    </row>
    <row r="738" spans="1:24" ht="42" customHeight="1">
      <c r="A738" s="80">
        <f t="shared" si="0"/>
        <v>736</v>
      </c>
      <c r="B738" s="51" t="str">
        <f t="shared" si="1"/>
        <v>MA</v>
      </c>
      <c r="C738" s="51" t="s">
        <v>4024</v>
      </c>
      <c r="D738" s="51" t="s">
        <v>627</v>
      </c>
      <c r="E738" s="51" t="s">
        <v>2547</v>
      </c>
      <c r="F738" s="80"/>
      <c r="G738" s="75" t="s">
        <v>4025</v>
      </c>
      <c r="H738" s="80"/>
      <c r="I738" s="54" t="s">
        <v>4026</v>
      </c>
      <c r="J738" s="80"/>
      <c r="K738" s="80"/>
      <c r="L738" s="51" t="s">
        <v>78</v>
      </c>
      <c r="M738" s="79">
        <v>44858</v>
      </c>
      <c r="N738" s="51" t="s">
        <v>2545</v>
      </c>
      <c r="O738" s="80"/>
      <c r="P738" s="82"/>
      <c r="Q738" s="80"/>
      <c r="R738" s="80"/>
      <c r="S738" s="82"/>
      <c r="T738" s="80"/>
      <c r="U738" s="80"/>
      <c r="V738" s="79"/>
      <c r="W738" s="80"/>
      <c r="X738" s="51" t="s">
        <v>4027</v>
      </c>
    </row>
    <row r="739" spans="1:24" ht="42" customHeight="1">
      <c r="A739" s="80">
        <f t="shared" si="0"/>
        <v>737</v>
      </c>
      <c r="B739" s="51" t="str">
        <f t="shared" si="1"/>
        <v>MA</v>
      </c>
      <c r="C739" s="51" t="s">
        <v>4028</v>
      </c>
      <c r="D739" s="51" t="s">
        <v>627</v>
      </c>
      <c r="E739" s="51" t="s">
        <v>2547</v>
      </c>
      <c r="F739" s="80"/>
      <c r="G739" s="75" t="s">
        <v>4029</v>
      </c>
      <c r="H739" s="80"/>
      <c r="I739" s="76"/>
      <c r="J739" s="80"/>
      <c r="K739" s="80"/>
      <c r="L739" s="51" t="s">
        <v>78</v>
      </c>
      <c r="M739" s="79">
        <v>44852</v>
      </c>
      <c r="N739" s="51"/>
      <c r="O739" s="80"/>
      <c r="P739" s="82"/>
      <c r="Q739" s="80"/>
      <c r="R739" s="80"/>
      <c r="S739" s="82"/>
      <c r="T739" s="80"/>
      <c r="U739" s="80"/>
      <c r="V739" s="79"/>
      <c r="W739" s="80"/>
      <c r="X739" s="80"/>
    </row>
    <row r="740" spans="1:24" ht="42" customHeight="1">
      <c r="A740" s="80">
        <f t="shared" si="0"/>
        <v>738</v>
      </c>
      <c r="B740" s="51" t="str">
        <f t="shared" si="1"/>
        <v>MA</v>
      </c>
      <c r="C740" s="51" t="s">
        <v>4030</v>
      </c>
      <c r="D740" s="51" t="s">
        <v>627</v>
      </c>
      <c r="E740" s="51" t="s">
        <v>2547</v>
      </c>
      <c r="F740" s="80"/>
      <c r="G740" s="75" t="s">
        <v>4031</v>
      </c>
      <c r="H740" s="80"/>
      <c r="I740" s="76"/>
      <c r="J740" s="80"/>
      <c r="K740" s="80"/>
      <c r="L740" s="51" t="s">
        <v>78</v>
      </c>
      <c r="M740" s="79">
        <v>44852</v>
      </c>
      <c r="N740" s="51"/>
      <c r="O740" s="80"/>
      <c r="P740" s="82"/>
      <c r="Q740" s="80"/>
      <c r="R740" s="80"/>
      <c r="S740" s="82"/>
      <c r="T740" s="80"/>
      <c r="U740" s="80"/>
      <c r="V740" s="79"/>
      <c r="W740" s="80"/>
      <c r="X740" s="80"/>
    </row>
    <row r="741" spans="1:24" ht="42" customHeight="1">
      <c r="A741" s="80">
        <f t="shared" si="0"/>
        <v>739</v>
      </c>
      <c r="B741" s="51" t="str">
        <f t="shared" si="1"/>
        <v>MA</v>
      </c>
      <c r="C741" s="51" t="s">
        <v>4032</v>
      </c>
      <c r="D741" s="51" t="s">
        <v>627</v>
      </c>
      <c r="E741" s="51" t="s">
        <v>2559</v>
      </c>
      <c r="F741" s="80"/>
      <c r="G741" s="75" t="s">
        <v>661</v>
      </c>
      <c r="H741" s="51" t="s">
        <v>4033</v>
      </c>
      <c r="I741" s="76"/>
      <c r="J741" s="80"/>
      <c r="K741" s="80"/>
      <c r="L741" s="51" t="s">
        <v>78</v>
      </c>
      <c r="M741" s="79">
        <v>44852</v>
      </c>
      <c r="N741" s="51" t="s">
        <v>2560</v>
      </c>
      <c r="O741" s="51" t="s">
        <v>78</v>
      </c>
      <c r="P741" s="79">
        <v>44858</v>
      </c>
      <c r="Q741" s="51" t="s">
        <v>2742</v>
      </c>
      <c r="R741" s="51" t="s">
        <v>78</v>
      </c>
      <c r="S741" s="79">
        <v>44893</v>
      </c>
      <c r="T741" s="80"/>
      <c r="U741" s="51" t="s">
        <v>78</v>
      </c>
      <c r="V741" s="79">
        <v>44886</v>
      </c>
      <c r="W741" s="51" t="s">
        <v>2635</v>
      </c>
      <c r="X741" s="80"/>
    </row>
    <row r="742" spans="1:24" ht="42" customHeight="1">
      <c r="A742" s="80">
        <f t="shared" si="0"/>
        <v>740</v>
      </c>
      <c r="B742" s="51" t="str">
        <f t="shared" si="1"/>
        <v>MA</v>
      </c>
      <c r="C742" s="51" t="s">
        <v>4034</v>
      </c>
      <c r="D742" s="51" t="s">
        <v>627</v>
      </c>
      <c r="E742" s="51" t="s">
        <v>2559</v>
      </c>
      <c r="F742" s="80"/>
      <c r="G742" s="75" t="s">
        <v>4035</v>
      </c>
      <c r="H742" s="80"/>
      <c r="I742" s="76"/>
      <c r="J742" s="80"/>
      <c r="K742" s="80"/>
      <c r="L742" s="51" t="s">
        <v>78</v>
      </c>
      <c r="M742" s="79">
        <v>44852</v>
      </c>
      <c r="N742" s="51"/>
      <c r="O742" s="80"/>
      <c r="P742" s="82"/>
      <c r="Q742" s="80"/>
      <c r="R742" s="80"/>
      <c r="S742" s="82"/>
      <c r="T742" s="80"/>
      <c r="U742" s="80"/>
      <c r="V742" s="79"/>
      <c r="W742" s="80"/>
      <c r="X742" s="51" t="s">
        <v>4036</v>
      </c>
    </row>
    <row r="743" spans="1:24" ht="42" customHeight="1">
      <c r="A743" s="80">
        <f t="shared" si="0"/>
        <v>741</v>
      </c>
      <c r="B743" s="51" t="str">
        <f t="shared" si="1"/>
        <v>MA</v>
      </c>
      <c r="C743" s="85" t="s">
        <v>4037</v>
      </c>
      <c r="D743" s="51" t="s">
        <v>627</v>
      </c>
      <c r="E743" s="51" t="s">
        <v>2559</v>
      </c>
      <c r="F743" s="80"/>
      <c r="G743" s="75" t="s">
        <v>656</v>
      </c>
      <c r="H743" s="51" t="s">
        <v>657</v>
      </c>
      <c r="I743" s="76"/>
      <c r="J743" s="80"/>
      <c r="K743" s="80"/>
      <c r="L743" s="51" t="s">
        <v>78</v>
      </c>
      <c r="M743" s="79">
        <v>44852</v>
      </c>
      <c r="N743" s="51"/>
      <c r="O743" s="51" t="s">
        <v>7</v>
      </c>
      <c r="P743" s="79">
        <v>44862</v>
      </c>
      <c r="Q743" s="51" t="s">
        <v>2551</v>
      </c>
      <c r="R743" s="80"/>
      <c r="S743" s="82"/>
      <c r="T743" s="80"/>
      <c r="U743" s="80"/>
      <c r="V743" s="79"/>
      <c r="W743" s="80"/>
      <c r="X743" s="80"/>
    </row>
    <row r="744" spans="1:24" ht="42" customHeight="1">
      <c r="A744" s="80">
        <f t="shared" si="0"/>
        <v>742</v>
      </c>
      <c r="B744" s="51" t="str">
        <f t="shared" si="1"/>
        <v>MA</v>
      </c>
      <c r="C744" s="85" t="s">
        <v>4038</v>
      </c>
      <c r="D744" s="51" t="s">
        <v>2917</v>
      </c>
      <c r="E744" s="51" t="s">
        <v>2559</v>
      </c>
      <c r="F744" s="80"/>
      <c r="G744" s="75" t="s">
        <v>4039</v>
      </c>
      <c r="H744" s="80"/>
      <c r="I744" s="54" t="s">
        <v>4040</v>
      </c>
      <c r="J744" s="80"/>
      <c r="K744" s="80"/>
      <c r="L744" s="51" t="s">
        <v>78</v>
      </c>
      <c r="M744" s="79">
        <v>44852</v>
      </c>
      <c r="N744" s="51"/>
      <c r="O744" s="80"/>
      <c r="P744" s="82"/>
      <c r="Q744" s="80"/>
      <c r="R744" s="80"/>
      <c r="S744" s="82"/>
      <c r="T744" s="80"/>
      <c r="U744" s="80"/>
      <c r="V744" s="79"/>
      <c r="W744" s="80"/>
      <c r="X744" s="80"/>
    </row>
    <row r="745" spans="1:24" ht="42" customHeight="1">
      <c r="A745" s="80">
        <f t="shared" si="0"/>
        <v>743</v>
      </c>
      <c r="B745" s="51" t="str">
        <f t="shared" si="1"/>
        <v>MA</v>
      </c>
      <c r="C745" s="51" t="s">
        <v>4041</v>
      </c>
      <c r="D745" s="51" t="s">
        <v>2917</v>
      </c>
      <c r="E745" s="51" t="s">
        <v>2547</v>
      </c>
      <c r="F745" s="80"/>
      <c r="G745" s="75" t="s">
        <v>4042</v>
      </c>
      <c r="H745" s="51" t="s">
        <v>4043</v>
      </c>
      <c r="I745" s="76"/>
      <c r="J745" s="80"/>
      <c r="K745" s="80"/>
      <c r="L745" s="51" t="s">
        <v>78</v>
      </c>
      <c r="M745" s="79">
        <v>44852</v>
      </c>
      <c r="N745" s="81" t="s">
        <v>2561</v>
      </c>
      <c r="O745" s="51" t="s">
        <v>78</v>
      </c>
      <c r="P745" s="79">
        <v>44858</v>
      </c>
      <c r="Q745" s="51" t="s">
        <v>2553</v>
      </c>
      <c r="R745" s="80"/>
      <c r="S745" s="82"/>
      <c r="T745" s="80"/>
      <c r="U745" s="80"/>
      <c r="V745" s="79"/>
      <c r="W745" s="80"/>
      <c r="X745" s="80"/>
    </row>
    <row r="746" spans="1:24" ht="42" customHeight="1">
      <c r="A746" s="80">
        <f t="shared" si="0"/>
        <v>744</v>
      </c>
      <c r="B746" s="51" t="str">
        <f t="shared" si="1"/>
        <v>MA</v>
      </c>
      <c r="C746" s="51" t="s">
        <v>4044</v>
      </c>
      <c r="D746" s="51" t="s">
        <v>2917</v>
      </c>
      <c r="E746" s="51" t="s">
        <v>2547</v>
      </c>
      <c r="F746" s="80"/>
      <c r="G746" s="75" t="s">
        <v>4045</v>
      </c>
      <c r="H746" s="80"/>
      <c r="I746" s="76"/>
      <c r="J746" s="80"/>
      <c r="K746" s="80"/>
      <c r="L746" s="51" t="s">
        <v>78</v>
      </c>
      <c r="M746" s="79">
        <v>44852</v>
      </c>
      <c r="N746" s="51" t="s">
        <v>2551</v>
      </c>
      <c r="O746" s="51" t="s">
        <v>78</v>
      </c>
      <c r="P746" s="79">
        <v>44858</v>
      </c>
      <c r="Q746" s="51" t="s">
        <v>2570</v>
      </c>
      <c r="R746" s="80"/>
      <c r="S746" s="82"/>
      <c r="T746" s="80"/>
      <c r="U746" s="80"/>
      <c r="V746" s="79"/>
      <c r="W746" s="80"/>
      <c r="X746" s="80"/>
    </row>
    <row r="747" spans="1:24" ht="42" customHeight="1">
      <c r="A747" s="80">
        <f t="shared" si="0"/>
        <v>745</v>
      </c>
      <c r="B747" s="51" t="str">
        <f t="shared" si="1"/>
        <v>MA</v>
      </c>
      <c r="C747" s="51" t="s">
        <v>652</v>
      </c>
      <c r="D747" s="51" t="s">
        <v>627</v>
      </c>
      <c r="E747" s="51" t="s">
        <v>2547</v>
      </c>
      <c r="F747" s="80"/>
      <c r="G747" s="75" t="s">
        <v>653</v>
      </c>
      <c r="H747" s="80"/>
      <c r="I747" s="54" t="s">
        <v>654</v>
      </c>
      <c r="J747" s="80"/>
      <c r="K747" s="80"/>
      <c r="L747" s="51" t="s">
        <v>7</v>
      </c>
      <c r="M747" s="79">
        <v>44852</v>
      </c>
      <c r="N747" s="51"/>
      <c r="O747" s="80"/>
      <c r="P747" s="82"/>
      <c r="Q747" s="80"/>
      <c r="R747" s="80"/>
      <c r="S747" s="82"/>
      <c r="T747" s="80"/>
      <c r="U747" s="80"/>
      <c r="V747" s="79"/>
      <c r="W747" s="80"/>
      <c r="X747" s="80"/>
    </row>
    <row r="748" spans="1:24" ht="42" customHeight="1">
      <c r="A748" s="80">
        <f t="shared" si="0"/>
        <v>746</v>
      </c>
      <c r="B748" s="51" t="str">
        <f t="shared" si="1"/>
        <v>MA</v>
      </c>
      <c r="C748" s="51" t="s">
        <v>4046</v>
      </c>
      <c r="D748" s="51" t="s">
        <v>2917</v>
      </c>
      <c r="E748" s="51" t="s">
        <v>2547</v>
      </c>
      <c r="F748" s="80"/>
      <c r="G748" s="75" t="s">
        <v>4047</v>
      </c>
      <c r="H748" s="80"/>
      <c r="I748" s="76"/>
      <c r="J748" s="80"/>
      <c r="K748" s="80"/>
      <c r="L748" s="51" t="s">
        <v>78</v>
      </c>
      <c r="M748" s="79">
        <v>44852</v>
      </c>
      <c r="N748" s="51" t="s">
        <v>2551</v>
      </c>
      <c r="O748" s="51" t="s">
        <v>78</v>
      </c>
      <c r="P748" s="79">
        <v>44858</v>
      </c>
      <c r="Q748" s="51" t="s">
        <v>2553</v>
      </c>
      <c r="R748" s="80"/>
      <c r="S748" s="82"/>
      <c r="T748" s="80"/>
      <c r="U748" s="80"/>
      <c r="V748" s="79"/>
      <c r="W748" s="80"/>
      <c r="X748" s="80"/>
    </row>
    <row r="749" spans="1:24" ht="42" customHeight="1">
      <c r="A749" s="80">
        <f t="shared" si="0"/>
        <v>747</v>
      </c>
      <c r="B749" s="51" t="str">
        <f t="shared" si="1"/>
        <v>MA</v>
      </c>
      <c r="C749" s="51" t="s">
        <v>4048</v>
      </c>
      <c r="D749" s="51" t="s">
        <v>2917</v>
      </c>
      <c r="E749" s="51" t="s">
        <v>2547</v>
      </c>
      <c r="F749" s="80"/>
      <c r="G749" s="75"/>
      <c r="H749" s="80"/>
      <c r="I749" s="54" t="s">
        <v>4049</v>
      </c>
      <c r="J749" s="80"/>
      <c r="K749" s="80"/>
      <c r="L749" s="51" t="s">
        <v>7</v>
      </c>
      <c r="M749" s="79">
        <v>44852</v>
      </c>
      <c r="N749" s="51"/>
      <c r="O749" s="80"/>
      <c r="P749" s="82"/>
      <c r="Q749" s="80"/>
      <c r="R749" s="80"/>
      <c r="S749" s="82"/>
      <c r="T749" s="80"/>
      <c r="U749" s="80"/>
      <c r="V749" s="79"/>
      <c r="W749" s="80"/>
      <c r="X749" s="80"/>
    </row>
    <row r="750" spans="1:24" ht="42" customHeight="1">
      <c r="A750" s="80">
        <f t="shared" si="0"/>
        <v>748</v>
      </c>
      <c r="B750" s="51" t="str">
        <f t="shared" si="1"/>
        <v>MA</v>
      </c>
      <c r="C750" s="51" t="s">
        <v>4050</v>
      </c>
      <c r="D750" s="51" t="s">
        <v>2917</v>
      </c>
      <c r="E750" s="51" t="s">
        <v>2547</v>
      </c>
      <c r="F750" s="80"/>
      <c r="G750" s="75"/>
      <c r="H750" s="80"/>
      <c r="I750" s="76"/>
      <c r="J750" s="80"/>
      <c r="K750" s="80"/>
      <c r="L750" s="51" t="s">
        <v>78</v>
      </c>
      <c r="M750" s="79">
        <v>44852</v>
      </c>
      <c r="N750" s="51"/>
      <c r="O750" s="80"/>
      <c r="P750" s="82"/>
      <c r="Q750" s="80"/>
      <c r="R750" s="80"/>
      <c r="S750" s="82"/>
      <c r="T750" s="80"/>
      <c r="U750" s="80"/>
      <c r="V750" s="79"/>
      <c r="W750" s="80"/>
      <c r="X750" s="80"/>
    </row>
    <row r="751" spans="1:24" ht="42" customHeight="1">
      <c r="A751" s="80">
        <f t="shared" si="0"/>
        <v>749</v>
      </c>
      <c r="B751" s="51" t="str">
        <f t="shared" si="1"/>
        <v>MA</v>
      </c>
      <c r="C751" s="85" t="s">
        <v>4051</v>
      </c>
      <c r="D751" s="51" t="s">
        <v>2917</v>
      </c>
      <c r="E751" s="51" t="s">
        <v>3141</v>
      </c>
      <c r="F751" s="80"/>
      <c r="G751" s="75" t="s">
        <v>4052</v>
      </c>
      <c r="H751" s="80"/>
      <c r="I751" s="76"/>
      <c r="J751" s="80"/>
      <c r="K751" s="80"/>
      <c r="L751" s="51" t="s">
        <v>78</v>
      </c>
      <c r="M751" s="79">
        <v>44852</v>
      </c>
      <c r="N751" s="51" t="s">
        <v>2551</v>
      </c>
      <c r="O751" s="51" t="s">
        <v>78</v>
      </c>
      <c r="P751" s="79">
        <v>44858</v>
      </c>
      <c r="Q751" s="51" t="s">
        <v>2538</v>
      </c>
      <c r="R751" s="80"/>
      <c r="S751" s="82"/>
      <c r="T751" s="80"/>
      <c r="U751" s="80"/>
      <c r="V751" s="79"/>
      <c r="W751" s="80"/>
      <c r="X751" s="80"/>
    </row>
    <row r="752" spans="1:24" ht="42" customHeight="1">
      <c r="A752" s="80">
        <f t="shared" si="0"/>
        <v>750</v>
      </c>
      <c r="B752" s="51" t="str">
        <f t="shared" si="1"/>
        <v>MA</v>
      </c>
      <c r="C752" s="51" t="s">
        <v>4053</v>
      </c>
      <c r="D752" s="51" t="s">
        <v>627</v>
      </c>
      <c r="E752" s="51" t="s">
        <v>3141</v>
      </c>
      <c r="F752" s="80"/>
      <c r="G752" s="75" t="s">
        <v>4054</v>
      </c>
      <c r="H752" s="80"/>
      <c r="I752" s="54" t="s">
        <v>651</v>
      </c>
      <c r="J752" s="80"/>
      <c r="K752" s="80"/>
      <c r="L752" s="51" t="s">
        <v>78</v>
      </c>
      <c r="M752" s="79">
        <v>44852</v>
      </c>
      <c r="N752" s="51"/>
      <c r="O752" s="80"/>
      <c r="P752" s="82"/>
      <c r="Q752" s="80"/>
      <c r="R752" s="80"/>
      <c r="S752" s="82"/>
      <c r="T752" s="80"/>
      <c r="U752" s="80"/>
      <c r="V752" s="79"/>
      <c r="W752" s="80"/>
      <c r="X752" s="80"/>
    </row>
    <row r="753" spans="1:24" ht="42" customHeight="1">
      <c r="A753" s="80">
        <f t="shared" si="0"/>
        <v>751</v>
      </c>
      <c r="B753" s="51" t="str">
        <f t="shared" si="1"/>
        <v>MA</v>
      </c>
      <c r="C753" s="51" t="s">
        <v>4055</v>
      </c>
      <c r="D753" s="51" t="s">
        <v>627</v>
      </c>
      <c r="E753" s="51" t="s">
        <v>2547</v>
      </c>
      <c r="F753" s="80"/>
      <c r="G753" s="75" t="s">
        <v>4056</v>
      </c>
      <c r="H753" s="80"/>
      <c r="I753" s="122" t="s">
        <v>648</v>
      </c>
      <c r="J753" s="80"/>
      <c r="K753" s="80"/>
      <c r="L753" s="51" t="s">
        <v>78</v>
      </c>
      <c r="M753" s="79">
        <v>44852</v>
      </c>
      <c r="N753" s="51"/>
      <c r="O753" s="80"/>
      <c r="P753" s="82"/>
      <c r="Q753" s="80"/>
      <c r="R753" s="80"/>
      <c r="S753" s="82"/>
      <c r="T753" s="80"/>
      <c r="U753" s="80"/>
      <c r="V753" s="79"/>
      <c r="W753" s="80"/>
      <c r="X753" s="80"/>
    </row>
    <row r="754" spans="1:24" ht="42" customHeight="1">
      <c r="A754" s="80">
        <f t="shared" si="0"/>
        <v>752</v>
      </c>
      <c r="B754" s="51" t="str">
        <f t="shared" si="1"/>
        <v>MA</v>
      </c>
      <c r="C754" s="51" t="s">
        <v>4057</v>
      </c>
      <c r="D754" s="51" t="s">
        <v>2933</v>
      </c>
      <c r="E754" s="51" t="s">
        <v>2533</v>
      </c>
      <c r="F754" s="80"/>
      <c r="G754" s="75" t="s">
        <v>2976</v>
      </c>
      <c r="H754" s="80"/>
      <c r="I754" s="76"/>
      <c r="J754" s="80"/>
      <c r="K754" s="80"/>
      <c r="L754" s="51" t="s">
        <v>78</v>
      </c>
      <c r="M754" s="79">
        <v>44852</v>
      </c>
      <c r="N754" s="51"/>
      <c r="O754" s="80"/>
      <c r="P754" s="82"/>
      <c r="Q754" s="80"/>
      <c r="R754" s="80"/>
      <c r="S754" s="82"/>
      <c r="T754" s="80"/>
      <c r="U754" s="80"/>
      <c r="V754" s="79"/>
      <c r="W754" s="80"/>
      <c r="X754" s="80"/>
    </row>
    <row r="755" spans="1:24" ht="42" customHeight="1">
      <c r="A755" s="80">
        <f t="shared" si="0"/>
        <v>753</v>
      </c>
      <c r="B755" s="51" t="str">
        <f t="shared" si="1"/>
        <v>MA</v>
      </c>
      <c r="C755" s="51" t="s">
        <v>597</v>
      </c>
      <c r="D755" s="51" t="s">
        <v>370</v>
      </c>
      <c r="E755" s="51" t="s">
        <v>2547</v>
      </c>
      <c r="F755" s="80"/>
      <c r="G755" s="75" t="s">
        <v>599</v>
      </c>
      <c r="H755" s="80"/>
      <c r="I755" s="54" t="s">
        <v>598</v>
      </c>
      <c r="J755" s="80"/>
      <c r="K755" s="80"/>
      <c r="L755" s="51" t="s">
        <v>78</v>
      </c>
      <c r="M755" s="79">
        <v>44852</v>
      </c>
      <c r="N755" s="51"/>
      <c r="O755" s="51" t="s">
        <v>78</v>
      </c>
      <c r="P755" s="79">
        <v>44872</v>
      </c>
      <c r="Q755" s="51" t="s">
        <v>2635</v>
      </c>
      <c r="R755" s="80"/>
      <c r="S755" s="82"/>
      <c r="T755" s="80"/>
      <c r="U755" s="80"/>
      <c r="V755" s="79"/>
      <c r="W755" s="80"/>
      <c r="X755" s="80"/>
    </row>
    <row r="756" spans="1:24" ht="42" customHeight="1">
      <c r="A756" s="80">
        <f t="shared" si="0"/>
        <v>754</v>
      </c>
      <c r="B756" s="51" t="str">
        <f t="shared" si="1"/>
        <v>MA</v>
      </c>
      <c r="C756" s="51" t="s">
        <v>4058</v>
      </c>
      <c r="D756" s="51" t="s">
        <v>1697</v>
      </c>
      <c r="E756" s="51" t="s">
        <v>2533</v>
      </c>
      <c r="F756" s="80"/>
      <c r="G756" s="75" t="s">
        <v>4059</v>
      </c>
      <c r="H756" s="80"/>
      <c r="I756" s="54" t="s">
        <v>4060</v>
      </c>
      <c r="J756" s="80"/>
      <c r="K756" s="80"/>
      <c r="L756" s="51" t="s">
        <v>78</v>
      </c>
      <c r="M756" s="79">
        <v>44869</v>
      </c>
      <c r="N756" s="51" t="s">
        <v>2635</v>
      </c>
      <c r="O756" s="80"/>
      <c r="P756" s="82"/>
      <c r="Q756" s="80"/>
      <c r="R756" s="80"/>
      <c r="S756" s="82"/>
      <c r="T756" s="80"/>
      <c r="U756" s="80"/>
      <c r="V756" s="79"/>
      <c r="W756" s="80"/>
      <c r="X756" s="80"/>
    </row>
    <row r="757" spans="1:24" ht="42" customHeight="1">
      <c r="A757" s="80">
        <f t="shared" si="0"/>
        <v>755</v>
      </c>
      <c r="B757" s="51" t="str">
        <f t="shared" si="1"/>
        <v>MA</v>
      </c>
      <c r="C757" s="81" t="s">
        <v>4061</v>
      </c>
      <c r="D757" s="51" t="s">
        <v>725</v>
      </c>
      <c r="E757" s="51" t="s">
        <v>3141</v>
      </c>
      <c r="F757" s="80"/>
      <c r="G757" s="75" t="s">
        <v>4062</v>
      </c>
      <c r="H757" s="80"/>
      <c r="I757" s="76"/>
      <c r="J757" s="80"/>
      <c r="K757" s="80"/>
      <c r="L757" s="80"/>
      <c r="M757" s="79">
        <v>44832</v>
      </c>
      <c r="N757" s="80"/>
      <c r="O757" s="80"/>
      <c r="P757" s="82"/>
      <c r="Q757" s="80"/>
      <c r="R757" s="80"/>
      <c r="S757" s="82"/>
      <c r="T757" s="80"/>
      <c r="U757" s="80"/>
      <c r="V757" s="79"/>
      <c r="W757" s="80"/>
      <c r="X757" s="80"/>
    </row>
    <row r="758" spans="1:24" ht="42" customHeight="1">
      <c r="A758" s="80">
        <f t="shared" si="0"/>
        <v>756</v>
      </c>
      <c r="B758" s="51" t="str">
        <f t="shared" si="1"/>
        <v>MA</v>
      </c>
      <c r="C758" s="83" t="s">
        <v>4063</v>
      </c>
      <c r="D758" s="51" t="s">
        <v>95</v>
      </c>
      <c r="E758" s="51" t="s">
        <v>2547</v>
      </c>
      <c r="F758" s="80"/>
      <c r="G758" s="75" t="s">
        <v>4064</v>
      </c>
      <c r="H758" s="80"/>
      <c r="I758" s="54" t="s">
        <v>4065</v>
      </c>
      <c r="J758" s="80"/>
      <c r="K758" s="80"/>
      <c r="L758" s="51" t="s">
        <v>78</v>
      </c>
      <c r="M758" s="79">
        <v>44855</v>
      </c>
      <c r="N758" s="51" t="s">
        <v>2551</v>
      </c>
      <c r="O758" s="80"/>
      <c r="P758" s="82"/>
      <c r="Q758" s="80"/>
      <c r="R758" s="51" t="s">
        <v>78</v>
      </c>
      <c r="S758" s="79">
        <v>44901</v>
      </c>
      <c r="T758" s="51" t="s">
        <v>2561</v>
      </c>
      <c r="U758" s="51" t="s">
        <v>78</v>
      </c>
      <c r="V758" s="79">
        <v>44886</v>
      </c>
      <c r="W758" s="51" t="s">
        <v>2553</v>
      </c>
      <c r="X758" s="80"/>
    </row>
    <row r="759" spans="1:24" ht="42" customHeight="1">
      <c r="A759" s="80">
        <f t="shared" si="0"/>
        <v>757</v>
      </c>
      <c r="B759" s="51" t="str">
        <f t="shared" si="1"/>
        <v>MA</v>
      </c>
      <c r="C759" s="51" t="s">
        <v>4066</v>
      </c>
      <c r="D759" s="51" t="s">
        <v>95</v>
      </c>
      <c r="E759" s="51" t="s">
        <v>2547</v>
      </c>
      <c r="F759" s="80"/>
      <c r="G759" s="75">
        <v>96170675424</v>
      </c>
      <c r="H759" s="80"/>
      <c r="I759" s="54" t="s">
        <v>4067</v>
      </c>
      <c r="J759" s="80"/>
      <c r="K759" s="80"/>
      <c r="L759" s="51" t="s">
        <v>78</v>
      </c>
      <c r="M759" s="79">
        <v>44855</v>
      </c>
      <c r="N759" s="51" t="s">
        <v>2561</v>
      </c>
      <c r="O759" s="51" t="s">
        <v>78</v>
      </c>
      <c r="P759" s="79">
        <v>44894</v>
      </c>
      <c r="Q759" s="51" t="s">
        <v>2538</v>
      </c>
      <c r="R759" s="51" t="s">
        <v>98</v>
      </c>
      <c r="S759" s="79">
        <v>44901</v>
      </c>
      <c r="T759" s="51" t="s">
        <v>2561</v>
      </c>
      <c r="U759" s="80"/>
      <c r="V759" s="79"/>
      <c r="W759" s="80"/>
      <c r="X759" s="80"/>
    </row>
    <row r="760" spans="1:24" ht="42" customHeight="1">
      <c r="A760" s="80">
        <f t="shared" si="0"/>
        <v>758</v>
      </c>
      <c r="B760" s="51" t="str">
        <f t="shared" si="1"/>
        <v>MA</v>
      </c>
      <c r="C760" s="81" t="s">
        <v>4068</v>
      </c>
      <c r="D760" s="51" t="s">
        <v>95</v>
      </c>
      <c r="E760" s="51" t="s">
        <v>2547</v>
      </c>
      <c r="F760" s="80"/>
      <c r="G760" s="75">
        <v>96176903001</v>
      </c>
      <c r="H760" s="51" t="s">
        <v>4069</v>
      </c>
      <c r="I760" s="54" t="s">
        <v>4070</v>
      </c>
      <c r="J760" s="80"/>
      <c r="K760" s="80"/>
      <c r="L760" s="51" t="s">
        <v>78</v>
      </c>
      <c r="M760" s="79">
        <v>44855</v>
      </c>
      <c r="N760" s="51" t="s">
        <v>2545</v>
      </c>
      <c r="O760" s="51" t="s">
        <v>78</v>
      </c>
      <c r="P760" s="79">
        <v>44894</v>
      </c>
      <c r="Q760" s="51" t="s">
        <v>2561</v>
      </c>
      <c r="R760" s="51" t="s">
        <v>98</v>
      </c>
      <c r="S760" s="79">
        <v>44901</v>
      </c>
      <c r="T760" s="51" t="s">
        <v>2561</v>
      </c>
      <c r="U760" s="80"/>
      <c r="V760" s="79"/>
      <c r="W760" s="80"/>
      <c r="X760" s="80"/>
    </row>
    <row r="761" spans="1:24" ht="42" customHeight="1">
      <c r="A761" s="80">
        <f t="shared" si="0"/>
        <v>759</v>
      </c>
      <c r="B761" s="51" t="str">
        <f t="shared" si="1"/>
        <v>MA</v>
      </c>
      <c r="C761" s="83" t="s">
        <v>4071</v>
      </c>
      <c r="D761" s="51" t="s">
        <v>95</v>
      </c>
      <c r="E761" s="51" t="s">
        <v>2547</v>
      </c>
      <c r="F761" s="80"/>
      <c r="G761" s="75" t="s">
        <v>4072</v>
      </c>
      <c r="H761" s="51" t="s">
        <v>4073</v>
      </c>
      <c r="I761" s="76"/>
      <c r="J761" s="80"/>
      <c r="K761" s="80"/>
      <c r="L761" s="51" t="s">
        <v>78</v>
      </c>
      <c r="M761" s="79">
        <v>44855</v>
      </c>
      <c r="N761" s="51" t="s">
        <v>2561</v>
      </c>
      <c r="O761" s="51" t="s">
        <v>78</v>
      </c>
      <c r="P761" s="79">
        <v>44894</v>
      </c>
      <c r="Q761" s="51" t="s">
        <v>2561</v>
      </c>
      <c r="R761" s="51" t="s">
        <v>78</v>
      </c>
      <c r="S761" s="79">
        <v>44901</v>
      </c>
      <c r="T761" s="51" t="s">
        <v>2561</v>
      </c>
      <c r="U761" s="80"/>
      <c r="V761" s="79"/>
      <c r="W761" s="80"/>
      <c r="X761" s="80"/>
    </row>
    <row r="762" spans="1:24" ht="42" customHeight="1">
      <c r="A762" s="80">
        <f t="shared" si="0"/>
        <v>760</v>
      </c>
      <c r="B762" s="51" t="str">
        <f t="shared" si="1"/>
        <v>MA</v>
      </c>
      <c r="C762" s="81" t="s">
        <v>4074</v>
      </c>
      <c r="D762" s="51" t="s">
        <v>95</v>
      </c>
      <c r="E762" s="51" t="s">
        <v>2559</v>
      </c>
      <c r="F762" s="80"/>
      <c r="G762" s="75" t="s">
        <v>4075</v>
      </c>
      <c r="H762" s="80"/>
      <c r="I762" s="76"/>
      <c r="J762" s="80"/>
      <c r="K762" s="80"/>
      <c r="L762" s="51" t="s">
        <v>78</v>
      </c>
      <c r="M762" s="79">
        <v>44855</v>
      </c>
      <c r="N762" s="51" t="s">
        <v>2561</v>
      </c>
      <c r="O762" s="80"/>
      <c r="P762" s="82"/>
      <c r="Q762" s="80"/>
      <c r="R762" s="80"/>
      <c r="S762" s="82"/>
      <c r="T762" s="80"/>
      <c r="U762" s="80"/>
      <c r="V762" s="79"/>
      <c r="W762" s="80"/>
      <c r="X762" s="80"/>
    </row>
    <row r="763" spans="1:24" ht="42" customHeight="1">
      <c r="A763" s="80">
        <f t="shared" si="0"/>
        <v>761</v>
      </c>
      <c r="B763" s="51" t="str">
        <f t="shared" si="1"/>
        <v>MA</v>
      </c>
      <c r="C763" s="51" t="s">
        <v>4076</v>
      </c>
      <c r="D763" s="51" t="s">
        <v>95</v>
      </c>
      <c r="E763" s="51" t="s">
        <v>2559</v>
      </c>
      <c r="F763" s="80"/>
      <c r="G763" s="75" t="s">
        <v>4077</v>
      </c>
      <c r="H763" s="80"/>
      <c r="I763" s="54" t="s">
        <v>4078</v>
      </c>
      <c r="J763" s="80"/>
      <c r="K763" s="80"/>
      <c r="L763" s="51" t="s">
        <v>78</v>
      </c>
      <c r="M763" s="79">
        <v>44855</v>
      </c>
      <c r="N763" s="51" t="s">
        <v>2742</v>
      </c>
      <c r="O763" s="51" t="s">
        <v>78</v>
      </c>
      <c r="P763" s="79">
        <v>44894</v>
      </c>
      <c r="Q763" s="51" t="s">
        <v>2538</v>
      </c>
      <c r="R763" s="51" t="s">
        <v>78</v>
      </c>
      <c r="S763" s="79">
        <v>44901</v>
      </c>
      <c r="T763" s="51" t="s">
        <v>2561</v>
      </c>
      <c r="U763" s="80"/>
      <c r="V763" s="79"/>
      <c r="W763" s="80"/>
      <c r="X763" s="80"/>
    </row>
    <row r="764" spans="1:24" ht="42" customHeight="1">
      <c r="A764" s="80">
        <f t="shared" si="0"/>
        <v>762</v>
      </c>
      <c r="B764" s="51" t="str">
        <f t="shared" si="1"/>
        <v>MA</v>
      </c>
      <c r="C764" s="56" t="s">
        <v>4079</v>
      </c>
      <c r="D764" s="51" t="s">
        <v>725</v>
      </c>
      <c r="E764" s="51" t="s">
        <v>2547</v>
      </c>
      <c r="F764" s="80"/>
      <c r="G764" s="75">
        <v>491601526368</v>
      </c>
      <c r="H764" s="80"/>
      <c r="I764" s="54" t="s">
        <v>4080</v>
      </c>
      <c r="J764" s="80"/>
      <c r="K764" s="80"/>
      <c r="L764" s="51" t="s">
        <v>78</v>
      </c>
      <c r="M764" s="79">
        <v>44869</v>
      </c>
      <c r="N764" s="51" t="s">
        <v>2538</v>
      </c>
      <c r="O764" s="51" t="s">
        <v>78</v>
      </c>
      <c r="P764" s="79">
        <v>44872</v>
      </c>
      <c r="Q764" s="51" t="s">
        <v>2551</v>
      </c>
      <c r="R764" s="51" t="s">
        <v>78</v>
      </c>
      <c r="S764" s="79">
        <v>44894</v>
      </c>
      <c r="T764" s="51" t="s">
        <v>2635</v>
      </c>
      <c r="U764" s="80"/>
      <c r="V764" s="79"/>
      <c r="W764" s="80"/>
      <c r="X764" s="80"/>
    </row>
    <row r="765" spans="1:24" ht="42" customHeight="1">
      <c r="A765" s="80">
        <f t="shared" si="0"/>
        <v>763</v>
      </c>
      <c r="B765" s="51" t="str">
        <f t="shared" si="1"/>
        <v>MA</v>
      </c>
      <c r="C765" s="81" t="s">
        <v>4081</v>
      </c>
      <c r="D765" s="51" t="s">
        <v>725</v>
      </c>
      <c r="E765" s="51" t="s">
        <v>2547</v>
      </c>
      <c r="F765" s="80"/>
      <c r="G765" s="75" t="s">
        <v>4062</v>
      </c>
      <c r="H765" s="80"/>
      <c r="I765" s="54" t="s">
        <v>4082</v>
      </c>
      <c r="J765" s="80"/>
      <c r="K765" s="80"/>
      <c r="L765" s="51" t="s">
        <v>78</v>
      </c>
      <c r="M765" s="79">
        <v>44869</v>
      </c>
      <c r="N765" s="51" t="s">
        <v>2551</v>
      </c>
      <c r="O765" s="80"/>
      <c r="P765" s="82"/>
      <c r="Q765" s="80"/>
      <c r="R765" s="80"/>
      <c r="S765" s="82"/>
      <c r="T765" s="80"/>
      <c r="U765" s="80"/>
      <c r="V765" s="79"/>
      <c r="W765" s="80"/>
      <c r="X765" s="80"/>
    </row>
    <row r="766" spans="1:24" ht="42" customHeight="1">
      <c r="A766" s="80">
        <f t="shared" si="0"/>
        <v>764</v>
      </c>
      <c r="B766" s="51" t="str">
        <f t="shared" si="1"/>
        <v>MA</v>
      </c>
      <c r="C766" s="81" t="s">
        <v>4083</v>
      </c>
      <c r="D766" s="51" t="s">
        <v>725</v>
      </c>
      <c r="E766" s="51" t="s">
        <v>2547</v>
      </c>
      <c r="F766" s="80"/>
      <c r="G766" s="75" t="s">
        <v>4084</v>
      </c>
      <c r="H766" s="80"/>
      <c r="I766" s="54" t="s">
        <v>4085</v>
      </c>
      <c r="J766" s="80"/>
      <c r="K766" s="80"/>
      <c r="L766" s="51" t="s">
        <v>78</v>
      </c>
      <c r="M766" s="79">
        <v>44855</v>
      </c>
      <c r="N766" s="51" t="s">
        <v>2551</v>
      </c>
      <c r="O766" s="80"/>
      <c r="P766" s="82"/>
      <c r="Q766" s="80"/>
      <c r="R766" s="80"/>
      <c r="S766" s="82"/>
      <c r="T766" s="80"/>
      <c r="U766" s="80"/>
      <c r="V766" s="79"/>
      <c r="W766" s="80"/>
      <c r="X766" s="80"/>
    </row>
    <row r="767" spans="1:24" ht="42" customHeight="1">
      <c r="A767" s="80">
        <f t="shared" si="0"/>
        <v>765</v>
      </c>
      <c r="B767" s="51" t="str">
        <f t="shared" si="1"/>
        <v>MA</v>
      </c>
      <c r="C767" s="81" t="s">
        <v>4086</v>
      </c>
      <c r="D767" s="51" t="s">
        <v>725</v>
      </c>
      <c r="E767" s="80"/>
      <c r="F767" s="80"/>
      <c r="G767" s="75"/>
      <c r="H767" s="80"/>
      <c r="I767" s="76"/>
      <c r="J767" s="80"/>
      <c r="K767" s="80"/>
      <c r="L767" s="51" t="s">
        <v>78</v>
      </c>
      <c r="M767" s="79">
        <v>44855</v>
      </c>
      <c r="N767" s="51" t="s">
        <v>2699</v>
      </c>
      <c r="O767" s="80"/>
      <c r="P767" s="82"/>
      <c r="Q767" s="80"/>
      <c r="R767" s="80"/>
      <c r="S767" s="82"/>
      <c r="T767" s="80"/>
      <c r="U767" s="80"/>
      <c r="V767" s="79"/>
      <c r="W767" s="80"/>
      <c r="X767" s="80"/>
    </row>
    <row r="768" spans="1:24" ht="42" customHeight="1">
      <c r="A768" s="80">
        <f t="shared" si="0"/>
        <v>766</v>
      </c>
      <c r="B768" s="51" t="str">
        <f t="shared" si="1"/>
        <v>MA</v>
      </c>
      <c r="C768" s="51" t="s">
        <v>4087</v>
      </c>
      <c r="D768" s="51" t="s">
        <v>725</v>
      </c>
      <c r="E768" s="51" t="s">
        <v>2547</v>
      </c>
      <c r="F768" s="80"/>
      <c r="G768" s="98" t="s">
        <v>4088</v>
      </c>
      <c r="H768" s="80"/>
      <c r="I768" s="89" t="s">
        <v>4089</v>
      </c>
      <c r="J768" s="80"/>
      <c r="K768" s="80"/>
      <c r="L768" s="51" t="s">
        <v>78</v>
      </c>
      <c r="M768" s="79">
        <v>44869</v>
      </c>
      <c r="N768" s="51" t="s">
        <v>2538</v>
      </c>
      <c r="O768" s="51" t="s">
        <v>78</v>
      </c>
      <c r="P768" s="79">
        <v>44872</v>
      </c>
      <c r="Q768" s="51" t="s">
        <v>2538</v>
      </c>
      <c r="R768" s="51" t="s">
        <v>78</v>
      </c>
      <c r="S768" s="79">
        <v>44894</v>
      </c>
      <c r="T768" s="51" t="s">
        <v>2538</v>
      </c>
      <c r="U768" s="80"/>
      <c r="V768" s="79"/>
      <c r="W768" s="80"/>
      <c r="X768" s="80"/>
    </row>
    <row r="769" spans="1:24" ht="42" customHeight="1">
      <c r="A769" s="80">
        <f t="shared" si="0"/>
        <v>767</v>
      </c>
      <c r="B769" s="51" t="str">
        <f t="shared" si="1"/>
        <v>MA</v>
      </c>
      <c r="C769" s="51" t="s">
        <v>4090</v>
      </c>
      <c r="D769" s="51" t="s">
        <v>781</v>
      </c>
      <c r="E769" s="51" t="s">
        <v>2533</v>
      </c>
      <c r="F769" s="80"/>
      <c r="G769" s="75" t="s">
        <v>4091</v>
      </c>
      <c r="H769" s="80"/>
      <c r="I769" s="54" t="s">
        <v>4092</v>
      </c>
      <c r="J769" s="80"/>
      <c r="K769" s="80"/>
      <c r="L769" s="51" t="s">
        <v>78</v>
      </c>
      <c r="M769" s="79">
        <v>44855</v>
      </c>
      <c r="N769" s="51" t="s">
        <v>2545</v>
      </c>
      <c r="O769" s="80"/>
      <c r="P769" s="82"/>
      <c r="Q769" s="80"/>
      <c r="R769" s="80"/>
      <c r="S769" s="82"/>
      <c r="T769" s="80"/>
      <c r="U769" s="80"/>
      <c r="V769" s="79"/>
      <c r="W769" s="80"/>
      <c r="X769" s="80"/>
    </row>
    <row r="770" spans="1:24" ht="42" customHeight="1">
      <c r="A770" s="80">
        <f t="shared" si="0"/>
        <v>768</v>
      </c>
      <c r="B770" s="51" t="str">
        <f t="shared" si="1"/>
        <v>MA</v>
      </c>
      <c r="C770" s="51" t="s">
        <v>4093</v>
      </c>
      <c r="D770" s="51" t="s">
        <v>4094</v>
      </c>
      <c r="E770" s="51" t="s">
        <v>2547</v>
      </c>
      <c r="F770" s="80"/>
      <c r="G770" s="75" t="s">
        <v>4095</v>
      </c>
      <c r="H770" s="80"/>
      <c r="I770" s="143" t="s">
        <v>4096</v>
      </c>
      <c r="J770" s="80"/>
      <c r="K770" s="80"/>
      <c r="L770" s="51" t="s">
        <v>78</v>
      </c>
      <c r="M770" s="79">
        <v>44855</v>
      </c>
      <c r="N770" s="51" t="s">
        <v>2538</v>
      </c>
      <c r="O770" s="80"/>
      <c r="P770" s="82"/>
      <c r="Q770" s="80"/>
      <c r="R770" s="80"/>
      <c r="S770" s="82"/>
      <c r="T770" s="80"/>
      <c r="U770" s="80"/>
      <c r="V770" s="79"/>
      <c r="W770" s="80"/>
      <c r="X770" s="80"/>
    </row>
    <row r="771" spans="1:24" ht="42" customHeight="1">
      <c r="A771" s="80">
        <f t="shared" si="0"/>
        <v>769</v>
      </c>
      <c r="B771" s="51" t="str">
        <f t="shared" si="1"/>
        <v>MA</v>
      </c>
      <c r="C771" s="51" t="s">
        <v>4097</v>
      </c>
      <c r="D771" s="51" t="s">
        <v>4094</v>
      </c>
      <c r="E771" s="51" t="s">
        <v>2547</v>
      </c>
      <c r="F771" s="80"/>
      <c r="G771" s="75" t="s">
        <v>4098</v>
      </c>
      <c r="H771" s="80"/>
      <c r="I771" s="76"/>
      <c r="J771" s="80"/>
      <c r="K771" s="80"/>
      <c r="L771" s="51" t="s">
        <v>78</v>
      </c>
      <c r="M771" s="79">
        <v>44869</v>
      </c>
      <c r="N771" s="51" t="s">
        <v>2538</v>
      </c>
      <c r="O771" s="80"/>
      <c r="P771" s="82"/>
      <c r="Q771" s="80"/>
      <c r="R771" s="80"/>
      <c r="S771" s="82"/>
      <c r="T771" s="80"/>
      <c r="U771" s="80"/>
      <c r="V771" s="79"/>
      <c r="W771" s="80"/>
      <c r="X771" s="80"/>
    </row>
    <row r="772" spans="1:24" ht="42" customHeight="1">
      <c r="A772" s="80">
        <f t="shared" si="0"/>
        <v>770</v>
      </c>
      <c r="B772" s="51" t="str">
        <f t="shared" si="1"/>
        <v>MA</v>
      </c>
      <c r="C772" s="51" t="s">
        <v>4099</v>
      </c>
      <c r="D772" s="51" t="s">
        <v>459</v>
      </c>
      <c r="E772" s="51" t="s">
        <v>2547</v>
      </c>
      <c r="F772" s="80"/>
      <c r="G772" s="75" t="s">
        <v>4100</v>
      </c>
      <c r="H772" s="85" t="s">
        <v>4101</v>
      </c>
      <c r="I772" s="54" t="s">
        <v>4102</v>
      </c>
      <c r="J772" s="80"/>
      <c r="K772" s="80"/>
      <c r="L772" s="51" t="s">
        <v>78</v>
      </c>
      <c r="M772" s="79">
        <v>44855</v>
      </c>
      <c r="N772" s="51" t="s">
        <v>2560</v>
      </c>
      <c r="O772" s="80"/>
      <c r="P772" s="82"/>
      <c r="Q772" s="80"/>
      <c r="R772" s="80"/>
      <c r="S772" s="82"/>
      <c r="T772" s="80"/>
      <c r="U772" s="80"/>
      <c r="V772" s="79"/>
      <c r="W772" s="80"/>
      <c r="X772" s="80"/>
    </row>
    <row r="773" spans="1:24" ht="42" customHeight="1">
      <c r="A773" s="80">
        <f t="shared" si="0"/>
        <v>771</v>
      </c>
      <c r="B773" s="51" t="str">
        <f t="shared" si="1"/>
        <v>MA</v>
      </c>
      <c r="C773" s="51" t="s">
        <v>4103</v>
      </c>
      <c r="D773" s="51" t="s">
        <v>459</v>
      </c>
      <c r="E773" s="51" t="s">
        <v>2547</v>
      </c>
      <c r="F773" s="80"/>
      <c r="G773" s="75" t="s">
        <v>4104</v>
      </c>
      <c r="H773" s="80"/>
      <c r="I773" s="144" t="s">
        <v>4105</v>
      </c>
      <c r="J773" s="80"/>
      <c r="K773" s="80"/>
      <c r="L773" s="51" t="s">
        <v>78</v>
      </c>
      <c r="M773" s="79">
        <v>44855</v>
      </c>
      <c r="N773" s="51" t="s">
        <v>2551</v>
      </c>
      <c r="O773" s="80"/>
      <c r="P773" s="82"/>
      <c r="Q773" s="80"/>
      <c r="R773" s="80"/>
      <c r="S773" s="82"/>
      <c r="T773" s="80"/>
      <c r="U773" s="80"/>
      <c r="V773" s="79"/>
      <c r="W773" s="80"/>
      <c r="X773" s="80"/>
    </row>
    <row r="774" spans="1:24" ht="42" customHeight="1">
      <c r="A774" s="80">
        <f t="shared" si="0"/>
        <v>772</v>
      </c>
      <c r="B774" s="51" t="str">
        <f t="shared" si="1"/>
        <v>MA</v>
      </c>
      <c r="C774" s="51" t="s">
        <v>4106</v>
      </c>
      <c r="D774" s="51" t="s">
        <v>459</v>
      </c>
      <c r="E774" s="51" t="s">
        <v>2547</v>
      </c>
      <c r="F774" s="80"/>
      <c r="G774" s="75" t="s">
        <v>4107</v>
      </c>
      <c r="H774" s="80"/>
      <c r="I774" s="54" t="s">
        <v>4108</v>
      </c>
      <c r="J774" s="80"/>
      <c r="K774" s="80"/>
      <c r="L774" s="51" t="s">
        <v>78</v>
      </c>
      <c r="M774" s="79">
        <v>44855</v>
      </c>
      <c r="N774" s="51" t="s">
        <v>2551</v>
      </c>
      <c r="O774" s="80"/>
      <c r="P774" s="82"/>
      <c r="Q774" s="80"/>
      <c r="R774" s="80"/>
      <c r="S774" s="82"/>
      <c r="T774" s="80"/>
      <c r="U774" s="80"/>
      <c r="V774" s="79"/>
      <c r="W774" s="80"/>
      <c r="X774" s="80"/>
    </row>
    <row r="775" spans="1:24" ht="42" customHeight="1">
      <c r="A775" s="80">
        <f t="shared" si="0"/>
        <v>773</v>
      </c>
      <c r="B775" s="51" t="str">
        <f t="shared" si="1"/>
        <v>MA</v>
      </c>
      <c r="C775" s="51" t="s">
        <v>4109</v>
      </c>
      <c r="D775" s="51" t="s">
        <v>1428</v>
      </c>
      <c r="E775" s="51" t="s">
        <v>2547</v>
      </c>
      <c r="F775" s="80"/>
      <c r="G775" s="75" t="s">
        <v>4110</v>
      </c>
      <c r="H775" s="51" t="s">
        <v>4111</v>
      </c>
      <c r="I775" s="76"/>
      <c r="J775" s="80"/>
      <c r="K775" s="80"/>
      <c r="L775" s="51" t="s">
        <v>78</v>
      </c>
      <c r="M775" s="79">
        <v>44855</v>
      </c>
      <c r="N775" s="51" t="s">
        <v>2561</v>
      </c>
      <c r="O775" s="80"/>
      <c r="P775" s="82"/>
      <c r="Q775" s="80"/>
      <c r="R775" s="80"/>
      <c r="S775" s="82"/>
      <c r="T775" s="80"/>
      <c r="U775" s="80"/>
      <c r="V775" s="79"/>
      <c r="W775" s="80"/>
      <c r="X775" s="80"/>
    </row>
    <row r="776" spans="1:24" ht="42" customHeight="1">
      <c r="A776" s="80">
        <f t="shared" si="0"/>
        <v>774</v>
      </c>
      <c r="B776" s="51" t="str">
        <f t="shared" si="1"/>
        <v>MA</v>
      </c>
      <c r="C776" s="51" t="s">
        <v>4112</v>
      </c>
      <c r="D776" s="51" t="s">
        <v>1428</v>
      </c>
      <c r="E776" s="51" t="s">
        <v>2547</v>
      </c>
      <c r="F776" s="80"/>
      <c r="G776" s="75" t="s">
        <v>4113</v>
      </c>
      <c r="H776" s="80"/>
      <c r="I776" s="76"/>
      <c r="J776" s="80"/>
      <c r="K776" s="80"/>
      <c r="L776" s="51" t="s">
        <v>78</v>
      </c>
      <c r="M776" s="79">
        <v>44855</v>
      </c>
      <c r="N776" s="51" t="s">
        <v>2561</v>
      </c>
      <c r="O776" s="79">
        <v>44858</v>
      </c>
      <c r="P776" s="145">
        <v>44858</v>
      </c>
      <c r="Q776" s="51" t="s">
        <v>2560</v>
      </c>
      <c r="R776" s="51" t="s">
        <v>78</v>
      </c>
      <c r="S776" s="79">
        <v>44859</v>
      </c>
      <c r="T776" s="51" t="s">
        <v>2566</v>
      </c>
      <c r="U776" s="51" t="s">
        <v>78</v>
      </c>
      <c r="V776" s="79">
        <v>44886</v>
      </c>
      <c r="W776" s="51" t="s">
        <v>2538</v>
      </c>
      <c r="X776" s="80"/>
    </row>
    <row r="777" spans="1:24" ht="42" customHeight="1">
      <c r="A777" s="80">
        <f t="shared" si="0"/>
        <v>775</v>
      </c>
      <c r="B777" s="51" t="str">
        <f t="shared" si="1"/>
        <v>MA</v>
      </c>
      <c r="C777" s="51" t="s">
        <v>4114</v>
      </c>
      <c r="D777" s="51" t="s">
        <v>1428</v>
      </c>
      <c r="E777" s="51" t="s">
        <v>2547</v>
      </c>
      <c r="F777" s="80"/>
      <c r="G777" s="75" t="s">
        <v>4115</v>
      </c>
      <c r="H777" s="80"/>
      <c r="I777" s="76"/>
      <c r="J777" s="80"/>
      <c r="K777" s="80"/>
      <c r="L777" s="51" t="s">
        <v>78</v>
      </c>
      <c r="M777" s="79">
        <v>44855</v>
      </c>
      <c r="N777" s="51" t="s">
        <v>2538</v>
      </c>
      <c r="O777" s="80"/>
      <c r="P777" s="82"/>
      <c r="Q777" s="80"/>
      <c r="R777" s="80"/>
      <c r="S777" s="82"/>
      <c r="T777" s="80"/>
      <c r="U777" s="80"/>
      <c r="V777" s="79"/>
      <c r="W777" s="80"/>
      <c r="X777" s="80"/>
    </row>
    <row r="778" spans="1:24" ht="42" customHeight="1">
      <c r="A778" s="80">
        <f t="shared" si="0"/>
        <v>776</v>
      </c>
      <c r="B778" s="51" t="str">
        <f t="shared" si="1"/>
        <v>MA</v>
      </c>
      <c r="C778" s="51" t="s">
        <v>4116</v>
      </c>
      <c r="D778" s="51" t="s">
        <v>1428</v>
      </c>
      <c r="E778" s="51" t="s">
        <v>2547</v>
      </c>
      <c r="F778" s="80"/>
      <c r="G778" s="75" t="s">
        <v>4117</v>
      </c>
      <c r="H778" s="80"/>
      <c r="I778" s="76"/>
      <c r="J778" s="80"/>
      <c r="K778" s="80"/>
      <c r="L778" s="51" t="s">
        <v>78</v>
      </c>
      <c r="M778" s="79">
        <v>44855</v>
      </c>
      <c r="N778" s="51" t="s">
        <v>2561</v>
      </c>
      <c r="O778" s="80"/>
      <c r="P778" s="82"/>
      <c r="Q778" s="80"/>
      <c r="R778" s="80"/>
      <c r="S778" s="82"/>
      <c r="T778" s="80"/>
      <c r="U778" s="80"/>
      <c r="V778" s="79"/>
      <c r="W778" s="80"/>
      <c r="X778" s="80"/>
    </row>
    <row r="779" spans="1:24" ht="42" customHeight="1">
      <c r="A779" s="80">
        <f t="shared" si="0"/>
        <v>777</v>
      </c>
      <c r="B779" s="51" t="str">
        <f t="shared" si="1"/>
        <v>MA</v>
      </c>
      <c r="C779" s="51" t="s">
        <v>4118</v>
      </c>
      <c r="D779" s="51" t="s">
        <v>1428</v>
      </c>
      <c r="E779" s="51" t="s">
        <v>2547</v>
      </c>
      <c r="F779" s="80"/>
      <c r="G779" s="75">
        <v>21674848527</v>
      </c>
      <c r="H779" s="80"/>
      <c r="I779" s="76"/>
      <c r="J779" s="94" t="s">
        <v>4119</v>
      </c>
      <c r="K779" s="80"/>
      <c r="L779" s="51" t="s">
        <v>78</v>
      </c>
      <c r="M779" s="79">
        <v>44855</v>
      </c>
      <c r="N779" s="51" t="s">
        <v>2538</v>
      </c>
      <c r="O779" s="80"/>
      <c r="P779" s="82"/>
      <c r="Q779" s="80"/>
      <c r="R779" s="80"/>
      <c r="S779" s="82"/>
      <c r="T779" s="80"/>
      <c r="U779" s="80"/>
      <c r="V779" s="79"/>
      <c r="W779" s="80"/>
      <c r="X779" s="80"/>
    </row>
    <row r="780" spans="1:24" ht="42" customHeight="1">
      <c r="A780" s="80">
        <f t="shared" si="0"/>
        <v>778</v>
      </c>
      <c r="B780" s="51" t="str">
        <f t="shared" si="1"/>
        <v>MA</v>
      </c>
      <c r="C780" s="51" t="s">
        <v>4120</v>
      </c>
      <c r="D780" s="51" t="s">
        <v>665</v>
      </c>
      <c r="E780" s="51" t="s">
        <v>2547</v>
      </c>
      <c r="F780" s="80"/>
      <c r="G780" s="75" t="s">
        <v>3396</v>
      </c>
      <c r="H780" s="80"/>
      <c r="I780" s="54" t="s">
        <v>4121</v>
      </c>
      <c r="J780" s="96" t="s">
        <v>4122</v>
      </c>
      <c r="K780" s="80"/>
      <c r="L780" s="51" t="s">
        <v>7</v>
      </c>
      <c r="M780" s="79">
        <v>44887</v>
      </c>
      <c r="N780" s="51" t="s">
        <v>2551</v>
      </c>
      <c r="O780" s="51" t="s">
        <v>7</v>
      </c>
      <c r="P780" s="79">
        <v>44891</v>
      </c>
      <c r="Q780" s="51" t="s">
        <v>2560</v>
      </c>
      <c r="R780" s="80"/>
      <c r="S780" s="82"/>
      <c r="T780" s="80"/>
      <c r="U780" s="80"/>
      <c r="V780" s="79"/>
      <c r="W780" s="80"/>
      <c r="X780" s="80"/>
    </row>
    <row r="781" spans="1:24" ht="42" customHeight="1">
      <c r="A781" s="80">
        <f t="shared" si="0"/>
        <v>779</v>
      </c>
      <c r="B781" s="51" t="str">
        <f t="shared" si="1"/>
        <v>MA</v>
      </c>
      <c r="C781" s="51">
        <v>0</v>
      </c>
      <c r="D781" s="51" t="s">
        <v>119</v>
      </c>
      <c r="E781" s="51" t="s">
        <v>2533</v>
      </c>
      <c r="F781" s="80"/>
      <c r="G781" s="75" t="s">
        <v>356</v>
      </c>
      <c r="H781" s="80"/>
      <c r="I781" s="76"/>
      <c r="J781" s="80"/>
      <c r="K781" s="80"/>
      <c r="L781" s="51" t="s">
        <v>98</v>
      </c>
      <c r="M781" s="79">
        <v>44873</v>
      </c>
      <c r="N781" s="51" t="s">
        <v>2553</v>
      </c>
      <c r="O781" s="51" t="s">
        <v>78</v>
      </c>
      <c r="P781" s="79">
        <v>44891</v>
      </c>
      <c r="Q781" s="51" t="s">
        <v>2635</v>
      </c>
      <c r="R781" s="51" t="s">
        <v>78</v>
      </c>
      <c r="S781" s="79">
        <v>44865</v>
      </c>
      <c r="T781" s="51" t="s">
        <v>2635</v>
      </c>
      <c r="U781" s="51" t="s">
        <v>98</v>
      </c>
      <c r="V781" s="79">
        <v>44908</v>
      </c>
      <c r="W781" s="51" t="s">
        <v>2561</v>
      </c>
      <c r="X781" s="80"/>
    </row>
    <row r="782" spans="1:24" ht="42" customHeight="1">
      <c r="A782" s="80">
        <f t="shared" si="0"/>
        <v>780</v>
      </c>
      <c r="B782" s="51" t="str">
        <f t="shared" si="1"/>
        <v>MA</v>
      </c>
      <c r="C782" s="81" t="s">
        <v>4123</v>
      </c>
      <c r="D782" s="51" t="s">
        <v>119</v>
      </c>
      <c r="E782" s="51" t="s">
        <v>2547</v>
      </c>
      <c r="F782" s="80"/>
      <c r="G782" s="75" t="s">
        <v>4124</v>
      </c>
      <c r="H782" s="80"/>
      <c r="I782" s="89" t="s">
        <v>4125</v>
      </c>
      <c r="J782" s="51" t="s">
        <v>4126</v>
      </c>
      <c r="K782" s="80"/>
      <c r="L782" s="51" t="s">
        <v>78</v>
      </c>
      <c r="M782" s="79">
        <v>44873</v>
      </c>
      <c r="N782" s="51" t="s">
        <v>2545</v>
      </c>
      <c r="O782" s="80"/>
      <c r="P782" s="82"/>
      <c r="Q782" s="80"/>
      <c r="R782" s="51" t="s">
        <v>78</v>
      </c>
      <c r="S782" s="79">
        <v>44865</v>
      </c>
      <c r="T782" s="51" t="s">
        <v>2545</v>
      </c>
      <c r="U782" s="80"/>
      <c r="V782" s="79"/>
      <c r="W782" s="80"/>
      <c r="X782" s="80"/>
    </row>
    <row r="783" spans="1:24" ht="42" customHeight="1">
      <c r="A783" s="80">
        <f t="shared" si="0"/>
        <v>781</v>
      </c>
      <c r="B783" s="51" t="str">
        <f t="shared" si="1"/>
        <v>MA</v>
      </c>
      <c r="C783" s="51" t="s">
        <v>141</v>
      </c>
      <c r="D783" s="51" t="s">
        <v>119</v>
      </c>
      <c r="E783" s="51" t="s">
        <v>2547</v>
      </c>
      <c r="F783" s="80"/>
      <c r="G783" s="75" t="s">
        <v>142</v>
      </c>
      <c r="H783" s="80"/>
      <c r="I783" s="122" t="s">
        <v>143</v>
      </c>
      <c r="J783" s="51" t="s">
        <v>358</v>
      </c>
      <c r="K783" s="80"/>
      <c r="L783" s="51" t="s">
        <v>78</v>
      </c>
      <c r="M783" s="79">
        <v>44873</v>
      </c>
      <c r="N783" s="51" t="s">
        <v>2545</v>
      </c>
      <c r="O783" s="51" t="s">
        <v>78</v>
      </c>
      <c r="P783" s="79">
        <v>44891</v>
      </c>
      <c r="Q783" s="51" t="s">
        <v>2538</v>
      </c>
      <c r="R783" s="51" t="s">
        <v>78</v>
      </c>
      <c r="S783" s="79">
        <v>44865</v>
      </c>
      <c r="T783" s="51" t="s">
        <v>2545</v>
      </c>
      <c r="U783" s="51" t="s">
        <v>78</v>
      </c>
      <c r="V783" s="79">
        <v>44908</v>
      </c>
      <c r="W783" s="51" t="s">
        <v>2538</v>
      </c>
      <c r="X783" s="80"/>
    </row>
    <row r="784" spans="1:24" ht="42" customHeight="1">
      <c r="A784" s="80">
        <f t="shared" si="0"/>
        <v>782</v>
      </c>
      <c r="B784" s="51" t="str">
        <f t="shared" si="1"/>
        <v>MA</v>
      </c>
      <c r="C784" s="81" t="s">
        <v>4127</v>
      </c>
      <c r="D784" s="51" t="s">
        <v>119</v>
      </c>
      <c r="E784" s="51" t="s">
        <v>2547</v>
      </c>
      <c r="F784" s="80"/>
      <c r="G784" s="75" t="s">
        <v>4128</v>
      </c>
      <c r="H784" s="80"/>
      <c r="I784" s="122" t="s">
        <v>4129</v>
      </c>
      <c r="J784" s="51" t="s">
        <v>4130</v>
      </c>
      <c r="K784" s="80"/>
      <c r="L784" s="51" t="s">
        <v>78</v>
      </c>
      <c r="M784" s="79">
        <v>44873</v>
      </c>
      <c r="N784" s="51" t="s">
        <v>2561</v>
      </c>
      <c r="O784" s="51" t="s">
        <v>78</v>
      </c>
      <c r="P784" s="79">
        <v>44891</v>
      </c>
      <c r="Q784" s="51" t="s">
        <v>2538</v>
      </c>
      <c r="R784" s="51" t="s">
        <v>78</v>
      </c>
      <c r="S784" s="79">
        <v>44865</v>
      </c>
      <c r="T784" s="51" t="s">
        <v>4131</v>
      </c>
      <c r="U784" s="80"/>
      <c r="V784" s="79"/>
      <c r="W784" s="80"/>
      <c r="X784" s="80"/>
    </row>
    <row r="785" spans="1:24" ht="42" customHeight="1">
      <c r="A785" s="80">
        <f t="shared" si="0"/>
        <v>783</v>
      </c>
      <c r="B785" s="51" t="str">
        <f t="shared" si="1"/>
        <v>MA</v>
      </c>
      <c r="C785" s="51" t="s">
        <v>4132</v>
      </c>
      <c r="D785" s="51" t="s">
        <v>627</v>
      </c>
      <c r="E785" s="51" t="s">
        <v>2547</v>
      </c>
      <c r="F785" s="80"/>
      <c r="G785" s="75" t="s">
        <v>642</v>
      </c>
      <c r="H785" s="80"/>
      <c r="I785" s="54" t="s">
        <v>641</v>
      </c>
      <c r="J785" s="77" t="s">
        <v>644</v>
      </c>
      <c r="K785" s="80"/>
      <c r="L785" s="51" t="s">
        <v>78</v>
      </c>
      <c r="M785" s="79">
        <v>44858</v>
      </c>
      <c r="N785" s="51" t="s">
        <v>2545</v>
      </c>
      <c r="O785" s="80"/>
      <c r="P785" s="82"/>
      <c r="Q785" s="80"/>
      <c r="R785" s="80"/>
      <c r="S785" s="82"/>
      <c r="T785" s="80"/>
      <c r="U785" s="80"/>
      <c r="V785" s="79"/>
      <c r="W785" s="80"/>
      <c r="X785" s="80"/>
    </row>
    <row r="786" spans="1:24" ht="42" customHeight="1">
      <c r="A786" s="80">
        <f t="shared" si="0"/>
        <v>784</v>
      </c>
      <c r="B786" s="51" t="str">
        <f t="shared" si="1"/>
        <v>MA</v>
      </c>
      <c r="C786" s="51" t="s">
        <v>4133</v>
      </c>
      <c r="D786" s="51" t="s">
        <v>370</v>
      </c>
      <c r="E786" s="51" t="s">
        <v>2547</v>
      </c>
      <c r="F786" s="80"/>
      <c r="G786" s="75" t="s">
        <v>4134</v>
      </c>
      <c r="H786" s="51" t="s">
        <v>4135</v>
      </c>
      <c r="I786" s="54" t="s">
        <v>595</v>
      </c>
      <c r="J786" s="80"/>
      <c r="K786" s="80"/>
      <c r="L786" s="51" t="s">
        <v>78</v>
      </c>
      <c r="M786" s="79">
        <v>44858</v>
      </c>
      <c r="N786" s="51" t="s">
        <v>2551</v>
      </c>
      <c r="O786" s="51" t="s">
        <v>78</v>
      </c>
      <c r="P786" s="79">
        <v>44872</v>
      </c>
      <c r="Q786" s="51" t="s">
        <v>2551</v>
      </c>
      <c r="R786" s="80"/>
      <c r="S786" s="82"/>
      <c r="T786" s="80"/>
      <c r="U786" s="80"/>
      <c r="V786" s="79"/>
      <c r="W786" s="80"/>
      <c r="X786" s="80"/>
    </row>
    <row r="787" spans="1:24" ht="42" customHeight="1">
      <c r="A787" s="80">
        <f t="shared" si="0"/>
        <v>785</v>
      </c>
      <c r="B787" s="51" t="str">
        <f t="shared" si="1"/>
        <v>MA</v>
      </c>
      <c r="C787" s="51" t="s">
        <v>4136</v>
      </c>
      <c r="D787" s="51" t="s">
        <v>627</v>
      </c>
      <c r="E787" s="51" t="s">
        <v>2547</v>
      </c>
      <c r="F787" s="80"/>
      <c r="G787" s="75" t="s">
        <v>4137</v>
      </c>
      <c r="H787" s="80"/>
      <c r="I787" s="54" t="s">
        <v>638</v>
      </c>
      <c r="J787" s="80"/>
      <c r="K787" s="80"/>
      <c r="L787" s="51" t="s">
        <v>78</v>
      </c>
      <c r="M787" s="79">
        <v>44858</v>
      </c>
      <c r="N787" s="51" t="s">
        <v>2545</v>
      </c>
      <c r="O787" s="80"/>
      <c r="P787" s="82"/>
      <c r="Q787" s="80"/>
      <c r="R787" s="80"/>
      <c r="S787" s="82"/>
      <c r="T787" s="80"/>
      <c r="U787" s="80"/>
      <c r="V787" s="79"/>
      <c r="W787" s="80"/>
      <c r="X787" s="80"/>
    </row>
    <row r="788" spans="1:24" ht="42" customHeight="1">
      <c r="A788" s="80">
        <f t="shared" si="0"/>
        <v>786</v>
      </c>
      <c r="B788" s="51" t="str">
        <f t="shared" si="1"/>
        <v>MA</v>
      </c>
      <c r="C788" s="81" t="s">
        <v>4138</v>
      </c>
      <c r="D788" s="51" t="s">
        <v>725</v>
      </c>
      <c r="E788" s="51" t="s">
        <v>2547</v>
      </c>
      <c r="F788" s="80"/>
      <c r="G788" s="75">
        <v>49632797600</v>
      </c>
      <c r="H788" s="80"/>
      <c r="I788" s="54" t="s">
        <v>4085</v>
      </c>
      <c r="J788" s="80"/>
      <c r="K788" s="80"/>
      <c r="L788" s="51" t="s">
        <v>78</v>
      </c>
      <c r="M788" s="79">
        <v>44869</v>
      </c>
      <c r="N788" s="51" t="s">
        <v>2558</v>
      </c>
      <c r="O788" s="80"/>
      <c r="P788" s="82"/>
      <c r="Q788" s="80"/>
      <c r="R788" s="80"/>
      <c r="S788" s="82"/>
      <c r="T788" s="80"/>
      <c r="U788" s="80"/>
      <c r="V788" s="79"/>
      <c r="W788" s="80"/>
      <c r="X788" s="80"/>
    </row>
    <row r="789" spans="1:24" ht="42" customHeight="1">
      <c r="A789" s="80">
        <f t="shared" si="0"/>
        <v>787</v>
      </c>
      <c r="B789" s="51" t="str">
        <f t="shared" si="1"/>
        <v>MA</v>
      </c>
      <c r="C789" s="51" t="s">
        <v>4139</v>
      </c>
      <c r="D789" s="51" t="s">
        <v>725</v>
      </c>
      <c r="E789" s="51" t="s">
        <v>2547</v>
      </c>
      <c r="F789" s="80"/>
      <c r="G789" s="75" t="s">
        <v>4140</v>
      </c>
      <c r="H789" s="80"/>
      <c r="I789" s="54" t="s">
        <v>4141</v>
      </c>
      <c r="J789" s="96" t="s">
        <v>4142</v>
      </c>
      <c r="K789" s="80"/>
      <c r="L789" s="51" t="s">
        <v>78</v>
      </c>
      <c r="M789" s="79">
        <v>44869</v>
      </c>
      <c r="N789" s="51" t="s">
        <v>2538</v>
      </c>
      <c r="O789" s="51" t="s">
        <v>78</v>
      </c>
      <c r="P789" s="79">
        <v>44872</v>
      </c>
      <c r="Q789" s="51" t="s">
        <v>2545</v>
      </c>
      <c r="R789" s="51" t="s">
        <v>78</v>
      </c>
      <c r="S789" s="79">
        <v>44894</v>
      </c>
      <c r="T789" s="51" t="s">
        <v>2545</v>
      </c>
      <c r="U789" s="80"/>
      <c r="V789" s="79"/>
      <c r="W789" s="80"/>
      <c r="X789" s="80"/>
    </row>
    <row r="790" spans="1:24" ht="42" customHeight="1">
      <c r="A790" s="80">
        <f t="shared" si="0"/>
        <v>788</v>
      </c>
      <c r="B790" s="51" t="str">
        <f t="shared" si="1"/>
        <v>MA</v>
      </c>
      <c r="C790" s="81" t="s">
        <v>4143</v>
      </c>
      <c r="D790" s="51" t="s">
        <v>725</v>
      </c>
      <c r="E790" s="51" t="s">
        <v>2547</v>
      </c>
      <c r="F790" s="80"/>
      <c r="G790" s="75" t="s">
        <v>4144</v>
      </c>
      <c r="H790" s="80"/>
      <c r="I790" s="129" t="s">
        <v>4145</v>
      </c>
      <c r="J790" s="77" t="s">
        <v>4146</v>
      </c>
      <c r="K790" s="80"/>
      <c r="L790" s="51" t="s">
        <v>78</v>
      </c>
      <c r="M790" s="79">
        <v>44869</v>
      </c>
      <c r="N790" s="51" t="s">
        <v>2538</v>
      </c>
      <c r="O790" s="51" t="s">
        <v>78</v>
      </c>
      <c r="P790" s="79">
        <v>44872</v>
      </c>
      <c r="Q790" s="51" t="s">
        <v>2558</v>
      </c>
      <c r="R790" s="80"/>
      <c r="S790" s="82"/>
      <c r="T790" s="80"/>
      <c r="U790" s="80"/>
      <c r="V790" s="79"/>
      <c r="W790" s="80"/>
      <c r="X790" s="80"/>
    </row>
    <row r="791" spans="1:24" ht="42" customHeight="1">
      <c r="A791" s="80">
        <f t="shared" si="0"/>
        <v>789</v>
      </c>
      <c r="B791" s="51" t="str">
        <f t="shared" si="1"/>
        <v>MA</v>
      </c>
      <c r="C791" s="85" t="s">
        <v>4147</v>
      </c>
      <c r="D791" s="51" t="s">
        <v>746</v>
      </c>
      <c r="E791" s="51" t="s">
        <v>2559</v>
      </c>
      <c r="F791" s="80"/>
      <c r="G791" s="75" t="s">
        <v>4148</v>
      </c>
      <c r="H791" s="80"/>
      <c r="I791" s="76"/>
      <c r="J791" s="80"/>
      <c r="K791" s="80"/>
      <c r="L791" s="51" t="s">
        <v>78</v>
      </c>
      <c r="M791" s="79">
        <v>44858</v>
      </c>
      <c r="N791" s="51" t="s">
        <v>2560</v>
      </c>
      <c r="O791" s="80"/>
      <c r="P791" s="82"/>
      <c r="Q791" s="80"/>
      <c r="R791" s="51" t="s">
        <v>7</v>
      </c>
      <c r="S791" s="79">
        <v>44865</v>
      </c>
      <c r="T791" s="51" t="s">
        <v>2551</v>
      </c>
      <c r="U791" s="80"/>
      <c r="V791" s="79"/>
      <c r="W791" s="80"/>
      <c r="X791" s="80"/>
    </row>
    <row r="792" spans="1:24" ht="42" customHeight="1">
      <c r="A792" s="80">
        <f t="shared" si="0"/>
        <v>790</v>
      </c>
      <c r="B792" s="51" t="str">
        <f t="shared" si="1"/>
        <v>MA</v>
      </c>
      <c r="C792" s="51" t="s">
        <v>4149</v>
      </c>
      <c r="D792" s="51" t="s">
        <v>4150</v>
      </c>
      <c r="E792" s="51" t="s">
        <v>2559</v>
      </c>
      <c r="F792" s="80"/>
      <c r="G792" s="75" t="s">
        <v>4151</v>
      </c>
      <c r="H792" s="80"/>
      <c r="I792" s="76"/>
      <c r="J792" s="80"/>
      <c r="K792" s="80"/>
      <c r="L792" s="51" t="s">
        <v>98</v>
      </c>
      <c r="M792" s="79">
        <v>44858</v>
      </c>
      <c r="N792" s="51" t="s">
        <v>2561</v>
      </c>
      <c r="O792" s="80"/>
      <c r="P792" s="82"/>
      <c r="Q792" s="80"/>
      <c r="R792" s="80"/>
      <c r="S792" s="82"/>
      <c r="T792" s="80"/>
      <c r="U792" s="80"/>
      <c r="V792" s="79"/>
      <c r="W792" s="80"/>
      <c r="X792" s="80"/>
    </row>
    <row r="793" spans="1:24" ht="42" customHeight="1">
      <c r="A793" s="80">
        <f t="shared" si="0"/>
        <v>791</v>
      </c>
      <c r="B793" s="51" t="str">
        <f t="shared" si="1"/>
        <v>MA</v>
      </c>
      <c r="C793" s="56" t="s">
        <v>4152</v>
      </c>
      <c r="D793" s="51" t="s">
        <v>2765</v>
      </c>
      <c r="E793" s="51" t="s">
        <v>2533</v>
      </c>
      <c r="F793" s="80"/>
      <c r="G793" s="75">
        <f>19184610076</f>
        <v>19184610076</v>
      </c>
      <c r="H793" s="80"/>
      <c r="I793" s="76"/>
      <c r="J793" s="77" t="s">
        <v>4153</v>
      </c>
      <c r="K793" s="80"/>
      <c r="L793" s="51" t="s">
        <v>78</v>
      </c>
      <c r="M793" s="79">
        <v>44859</v>
      </c>
      <c r="N793" s="51" t="s">
        <v>2545</v>
      </c>
      <c r="O793" s="80"/>
      <c r="P793" s="82"/>
      <c r="Q793" s="80"/>
      <c r="R793" s="80"/>
      <c r="S793" s="82"/>
      <c r="T793" s="80"/>
      <c r="U793" s="80"/>
      <c r="V793" s="79"/>
      <c r="W793" s="80"/>
      <c r="X793" s="80"/>
    </row>
    <row r="794" spans="1:24" ht="42" customHeight="1">
      <c r="A794" s="80">
        <f t="shared" si="0"/>
        <v>792</v>
      </c>
      <c r="B794" s="51" t="str">
        <f t="shared" si="1"/>
        <v>MA</v>
      </c>
      <c r="C794" s="51" t="s">
        <v>4154</v>
      </c>
      <c r="D794" s="51" t="s">
        <v>2765</v>
      </c>
      <c r="E794" s="51" t="s">
        <v>3141</v>
      </c>
      <c r="F794" s="80"/>
      <c r="G794" s="75">
        <f>18636400177</f>
        <v>18636400177</v>
      </c>
      <c r="H794" s="80"/>
      <c r="I794" s="76"/>
      <c r="J794" s="96" t="s">
        <v>4155</v>
      </c>
      <c r="K794" s="80"/>
      <c r="L794" s="51" t="s">
        <v>78</v>
      </c>
      <c r="M794" s="79">
        <v>44859</v>
      </c>
      <c r="N794" s="51" t="s">
        <v>2545</v>
      </c>
      <c r="O794" s="80"/>
      <c r="P794" s="82"/>
      <c r="Q794" s="80"/>
      <c r="R794" s="80"/>
      <c r="S794" s="82"/>
      <c r="T794" s="80"/>
      <c r="U794" s="80"/>
      <c r="V794" s="79"/>
      <c r="W794" s="80"/>
      <c r="X794" s="80"/>
    </row>
    <row r="795" spans="1:24" ht="42" customHeight="1">
      <c r="A795" s="80">
        <f t="shared" si="0"/>
        <v>793</v>
      </c>
      <c r="B795" s="51" t="str">
        <f t="shared" si="1"/>
        <v>MA</v>
      </c>
      <c r="C795" s="51" t="s">
        <v>588</v>
      </c>
      <c r="D795" s="51" t="s">
        <v>370</v>
      </c>
      <c r="E795" s="51" t="s">
        <v>2533</v>
      </c>
      <c r="F795" s="80"/>
      <c r="G795" s="75" t="s">
        <v>590</v>
      </c>
      <c r="H795" s="80"/>
      <c r="I795" s="76"/>
      <c r="J795" s="51" t="s">
        <v>589</v>
      </c>
      <c r="K795" s="80"/>
      <c r="L795" s="51" t="s">
        <v>7</v>
      </c>
      <c r="M795" s="79">
        <v>44862</v>
      </c>
      <c r="N795" s="51" t="s">
        <v>2551</v>
      </c>
      <c r="O795" s="51" t="s">
        <v>78</v>
      </c>
      <c r="P795" s="79">
        <v>44872</v>
      </c>
      <c r="Q795" s="51" t="s">
        <v>2538</v>
      </c>
      <c r="R795" s="80"/>
      <c r="S795" s="82"/>
      <c r="T795" s="80"/>
      <c r="U795" s="80"/>
      <c r="V795" s="79"/>
      <c r="W795" s="80"/>
      <c r="X795" s="80"/>
    </row>
    <row r="796" spans="1:24" ht="42" customHeight="1">
      <c r="A796" s="80">
        <f t="shared" si="0"/>
        <v>794</v>
      </c>
      <c r="B796" s="51" t="str">
        <f t="shared" si="1"/>
        <v>MA</v>
      </c>
      <c r="C796" s="51" t="s">
        <v>2748</v>
      </c>
      <c r="D796" s="51" t="s">
        <v>370</v>
      </c>
      <c r="E796" s="51" t="s">
        <v>2533</v>
      </c>
      <c r="F796" s="80"/>
      <c r="G796" s="75" t="s">
        <v>585</v>
      </c>
      <c r="H796" s="80"/>
      <c r="I796" s="89" t="s">
        <v>586</v>
      </c>
      <c r="J796" s="51" t="s">
        <v>4156</v>
      </c>
      <c r="K796" s="80"/>
      <c r="L796" s="51" t="s">
        <v>7</v>
      </c>
      <c r="M796" s="79">
        <v>44862</v>
      </c>
      <c r="N796" s="51" t="s">
        <v>2551</v>
      </c>
      <c r="O796" s="51" t="s">
        <v>78</v>
      </c>
      <c r="P796" s="79">
        <v>44872</v>
      </c>
      <c r="Q796" s="51" t="s">
        <v>2538</v>
      </c>
      <c r="R796" s="80"/>
      <c r="S796" s="82"/>
      <c r="T796" s="80"/>
      <c r="U796" s="80"/>
      <c r="V796" s="79"/>
      <c r="W796" s="80"/>
      <c r="X796" s="80"/>
    </row>
    <row r="797" spans="1:24" ht="42" customHeight="1">
      <c r="A797" s="80">
        <f t="shared" si="0"/>
        <v>795</v>
      </c>
      <c r="B797" s="51" t="str">
        <f t="shared" si="1"/>
        <v>MA</v>
      </c>
      <c r="C797" s="51" t="s">
        <v>4157</v>
      </c>
      <c r="D797" s="51" t="s">
        <v>370</v>
      </c>
      <c r="E797" s="51" t="s">
        <v>2547</v>
      </c>
      <c r="F797" s="80"/>
      <c r="G797" s="75" t="s">
        <v>583</v>
      </c>
      <c r="H797" s="80"/>
      <c r="I797" s="76"/>
      <c r="J797" s="80"/>
      <c r="K797" s="80"/>
      <c r="L797" s="80"/>
      <c r="M797" s="82"/>
      <c r="N797" s="80"/>
      <c r="O797" s="51" t="s">
        <v>78</v>
      </c>
      <c r="P797" s="79">
        <v>44872</v>
      </c>
      <c r="Q797" s="51" t="s">
        <v>2635</v>
      </c>
      <c r="R797" s="80"/>
      <c r="S797" s="82"/>
      <c r="T797" s="80"/>
      <c r="U797" s="80"/>
      <c r="V797" s="79"/>
      <c r="W797" s="80"/>
      <c r="X797" s="80"/>
    </row>
    <row r="798" spans="1:24" ht="42" customHeight="1">
      <c r="A798" s="80">
        <f t="shared" si="0"/>
        <v>796</v>
      </c>
      <c r="B798" s="51" t="str">
        <f t="shared" si="1"/>
        <v>MA</v>
      </c>
      <c r="C798" s="51" t="s">
        <v>2759</v>
      </c>
      <c r="D798" s="51" t="s">
        <v>370</v>
      </c>
      <c r="E798" s="51" t="s">
        <v>2547</v>
      </c>
      <c r="F798" s="80"/>
      <c r="G798" s="75" t="s">
        <v>579</v>
      </c>
      <c r="H798" s="80"/>
      <c r="I798" s="76"/>
      <c r="J798" s="80"/>
      <c r="K798" s="80"/>
      <c r="L798" s="51" t="s">
        <v>78</v>
      </c>
      <c r="M798" s="82"/>
      <c r="N798" s="80"/>
      <c r="O798" s="51" t="s">
        <v>78</v>
      </c>
      <c r="P798" s="79">
        <v>44872</v>
      </c>
      <c r="Q798" s="51" t="s">
        <v>2561</v>
      </c>
      <c r="R798" s="80"/>
      <c r="S798" s="82"/>
      <c r="T798" s="80"/>
      <c r="U798" s="80"/>
      <c r="V798" s="79"/>
      <c r="W798" s="80"/>
      <c r="X798" s="80"/>
    </row>
    <row r="799" spans="1:24" ht="42" customHeight="1">
      <c r="A799" s="80">
        <f t="shared" si="0"/>
        <v>797</v>
      </c>
      <c r="B799" s="51" t="str">
        <f t="shared" si="1"/>
        <v>MA</v>
      </c>
      <c r="C799" s="51" t="s">
        <v>4158</v>
      </c>
      <c r="D799" s="51" t="s">
        <v>370</v>
      </c>
      <c r="E799" s="51" t="s">
        <v>2547</v>
      </c>
      <c r="F799" s="80"/>
      <c r="G799" s="75">
        <v>40021112</v>
      </c>
      <c r="H799" s="80"/>
      <c r="I799" s="54" t="s">
        <v>576</v>
      </c>
      <c r="J799" s="77" t="s">
        <v>577</v>
      </c>
      <c r="K799" s="80"/>
      <c r="L799" s="51" t="s">
        <v>7</v>
      </c>
      <c r="M799" s="79">
        <v>44862</v>
      </c>
      <c r="N799" s="51" t="s">
        <v>2551</v>
      </c>
      <c r="O799" s="51" t="s">
        <v>78</v>
      </c>
      <c r="P799" s="79">
        <v>44872</v>
      </c>
      <c r="Q799" s="51" t="s">
        <v>2538</v>
      </c>
      <c r="R799" s="80"/>
      <c r="S799" s="82"/>
      <c r="T799" s="80"/>
      <c r="U799" s="80"/>
      <c r="V799" s="79"/>
      <c r="W799" s="80"/>
      <c r="X799" s="80"/>
    </row>
    <row r="800" spans="1:24" ht="42" customHeight="1">
      <c r="A800" s="80">
        <f t="shared" si="0"/>
        <v>798</v>
      </c>
      <c r="B800" s="51" t="str">
        <f t="shared" si="1"/>
        <v>MA</v>
      </c>
      <c r="C800" s="51" t="s">
        <v>4159</v>
      </c>
      <c r="D800" s="51" t="s">
        <v>370</v>
      </c>
      <c r="E800" s="51" t="s">
        <v>2559</v>
      </c>
      <c r="F800" s="80"/>
      <c r="G800" s="75" t="s">
        <v>572</v>
      </c>
      <c r="H800" s="80"/>
      <c r="I800" s="54" t="s">
        <v>574</v>
      </c>
      <c r="J800" s="96" t="s">
        <v>573</v>
      </c>
      <c r="K800" s="80"/>
      <c r="L800" s="51" t="s">
        <v>7</v>
      </c>
      <c r="M800" s="79">
        <v>44862</v>
      </c>
      <c r="N800" s="51" t="s">
        <v>2551</v>
      </c>
      <c r="O800" s="51" t="s">
        <v>78</v>
      </c>
      <c r="P800" s="79">
        <v>44872</v>
      </c>
      <c r="Q800" s="51" t="s">
        <v>2545</v>
      </c>
      <c r="R800" s="80"/>
      <c r="S800" s="82"/>
      <c r="T800" s="80"/>
      <c r="U800" s="80"/>
      <c r="V800" s="79"/>
      <c r="W800" s="80"/>
      <c r="X800" s="80"/>
    </row>
    <row r="801" spans="1:24" ht="42" customHeight="1">
      <c r="A801" s="80">
        <f t="shared" si="0"/>
        <v>799</v>
      </c>
      <c r="B801" s="51" t="str">
        <f t="shared" si="1"/>
        <v>MA</v>
      </c>
      <c r="C801" s="51" t="s">
        <v>4160</v>
      </c>
      <c r="D801" s="51" t="s">
        <v>370</v>
      </c>
      <c r="E801" s="51" t="s">
        <v>2547</v>
      </c>
      <c r="F801" s="80"/>
      <c r="G801" s="75" t="s">
        <v>568</v>
      </c>
      <c r="H801" s="80"/>
      <c r="I801" s="76"/>
      <c r="J801" s="56" t="s">
        <v>4161</v>
      </c>
      <c r="K801" s="80"/>
      <c r="L801" s="80"/>
      <c r="M801" s="82"/>
      <c r="N801" s="80"/>
      <c r="O801" s="51" t="s">
        <v>78</v>
      </c>
      <c r="P801" s="79">
        <v>44872</v>
      </c>
      <c r="Q801" s="51" t="s">
        <v>2538</v>
      </c>
      <c r="R801" s="80"/>
      <c r="S801" s="82"/>
      <c r="T801" s="80"/>
      <c r="U801" s="80"/>
      <c r="V801" s="79"/>
      <c r="W801" s="80"/>
      <c r="X801" s="80"/>
    </row>
    <row r="802" spans="1:24" ht="42" customHeight="1">
      <c r="A802" s="80">
        <f t="shared" si="0"/>
        <v>800</v>
      </c>
      <c r="B802" s="51" t="str">
        <f t="shared" si="1"/>
        <v>MA</v>
      </c>
      <c r="C802" s="51" t="s">
        <v>4162</v>
      </c>
      <c r="D802" s="51" t="s">
        <v>370</v>
      </c>
      <c r="E802" s="51" t="s">
        <v>2547</v>
      </c>
      <c r="F802" s="80"/>
      <c r="G802" s="75" t="s">
        <v>4163</v>
      </c>
      <c r="H802" s="80"/>
      <c r="I802" s="54" t="s">
        <v>564</v>
      </c>
      <c r="J802" s="56" t="s">
        <v>566</v>
      </c>
      <c r="K802" s="80"/>
      <c r="L802" s="51" t="s">
        <v>7</v>
      </c>
      <c r="M802" s="79">
        <v>44862</v>
      </c>
      <c r="N802" s="51" t="s">
        <v>2551</v>
      </c>
      <c r="O802" s="51" t="s">
        <v>78</v>
      </c>
      <c r="P802" s="79">
        <v>44872</v>
      </c>
      <c r="Q802" s="51" t="s">
        <v>2545</v>
      </c>
      <c r="R802" s="80"/>
      <c r="S802" s="82"/>
      <c r="T802" s="80"/>
      <c r="U802" s="80"/>
      <c r="V802" s="79"/>
      <c r="W802" s="80"/>
      <c r="X802" s="80"/>
    </row>
    <row r="803" spans="1:24" ht="42" customHeight="1">
      <c r="A803" s="80">
        <f t="shared" si="0"/>
        <v>801</v>
      </c>
      <c r="B803" s="51" t="str">
        <f t="shared" si="1"/>
        <v>MA</v>
      </c>
      <c r="C803" s="51" t="s">
        <v>4164</v>
      </c>
      <c r="D803" s="51" t="s">
        <v>370</v>
      </c>
      <c r="E803" s="51" t="s">
        <v>2533</v>
      </c>
      <c r="F803" s="80"/>
      <c r="G803" s="75" t="s">
        <v>559</v>
      </c>
      <c r="H803" s="51" t="s">
        <v>560</v>
      </c>
      <c r="I803" s="54" t="s">
        <v>562</v>
      </c>
      <c r="J803" s="77" t="s">
        <v>561</v>
      </c>
      <c r="K803" s="80"/>
      <c r="L803" s="51" t="s">
        <v>7</v>
      </c>
      <c r="M803" s="79">
        <v>44862</v>
      </c>
      <c r="N803" s="51" t="s">
        <v>2551</v>
      </c>
      <c r="O803" s="51" t="s">
        <v>78</v>
      </c>
      <c r="P803" s="79">
        <v>44872</v>
      </c>
      <c r="Q803" s="51" t="s">
        <v>2551</v>
      </c>
      <c r="R803" s="51" t="s">
        <v>7</v>
      </c>
      <c r="S803" s="79">
        <v>44865</v>
      </c>
      <c r="T803" s="51" t="s">
        <v>2560</v>
      </c>
      <c r="U803" s="80"/>
      <c r="V803" s="79"/>
      <c r="W803" s="80"/>
      <c r="X803" s="80"/>
    </row>
    <row r="804" spans="1:24" ht="42" customHeight="1">
      <c r="A804" s="80">
        <f t="shared" si="0"/>
        <v>802</v>
      </c>
      <c r="B804" s="51" t="str">
        <f t="shared" si="1"/>
        <v>MA</v>
      </c>
      <c r="C804" s="81" t="s">
        <v>4165</v>
      </c>
      <c r="D804" s="51" t="s">
        <v>370</v>
      </c>
      <c r="E804" s="51" t="s">
        <v>2533</v>
      </c>
      <c r="F804" s="80"/>
      <c r="G804" s="75" t="s">
        <v>4166</v>
      </c>
      <c r="H804" s="80"/>
      <c r="I804" s="54" t="s">
        <v>4167</v>
      </c>
      <c r="J804" s="77" t="s">
        <v>4168</v>
      </c>
      <c r="K804" s="80"/>
      <c r="L804" s="51" t="s">
        <v>7</v>
      </c>
      <c r="M804" s="79">
        <v>44862</v>
      </c>
      <c r="N804" s="51" t="s">
        <v>2551</v>
      </c>
      <c r="O804" s="51" t="s">
        <v>78</v>
      </c>
      <c r="P804" s="79">
        <v>44872</v>
      </c>
      <c r="Q804" s="51" t="s">
        <v>2558</v>
      </c>
      <c r="R804" s="51" t="s">
        <v>7</v>
      </c>
      <c r="S804" s="79">
        <v>44865</v>
      </c>
      <c r="T804" s="51" t="s">
        <v>2560</v>
      </c>
      <c r="U804" s="80"/>
      <c r="V804" s="79"/>
      <c r="W804" s="80"/>
      <c r="X804" s="80"/>
    </row>
    <row r="805" spans="1:24" ht="42" customHeight="1">
      <c r="A805" s="80">
        <f t="shared" si="0"/>
        <v>803</v>
      </c>
      <c r="B805" s="51" t="str">
        <f t="shared" si="1"/>
        <v>MA</v>
      </c>
      <c r="C805" s="51" t="s">
        <v>4169</v>
      </c>
      <c r="D805" s="51" t="s">
        <v>370</v>
      </c>
      <c r="E805" s="80"/>
      <c r="F805" s="80"/>
      <c r="G805" s="75">
        <f>97450992100</f>
        <v>97450992100</v>
      </c>
      <c r="H805" s="51" t="s">
        <v>554</v>
      </c>
      <c r="I805" s="126" t="s">
        <v>556</v>
      </c>
      <c r="J805" s="77" t="s">
        <v>555</v>
      </c>
      <c r="K805" s="80"/>
      <c r="L805" s="51" t="s">
        <v>78</v>
      </c>
      <c r="M805" s="79">
        <v>44859</v>
      </c>
      <c r="N805" s="51" t="s">
        <v>2551</v>
      </c>
      <c r="O805" s="51" t="s">
        <v>78</v>
      </c>
      <c r="P805" s="79">
        <v>44872</v>
      </c>
      <c r="Q805" s="51" t="s">
        <v>2552</v>
      </c>
      <c r="R805" s="51" t="s">
        <v>7</v>
      </c>
      <c r="S805" s="79">
        <v>44865</v>
      </c>
      <c r="T805" s="51" t="s">
        <v>2560</v>
      </c>
      <c r="U805" s="80"/>
      <c r="V805" s="79"/>
      <c r="W805" s="80"/>
      <c r="X805" s="80"/>
    </row>
    <row r="806" spans="1:24" ht="42" customHeight="1">
      <c r="A806" s="80">
        <f t="shared" si="0"/>
        <v>804</v>
      </c>
      <c r="B806" s="51" t="str">
        <f t="shared" si="1"/>
        <v>MA</v>
      </c>
      <c r="C806" s="51" t="s">
        <v>4170</v>
      </c>
      <c r="D806" s="51" t="s">
        <v>370</v>
      </c>
      <c r="E806" s="51" t="s">
        <v>2559</v>
      </c>
      <c r="F806" s="80"/>
      <c r="G806" s="75" t="s">
        <v>549</v>
      </c>
      <c r="H806" s="80"/>
      <c r="I806" s="111" t="s">
        <v>548</v>
      </c>
      <c r="J806" s="77" t="s">
        <v>550</v>
      </c>
      <c r="K806" s="80"/>
      <c r="L806" s="51" t="s">
        <v>7</v>
      </c>
      <c r="M806" s="79">
        <v>44862</v>
      </c>
      <c r="N806" s="51" t="s">
        <v>2551</v>
      </c>
      <c r="O806" s="51" t="s">
        <v>78</v>
      </c>
      <c r="P806" s="79">
        <v>44872</v>
      </c>
      <c r="Q806" s="51" t="s">
        <v>2560</v>
      </c>
      <c r="R806" s="51" t="s">
        <v>7</v>
      </c>
      <c r="S806" s="79">
        <v>44865</v>
      </c>
      <c r="T806" s="51" t="s">
        <v>2560</v>
      </c>
      <c r="U806" s="51" t="s">
        <v>78</v>
      </c>
      <c r="V806" s="79">
        <v>44886</v>
      </c>
      <c r="W806" s="51" t="s">
        <v>2538</v>
      </c>
      <c r="X806" s="80"/>
    </row>
    <row r="807" spans="1:24" ht="42" customHeight="1">
      <c r="A807" s="80">
        <f t="shared" si="0"/>
        <v>805</v>
      </c>
      <c r="B807" s="51" t="str">
        <f t="shared" si="1"/>
        <v>MA</v>
      </c>
      <c r="C807" s="81" t="s">
        <v>4171</v>
      </c>
      <c r="D807" s="51" t="s">
        <v>370</v>
      </c>
      <c r="E807" s="80"/>
      <c r="F807" s="80"/>
      <c r="G807" s="75" t="s">
        <v>4172</v>
      </c>
      <c r="H807" s="80"/>
      <c r="I807" s="54" t="s">
        <v>564</v>
      </c>
      <c r="J807" s="80"/>
      <c r="K807" s="80"/>
      <c r="L807" s="80"/>
      <c r="M807" s="82"/>
      <c r="N807" s="80"/>
      <c r="O807" s="51" t="s">
        <v>78</v>
      </c>
      <c r="P807" s="79">
        <v>44872</v>
      </c>
      <c r="Q807" s="51" t="s">
        <v>2545</v>
      </c>
      <c r="R807" s="80"/>
      <c r="S807" s="82"/>
      <c r="T807" s="80"/>
      <c r="U807" s="80"/>
      <c r="V807" s="79"/>
      <c r="W807" s="80"/>
      <c r="X807" s="80"/>
    </row>
    <row r="808" spans="1:24" ht="42" customHeight="1">
      <c r="A808" s="80">
        <f t="shared" si="0"/>
        <v>806</v>
      </c>
      <c r="B808" s="51" t="str">
        <f t="shared" si="1"/>
        <v>MA</v>
      </c>
      <c r="C808" s="51" t="s">
        <v>4173</v>
      </c>
      <c r="D808" s="51" t="s">
        <v>370</v>
      </c>
      <c r="E808" s="51" t="s">
        <v>2547</v>
      </c>
      <c r="F808" s="80"/>
      <c r="G808" s="75"/>
      <c r="H808" s="80"/>
      <c r="I808" s="54" t="s">
        <v>546</v>
      </c>
      <c r="J808" s="80"/>
      <c r="K808" s="80"/>
      <c r="L808" s="80"/>
      <c r="M808" s="82"/>
      <c r="N808" s="80"/>
      <c r="O808" s="51" t="s">
        <v>78</v>
      </c>
      <c r="P808" s="79">
        <v>44872</v>
      </c>
      <c r="Q808" s="51" t="s">
        <v>2538</v>
      </c>
      <c r="R808" s="80"/>
      <c r="S808" s="82"/>
      <c r="T808" s="80"/>
      <c r="U808" s="80"/>
      <c r="V808" s="79"/>
      <c r="W808" s="80"/>
      <c r="X808" s="80"/>
    </row>
    <row r="809" spans="1:24" ht="42" customHeight="1">
      <c r="A809" s="80">
        <f t="shared" si="0"/>
        <v>807</v>
      </c>
      <c r="B809" s="51" t="str">
        <f t="shared" si="1"/>
        <v>MA</v>
      </c>
      <c r="C809" s="81" t="s">
        <v>522</v>
      </c>
      <c r="D809" s="51" t="s">
        <v>370</v>
      </c>
      <c r="E809" s="51" t="s">
        <v>2547</v>
      </c>
      <c r="F809" s="80"/>
      <c r="G809" s="75" t="s">
        <v>4174</v>
      </c>
      <c r="H809" s="80"/>
      <c r="I809" s="122" t="s">
        <v>4175</v>
      </c>
      <c r="J809" s="51" t="s">
        <v>4176</v>
      </c>
      <c r="K809" s="80"/>
      <c r="L809" s="51" t="s">
        <v>7</v>
      </c>
      <c r="M809" s="79">
        <v>44862</v>
      </c>
      <c r="N809" s="51" t="s">
        <v>2551</v>
      </c>
      <c r="O809" s="51" t="s">
        <v>78</v>
      </c>
      <c r="P809" s="79">
        <v>44872</v>
      </c>
      <c r="Q809" s="51" t="s">
        <v>2545</v>
      </c>
      <c r="R809" s="51" t="s">
        <v>7</v>
      </c>
      <c r="S809" s="79">
        <v>44865</v>
      </c>
      <c r="T809" s="51" t="s">
        <v>2560</v>
      </c>
      <c r="U809" s="80"/>
      <c r="V809" s="79"/>
      <c r="W809" s="80"/>
      <c r="X809" s="80"/>
    </row>
    <row r="810" spans="1:24" ht="42" customHeight="1">
      <c r="A810" s="80">
        <f t="shared" si="0"/>
        <v>808</v>
      </c>
      <c r="B810" s="51" t="str">
        <f t="shared" si="1"/>
        <v>MA</v>
      </c>
      <c r="C810" s="51" t="s">
        <v>4177</v>
      </c>
      <c r="D810" s="51" t="s">
        <v>370</v>
      </c>
      <c r="E810" s="51" t="s">
        <v>2533</v>
      </c>
      <c r="F810" s="80"/>
      <c r="G810" s="75" t="s">
        <v>4178</v>
      </c>
      <c r="H810" s="80"/>
      <c r="I810" s="129" t="s">
        <v>4179</v>
      </c>
      <c r="J810" s="51" t="s">
        <v>543</v>
      </c>
      <c r="K810" s="80"/>
      <c r="L810" s="51" t="s">
        <v>7</v>
      </c>
      <c r="M810" s="79">
        <v>44862</v>
      </c>
      <c r="N810" s="51" t="s">
        <v>2551</v>
      </c>
      <c r="O810" s="51" t="s">
        <v>78</v>
      </c>
      <c r="P810" s="79">
        <v>44872</v>
      </c>
      <c r="Q810" s="51" t="s">
        <v>2551</v>
      </c>
      <c r="R810" s="51" t="s">
        <v>7</v>
      </c>
      <c r="S810" s="79">
        <v>44865</v>
      </c>
      <c r="T810" s="51" t="s">
        <v>2560</v>
      </c>
      <c r="U810" s="80"/>
      <c r="V810" s="79"/>
      <c r="W810" s="80"/>
      <c r="X810" s="80"/>
    </row>
    <row r="811" spans="1:24" ht="42" customHeight="1">
      <c r="A811" s="80">
        <f t="shared" si="0"/>
        <v>809</v>
      </c>
      <c r="B811" s="51" t="str">
        <f t="shared" si="1"/>
        <v>MA</v>
      </c>
      <c r="C811" s="51" t="s">
        <v>4180</v>
      </c>
      <c r="D811" s="51" t="s">
        <v>370</v>
      </c>
      <c r="E811" s="80"/>
      <c r="F811" s="80"/>
      <c r="G811" s="75">
        <f>97444161209</f>
        <v>97444161209</v>
      </c>
      <c r="H811" s="80"/>
      <c r="I811" s="57" t="s">
        <v>540</v>
      </c>
      <c r="J811" s="80"/>
      <c r="K811" s="80"/>
      <c r="L811" s="80"/>
      <c r="M811" s="82"/>
      <c r="N811" s="80"/>
      <c r="O811" s="51" t="s">
        <v>78</v>
      </c>
      <c r="P811" s="79">
        <v>44872</v>
      </c>
      <c r="Q811" s="51" t="s">
        <v>2560</v>
      </c>
      <c r="R811" s="51" t="s">
        <v>7</v>
      </c>
      <c r="S811" s="79">
        <v>44865</v>
      </c>
      <c r="T811" s="51" t="s">
        <v>2551</v>
      </c>
      <c r="U811" s="80"/>
      <c r="V811" s="79"/>
      <c r="W811" s="80"/>
      <c r="X811" s="80"/>
    </row>
    <row r="812" spans="1:24" ht="42" customHeight="1">
      <c r="A812" s="80">
        <f t="shared" si="0"/>
        <v>810</v>
      </c>
      <c r="B812" s="51" t="str">
        <f t="shared" si="1"/>
        <v>MA</v>
      </c>
      <c r="C812" s="51" t="s">
        <v>4181</v>
      </c>
      <c r="D812" s="51" t="s">
        <v>370</v>
      </c>
      <c r="E812" s="80"/>
      <c r="F812" s="80"/>
      <c r="G812" s="75" t="s">
        <v>536</v>
      </c>
      <c r="H812" s="80"/>
      <c r="I812" s="57" t="s">
        <v>4182</v>
      </c>
      <c r="J812" s="77" t="s">
        <v>537</v>
      </c>
      <c r="K812" s="80"/>
      <c r="L812" s="80"/>
      <c r="M812" s="82"/>
      <c r="N812" s="80"/>
      <c r="O812" s="51" t="s">
        <v>78</v>
      </c>
      <c r="P812" s="79">
        <v>44872</v>
      </c>
      <c r="Q812" s="51" t="s">
        <v>2545</v>
      </c>
      <c r="R812" s="51" t="s">
        <v>7</v>
      </c>
      <c r="S812" s="79">
        <v>44865</v>
      </c>
      <c r="T812" s="51" t="s">
        <v>2551</v>
      </c>
      <c r="U812" s="80"/>
      <c r="V812" s="79"/>
      <c r="W812" s="80"/>
      <c r="X812" s="80"/>
    </row>
    <row r="813" spans="1:24" ht="42" customHeight="1">
      <c r="A813" s="80">
        <f t="shared" si="0"/>
        <v>811</v>
      </c>
      <c r="B813" s="51" t="str">
        <f t="shared" si="1"/>
        <v>MA</v>
      </c>
      <c r="C813" s="81" t="s">
        <v>4183</v>
      </c>
      <c r="D813" s="51" t="s">
        <v>992</v>
      </c>
      <c r="E813" s="51" t="s">
        <v>2533</v>
      </c>
      <c r="F813" s="80"/>
      <c r="G813" s="75" t="s">
        <v>4184</v>
      </c>
      <c r="H813" s="80"/>
      <c r="I813" s="54" t="s">
        <v>4185</v>
      </c>
      <c r="J813" s="77" t="s">
        <v>4186</v>
      </c>
      <c r="K813" s="80"/>
      <c r="L813" s="51" t="s">
        <v>78</v>
      </c>
      <c r="M813" s="79">
        <v>44869</v>
      </c>
      <c r="N813" s="51" t="s">
        <v>2558</v>
      </c>
      <c r="O813" s="80"/>
      <c r="P813" s="82"/>
      <c r="Q813" s="80"/>
      <c r="R813" s="80"/>
      <c r="S813" s="82"/>
      <c r="T813" s="80"/>
      <c r="U813" s="80"/>
      <c r="V813" s="79"/>
      <c r="W813" s="80"/>
      <c r="X813" s="80"/>
    </row>
    <row r="814" spans="1:24" ht="42" customHeight="1">
      <c r="A814" s="80">
        <f t="shared" si="0"/>
        <v>812</v>
      </c>
      <c r="B814" s="51" t="str">
        <f t="shared" si="1"/>
        <v>MA</v>
      </c>
      <c r="C814" s="81" t="s">
        <v>4187</v>
      </c>
      <c r="D814" s="51" t="s">
        <v>992</v>
      </c>
      <c r="E814" s="51" t="s">
        <v>2547</v>
      </c>
      <c r="F814" s="80"/>
      <c r="G814" s="75" t="s">
        <v>4188</v>
      </c>
      <c r="H814" s="80"/>
      <c r="I814" s="54" t="s">
        <v>4189</v>
      </c>
      <c r="J814" s="96" t="s">
        <v>4190</v>
      </c>
      <c r="K814" s="80"/>
      <c r="L814" s="51" t="s">
        <v>7</v>
      </c>
      <c r="M814" s="79">
        <v>44869</v>
      </c>
      <c r="N814" s="51" t="s">
        <v>2558</v>
      </c>
      <c r="O814" s="80"/>
      <c r="P814" s="82"/>
      <c r="Q814" s="80"/>
      <c r="R814" s="80"/>
      <c r="S814" s="82"/>
      <c r="T814" s="80"/>
      <c r="U814" s="80"/>
      <c r="V814" s="79"/>
      <c r="W814" s="80"/>
      <c r="X814" s="80"/>
    </row>
    <row r="815" spans="1:24" ht="42" customHeight="1">
      <c r="A815" s="80">
        <f t="shared" si="0"/>
        <v>813</v>
      </c>
      <c r="B815" s="51" t="str">
        <f t="shared" si="1"/>
        <v>MA</v>
      </c>
      <c r="C815" s="51" t="s">
        <v>4191</v>
      </c>
      <c r="D815" s="51" t="s">
        <v>992</v>
      </c>
      <c r="E815" s="51" t="s">
        <v>2547</v>
      </c>
      <c r="F815" s="80"/>
      <c r="G815" s="75" t="s">
        <v>4192</v>
      </c>
      <c r="H815" s="80"/>
      <c r="I815" s="54" t="s">
        <v>4193</v>
      </c>
      <c r="J815" s="96" t="s">
        <v>4194</v>
      </c>
      <c r="K815" s="80"/>
      <c r="L815" s="51" t="s">
        <v>78</v>
      </c>
      <c r="M815" s="79">
        <v>44869</v>
      </c>
      <c r="N815" s="51" t="s">
        <v>2538</v>
      </c>
      <c r="O815" s="80"/>
      <c r="P815" s="82"/>
      <c r="Q815" s="80"/>
      <c r="R815" s="80"/>
      <c r="S815" s="82"/>
      <c r="T815" s="80"/>
      <c r="U815" s="80"/>
      <c r="V815" s="79"/>
      <c r="W815" s="80"/>
      <c r="X815" s="80"/>
    </row>
    <row r="816" spans="1:24" ht="42" customHeight="1">
      <c r="A816" s="80">
        <f t="shared" si="0"/>
        <v>814</v>
      </c>
      <c r="B816" s="51" t="str">
        <f t="shared" si="1"/>
        <v>MA</v>
      </c>
      <c r="C816" s="81" t="s">
        <v>4195</v>
      </c>
      <c r="D816" s="51" t="s">
        <v>992</v>
      </c>
      <c r="E816" s="51" t="s">
        <v>3141</v>
      </c>
      <c r="F816" s="80"/>
      <c r="G816" s="75" t="s">
        <v>4196</v>
      </c>
      <c r="H816" s="80"/>
      <c r="I816" s="76"/>
      <c r="J816" s="96" t="s">
        <v>4197</v>
      </c>
      <c r="K816" s="80"/>
      <c r="L816" s="51" t="s">
        <v>78</v>
      </c>
      <c r="M816" s="79">
        <v>44810</v>
      </c>
      <c r="N816" s="80"/>
      <c r="O816" s="80"/>
      <c r="P816" s="82"/>
      <c r="Q816" s="80"/>
      <c r="R816" s="80"/>
      <c r="S816" s="82"/>
      <c r="T816" s="80"/>
      <c r="U816" s="80"/>
      <c r="V816" s="79"/>
      <c r="W816" s="80"/>
      <c r="X816" s="80"/>
    </row>
    <row r="817" spans="1:24" ht="42" customHeight="1">
      <c r="A817" s="80">
        <f t="shared" si="0"/>
        <v>815</v>
      </c>
      <c r="B817" s="51" t="str">
        <f t="shared" si="1"/>
        <v>MA</v>
      </c>
      <c r="C817" s="51" t="s">
        <v>4198</v>
      </c>
      <c r="D817" s="51" t="s">
        <v>746</v>
      </c>
      <c r="E817" s="51" t="s">
        <v>2547</v>
      </c>
      <c r="F817" s="80"/>
      <c r="G817" s="75" t="s">
        <v>4199</v>
      </c>
      <c r="H817" s="80"/>
      <c r="I817" s="54" t="s">
        <v>4200</v>
      </c>
      <c r="J817" s="96" t="s">
        <v>4201</v>
      </c>
      <c r="K817" s="80"/>
      <c r="L817" s="51" t="s">
        <v>7</v>
      </c>
      <c r="M817" s="79">
        <v>44862</v>
      </c>
      <c r="N817" s="51" t="s">
        <v>2551</v>
      </c>
      <c r="O817" s="80"/>
      <c r="P817" s="82"/>
      <c r="Q817" s="80"/>
      <c r="R817" s="51" t="s">
        <v>78</v>
      </c>
      <c r="S817" s="79">
        <v>44865</v>
      </c>
      <c r="T817" s="51" t="s">
        <v>4131</v>
      </c>
      <c r="U817" s="80"/>
      <c r="V817" s="79"/>
      <c r="W817" s="80"/>
      <c r="X817" s="80"/>
    </row>
    <row r="818" spans="1:24" ht="42" customHeight="1">
      <c r="A818" s="80">
        <f t="shared" si="0"/>
        <v>816</v>
      </c>
      <c r="B818" s="51" t="str">
        <f t="shared" si="1"/>
        <v>MA</v>
      </c>
      <c r="C818" s="51" t="s">
        <v>4202</v>
      </c>
      <c r="D818" s="51" t="s">
        <v>746</v>
      </c>
      <c r="E818" s="51" t="s">
        <v>2559</v>
      </c>
      <c r="F818" s="80"/>
      <c r="G818" s="75" t="s">
        <v>4203</v>
      </c>
      <c r="H818" s="51" t="s">
        <v>4204</v>
      </c>
      <c r="I818" s="54" t="s">
        <v>4205</v>
      </c>
      <c r="J818" s="77" t="s">
        <v>4206</v>
      </c>
      <c r="K818" s="80"/>
      <c r="L818" s="51" t="s">
        <v>7</v>
      </c>
      <c r="M818" s="79">
        <v>44862</v>
      </c>
      <c r="N818" s="51" t="s">
        <v>2551</v>
      </c>
      <c r="O818" s="80"/>
      <c r="P818" s="82"/>
      <c r="Q818" s="80"/>
      <c r="R818" s="51" t="s">
        <v>78</v>
      </c>
      <c r="S818" s="79">
        <v>44865</v>
      </c>
      <c r="T818" s="51" t="s">
        <v>2552</v>
      </c>
      <c r="U818" s="80"/>
      <c r="V818" s="79"/>
      <c r="W818" s="80"/>
      <c r="X818" s="80"/>
    </row>
    <row r="819" spans="1:24" ht="42" customHeight="1">
      <c r="A819" s="80">
        <f t="shared" si="0"/>
        <v>817</v>
      </c>
      <c r="B819" s="51" t="str">
        <f t="shared" si="1"/>
        <v>MA</v>
      </c>
      <c r="C819" s="51" t="s">
        <v>4207</v>
      </c>
      <c r="D819" s="51" t="s">
        <v>725</v>
      </c>
      <c r="E819" s="51" t="s">
        <v>2533</v>
      </c>
      <c r="F819" s="80"/>
      <c r="G819" s="75" t="s">
        <v>4208</v>
      </c>
      <c r="H819" s="80"/>
      <c r="I819" s="54" t="s">
        <v>4209</v>
      </c>
      <c r="J819" s="77" t="s">
        <v>4210</v>
      </c>
      <c r="K819" s="80"/>
      <c r="L819" s="51" t="s">
        <v>78</v>
      </c>
      <c r="M819" s="79">
        <v>44869</v>
      </c>
      <c r="N819" s="51" t="s">
        <v>2632</v>
      </c>
      <c r="O819" s="51" t="s">
        <v>7</v>
      </c>
      <c r="P819" s="79">
        <v>44894</v>
      </c>
      <c r="Q819" s="51" t="s">
        <v>2551</v>
      </c>
      <c r="R819" s="80"/>
      <c r="S819" s="82"/>
      <c r="T819" s="80"/>
      <c r="U819" s="80"/>
      <c r="V819" s="79"/>
      <c r="W819" s="80"/>
      <c r="X819" s="80"/>
    </row>
    <row r="820" spans="1:24" ht="42" customHeight="1">
      <c r="A820" s="80">
        <f t="shared" si="0"/>
        <v>818</v>
      </c>
      <c r="B820" s="51" t="str">
        <f t="shared" si="1"/>
        <v>MA</v>
      </c>
      <c r="C820" s="51" t="s">
        <v>4211</v>
      </c>
      <c r="D820" s="51" t="s">
        <v>725</v>
      </c>
      <c r="E820" s="51" t="s">
        <v>2533</v>
      </c>
      <c r="F820" s="80"/>
      <c r="G820" s="75"/>
      <c r="H820" s="80"/>
      <c r="I820" s="76"/>
      <c r="J820" s="51" t="s">
        <v>4212</v>
      </c>
      <c r="K820" s="80"/>
      <c r="L820" s="51" t="s">
        <v>7</v>
      </c>
      <c r="M820" s="79">
        <v>44862</v>
      </c>
      <c r="N820" s="51" t="s">
        <v>2551</v>
      </c>
      <c r="O820" s="51" t="s">
        <v>7</v>
      </c>
      <c r="P820" s="79">
        <v>44894</v>
      </c>
      <c r="Q820" s="51" t="s">
        <v>2551</v>
      </c>
      <c r="R820" s="80"/>
      <c r="S820" s="82"/>
      <c r="T820" s="80"/>
      <c r="U820" s="80"/>
      <c r="V820" s="79"/>
      <c r="W820" s="80"/>
      <c r="X820" s="80"/>
    </row>
    <row r="821" spans="1:24" ht="42" customHeight="1">
      <c r="A821" s="80">
        <f t="shared" si="0"/>
        <v>819</v>
      </c>
      <c r="B821" s="51" t="str">
        <f t="shared" si="1"/>
        <v>MA</v>
      </c>
      <c r="C821" s="51" t="s">
        <v>4213</v>
      </c>
      <c r="D821" s="51" t="s">
        <v>4013</v>
      </c>
      <c r="E821" s="51" t="s">
        <v>2533</v>
      </c>
      <c r="F821" s="80"/>
      <c r="G821" s="75">
        <f>923219999138</f>
        <v>923219999138</v>
      </c>
      <c r="H821" s="80"/>
      <c r="I821" s="122" t="s">
        <v>4214</v>
      </c>
      <c r="J821" s="51" t="s">
        <v>4215</v>
      </c>
      <c r="K821" s="80"/>
      <c r="L821" s="51" t="s">
        <v>78</v>
      </c>
      <c r="M821" s="79">
        <v>44866</v>
      </c>
      <c r="N821" s="51" t="s">
        <v>2551</v>
      </c>
      <c r="O821" s="80"/>
      <c r="P821" s="82"/>
      <c r="Q821" s="80"/>
      <c r="R821" s="80"/>
      <c r="S821" s="82"/>
      <c r="T821" s="80"/>
      <c r="U821" s="80"/>
      <c r="V821" s="79"/>
      <c r="W821" s="80"/>
      <c r="X821" s="80"/>
    </row>
    <row r="822" spans="1:24" ht="42" customHeight="1">
      <c r="A822" s="80">
        <f t="shared" si="0"/>
        <v>820</v>
      </c>
      <c r="B822" s="51" t="str">
        <f t="shared" si="1"/>
        <v>MA</v>
      </c>
      <c r="C822" s="51" t="s">
        <v>4216</v>
      </c>
      <c r="D822" s="51" t="s">
        <v>2839</v>
      </c>
      <c r="E822" s="51" t="s">
        <v>2533</v>
      </c>
      <c r="F822" s="80"/>
      <c r="G822" s="75" t="s">
        <v>4217</v>
      </c>
      <c r="H822" s="80"/>
      <c r="I822" s="76"/>
      <c r="J822" s="80"/>
      <c r="K822" s="80"/>
      <c r="L822" s="80"/>
      <c r="M822" s="79">
        <v>44861</v>
      </c>
      <c r="N822" s="80"/>
      <c r="O822" s="80"/>
      <c r="P822" s="82"/>
      <c r="Q822" s="80"/>
      <c r="R822" s="80"/>
      <c r="S822" s="82"/>
      <c r="T822" s="80"/>
      <c r="U822" s="80"/>
      <c r="V822" s="79"/>
      <c r="W822" s="80"/>
      <c r="X822" s="80"/>
    </row>
    <row r="823" spans="1:24" ht="42" customHeight="1">
      <c r="A823" s="80">
        <f t="shared" si="0"/>
        <v>821</v>
      </c>
      <c r="B823" s="51" t="str">
        <f t="shared" si="1"/>
        <v>MA</v>
      </c>
      <c r="C823" s="87" t="s">
        <v>4218</v>
      </c>
      <c r="D823" s="51" t="s">
        <v>104</v>
      </c>
      <c r="E823" s="51" t="s">
        <v>2533</v>
      </c>
      <c r="F823" s="80"/>
      <c r="G823" s="75" t="s">
        <v>112</v>
      </c>
      <c r="H823" s="80"/>
      <c r="I823" s="76"/>
      <c r="J823" s="80"/>
      <c r="K823" s="80"/>
      <c r="L823" s="80"/>
      <c r="M823" s="79">
        <v>44805</v>
      </c>
      <c r="N823" s="80"/>
      <c r="O823" s="80"/>
      <c r="P823" s="82"/>
      <c r="Q823" s="80"/>
      <c r="R823" s="80"/>
      <c r="S823" s="82"/>
      <c r="T823" s="80"/>
      <c r="U823" s="80"/>
      <c r="V823" s="79"/>
      <c r="W823" s="80"/>
      <c r="X823" s="80"/>
    </row>
    <row r="824" spans="1:24" ht="42" customHeight="1">
      <c r="A824" s="80">
        <f t="shared" si="0"/>
        <v>822</v>
      </c>
      <c r="B824" s="51" t="str">
        <f t="shared" si="1"/>
        <v>MA</v>
      </c>
      <c r="C824" s="87" t="s">
        <v>4219</v>
      </c>
      <c r="D824" s="51" t="s">
        <v>1298</v>
      </c>
      <c r="E824" s="51" t="s">
        <v>2533</v>
      </c>
      <c r="F824" s="80"/>
      <c r="G824" s="75" t="s">
        <v>4220</v>
      </c>
      <c r="H824" s="80"/>
      <c r="I824" s="76"/>
      <c r="J824" s="80"/>
      <c r="K824" s="80"/>
      <c r="L824" s="80"/>
      <c r="M824" s="79">
        <v>44788</v>
      </c>
      <c r="N824" s="80"/>
      <c r="O824" s="80"/>
      <c r="P824" s="82"/>
      <c r="Q824" s="80"/>
      <c r="R824" s="80"/>
      <c r="S824" s="82"/>
      <c r="T824" s="80"/>
      <c r="U824" s="80"/>
      <c r="V824" s="79"/>
      <c r="W824" s="80"/>
      <c r="X824" s="80"/>
    </row>
    <row r="825" spans="1:24" ht="42" customHeight="1">
      <c r="A825" s="80">
        <f t="shared" si="0"/>
        <v>823</v>
      </c>
      <c r="B825" s="51" t="str">
        <f t="shared" si="1"/>
        <v>MA</v>
      </c>
      <c r="C825" s="51" t="s">
        <v>634</v>
      </c>
      <c r="D825" s="51" t="s">
        <v>627</v>
      </c>
      <c r="E825" s="51" t="s">
        <v>2533</v>
      </c>
      <c r="F825" s="80"/>
      <c r="G825" s="75" t="s">
        <v>635</v>
      </c>
      <c r="H825" s="80"/>
      <c r="I825" s="76"/>
      <c r="J825" s="80"/>
      <c r="K825" s="80"/>
      <c r="L825" s="51" t="s">
        <v>78</v>
      </c>
      <c r="M825" s="79">
        <v>44893</v>
      </c>
      <c r="N825" s="51" t="s">
        <v>2538</v>
      </c>
      <c r="O825" s="80"/>
      <c r="P825" s="82"/>
      <c r="Q825" s="80"/>
      <c r="R825" s="80"/>
      <c r="S825" s="82"/>
      <c r="T825" s="80"/>
      <c r="U825" s="80"/>
      <c r="V825" s="79"/>
      <c r="W825" s="80"/>
      <c r="X825" s="80"/>
    </row>
    <row r="826" spans="1:24" ht="42" customHeight="1">
      <c r="A826" s="80">
        <f t="shared" si="0"/>
        <v>824</v>
      </c>
      <c r="B826" s="51" t="str">
        <f t="shared" si="1"/>
        <v>MA</v>
      </c>
      <c r="C826" s="81" t="s">
        <v>4221</v>
      </c>
      <c r="D826" s="51" t="s">
        <v>4222</v>
      </c>
      <c r="E826" s="51" t="s">
        <v>2547</v>
      </c>
      <c r="F826" s="80"/>
      <c r="G826" s="75" t="s">
        <v>4223</v>
      </c>
      <c r="H826" s="80"/>
      <c r="I826" s="76"/>
      <c r="J826" s="80"/>
      <c r="K826" s="80"/>
      <c r="L826" s="80"/>
      <c r="M826" s="79">
        <v>44790</v>
      </c>
      <c r="N826" s="80"/>
      <c r="O826" s="80"/>
      <c r="P826" s="82"/>
      <c r="Q826" s="80"/>
      <c r="R826" s="80"/>
      <c r="S826" s="82"/>
      <c r="T826" s="80"/>
      <c r="U826" s="80"/>
      <c r="V826" s="79"/>
      <c r="W826" s="80"/>
      <c r="X826" s="80"/>
    </row>
    <row r="827" spans="1:24" ht="42" customHeight="1">
      <c r="A827" s="80">
        <f t="shared" si="0"/>
        <v>825</v>
      </c>
      <c r="B827" s="51" t="str">
        <f t="shared" si="1"/>
        <v>MA</v>
      </c>
      <c r="C827" s="51" t="s">
        <v>4224</v>
      </c>
      <c r="D827" s="51" t="s">
        <v>95</v>
      </c>
      <c r="E827" s="51" t="s">
        <v>2533</v>
      </c>
      <c r="F827" s="80"/>
      <c r="G827" s="75" t="s">
        <v>4225</v>
      </c>
      <c r="H827" s="80"/>
      <c r="I827" s="76"/>
      <c r="J827" s="77" t="s">
        <v>4226</v>
      </c>
      <c r="K827" s="80"/>
      <c r="L827" s="51" t="s">
        <v>78</v>
      </c>
      <c r="M827" s="79">
        <v>44893</v>
      </c>
      <c r="N827" s="51" t="s">
        <v>2561</v>
      </c>
      <c r="O827" s="51" t="s">
        <v>98</v>
      </c>
      <c r="P827" s="79">
        <v>44901</v>
      </c>
      <c r="Q827" s="51" t="s">
        <v>2561</v>
      </c>
      <c r="R827" s="80"/>
      <c r="S827" s="82"/>
      <c r="T827" s="80"/>
      <c r="U827" s="80"/>
      <c r="V827" s="79"/>
      <c r="W827" s="80"/>
      <c r="X827" s="80"/>
    </row>
    <row r="828" spans="1:24" ht="42" customHeight="1">
      <c r="A828" s="80">
        <f t="shared" si="0"/>
        <v>826</v>
      </c>
      <c r="B828" s="51" t="str">
        <f t="shared" si="1"/>
        <v>MA</v>
      </c>
      <c r="C828" s="51" t="s">
        <v>4227</v>
      </c>
      <c r="D828" s="51" t="s">
        <v>95</v>
      </c>
      <c r="E828" s="51" t="s">
        <v>2533</v>
      </c>
      <c r="F828" s="80"/>
      <c r="G828" s="75" t="s">
        <v>4228</v>
      </c>
      <c r="H828" s="51" t="s">
        <v>4229</v>
      </c>
      <c r="I828" s="76"/>
      <c r="J828" s="77" t="s">
        <v>4230</v>
      </c>
      <c r="K828" s="80"/>
      <c r="L828" s="51" t="s">
        <v>78</v>
      </c>
      <c r="M828" s="79">
        <v>44893</v>
      </c>
      <c r="N828" s="51" t="s">
        <v>2561</v>
      </c>
      <c r="O828" s="51" t="s">
        <v>78</v>
      </c>
      <c r="P828" s="79">
        <v>44901</v>
      </c>
      <c r="Q828" s="51" t="s">
        <v>2635</v>
      </c>
      <c r="R828" s="80"/>
      <c r="S828" s="82"/>
      <c r="T828" s="80"/>
      <c r="U828" s="80"/>
      <c r="V828" s="79"/>
      <c r="W828" s="80"/>
      <c r="X828" s="80"/>
    </row>
    <row r="829" spans="1:24" ht="42" customHeight="1">
      <c r="A829" s="80">
        <f t="shared" si="0"/>
        <v>827</v>
      </c>
      <c r="B829" s="51" t="str">
        <f t="shared" si="1"/>
        <v>MA</v>
      </c>
      <c r="C829" s="87" t="s">
        <v>4231</v>
      </c>
      <c r="D829" s="51" t="s">
        <v>95</v>
      </c>
      <c r="E829" s="51" t="s">
        <v>2533</v>
      </c>
      <c r="F829" s="80"/>
      <c r="G829" s="75" t="s">
        <v>4232</v>
      </c>
      <c r="H829" s="80"/>
      <c r="I829" s="76"/>
      <c r="J829" s="80"/>
      <c r="K829" s="80"/>
      <c r="L829" s="51" t="s">
        <v>78</v>
      </c>
      <c r="M829" s="79">
        <v>44893</v>
      </c>
      <c r="N829" s="51" t="s">
        <v>2538</v>
      </c>
      <c r="O829" s="51" t="s">
        <v>78</v>
      </c>
      <c r="P829" s="79">
        <v>44901</v>
      </c>
      <c r="Q829" s="51" t="s">
        <v>2699</v>
      </c>
      <c r="R829" s="80"/>
      <c r="S829" s="82"/>
      <c r="T829" s="80"/>
      <c r="U829" s="80"/>
      <c r="V829" s="79"/>
      <c r="W829" s="80"/>
      <c r="X829" s="80"/>
    </row>
    <row r="830" spans="1:24" ht="42" customHeight="1">
      <c r="A830" s="80">
        <f t="shared" si="0"/>
        <v>828</v>
      </c>
      <c r="B830" s="51" t="str">
        <f t="shared" si="1"/>
        <v>MA</v>
      </c>
      <c r="C830" s="81" t="s">
        <v>4233</v>
      </c>
      <c r="D830" s="51" t="s">
        <v>95</v>
      </c>
      <c r="E830" s="51" t="s">
        <v>2533</v>
      </c>
      <c r="F830" s="80"/>
      <c r="G830" s="75" t="s">
        <v>4234</v>
      </c>
      <c r="H830" s="80"/>
      <c r="I830" s="54" t="s">
        <v>4235</v>
      </c>
      <c r="J830" s="77" t="s">
        <v>4236</v>
      </c>
      <c r="K830" s="80"/>
      <c r="L830" s="51" t="s">
        <v>78</v>
      </c>
      <c r="M830" s="79">
        <v>44893</v>
      </c>
      <c r="N830" s="51" t="s">
        <v>2699</v>
      </c>
      <c r="O830" s="80"/>
      <c r="P830" s="82"/>
      <c r="Q830" s="80"/>
      <c r="R830" s="80"/>
      <c r="S830" s="82"/>
      <c r="T830" s="80"/>
      <c r="U830" s="80"/>
      <c r="V830" s="79"/>
      <c r="W830" s="80"/>
      <c r="X830" s="80"/>
    </row>
    <row r="831" spans="1:24" ht="42" customHeight="1">
      <c r="A831" s="80">
        <f t="shared" si="0"/>
        <v>829</v>
      </c>
      <c r="B831" s="51" t="str">
        <f t="shared" si="1"/>
        <v>MA</v>
      </c>
      <c r="C831" s="81" t="s">
        <v>4237</v>
      </c>
      <c r="D831" s="51" t="s">
        <v>95</v>
      </c>
      <c r="E831" s="51" t="s">
        <v>2533</v>
      </c>
      <c r="F831" s="80"/>
      <c r="G831" s="75" t="s">
        <v>4238</v>
      </c>
      <c r="H831" s="80"/>
      <c r="I831" s="76"/>
      <c r="J831" s="80"/>
      <c r="K831" s="80"/>
      <c r="L831" s="51" t="s">
        <v>78</v>
      </c>
      <c r="M831" s="79">
        <v>44893</v>
      </c>
      <c r="N831" s="51" t="s">
        <v>2561</v>
      </c>
      <c r="O831" s="80"/>
      <c r="P831" s="82"/>
      <c r="Q831" s="80"/>
      <c r="R831" s="80"/>
      <c r="S831" s="82"/>
      <c r="T831" s="80"/>
      <c r="U831" s="80"/>
      <c r="V831" s="79"/>
      <c r="W831" s="80"/>
      <c r="X831" s="80"/>
    </row>
    <row r="832" spans="1:24" ht="42" customHeight="1">
      <c r="A832" s="80">
        <f t="shared" si="0"/>
        <v>830</v>
      </c>
      <c r="B832" s="51" t="str">
        <f t="shared" si="1"/>
        <v>MA</v>
      </c>
      <c r="C832" s="51" t="s">
        <v>4239</v>
      </c>
      <c r="D832" s="51" t="s">
        <v>95</v>
      </c>
      <c r="E832" s="51" t="s">
        <v>2533</v>
      </c>
      <c r="F832" s="80"/>
      <c r="G832" s="75" t="s">
        <v>4240</v>
      </c>
      <c r="H832" s="80"/>
      <c r="I832" s="76"/>
      <c r="J832" s="80"/>
      <c r="K832" s="80"/>
      <c r="L832" s="51" t="s">
        <v>78</v>
      </c>
      <c r="M832" s="79">
        <v>44893</v>
      </c>
      <c r="N832" s="51" t="s">
        <v>2561</v>
      </c>
      <c r="O832" s="51" t="s">
        <v>78</v>
      </c>
      <c r="P832" s="79">
        <v>44901</v>
      </c>
      <c r="Q832" s="51" t="s">
        <v>2561</v>
      </c>
      <c r="R832" s="80"/>
      <c r="S832" s="82"/>
      <c r="T832" s="80"/>
      <c r="U832" s="80"/>
      <c r="V832" s="79"/>
      <c r="W832" s="80"/>
      <c r="X832" s="80"/>
    </row>
    <row r="833" spans="1:24" ht="42" customHeight="1">
      <c r="A833" s="80">
        <f t="shared" si="0"/>
        <v>831</v>
      </c>
      <c r="B833" s="51" t="str">
        <f t="shared" si="1"/>
        <v>MA</v>
      </c>
      <c r="C833" s="51" t="s">
        <v>4241</v>
      </c>
      <c r="D833" s="51" t="s">
        <v>95</v>
      </c>
      <c r="E833" s="51" t="s">
        <v>2533</v>
      </c>
      <c r="F833" s="80"/>
      <c r="G833" s="75" t="s">
        <v>4242</v>
      </c>
      <c r="H833" s="80"/>
      <c r="I833" s="76"/>
      <c r="J833" s="80"/>
      <c r="K833" s="80"/>
      <c r="L833" s="51" t="s">
        <v>78</v>
      </c>
      <c r="M833" s="79">
        <v>44893</v>
      </c>
      <c r="N833" s="51" t="s">
        <v>2538</v>
      </c>
      <c r="O833" s="51" t="s">
        <v>78</v>
      </c>
      <c r="P833" s="79">
        <v>44901</v>
      </c>
      <c r="Q833" s="51" t="s">
        <v>2538</v>
      </c>
      <c r="R833" s="80"/>
      <c r="S833" s="82"/>
      <c r="T833" s="80"/>
      <c r="U833" s="80"/>
      <c r="V833" s="79"/>
      <c r="W833" s="80"/>
      <c r="X833" s="80"/>
    </row>
    <row r="834" spans="1:24" ht="42" customHeight="1">
      <c r="A834" s="80">
        <f t="shared" si="0"/>
        <v>832</v>
      </c>
      <c r="B834" s="51" t="str">
        <f t="shared" si="1"/>
        <v>MA</v>
      </c>
      <c r="C834" s="51" t="s">
        <v>4243</v>
      </c>
      <c r="D834" s="51" t="s">
        <v>95</v>
      </c>
      <c r="E834" s="51" t="s">
        <v>2533</v>
      </c>
      <c r="F834" s="80"/>
      <c r="G834" s="146" t="s">
        <v>4244</v>
      </c>
      <c r="H834" s="80"/>
      <c r="I834" s="54" t="s">
        <v>4245</v>
      </c>
      <c r="J834" s="77" t="s">
        <v>4246</v>
      </c>
      <c r="K834" s="80"/>
      <c r="L834" s="51" t="s">
        <v>78</v>
      </c>
      <c r="M834" s="79">
        <v>44893</v>
      </c>
      <c r="N834" s="51" t="s">
        <v>2538</v>
      </c>
      <c r="O834" s="51" t="s">
        <v>78</v>
      </c>
      <c r="P834" s="79">
        <v>44901</v>
      </c>
      <c r="Q834" s="51" t="s">
        <v>2538</v>
      </c>
      <c r="R834" s="80"/>
      <c r="S834" s="82"/>
      <c r="T834" s="80"/>
      <c r="U834" s="80"/>
      <c r="V834" s="79"/>
      <c r="W834" s="80"/>
      <c r="X834" s="80"/>
    </row>
    <row r="835" spans="1:24" ht="42" customHeight="1">
      <c r="A835" s="80">
        <f t="shared" si="0"/>
        <v>833</v>
      </c>
      <c r="B835" s="51" t="str">
        <f t="shared" si="1"/>
        <v>MA</v>
      </c>
      <c r="C835" s="81" t="s">
        <v>4247</v>
      </c>
      <c r="D835" s="51" t="s">
        <v>95</v>
      </c>
      <c r="E835" s="51" t="s">
        <v>2533</v>
      </c>
      <c r="F835" s="80"/>
      <c r="G835" s="75" t="s">
        <v>4248</v>
      </c>
      <c r="H835" s="51" t="s">
        <v>4249</v>
      </c>
      <c r="I835" s="76"/>
      <c r="J835" s="80"/>
      <c r="K835" s="80"/>
      <c r="L835" s="51" t="s">
        <v>98</v>
      </c>
      <c r="M835" s="79">
        <v>44894</v>
      </c>
      <c r="N835" s="51" t="s">
        <v>2561</v>
      </c>
      <c r="O835" s="51" t="s">
        <v>78</v>
      </c>
      <c r="P835" s="79">
        <v>44901</v>
      </c>
      <c r="Q835" s="51" t="s">
        <v>2573</v>
      </c>
      <c r="R835" s="80"/>
      <c r="S835" s="82"/>
      <c r="T835" s="80"/>
      <c r="U835" s="80"/>
      <c r="V835" s="79"/>
      <c r="W835" s="80"/>
      <c r="X835" s="80"/>
    </row>
    <row r="836" spans="1:24" ht="42" customHeight="1">
      <c r="A836" s="80">
        <f t="shared" si="0"/>
        <v>834</v>
      </c>
      <c r="B836" s="51" t="str">
        <f t="shared" si="1"/>
        <v>MA</v>
      </c>
      <c r="C836" s="51" t="s">
        <v>4250</v>
      </c>
      <c r="D836" s="51" t="s">
        <v>95</v>
      </c>
      <c r="E836" s="51" t="s">
        <v>2533</v>
      </c>
      <c r="F836" s="80"/>
      <c r="G836" s="75" t="s">
        <v>4251</v>
      </c>
      <c r="H836" s="80"/>
      <c r="I836" s="76"/>
      <c r="J836" s="77" t="s">
        <v>4252</v>
      </c>
      <c r="K836" s="80"/>
      <c r="L836" s="51" t="s">
        <v>78</v>
      </c>
      <c r="M836" s="79">
        <v>44894</v>
      </c>
      <c r="N836" s="51" t="s">
        <v>2538</v>
      </c>
      <c r="O836" s="51" t="s">
        <v>78</v>
      </c>
      <c r="P836" s="79">
        <v>44901</v>
      </c>
      <c r="Q836" s="51" t="s">
        <v>2538</v>
      </c>
      <c r="R836" s="80"/>
      <c r="S836" s="82"/>
      <c r="T836" s="80"/>
      <c r="U836" s="80"/>
      <c r="V836" s="79"/>
      <c r="W836" s="80"/>
      <c r="X836" s="80"/>
    </row>
    <row r="837" spans="1:24" ht="42" customHeight="1">
      <c r="A837" s="80">
        <f t="shared" si="0"/>
        <v>835</v>
      </c>
      <c r="B837" s="51" t="str">
        <f t="shared" si="1"/>
        <v>MA</v>
      </c>
      <c r="C837" s="51" t="s">
        <v>4253</v>
      </c>
      <c r="D837" s="51" t="s">
        <v>95</v>
      </c>
      <c r="E837" s="51" t="s">
        <v>2533</v>
      </c>
      <c r="F837" s="80"/>
      <c r="G837" s="75" t="s">
        <v>4254</v>
      </c>
      <c r="H837" s="80"/>
      <c r="I837" s="54" t="s">
        <v>4255</v>
      </c>
      <c r="J837" s="77" t="s">
        <v>4256</v>
      </c>
      <c r="K837" s="80"/>
      <c r="L837" s="51" t="s">
        <v>78</v>
      </c>
      <c r="M837" s="79">
        <v>44894</v>
      </c>
      <c r="N837" s="51" t="s">
        <v>2538</v>
      </c>
      <c r="O837" s="51" t="s">
        <v>78</v>
      </c>
      <c r="P837" s="79">
        <v>44901</v>
      </c>
      <c r="Q837" s="51" t="s">
        <v>2538</v>
      </c>
      <c r="R837" s="80"/>
      <c r="S837" s="82"/>
      <c r="T837" s="80"/>
      <c r="U837" s="80"/>
      <c r="V837" s="79"/>
      <c r="W837" s="80"/>
      <c r="X837" s="80"/>
    </row>
    <row r="838" spans="1:24" ht="42" customHeight="1">
      <c r="A838" s="80">
        <f t="shared" si="0"/>
        <v>836</v>
      </c>
      <c r="B838" s="51" t="str">
        <f t="shared" si="1"/>
        <v>MA</v>
      </c>
      <c r="C838" s="51" t="s">
        <v>4257</v>
      </c>
      <c r="D838" s="51" t="s">
        <v>95</v>
      </c>
      <c r="E838" s="51" t="s">
        <v>2533</v>
      </c>
      <c r="F838" s="80"/>
      <c r="G838" s="75" t="s">
        <v>4258</v>
      </c>
      <c r="H838" s="80"/>
      <c r="I838" s="76"/>
      <c r="J838" s="80"/>
      <c r="K838" s="80"/>
      <c r="L838" s="51" t="s">
        <v>78</v>
      </c>
      <c r="M838" s="79">
        <v>44894</v>
      </c>
      <c r="N838" s="51" t="s">
        <v>2561</v>
      </c>
      <c r="O838" s="51" t="s">
        <v>98</v>
      </c>
      <c r="P838" s="79">
        <v>44901</v>
      </c>
      <c r="Q838" s="51" t="s">
        <v>2561</v>
      </c>
      <c r="R838" s="80"/>
      <c r="S838" s="82"/>
      <c r="T838" s="80"/>
      <c r="U838" s="80"/>
      <c r="V838" s="79"/>
      <c r="W838" s="80"/>
      <c r="X838" s="80"/>
    </row>
    <row r="839" spans="1:24" ht="42" customHeight="1">
      <c r="A839" s="80">
        <f t="shared" si="0"/>
        <v>837</v>
      </c>
      <c r="B839" s="51" t="str">
        <f t="shared" si="1"/>
        <v>MA</v>
      </c>
      <c r="C839" s="81" t="s">
        <v>4259</v>
      </c>
      <c r="D839" s="51" t="s">
        <v>95</v>
      </c>
      <c r="E839" s="51" t="s">
        <v>2533</v>
      </c>
      <c r="F839" s="80"/>
      <c r="G839" s="75" t="s">
        <v>4260</v>
      </c>
      <c r="H839" s="80"/>
      <c r="I839" s="76"/>
      <c r="J839" s="96" t="s">
        <v>4261</v>
      </c>
      <c r="K839" s="80"/>
      <c r="L839" s="51" t="s">
        <v>78</v>
      </c>
      <c r="M839" s="79">
        <v>44894</v>
      </c>
      <c r="N839" s="51" t="s">
        <v>2551</v>
      </c>
      <c r="O839" s="51" t="s">
        <v>78</v>
      </c>
      <c r="P839" s="79">
        <v>44904</v>
      </c>
      <c r="Q839" s="51" t="s">
        <v>2699</v>
      </c>
      <c r="R839" s="80"/>
      <c r="S839" s="82"/>
      <c r="T839" s="80"/>
      <c r="U839" s="80"/>
      <c r="V839" s="79"/>
      <c r="W839" s="80"/>
      <c r="X839" s="80"/>
    </row>
    <row r="840" spans="1:24" ht="42" customHeight="1">
      <c r="A840" s="80">
        <f t="shared" si="0"/>
        <v>838</v>
      </c>
      <c r="B840" s="51" t="str">
        <f t="shared" si="1"/>
        <v>MA</v>
      </c>
      <c r="C840" s="51" t="s">
        <v>4262</v>
      </c>
      <c r="D840" s="51" t="s">
        <v>95</v>
      </c>
      <c r="E840" s="51" t="s">
        <v>2533</v>
      </c>
      <c r="F840" s="80"/>
      <c r="G840" s="147" t="s">
        <v>4263</v>
      </c>
      <c r="H840" s="80"/>
      <c r="I840" s="76"/>
      <c r="J840" s="77" t="s">
        <v>4264</v>
      </c>
      <c r="K840" s="80"/>
      <c r="L840" s="51" t="s">
        <v>78</v>
      </c>
      <c r="M840" s="79">
        <v>44894</v>
      </c>
      <c r="N840" s="51" t="s">
        <v>2545</v>
      </c>
      <c r="O840" s="51" t="s">
        <v>78</v>
      </c>
      <c r="P840" s="79">
        <v>44904</v>
      </c>
      <c r="Q840" s="51" t="s">
        <v>2561</v>
      </c>
      <c r="R840" s="80"/>
      <c r="S840" s="82"/>
      <c r="T840" s="80"/>
      <c r="U840" s="80"/>
      <c r="V840" s="79"/>
      <c r="W840" s="80"/>
      <c r="X840" s="80"/>
    </row>
    <row r="841" spans="1:24" ht="42" customHeight="1">
      <c r="A841" s="80">
        <f t="shared" si="0"/>
        <v>839</v>
      </c>
      <c r="B841" s="51" t="str">
        <f t="shared" si="1"/>
        <v>MA</v>
      </c>
      <c r="C841" s="51" t="s">
        <v>4265</v>
      </c>
      <c r="D841" s="51" t="s">
        <v>95</v>
      </c>
      <c r="E841" s="51" t="s">
        <v>2533</v>
      </c>
      <c r="F841" s="80"/>
      <c r="G841" s="75" t="s">
        <v>4266</v>
      </c>
      <c r="H841" s="80"/>
      <c r="I841" s="76"/>
      <c r="J841" s="80"/>
      <c r="K841" s="80"/>
      <c r="L841" s="51" t="s">
        <v>78</v>
      </c>
      <c r="M841" s="79">
        <v>44894</v>
      </c>
      <c r="N841" s="51" t="s">
        <v>2561</v>
      </c>
      <c r="O841" s="51" t="s">
        <v>98</v>
      </c>
      <c r="P841" s="79">
        <v>44904</v>
      </c>
      <c r="Q841" s="51" t="s">
        <v>2635</v>
      </c>
      <c r="R841" s="80"/>
      <c r="S841" s="82"/>
      <c r="T841" s="80"/>
      <c r="U841" s="80"/>
      <c r="V841" s="79"/>
      <c r="W841" s="80"/>
      <c r="X841" s="80"/>
    </row>
    <row r="842" spans="1:24" ht="42" customHeight="1">
      <c r="A842" s="80">
        <f t="shared" si="0"/>
        <v>840</v>
      </c>
      <c r="B842" s="51" t="str">
        <f t="shared" si="1"/>
        <v>MA</v>
      </c>
      <c r="C842" s="51" t="s">
        <v>4267</v>
      </c>
      <c r="D842" s="51" t="s">
        <v>95</v>
      </c>
      <c r="E842" s="51" t="s">
        <v>2533</v>
      </c>
      <c r="F842" s="80"/>
      <c r="G842" s="75" t="s">
        <v>270</v>
      </c>
      <c r="H842" s="80"/>
      <c r="I842" s="76"/>
      <c r="J842" s="77" t="s">
        <v>271</v>
      </c>
      <c r="K842" s="80"/>
      <c r="L842" s="51" t="s">
        <v>78</v>
      </c>
      <c r="M842" s="79">
        <v>44894</v>
      </c>
      <c r="N842" s="51" t="s">
        <v>2561</v>
      </c>
      <c r="O842" s="51" t="s">
        <v>78</v>
      </c>
      <c r="P842" s="79">
        <v>44904</v>
      </c>
      <c r="Q842" s="51" t="s">
        <v>2623</v>
      </c>
      <c r="R842" s="80"/>
      <c r="S842" s="82"/>
      <c r="T842" s="80"/>
      <c r="U842" s="80"/>
      <c r="V842" s="79"/>
      <c r="W842" s="80"/>
      <c r="X842" s="80"/>
    </row>
    <row r="843" spans="1:24" ht="42" customHeight="1">
      <c r="A843" s="80">
        <f t="shared" si="0"/>
        <v>841</v>
      </c>
      <c r="B843" s="51" t="str">
        <f t="shared" si="1"/>
        <v>MA</v>
      </c>
      <c r="C843" s="81" t="s">
        <v>4268</v>
      </c>
      <c r="D843" s="51" t="s">
        <v>95</v>
      </c>
      <c r="E843" s="51" t="s">
        <v>2533</v>
      </c>
      <c r="F843" s="80"/>
      <c r="G843" s="75" t="s">
        <v>4269</v>
      </c>
      <c r="H843" s="80"/>
      <c r="I843" s="76"/>
      <c r="J843" s="77" t="s">
        <v>4270</v>
      </c>
      <c r="K843" s="80"/>
      <c r="L843" s="51" t="s">
        <v>78</v>
      </c>
      <c r="M843" s="79">
        <v>44894</v>
      </c>
      <c r="N843" s="51" t="s">
        <v>2538</v>
      </c>
      <c r="O843" s="51" t="s">
        <v>78</v>
      </c>
      <c r="P843" s="79">
        <v>44904</v>
      </c>
      <c r="Q843" s="51" t="s">
        <v>2858</v>
      </c>
      <c r="R843" s="80"/>
      <c r="S843" s="82"/>
      <c r="T843" s="80"/>
      <c r="U843" s="80"/>
      <c r="V843" s="79"/>
      <c r="W843" s="80"/>
      <c r="X843" s="80"/>
    </row>
    <row r="844" spans="1:24" ht="42" customHeight="1">
      <c r="A844" s="80">
        <f t="shared" si="0"/>
        <v>842</v>
      </c>
      <c r="B844" s="51" t="str">
        <f t="shared" si="1"/>
        <v>MA</v>
      </c>
      <c r="C844" s="51" t="s">
        <v>4271</v>
      </c>
      <c r="D844" s="51" t="s">
        <v>95</v>
      </c>
      <c r="E844" s="51" t="s">
        <v>2533</v>
      </c>
      <c r="F844" s="80"/>
      <c r="G844" s="75" t="s">
        <v>274</v>
      </c>
      <c r="H844" s="51" t="s">
        <v>4272</v>
      </c>
      <c r="I844" s="76"/>
      <c r="J844" s="77" t="s">
        <v>275</v>
      </c>
      <c r="K844" s="80"/>
      <c r="L844" s="51" t="s">
        <v>78</v>
      </c>
      <c r="M844" s="79">
        <v>44894</v>
      </c>
      <c r="N844" s="51" t="s">
        <v>2635</v>
      </c>
      <c r="O844" s="51" t="s">
        <v>78</v>
      </c>
      <c r="P844" s="79">
        <v>44904</v>
      </c>
      <c r="Q844" s="51" t="s">
        <v>2561</v>
      </c>
      <c r="R844" s="80"/>
      <c r="S844" s="82"/>
      <c r="T844" s="80"/>
      <c r="U844" s="80"/>
      <c r="V844" s="79"/>
      <c r="W844" s="80"/>
      <c r="X844" s="80"/>
    </row>
    <row r="845" spans="1:24" ht="42" customHeight="1">
      <c r="A845" s="80">
        <f t="shared" si="0"/>
        <v>843</v>
      </c>
      <c r="B845" s="51" t="str">
        <f t="shared" si="1"/>
        <v>MA</v>
      </c>
      <c r="C845" s="83" t="s">
        <v>4273</v>
      </c>
      <c r="D845" s="51" t="s">
        <v>95</v>
      </c>
      <c r="E845" s="51" t="s">
        <v>2533</v>
      </c>
      <c r="F845" s="80"/>
      <c r="G845" s="75" t="s">
        <v>4274</v>
      </c>
      <c r="H845" s="80"/>
      <c r="I845" s="76"/>
      <c r="J845" s="77" t="s">
        <v>4275</v>
      </c>
      <c r="K845" s="80"/>
      <c r="L845" s="51" t="s">
        <v>78</v>
      </c>
      <c r="M845" s="79">
        <v>44894</v>
      </c>
      <c r="N845" s="51" t="s">
        <v>2561</v>
      </c>
      <c r="O845" s="51" t="s">
        <v>78</v>
      </c>
      <c r="P845" s="79">
        <v>44901</v>
      </c>
      <c r="Q845" s="51" t="s">
        <v>2573</v>
      </c>
      <c r="R845" s="80"/>
      <c r="S845" s="82"/>
      <c r="T845" s="80"/>
      <c r="U845" s="80"/>
      <c r="V845" s="79"/>
      <c r="W845" s="80"/>
      <c r="X845" s="80"/>
    </row>
    <row r="846" spans="1:24" ht="42" customHeight="1">
      <c r="A846" s="80">
        <f t="shared" si="0"/>
        <v>844</v>
      </c>
      <c r="B846" s="51" t="str">
        <f t="shared" si="1"/>
        <v>MA</v>
      </c>
      <c r="C846" s="51" t="s">
        <v>4276</v>
      </c>
      <c r="D846" s="51" t="s">
        <v>95</v>
      </c>
      <c r="E846" s="51" t="s">
        <v>2533</v>
      </c>
      <c r="F846" s="80"/>
      <c r="G846" s="75" t="s">
        <v>277</v>
      </c>
      <c r="H846" s="80"/>
      <c r="I846" s="76"/>
      <c r="J846" s="80"/>
      <c r="K846" s="80"/>
      <c r="L846" s="51" t="s">
        <v>78</v>
      </c>
      <c r="M846" s="79">
        <v>44894</v>
      </c>
      <c r="N846" s="51" t="s">
        <v>2538</v>
      </c>
      <c r="O846" s="51" t="s">
        <v>78</v>
      </c>
      <c r="P846" s="79">
        <v>44901</v>
      </c>
      <c r="Q846" s="51" t="s">
        <v>2538</v>
      </c>
      <c r="R846" s="80"/>
      <c r="S846" s="82"/>
      <c r="T846" s="80"/>
      <c r="U846" s="80"/>
      <c r="V846" s="79"/>
      <c r="W846" s="80"/>
      <c r="X846" s="80"/>
    </row>
    <row r="847" spans="1:24" ht="42" customHeight="1">
      <c r="A847" s="80">
        <f t="shared" si="0"/>
        <v>845</v>
      </c>
      <c r="B847" s="51" t="str">
        <f t="shared" si="1"/>
        <v>MA</v>
      </c>
      <c r="C847" s="51" t="s">
        <v>278</v>
      </c>
      <c r="D847" s="51" t="s">
        <v>95</v>
      </c>
      <c r="E847" s="51" t="s">
        <v>2533</v>
      </c>
      <c r="F847" s="80"/>
      <c r="G847" s="75" t="s">
        <v>279</v>
      </c>
      <c r="H847" s="80"/>
      <c r="I847" s="76"/>
      <c r="J847" s="80"/>
      <c r="K847" s="80"/>
      <c r="L847" s="51" t="s">
        <v>78</v>
      </c>
      <c r="M847" s="79">
        <v>44894</v>
      </c>
      <c r="N847" s="51" t="s">
        <v>2538</v>
      </c>
      <c r="O847" s="51" t="s">
        <v>78</v>
      </c>
      <c r="P847" s="79">
        <v>44901</v>
      </c>
      <c r="Q847" s="51" t="s">
        <v>2538</v>
      </c>
      <c r="R847" s="80"/>
      <c r="S847" s="82"/>
      <c r="T847" s="80"/>
      <c r="U847" s="80"/>
      <c r="V847" s="79"/>
      <c r="W847" s="80"/>
      <c r="X847" s="80"/>
    </row>
    <row r="848" spans="1:24" ht="42" customHeight="1">
      <c r="A848" s="80">
        <f t="shared" si="0"/>
        <v>846</v>
      </c>
      <c r="B848" s="51" t="str">
        <f t="shared" si="1"/>
        <v>MA</v>
      </c>
      <c r="C848" s="51" t="s">
        <v>4277</v>
      </c>
      <c r="D848" s="51" t="s">
        <v>95</v>
      </c>
      <c r="E848" s="51" t="s">
        <v>2533</v>
      </c>
      <c r="F848" s="80"/>
      <c r="G848" s="75" t="s">
        <v>281</v>
      </c>
      <c r="H848" s="51" t="s">
        <v>282</v>
      </c>
      <c r="I848" s="76"/>
      <c r="J848" s="77" t="s">
        <v>283</v>
      </c>
      <c r="K848" s="80"/>
      <c r="L848" s="51" t="s">
        <v>78</v>
      </c>
      <c r="M848" s="79">
        <v>44894</v>
      </c>
      <c r="N848" s="51" t="s">
        <v>2561</v>
      </c>
      <c r="O848" s="51" t="s">
        <v>78</v>
      </c>
      <c r="P848" s="79">
        <v>44901</v>
      </c>
      <c r="Q848" s="51" t="s">
        <v>2538</v>
      </c>
      <c r="R848" s="80"/>
      <c r="S848" s="82"/>
      <c r="T848" s="80"/>
      <c r="U848" s="80"/>
      <c r="V848" s="79"/>
      <c r="W848" s="80"/>
      <c r="X848" s="80"/>
    </row>
    <row r="849" spans="1:24" ht="42" customHeight="1">
      <c r="A849" s="80">
        <f t="shared" si="0"/>
        <v>847</v>
      </c>
      <c r="B849" s="51" t="str">
        <f t="shared" si="1"/>
        <v>MA</v>
      </c>
      <c r="C849" s="51" t="s">
        <v>4278</v>
      </c>
      <c r="D849" s="51" t="s">
        <v>95</v>
      </c>
      <c r="E849" s="51" t="s">
        <v>2540</v>
      </c>
      <c r="F849" s="80"/>
      <c r="G849" s="75" t="s">
        <v>286</v>
      </c>
      <c r="H849" s="80"/>
      <c r="I849" s="76"/>
      <c r="J849" s="96" t="s">
        <v>287</v>
      </c>
      <c r="K849" s="80"/>
      <c r="L849" s="51" t="s">
        <v>78</v>
      </c>
      <c r="M849" s="79">
        <v>44897</v>
      </c>
      <c r="N849" s="51" t="s">
        <v>2538</v>
      </c>
      <c r="O849" s="51" t="s">
        <v>78</v>
      </c>
      <c r="P849" s="79">
        <v>44901</v>
      </c>
      <c r="Q849" s="51" t="s">
        <v>2538</v>
      </c>
      <c r="R849" s="80"/>
      <c r="S849" s="82"/>
      <c r="T849" s="80"/>
      <c r="U849" s="80"/>
      <c r="V849" s="79"/>
      <c r="W849" s="80"/>
      <c r="X849" s="80"/>
    </row>
    <row r="850" spans="1:24" ht="42" customHeight="1">
      <c r="A850" s="80">
        <f t="shared" si="0"/>
        <v>848</v>
      </c>
      <c r="B850" s="51" t="str">
        <f t="shared" si="1"/>
        <v>MA</v>
      </c>
      <c r="C850" s="51" t="s">
        <v>4279</v>
      </c>
      <c r="D850" s="51" t="s">
        <v>95</v>
      </c>
      <c r="E850" s="51" t="s">
        <v>2533</v>
      </c>
      <c r="F850" s="80"/>
      <c r="G850" s="75" t="s">
        <v>290</v>
      </c>
      <c r="H850" s="80"/>
      <c r="I850" s="76"/>
      <c r="J850" s="55" t="s">
        <v>291</v>
      </c>
      <c r="K850" s="80"/>
      <c r="L850" s="51" t="s">
        <v>78</v>
      </c>
      <c r="M850" s="79">
        <v>44897</v>
      </c>
      <c r="N850" s="51" t="s">
        <v>4280</v>
      </c>
      <c r="O850" s="51" t="s">
        <v>78</v>
      </c>
      <c r="P850" s="79">
        <v>44901</v>
      </c>
      <c r="Q850" s="51" t="s">
        <v>2551</v>
      </c>
      <c r="R850" s="80"/>
      <c r="S850" s="82"/>
      <c r="T850" s="80"/>
      <c r="U850" s="80"/>
      <c r="V850" s="79"/>
      <c r="W850" s="80"/>
      <c r="X850" s="80"/>
    </row>
    <row r="851" spans="1:24" ht="42" customHeight="1">
      <c r="A851" s="80">
        <f t="shared" si="0"/>
        <v>849</v>
      </c>
      <c r="B851" s="51" t="str">
        <f t="shared" si="1"/>
        <v>MA</v>
      </c>
      <c r="C851" s="81" t="s">
        <v>4281</v>
      </c>
      <c r="D851" s="51" t="s">
        <v>95</v>
      </c>
      <c r="E851" s="51" t="s">
        <v>2533</v>
      </c>
      <c r="F851" s="80"/>
      <c r="G851" s="75" t="s">
        <v>4282</v>
      </c>
      <c r="H851" s="80"/>
      <c r="I851" s="76"/>
      <c r="J851" s="77" t="s">
        <v>4283</v>
      </c>
      <c r="K851" s="80"/>
      <c r="L851" s="51" t="s">
        <v>78</v>
      </c>
      <c r="M851" s="79">
        <v>44897</v>
      </c>
      <c r="N851" s="51" t="s">
        <v>2551</v>
      </c>
      <c r="O851" s="80"/>
      <c r="P851" s="82"/>
      <c r="Q851" s="80"/>
      <c r="R851" s="80"/>
      <c r="S851" s="82"/>
      <c r="T851" s="80"/>
      <c r="U851" s="80"/>
      <c r="V851" s="79"/>
      <c r="W851" s="80"/>
      <c r="X851" s="80"/>
    </row>
    <row r="852" spans="1:24" ht="42" customHeight="1">
      <c r="A852" s="80">
        <f t="shared" si="0"/>
        <v>850</v>
      </c>
      <c r="B852" s="51" t="str">
        <f t="shared" si="1"/>
        <v>MA</v>
      </c>
      <c r="C852" s="51" t="s">
        <v>292</v>
      </c>
      <c r="D852" s="51" t="s">
        <v>95</v>
      </c>
      <c r="E852" s="51" t="s">
        <v>2533</v>
      </c>
      <c r="F852" s="80"/>
      <c r="G852" s="75" t="s">
        <v>4284</v>
      </c>
      <c r="H852" s="80"/>
      <c r="I852" s="76"/>
      <c r="J852" s="77" t="s">
        <v>294</v>
      </c>
      <c r="K852" s="80"/>
      <c r="L852" s="51" t="s">
        <v>78</v>
      </c>
      <c r="M852" s="79">
        <v>44897</v>
      </c>
      <c r="N852" s="51" t="s">
        <v>2552</v>
      </c>
      <c r="O852" s="51" t="s">
        <v>78</v>
      </c>
      <c r="P852" s="79">
        <v>44901</v>
      </c>
      <c r="Q852" s="51" t="s">
        <v>2538</v>
      </c>
      <c r="R852" s="80"/>
      <c r="S852" s="82"/>
      <c r="T852" s="80"/>
      <c r="U852" s="80"/>
      <c r="V852" s="79"/>
      <c r="W852" s="80"/>
      <c r="X852" s="80"/>
    </row>
    <row r="853" spans="1:24" ht="42" customHeight="1">
      <c r="A853" s="80">
        <f t="shared" si="0"/>
        <v>851</v>
      </c>
      <c r="B853" s="51" t="str">
        <f t="shared" si="1"/>
        <v>MA</v>
      </c>
      <c r="C853" s="51" t="s">
        <v>4285</v>
      </c>
      <c r="D853" s="51" t="s">
        <v>95</v>
      </c>
      <c r="E853" s="51" t="s">
        <v>3141</v>
      </c>
      <c r="F853" s="80"/>
      <c r="G853" s="75" t="s">
        <v>296</v>
      </c>
      <c r="H853" s="80"/>
      <c r="I853" s="76"/>
      <c r="J853" s="77" t="s">
        <v>298</v>
      </c>
      <c r="K853" s="80"/>
      <c r="L853" s="51" t="s">
        <v>78</v>
      </c>
      <c r="M853" s="79">
        <v>44897</v>
      </c>
      <c r="N853" s="51" t="s">
        <v>2561</v>
      </c>
      <c r="O853" s="51" t="s">
        <v>78</v>
      </c>
      <c r="P853" s="79">
        <v>44901</v>
      </c>
      <c r="Q853" s="51" t="s">
        <v>2623</v>
      </c>
      <c r="R853" s="80"/>
      <c r="S853" s="82"/>
      <c r="T853" s="80"/>
      <c r="U853" s="80"/>
      <c r="V853" s="79"/>
      <c r="W853" s="80"/>
      <c r="X853" s="80"/>
    </row>
    <row r="854" spans="1:24" ht="42" customHeight="1">
      <c r="A854" s="80">
        <f t="shared" si="0"/>
        <v>852</v>
      </c>
      <c r="B854" s="51" t="str">
        <f t="shared" si="1"/>
        <v>MA</v>
      </c>
      <c r="C854" s="51" t="s">
        <v>299</v>
      </c>
      <c r="D854" s="51" t="s">
        <v>95</v>
      </c>
      <c r="E854" s="51" t="s">
        <v>2533</v>
      </c>
      <c r="F854" s="80"/>
      <c r="G854" s="75" t="s">
        <v>4286</v>
      </c>
      <c r="H854" s="80"/>
      <c r="I854" s="76"/>
      <c r="J854" s="77" t="s">
        <v>301</v>
      </c>
      <c r="K854" s="80"/>
      <c r="L854" s="51" t="s">
        <v>78</v>
      </c>
      <c r="M854" s="79">
        <v>44897</v>
      </c>
      <c r="N854" s="51" t="s">
        <v>2538</v>
      </c>
      <c r="O854" s="51" t="s">
        <v>78</v>
      </c>
      <c r="P854" s="79">
        <v>44901</v>
      </c>
      <c r="Q854" s="51" t="s">
        <v>2538</v>
      </c>
      <c r="R854" s="80"/>
      <c r="S854" s="82"/>
      <c r="T854" s="80"/>
      <c r="U854" s="80"/>
      <c r="V854" s="79"/>
      <c r="W854" s="80"/>
      <c r="X854" s="80"/>
    </row>
    <row r="855" spans="1:24" ht="42" customHeight="1">
      <c r="A855" s="80">
        <f t="shared" si="0"/>
        <v>853</v>
      </c>
      <c r="B855" s="51" t="str">
        <f t="shared" si="1"/>
        <v>MA</v>
      </c>
      <c r="C855" s="51" t="s">
        <v>4287</v>
      </c>
      <c r="D855" s="51" t="s">
        <v>95</v>
      </c>
      <c r="E855" s="51" t="s">
        <v>2533</v>
      </c>
      <c r="F855" s="80"/>
      <c r="G855" s="75" t="s">
        <v>4288</v>
      </c>
      <c r="H855" s="80"/>
      <c r="I855" s="76"/>
      <c r="J855" s="77" t="s">
        <v>304</v>
      </c>
      <c r="K855" s="80"/>
      <c r="L855" s="51" t="s">
        <v>78</v>
      </c>
      <c r="M855" s="79">
        <v>44897</v>
      </c>
      <c r="N855" s="51" t="s">
        <v>2538</v>
      </c>
      <c r="O855" s="51" t="s">
        <v>78</v>
      </c>
      <c r="P855" s="79">
        <v>44901</v>
      </c>
      <c r="Q855" s="51" t="s">
        <v>2538</v>
      </c>
      <c r="R855" s="80"/>
      <c r="S855" s="82"/>
      <c r="T855" s="80"/>
      <c r="U855" s="80"/>
      <c r="V855" s="79"/>
      <c r="W855" s="80"/>
      <c r="X855" s="80"/>
    </row>
    <row r="856" spans="1:24" ht="42" customHeight="1">
      <c r="A856" s="80">
        <f t="shared" si="0"/>
        <v>854</v>
      </c>
      <c r="B856" s="51" t="str">
        <f t="shared" si="1"/>
        <v>MA</v>
      </c>
      <c r="C856" s="81" t="s">
        <v>4289</v>
      </c>
      <c r="D856" s="51" t="s">
        <v>95</v>
      </c>
      <c r="E856" s="51" t="s">
        <v>2533</v>
      </c>
      <c r="F856" s="80"/>
      <c r="G856" s="75" t="s">
        <v>4290</v>
      </c>
      <c r="H856" s="80"/>
      <c r="I856" s="76"/>
      <c r="J856" s="77" t="s">
        <v>4291</v>
      </c>
      <c r="K856" s="80"/>
      <c r="L856" s="51" t="s">
        <v>78</v>
      </c>
      <c r="M856" s="79">
        <v>44897</v>
      </c>
      <c r="N856" s="51" t="s">
        <v>2561</v>
      </c>
      <c r="O856" s="80"/>
      <c r="P856" s="82"/>
      <c r="Q856" s="80"/>
      <c r="R856" s="80"/>
      <c r="S856" s="82"/>
      <c r="T856" s="80"/>
      <c r="U856" s="80"/>
      <c r="V856" s="79"/>
      <c r="W856" s="80"/>
      <c r="X856" s="80"/>
    </row>
    <row r="857" spans="1:24" ht="42" customHeight="1">
      <c r="A857" s="80">
        <f t="shared" si="0"/>
        <v>855</v>
      </c>
      <c r="B857" s="51" t="str">
        <f t="shared" si="1"/>
        <v>MA</v>
      </c>
      <c r="C857" s="51" t="s">
        <v>4292</v>
      </c>
      <c r="D857" s="51" t="s">
        <v>95</v>
      </c>
      <c r="E857" s="51" t="s">
        <v>2533</v>
      </c>
      <c r="F857" s="80"/>
      <c r="G857" s="75" t="s">
        <v>306</v>
      </c>
      <c r="H857" s="80"/>
      <c r="I857" s="76"/>
      <c r="J857" s="80"/>
      <c r="K857" s="80"/>
      <c r="L857" s="51" t="s">
        <v>78</v>
      </c>
      <c r="M857" s="79">
        <v>44897</v>
      </c>
      <c r="N857" s="51" t="s">
        <v>2561</v>
      </c>
      <c r="O857" s="51" t="s">
        <v>78</v>
      </c>
      <c r="P857" s="79">
        <v>44901</v>
      </c>
      <c r="Q857" s="51" t="s">
        <v>2635</v>
      </c>
      <c r="R857" s="51" t="s">
        <v>98</v>
      </c>
      <c r="S857" s="79">
        <v>44907</v>
      </c>
      <c r="T857" s="51" t="s">
        <v>2635</v>
      </c>
      <c r="U857" s="80"/>
      <c r="V857" s="79"/>
      <c r="W857" s="80"/>
      <c r="X857" s="80"/>
    </row>
    <row r="858" spans="1:24" ht="42" customHeight="1">
      <c r="A858" s="80">
        <f t="shared" si="0"/>
        <v>856</v>
      </c>
      <c r="B858" s="51" t="str">
        <f t="shared" si="1"/>
        <v>MA</v>
      </c>
      <c r="C858" s="51" t="s">
        <v>4293</v>
      </c>
      <c r="D858" s="51" t="s">
        <v>95</v>
      </c>
      <c r="E858" s="51" t="s">
        <v>2533</v>
      </c>
      <c r="F858" s="80"/>
      <c r="G858" s="75" t="s">
        <v>308</v>
      </c>
      <c r="H858" s="80"/>
      <c r="I858" s="76"/>
      <c r="J858" s="80"/>
      <c r="K858" s="80"/>
      <c r="L858" s="51" t="s">
        <v>78</v>
      </c>
      <c r="M858" s="79">
        <v>44897</v>
      </c>
      <c r="N858" s="51" t="s">
        <v>2561</v>
      </c>
      <c r="O858" s="51" t="s">
        <v>78</v>
      </c>
      <c r="P858" s="79">
        <v>44901</v>
      </c>
      <c r="Q858" s="51" t="s">
        <v>2566</v>
      </c>
      <c r="R858" s="51"/>
      <c r="S858" s="79"/>
      <c r="T858" s="80"/>
      <c r="U858" s="80"/>
      <c r="V858" s="79"/>
      <c r="W858" s="80"/>
      <c r="X858" s="80"/>
    </row>
    <row r="859" spans="1:24" ht="42" customHeight="1">
      <c r="A859" s="80">
        <f t="shared" si="0"/>
        <v>857</v>
      </c>
      <c r="B859" s="51" t="str">
        <f t="shared" si="1"/>
        <v>MA</v>
      </c>
      <c r="C859" s="81" t="s">
        <v>4294</v>
      </c>
      <c r="D859" s="51" t="s">
        <v>95</v>
      </c>
      <c r="E859" s="51" t="s">
        <v>2533</v>
      </c>
      <c r="F859" s="80"/>
      <c r="G859" s="75" t="s">
        <v>4295</v>
      </c>
      <c r="H859" s="80"/>
      <c r="I859" s="76"/>
      <c r="J859" s="80"/>
      <c r="K859" s="80"/>
      <c r="L859" s="51" t="s">
        <v>78</v>
      </c>
      <c r="M859" s="79">
        <v>44897</v>
      </c>
      <c r="N859" s="51" t="s">
        <v>2561</v>
      </c>
      <c r="O859" s="80"/>
      <c r="P859" s="82"/>
      <c r="Q859" s="80"/>
      <c r="R859" s="80"/>
      <c r="S859" s="82"/>
      <c r="T859" s="80"/>
      <c r="U859" s="80"/>
      <c r="V859" s="79"/>
      <c r="W859" s="80"/>
      <c r="X859" s="80"/>
    </row>
    <row r="860" spans="1:24" ht="42" customHeight="1">
      <c r="A860" s="80">
        <f t="shared" si="0"/>
        <v>858</v>
      </c>
      <c r="B860" s="51" t="str">
        <f t="shared" si="1"/>
        <v>MA</v>
      </c>
      <c r="C860" s="51" t="s">
        <v>4296</v>
      </c>
      <c r="D860" s="51" t="s">
        <v>95</v>
      </c>
      <c r="E860" s="51" t="s">
        <v>2533</v>
      </c>
      <c r="F860" s="80"/>
      <c r="G860" s="75" t="s">
        <v>310</v>
      </c>
      <c r="H860" s="80"/>
      <c r="I860" s="76"/>
      <c r="J860" s="96" t="s">
        <v>311</v>
      </c>
      <c r="K860" s="80"/>
      <c r="L860" s="51" t="s">
        <v>78</v>
      </c>
      <c r="M860" s="79">
        <v>44897</v>
      </c>
      <c r="N860" s="51" t="s">
        <v>2538</v>
      </c>
      <c r="O860" s="51" t="s">
        <v>78</v>
      </c>
      <c r="P860" s="79">
        <v>44901</v>
      </c>
      <c r="Q860" s="51" t="s">
        <v>2538</v>
      </c>
      <c r="R860" s="80"/>
      <c r="S860" s="82"/>
      <c r="T860" s="80"/>
      <c r="U860" s="80"/>
      <c r="V860" s="79"/>
      <c r="W860" s="80"/>
      <c r="X860" s="80"/>
    </row>
    <row r="861" spans="1:24" ht="42" customHeight="1">
      <c r="A861" s="80">
        <f t="shared" si="0"/>
        <v>859</v>
      </c>
      <c r="B861" s="51" t="str">
        <f t="shared" si="1"/>
        <v>MA</v>
      </c>
      <c r="C861" s="51" t="s">
        <v>4297</v>
      </c>
      <c r="D861" s="51" t="s">
        <v>95</v>
      </c>
      <c r="E861" s="51" t="s">
        <v>2533</v>
      </c>
      <c r="F861" s="80"/>
      <c r="G861" s="75" t="s">
        <v>314</v>
      </c>
      <c r="H861" s="80"/>
      <c r="I861" s="54" t="s">
        <v>313</v>
      </c>
      <c r="J861" s="96" t="s">
        <v>315</v>
      </c>
      <c r="K861" s="80"/>
      <c r="L861" s="51" t="s">
        <v>78</v>
      </c>
      <c r="M861" s="79">
        <v>44897</v>
      </c>
      <c r="N861" s="51" t="s">
        <v>2551</v>
      </c>
      <c r="O861" s="51" t="s">
        <v>78</v>
      </c>
      <c r="P861" s="79">
        <v>44901</v>
      </c>
      <c r="Q861" s="51" t="s">
        <v>2538</v>
      </c>
      <c r="R861" s="80"/>
      <c r="S861" s="82"/>
      <c r="T861" s="80"/>
      <c r="U861" s="80"/>
      <c r="V861" s="79"/>
      <c r="W861" s="80"/>
      <c r="X861" s="80"/>
    </row>
    <row r="862" spans="1:24" ht="42" customHeight="1">
      <c r="A862" s="80">
        <f t="shared" si="0"/>
        <v>860</v>
      </c>
      <c r="B862" s="51" t="str">
        <f t="shared" si="1"/>
        <v>MA</v>
      </c>
      <c r="C862" s="81" t="s">
        <v>4298</v>
      </c>
      <c r="D862" s="51" t="s">
        <v>95</v>
      </c>
      <c r="E862" s="51" t="s">
        <v>2533</v>
      </c>
      <c r="F862" s="80"/>
      <c r="G862" s="75" t="s">
        <v>4299</v>
      </c>
      <c r="H862" s="80"/>
      <c r="I862" s="76"/>
      <c r="J862" s="77" t="s">
        <v>332</v>
      </c>
      <c r="K862" s="80"/>
      <c r="L862" s="51" t="s">
        <v>78</v>
      </c>
      <c r="M862" s="79">
        <v>44897</v>
      </c>
      <c r="N862" s="51" t="s">
        <v>2858</v>
      </c>
      <c r="O862" s="80"/>
      <c r="P862" s="82"/>
      <c r="Q862" s="80"/>
      <c r="R862" s="80"/>
      <c r="S862" s="82"/>
      <c r="T862" s="80"/>
      <c r="U862" s="80"/>
      <c r="V862" s="79"/>
      <c r="W862" s="80"/>
      <c r="X862" s="80"/>
    </row>
    <row r="863" spans="1:24" ht="42" customHeight="1">
      <c r="A863" s="80">
        <f t="shared" si="0"/>
        <v>861</v>
      </c>
      <c r="B863" s="51" t="str">
        <f t="shared" si="1"/>
        <v>MA</v>
      </c>
      <c r="C863" s="81" t="s">
        <v>4300</v>
      </c>
      <c r="D863" s="51" t="s">
        <v>95</v>
      </c>
      <c r="E863" s="51" t="s">
        <v>2533</v>
      </c>
      <c r="F863" s="80"/>
      <c r="G863" s="75" t="s">
        <v>4301</v>
      </c>
      <c r="H863" s="80"/>
      <c r="I863" s="76"/>
      <c r="J863" s="80"/>
      <c r="K863" s="80"/>
      <c r="L863" s="51" t="s">
        <v>78</v>
      </c>
      <c r="M863" s="79">
        <v>44893</v>
      </c>
      <c r="N863" s="51" t="s">
        <v>2561</v>
      </c>
      <c r="O863" s="80"/>
      <c r="P863" s="82"/>
      <c r="Q863" s="80"/>
      <c r="R863" s="80"/>
      <c r="S863" s="82"/>
      <c r="T863" s="80"/>
      <c r="U863" s="80"/>
      <c r="V863" s="79"/>
      <c r="W863" s="80"/>
      <c r="X863" s="80"/>
    </row>
    <row r="864" spans="1:24" ht="42" customHeight="1">
      <c r="A864" s="80">
        <f t="shared" si="0"/>
        <v>862</v>
      </c>
      <c r="B864" s="51" t="str">
        <f t="shared" si="1"/>
        <v>MA</v>
      </c>
      <c r="C864" s="51" t="s">
        <v>320</v>
      </c>
      <c r="D864" s="51" t="s">
        <v>95</v>
      </c>
      <c r="E864" s="51" t="s">
        <v>2533</v>
      </c>
      <c r="F864" s="80"/>
      <c r="G864" s="75" t="s">
        <v>4302</v>
      </c>
      <c r="H864" s="80"/>
      <c r="I864" s="76"/>
      <c r="J864" s="80"/>
      <c r="K864" s="80"/>
      <c r="L864" s="51" t="s">
        <v>78</v>
      </c>
      <c r="M864" s="79">
        <v>44890</v>
      </c>
      <c r="N864" s="51" t="s">
        <v>2538</v>
      </c>
      <c r="O864" s="51" t="s">
        <v>78</v>
      </c>
      <c r="P864" s="79">
        <v>44901</v>
      </c>
      <c r="Q864" s="51" t="s">
        <v>2538</v>
      </c>
      <c r="R864" s="80"/>
      <c r="S864" s="82"/>
      <c r="T864" s="80"/>
      <c r="U864" s="80"/>
      <c r="V864" s="79"/>
      <c r="W864" s="80"/>
      <c r="X864" s="80"/>
    </row>
    <row r="865" spans="1:24" ht="42" customHeight="1">
      <c r="A865" s="80">
        <f t="shared" si="0"/>
        <v>863</v>
      </c>
      <c r="B865" s="51" t="str">
        <f t="shared" si="1"/>
        <v>MA</v>
      </c>
      <c r="C865" s="51" t="s">
        <v>4303</v>
      </c>
      <c r="D865" s="51" t="s">
        <v>95</v>
      </c>
      <c r="E865" s="51" t="s">
        <v>2533</v>
      </c>
      <c r="F865" s="80"/>
      <c r="G865" s="75" t="s">
        <v>317</v>
      </c>
      <c r="H865" s="80"/>
      <c r="I865" s="76"/>
      <c r="J865" s="80"/>
      <c r="K865" s="80"/>
      <c r="L865" s="51" t="s">
        <v>78</v>
      </c>
      <c r="M865" s="79">
        <v>44890</v>
      </c>
      <c r="N865" s="51" t="s">
        <v>2561</v>
      </c>
      <c r="O865" s="51" t="s">
        <v>78</v>
      </c>
      <c r="P865" s="79">
        <v>44901</v>
      </c>
      <c r="Q865" s="51" t="s">
        <v>2561</v>
      </c>
      <c r="R865" s="80"/>
      <c r="S865" s="82"/>
      <c r="T865" s="80"/>
      <c r="U865" s="80"/>
      <c r="V865" s="79"/>
      <c r="W865" s="80"/>
      <c r="X865" s="80"/>
    </row>
    <row r="866" spans="1:24" ht="42" customHeight="1">
      <c r="A866" s="80">
        <f t="shared" si="0"/>
        <v>864</v>
      </c>
      <c r="B866" s="51" t="str">
        <f t="shared" si="1"/>
        <v>MA</v>
      </c>
      <c r="C866" s="51" t="s">
        <v>4304</v>
      </c>
      <c r="D866" s="51" t="s">
        <v>95</v>
      </c>
      <c r="E866" s="51" t="s">
        <v>2533</v>
      </c>
      <c r="F866" s="80"/>
      <c r="G866" s="75" t="s">
        <v>319</v>
      </c>
      <c r="H866" s="80"/>
      <c r="I866" s="76"/>
      <c r="J866" s="80"/>
      <c r="K866" s="80"/>
      <c r="L866" s="51" t="s">
        <v>78</v>
      </c>
      <c r="M866" s="79">
        <v>44890</v>
      </c>
      <c r="N866" s="51" t="s">
        <v>2538</v>
      </c>
      <c r="O866" s="51" t="s">
        <v>78</v>
      </c>
      <c r="P866" s="79">
        <v>44901</v>
      </c>
      <c r="Q866" s="51" t="s">
        <v>2538</v>
      </c>
      <c r="R866" s="80"/>
      <c r="S866" s="82"/>
      <c r="T866" s="80"/>
      <c r="U866" s="80"/>
      <c r="V866" s="79"/>
      <c r="W866" s="80"/>
      <c r="X866" s="80"/>
    </row>
    <row r="867" spans="1:24" ht="42" customHeight="1">
      <c r="A867" s="80">
        <f t="shared" si="0"/>
        <v>865</v>
      </c>
      <c r="B867" s="51" t="str">
        <f t="shared" si="1"/>
        <v>MA</v>
      </c>
      <c r="C867" s="81" t="s">
        <v>4305</v>
      </c>
      <c r="D867" s="51" t="s">
        <v>95</v>
      </c>
      <c r="E867" s="51" t="s">
        <v>2533</v>
      </c>
      <c r="F867" s="80"/>
      <c r="G867" s="75" t="s">
        <v>4306</v>
      </c>
      <c r="H867" s="80"/>
      <c r="I867" s="76"/>
      <c r="J867" s="77" t="s">
        <v>4307</v>
      </c>
      <c r="K867" s="80"/>
      <c r="L867" s="80"/>
      <c r="M867" s="79">
        <v>44792</v>
      </c>
      <c r="N867" s="80"/>
      <c r="O867" s="80"/>
      <c r="P867" s="82"/>
      <c r="Q867" s="80"/>
      <c r="R867" s="80"/>
      <c r="S867" s="82"/>
      <c r="T867" s="80"/>
      <c r="U867" s="80"/>
      <c r="V867" s="79"/>
      <c r="W867" s="80"/>
      <c r="X867" s="80"/>
    </row>
    <row r="868" spans="1:24" ht="42" customHeight="1">
      <c r="A868" s="80">
        <f t="shared" si="0"/>
        <v>866</v>
      </c>
      <c r="B868" s="51" t="str">
        <f t="shared" si="1"/>
        <v>MA</v>
      </c>
      <c r="C868" s="51" t="s">
        <v>322</v>
      </c>
      <c r="D868" s="51" t="s">
        <v>95</v>
      </c>
      <c r="E868" s="51" t="s">
        <v>2533</v>
      </c>
      <c r="F868" s="80"/>
      <c r="G868" s="75" t="s">
        <v>323</v>
      </c>
      <c r="H868" s="80"/>
      <c r="I868" s="76"/>
      <c r="J868" s="77" t="s">
        <v>324</v>
      </c>
      <c r="K868" s="80"/>
      <c r="L868" s="51" t="s">
        <v>78</v>
      </c>
      <c r="M868" s="79">
        <v>44890</v>
      </c>
      <c r="N868" s="51" t="s">
        <v>2570</v>
      </c>
      <c r="O868" s="51" t="s">
        <v>78</v>
      </c>
      <c r="P868" s="79">
        <v>44901</v>
      </c>
      <c r="Q868" s="51" t="s">
        <v>2538</v>
      </c>
      <c r="R868" s="80"/>
      <c r="S868" s="82"/>
      <c r="T868" s="80"/>
      <c r="U868" s="80"/>
      <c r="V868" s="79"/>
      <c r="W868" s="80"/>
      <c r="X868" s="80"/>
    </row>
    <row r="869" spans="1:24" ht="42" customHeight="1">
      <c r="A869" s="80">
        <f t="shared" si="0"/>
        <v>867</v>
      </c>
      <c r="B869" s="51" t="str">
        <f t="shared" si="1"/>
        <v>MA</v>
      </c>
      <c r="C869" s="81" t="s">
        <v>4308</v>
      </c>
      <c r="D869" s="51" t="s">
        <v>95</v>
      </c>
      <c r="E869" s="51" t="s">
        <v>2533</v>
      </c>
      <c r="F869" s="80"/>
      <c r="G869" s="75" t="s">
        <v>4309</v>
      </c>
      <c r="H869" s="80"/>
      <c r="I869" s="76"/>
      <c r="J869" s="80"/>
      <c r="K869" s="80"/>
      <c r="L869" s="51" t="s">
        <v>78</v>
      </c>
      <c r="M869" s="79">
        <v>44890</v>
      </c>
      <c r="N869" s="51" t="s">
        <v>2538</v>
      </c>
      <c r="O869" s="51" t="s">
        <v>78</v>
      </c>
      <c r="P869" s="79">
        <v>44901</v>
      </c>
      <c r="Q869" s="51" t="s">
        <v>2561</v>
      </c>
      <c r="R869" s="80"/>
      <c r="S869" s="82"/>
      <c r="T869" s="80"/>
      <c r="U869" s="80"/>
      <c r="V869" s="79"/>
      <c r="W869" s="80"/>
      <c r="X869" s="80"/>
    </row>
    <row r="870" spans="1:24" ht="42" customHeight="1">
      <c r="A870" s="80">
        <f t="shared" si="0"/>
        <v>868</v>
      </c>
      <c r="B870" s="51" t="str">
        <f t="shared" si="1"/>
        <v>MA</v>
      </c>
      <c r="C870" s="51" t="s">
        <v>4310</v>
      </c>
      <c r="D870" s="51" t="s">
        <v>95</v>
      </c>
      <c r="E870" s="51" t="s">
        <v>2533</v>
      </c>
      <c r="F870" s="80"/>
      <c r="G870" s="75" t="s">
        <v>326</v>
      </c>
      <c r="H870" s="51" t="s">
        <v>2648</v>
      </c>
      <c r="I870" s="76"/>
      <c r="J870" s="77" t="s">
        <v>327</v>
      </c>
      <c r="K870" s="80"/>
      <c r="L870" s="51" t="s">
        <v>78</v>
      </c>
      <c r="M870" s="79">
        <v>44890</v>
      </c>
      <c r="N870" s="51" t="s">
        <v>2538</v>
      </c>
      <c r="O870" s="51" t="s">
        <v>78</v>
      </c>
      <c r="P870" s="79">
        <v>44901</v>
      </c>
      <c r="Q870" s="51" t="s">
        <v>2561</v>
      </c>
      <c r="R870" s="80"/>
      <c r="S870" s="82"/>
      <c r="T870" s="80"/>
      <c r="U870" s="80"/>
      <c r="V870" s="79"/>
      <c r="W870" s="80"/>
      <c r="X870" s="80"/>
    </row>
    <row r="871" spans="1:24" ht="42" customHeight="1">
      <c r="A871" s="80">
        <f t="shared" si="0"/>
        <v>869</v>
      </c>
      <c r="B871" s="51" t="str">
        <f t="shared" si="1"/>
        <v>MA</v>
      </c>
      <c r="C871" s="51" t="s">
        <v>4311</v>
      </c>
      <c r="D871" s="51" t="s">
        <v>95</v>
      </c>
      <c r="E871" s="51" t="s">
        <v>2533</v>
      </c>
      <c r="F871" s="80"/>
      <c r="G871" s="75" t="s">
        <v>329</v>
      </c>
      <c r="H871" s="80"/>
      <c r="I871" s="76"/>
      <c r="J871" s="77" t="s">
        <v>330</v>
      </c>
      <c r="K871" s="80"/>
      <c r="L871" s="51" t="s">
        <v>78</v>
      </c>
      <c r="M871" s="79">
        <v>44890</v>
      </c>
      <c r="N871" s="51" t="s">
        <v>2561</v>
      </c>
      <c r="O871" s="98" t="s">
        <v>78</v>
      </c>
      <c r="P871" s="79">
        <v>44901</v>
      </c>
      <c r="Q871" s="51" t="s">
        <v>2561</v>
      </c>
      <c r="R871" s="80"/>
      <c r="S871" s="82"/>
      <c r="T871" s="80"/>
      <c r="U871" s="80"/>
      <c r="V871" s="79"/>
      <c r="W871" s="80"/>
      <c r="X871" s="80"/>
    </row>
    <row r="872" spans="1:24" ht="42" customHeight="1">
      <c r="A872" s="80">
        <f t="shared" si="0"/>
        <v>870</v>
      </c>
      <c r="B872" s="51" t="str">
        <f t="shared" si="1"/>
        <v>MA</v>
      </c>
      <c r="C872" s="81" t="s">
        <v>4312</v>
      </c>
      <c r="D872" s="51" t="s">
        <v>95</v>
      </c>
      <c r="E872" s="51" t="s">
        <v>2533</v>
      </c>
      <c r="F872" s="80"/>
      <c r="G872" s="75" t="s">
        <v>4313</v>
      </c>
      <c r="H872" s="80"/>
      <c r="I872" s="76"/>
      <c r="J872" s="80"/>
      <c r="K872" s="80"/>
      <c r="L872" s="51" t="s">
        <v>78</v>
      </c>
      <c r="M872" s="79">
        <v>44890</v>
      </c>
      <c r="N872" s="51" t="s">
        <v>2561</v>
      </c>
      <c r="O872" s="80"/>
      <c r="P872" s="82"/>
      <c r="Q872" s="80"/>
      <c r="R872" s="80"/>
      <c r="S872" s="82"/>
      <c r="T872" s="80"/>
      <c r="U872" s="80"/>
      <c r="V872" s="79"/>
      <c r="W872" s="80"/>
      <c r="X872" s="80"/>
    </row>
    <row r="873" spans="1:24" ht="42" customHeight="1">
      <c r="A873" s="80">
        <f t="shared" si="0"/>
        <v>871</v>
      </c>
      <c r="B873" s="51" t="str">
        <f t="shared" si="1"/>
        <v>MA</v>
      </c>
      <c r="C873" s="51" t="s">
        <v>4314</v>
      </c>
      <c r="D873" s="51" t="s">
        <v>95</v>
      </c>
      <c r="E873" s="51" t="s">
        <v>2533</v>
      </c>
      <c r="F873" s="80"/>
      <c r="G873" s="75" t="s">
        <v>279</v>
      </c>
      <c r="H873" s="80"/>
      <c r="I873" s="76"/>
      <c r="J873" s="77" t="s">
        <v>332</v>
      </c>
      <c r="K873" s="80"/>
      <c r="L873" s="51" t="s">
        <v>78</v>
      </c>
      <c r="M873" s="79">
        <v>44890</v>
      </c>
      <c r="N873" s="51" t="s">
        <v>2561</v>
      </c>
      <c r="O873" s="51" t="s">
        <v>78</v>
      </c>
      <c r="P873" s="79">
        <v>44901</v>
      </c>
      <c r="Q873" s="51" t="s">
        <v>2538</v>
      </c>
      <c r="R873" s="80"/>
      <c r="S873" s="82"/>
      <c r="T873" s="80"/>
      <c r="U873" s="80"/>
      <c r="V873" s="79"/>
      <c r="W873" s="80"/>
      <c r="X873" s="80"/>
    </row>
    <row r="874" spans="1:24" ht="42" customHeight="1">
      <c r="A874" s="80">
        <f t="shared" si="0"/>
        <v>872</v>
      </c>
      <c r="B874" s="51" t="str">
        <f t="shared" si="1"/>
        <v>MA</v>
      </c>
      <c r="C874" s="51" t="s">
        <v>4315</v>
      </c>
      <c r="D874" s="51" t="s">
        <v>95</v>
      </c>
      <c r="E874" s="51" t="s">
        <v>2533</v>
      </c>
      <c r="F874" s="80"/>
      <c r="G874" s="75" t="s">
        <v>334</v>
      </c>
      <c r="H874" s="51" t="s">
        <v>414</v>
      </c>
      <c r="I874" s="76"/>
      <c r="J874" s="80"/>
      <c r="K874" s="80"/>
      <c r="L874" s="51" t="s">
        <v>78</v>
      </c>
      <c r="M874" s="79">
        <v>44890</v>
      </c>
      <c r="N874" s="51" t="s">
        <v>2561</v>
      </c>
      <c r="O874" s="51" t="s">
        <v>78</v>
      </c>
      <c r="P874" s="79">
        <v>44901</v>
      </c>
      <c r="Q874" s="51" t="s">
        <v>2561</v>
      </c>
      <c r="R874" s="80"/>
      <c r="S874" s="82"/>
      <c r="T874" s="80"/>
      <c r="U874" s="80"/>
      <c r="V874" s="79"/>
      <c r="W874" s="80"/>
      <c r="X874" s="80"/>
    </row>
    <row r="875" spans="1:24" ht="42" customHeight="1">
      <c r="A875" s="80">
        <f t="shared" si="0"/>
        <v>873</v>
      </c>
      <c r="B875" s="51" t="str">
        <f t="shared" si="1"/>
        <v>MA</v>
      </c>
      <c r="C875" s="51" t="s">
        <v>4316</v>
      </c>
      <c r="D875" s="51" t="s">
        <v>95</v>
      </c>
      <c r="E875" s="51" t="s">
        <v>2533</v>
      </c>
      <c r="F875" s="80"/>
      <c r="G875" s="75" t="s">
        <v>337</v>
      </c>
      <c r="H875" s="80"/>
      <c r="I875" s="76"/>
      <c r="J875" s="77" t="s">
        <v>338</v>
      </c>
      <c r="K875" s="80"/>
      <c r="L875" s="51" t="s">
        <v>78</v>
      </c>
      <c r="M875" s="79">
        <v>44890</v>
      </c>
      <c r="N875" s="51" t="s">
        <v>2561</v>
      </c>
      <c r="O875" s="51" t="s">
        <v>78</v>
      </c>
      <c r="P875" s="79">
        <v>44901</v>
      </c>
      <c r="Q875" s="51" t="s">
        <v>2561</v>
      </c>
      <c r="R875" s="80"/>
      <c r="S875" s="82"/>
      <c r="T875" s="80"/>
      <c r="U875" s="80"/>
      <c r="V875" s="79"/>
      <c r="W875" s="80"/>
      <c r="X875" s="80"/>
    </row>
    <row r="876" spans="1:24" ht="42" customHeight="1">
      <c r="A876" s="80">
        <f t="shared" si="0"/>
        <v>874</v>
      </c>
      <c r="B876" s="51" t="str">
        <f t="shared" si="1"/>
        <v>MA</v>
      </c>
      <c r="C876" s="51" t="s">
        <v>4317</v>
      </c>
      <c r="D876" s="51" t="s">
        <v>95</v>
      </c>
      <c r="E876" s="51" t="s">
        <v>2533</v>
      </c>
      <c r="F876" s="80"/>
      <c r="G876" s="75" t="s">
        <v>4318</v>
      </c>
      <c r="H876" s="80"/>
      <c r="I876" s="76"/>
      <c r="J876" s="77" t="s">
        <v>341</v>
      </c>
      <c r="K876" s="80"/>
      <c r="L876" s="51" t="s">
        <v>78</v>
      </c>
      <c r="M876" s="79">
        <v>44890</v>
      </c>
      <c r="N876" s="51" t="s">
        <v>2538</v>
      </c>
      <c r="O876" s="51" t="s">
        <v>78</v>
      </c>
      <c r="P876" s="79">
        <v>44901</v>
      </c>
      <c r="Q876" s="51" t="s">
        <v>2538</v>
      </c>
      <c r="R876" s="80"/>
      <c r="S876" s="82"/>
      <c r="T876" s="80"/>
      <c r="U876" s="80"/>
      <c r="V876" s="79"/>
      <c r="W876" s="80"/>
      <c r="X876" s="80"/>
    </row>
    <row r="877" spans="1:24" ht="42" customHeight="1">
      <c r="A877" s="80">
        <f t="shared" si="0"/>
        <v>875</v>
      </c>
      <c r="B877" s="51" t="str">
        <f t="shared" si="1"/>
        <v>MA</v>
      </c>
      <c r="C877" s="81" t="s">
        <v>4319</v>
      </c>
      <c r="D877" s="51" t="s">
        <v>95</v>
      </c>
      <c r="E877" s="51" t="s">
        <v>2533</v>
      </c>
      <c r="F877" s="80"/>
      <c r="G877" s="75" t="s">
        <v>4320</v>
      </c>
      <c r="H877" s="80"/>
      <c r="I877" s="76"/>
      <c r="J877" s="96" t="s">
        <v>411</v>
      </c>
      <c r="K877" s="80"/>
      <c r="L877" s="51" t="s">
        <v>78</v>
      </c>
      <c r="M877" s="79">
        <v>44890</v>
      </c>
      <c r="N877" s="51" t="s">
        <v>2561</v>
      </c>
      <c r="O877" s="80"/>
      <c r="P877" s="82"/>
      <c r="Q877" s="80"/>
      <c r="R877" s="80"/>
      <c r="S877" s="82"/>
      <c r="T877" s="80"/>
      <c r="U877" s="80"/>
      <c r="V877" s="79"/>
      <c r="W877" s="80"/>
      <c r="X877" s="80"/>
    </row>
    <row r="878" spans="1:24" ht="42" customHeight="1">
      <c r="A878" s="80">
        <f t="shared" si="0"/>
        <v>876</v>
      </c>
      <c r="B878" s="51" t="str">
        <f t="shared" si="1"/>
        <v>MA</v>
      </c>
      <c r="C878" s="51" t="s">
        <v>4321</v>
      </c>
      <c r="D878" s="51" t="s">
        <v>95</v>
      </c>
      <c r="E878" s="51" t="s">
        <v>2533</v>
      </c>
      <c r="F878" s="80"/>
      <c r="G878" s="75" t="s">
        <v>343</v>
      </c>
      <c r="H878" s="80"/>
      <c r="I878" s="76"/>
      <c r="J878" s="80"/>
      <c r="K878" s="80"/>
      <c r="L878" s="51" t="s">
        <v>78</v>
      </c>
      <c r="M878" s="79">
        <v>44890</v>
      </c>
      <c r="N878" s="51" t="s">
        <v>2551</v>
      </c>
      <c r="O878" s="51" t="s">
        <v>78</v>
      </c>
      <c r="P878" s="79">
        <v>44901</v>
      </c>
      <c r="Q878" s="51" t="s">
        <v>2538</v>
      </c>
      <c r="R878" s="80"/>
      <c r="S878" s="82"/>
      <c r="T878" s="80"/>
      <c r="U878" s="80"/>
      <c r="V878" s="79"/>
      <c r="W878" s="80"/>
      <c r="X878" s="80"/>
    </row>
    <row r="879" spans="1:24" ht="42" customHeight="1">
      <c r="A879" s="80">
        <f t="shared" si="0"/>
        <v>877</v>
      </c>
      <c r="B879" s="51" t="str">
        <f t="shared" si="1"/>
        <v>MA</v>
      </c>
      <c r="C879" s="51" t="s">
        <v>4322</v>
      </c>
      <c r="D879" s="51" t="s">
        <v>95</v>
      </c>
      <c r="E879" s="51" t="s">
        <v>2533</v>
      </c>
      <c r="F879" s="80"/>
      <c r="G879" s="75" t="s">
        <v>4323</v>
      </c>
      <c r="H879" s="80"/>
      <c r="I879" s="76"/>
      <c r="J879" s="80"/>
      <c r="K879" s="80"/>
      <c r="L879" s="51" t="s">
        <v>78</v>
      </c>
      <c r="M879" s="79">
        <v>44890</v>
      </c>
      <c r="N879" s="51" t="s">
        <v>2538</v>
      </c>
      <c r="O879" s="51" t="s">
        <v>78</v>
      </c>
      <c r="P879" s="79">
        <v>44901</v>
      </c>
      <c r="Q879" s="51" t="s">
        <v>2538</v>
      </c>
      <c r="R879" s="80"/>
      <c r="S879" s="82"/>
      <c r="T879" s="80"/>
      <c r="U879" s="80"/>
      <c r="V879" s="79"/>
      <c r="W879" s="80"/>
      <c r="X879" s="80"/>
    </row>
    <row r="880" spans="1:24" ht="42" customHeight="1">
      <c r="A880" s="80">
        <f t="shared" si="0"/>
        <v>878</v>
      </c>
      <c r="B880" s="51" t="str">
        <f t="shared" si="1"/>
        <v>MA</v>
      </c>
      <c r="C880" s="51" t="s">
        <v>4324</v>
      </c>
      <c r="D880" s="51" t="s">
        <v>95</v>
      </c>
      <c r="E880" s="51" t="s">
        <v>2533</v>
      </c>
      <c r="F880" s="80"/>
      <c r="G880" s="75" t="s">
        <v>4325</v>
      </c>
      <c r="H880" s="80"/>
      <c r="I880" s="76"/>
      <c r="J880" s="77" t="s">
        <v>4326</v>
      </c>
      <c r="K880" s="80"/>
      <c r="L880" s="51" t="s">
        <v>78</v>
      </c>
      <c r="M880" s="79">
        <v>44890</v>
      </c>
      <c r="N880" s="51" t="s">
        <v>2538</v>
      </c>
      <c r="O880" s="51" t="s">
        <v>78</v>
      </c>
      <c r="P880" s="79">
        <v>44897</v>
      </c>
      <c r="Q880" s="51" t="s">
        <v>2538</v>
      </c>
      <c r="R880" s="51" t="s">
        <v>78</v>
      </c>
      <c r="S880" s="79">
        <v>44901</v>
      </c>
      <c r="T880" s="51" t="s">
        <v>2561</v>
      </c>
      <c r="U880" s="80"/>
      <c r="V880" s="79"/>
      <c r="W880" s="80"/>
      <c r="X880" s="80"/>
    </row>
    <row r="881" spans="1:24" ht="42" customHeight="1">
      <c r="A881" s="80">
        <f t="shared" si="0"/>
        <v>879</v>
      </c>
      <c r="B881" s="51" t="str">
        <f t="shared" si="1"/>
        <v>MA</v>
      </c>
      <c r="C881" s="81" t="s">
        <v>4327</v>
      </c>
      <c r="D881" s="51" t="s">
        <v>95</v>
      </c>
      <c r="E881" s="51" t="s">
        <v>2533</v>
      </c>
      <c r="F881" s="80"/>
      <c r="G881" s="75" t="s">
        <v>4328</v>
      </c>
      <c r="H881" s="80"/>
      <c r="I881" s="76"/>
      <c r="J881" s="80"/>
      <c r="K881" s="80"/>
      <c r="L881" s="51" t="s">
        <v>78</v>
      </c>
      <c r="M881" s="79">
        <v>44890</v>
      </c>
      <c r="N881" s="51" t="s">
        <v>2538</v>
      </c>
      <c r="O881" s="51" t="s">
        <v>78</v>
      </c>
      <c r="P881" s="79">
        <v>44897</v>
      </c>
      <c r="Q881" s="51" t="s">
        <v>2538</v>
      </c>
      <c r="R881" s="51" t="s">
        <v>78</v>
      </c>
      <c r="S881" s="79">
        <v>44901</v>
      </c>
      <c r="T881" s="51" t="s">
        <v>2538</v>
      </c>
      <c r="U881" s="80"/>
      <c r="V881" s="79"/>
      <c r="W881" s="80"/>
      <c r="X881" s="80"/>
    </row>
    <row r="882" spans="1:24" ht="42" customHeight="1">
      <c r="A882" s="80">
        <f t="shared" si="0"/>
        <v>880</v>
      </c>
      <c r="B882" s="51" t="str">
        <f t="shared" si="1"/>
        <v>MA</v>
      </c>
      <c r="C882" s="51" t="s">
        <v>4329</v>
      </c>
      <c r="D882" s="51" t="s">
        <v>95</v>
      </c>
      <c r="E882" s="51" t="s">
        <v>2533</v>
      </c>
      <c r="F882" s="80"/>
      <c r="G882" s="75" t="s">
        <v>428</v>
      </c>
      <c r="H882" s="80"/>
      <c r="I882" s="76"/>
      <c r="J882" s="80"/>
      <c r="K882" s="80"/>
      <c r="L882" s="51" t="s">
        <v>78</v>
      </c>
      <c r="M882" s="79">
        <v>44890</v>
      </c>
      <c r="N882" s="51" t="s">
        <v>4330</v>
      </c>
      <c r="O882" s="51" t="s">
        <v>78</v>
      </c>
      <c r="P882" s="79">
        <v>44897</v>
      </c>
      <c r="Q882" s="51" t="s">
        <v>2635</v>
      </c>
      <c r="R882" s="51" t="s">
        <v>78</v>
      </c>
      <c r="S882" s="79">
        <v>44901</v>
      </c>
      <c r="T882" s="51" t="s">
        <v>2538</v>
      </c>
      <c r="U882" s="80"/>
      <c r="V882" s="79"/>
      <c r="W882" s="80"/>
      <c r="X882" s="80"/>
    </row>
    <row r="883" spans="1:24" ht="42" customHeight="1">
      <c r="A883" s="80">
        <f t="shared" si="0"/>
        <v>881</v>
      </c>
      <c r="B883" s="51" t="str">
        <f t="shared" si="1"/>
        <v>MA</v>
      </c>
      <c r="C883" s="83" t="s">
        <v>4331</v>
      </c>
      <c r="D883" s="51" t="s">
        <v>95</v>
      </c>
      <c r="E883" s="51" t="s">
        <v>2533</v>
      </c>
      <c r="F883" s="80"/>
      <c r="G883" s="75" t="s">
        <v>4332</v>
      </c>
      <c r="H883" s="80"/>
      <c r="I883" s="76"/>
      <c r="J883" s="56" t="s">
        <v>4333</v>
      </c>
      <c r="K883" s="80"/>
      <c r="L883" s="51" t="s">
        <v>78</v>
      </c>
      <c r="M883" s="79">
        <v>44890</v>
      </c>
      <c r="N883" s="51" t="s">
        <v>2570</v>
      </c>
      <c r="O883" s="51" t="s">
        <v>78</v>
      </c>
      <c r="P883" s="79">
        <v>44897</v>
      </c>
      <c r="Q883" s="51" t="s">
        <v>2551</v>
      </c>
      <c r="R883" s="51" t="s">
        <v>78</v>
      </c>
      <c r="S883" s="79">
        <v>44901</v>
      </c>
      <c r="T883" s="51" t="s">
        <v>2551</v>
      </c>
      <c r="U883" s="80"/>
      <c r="V883" s="79"/>
      <c r="W883" s="80"/>
      <c r="X883" s="80"/>
    </row>
    <row r="884" spans="1:24" ht="42" customHeight="1">
      <c r="A884" s="80">
        <f t="shared" si="0"/>
        <v>882</v>
      </c>
      <c r="B884" s="51" t="str">
        <f t="shared" si="1"/>
        <v>MA</v>
      </c>
      <c r="C884" s="81" t="s">
        <v>4334</v>
      </c>
      <c r="D884" s="51" t="s">
        <v>95</v>
      </c>
      <c r="E884" s="51" t="s">
        <v>2533</v>
      </c>
      <c r="F884" s="80"/>
      <c r="G884" s="75" t="s">
        <v>4335</v>
      </c>
      <c r="H884" s="80"/>
      <c r="I884" s="76"/>
      <c r="J884" s="96" t="s">
        <v>4336</v>
      </c>
      <c r="K884" s="80"/>
      <c r="L884" s="51" t="s">
        <v>78</v>
      </c>
      <c r="M884" s="79">
        <v>44890</v>
      </c>
      <c r="N884" s="51" t="s">
        <v>2635</v>
      </c>
      <c r="O884" s="51" t="s">
        <v>78</v>
      </c>
      <c r="P884" s="79">
        <v>44897</v>
      </c>
      <c r="Q884" s="51" t="s">
        <v>2538</v>
      </c>
      <c r="R884" s="51" t="s">
        <v>78</v>
      </c>
      <c r="S884" s="79">
        <v>44901</v>
      </c>
      <c r="T884" s="51" t="s">
        <v>2561</v>
      </c>
      <c r="U884" s="80"/>
      <c r="V884" s="79"/>
      <c r="W884" s="80"/>
      <c r="X884" s="80"/>
    </row>
    <row r="885" spans="1:24" ht="42" customHeight="1">
      <c r="A885" s="80">
        <f t="shared" si="0"/>
        <v>883</v>
      </c>
      <c r="B885" s="51" t="str">
        <f t="shared" si="1"/>
        <v>MA</v>
      </c>
      <c r="C885" s="51" t="s">
        <v>4337</v>
      </c>
      <c r="D885" s="51" t="s">
        <v>95</v>
      </c>
      <c r="E885" s="51" t="s">
        <v>2533</v>
      </c>
      <c r="F885" s="80"/>
      <c r="G885" s="75" t="s">
        <v>417</v>
      </c>
      <c r="H885" s="51" t="s">
        <v>4338</v>
      </c>
      <c r="I885" s="76"/>
      <c r="J885" s="80"/>
      <c r="K885" s="80"/>
      <c r="L885" s="51" t="s">
        <v>78</v>
      </c>
      <c r="M885" s="79">
        <v>44890</v>
      </c>
      <c r="N885" s="51" t="s">
        <v>2561</v>
      </c>
      <c r="O885" s="51" t="s">
        <v>78</v>
      </c>
      <c r="P885" s="79">
        <v>44897</v>
      </c>
      <c r="Q885" s="51" t="s">
        <v>2561</v>
      </c>
      <c r="R885" s="51" t="s">
        <v>78</v>
      </c>
      <c r="S885" s="79">
        <v>44901</v>
      </c>
      <c r="T885" s="51" t="s">
        <v>2552</v>
      </c>
      <c r="U885" s="80"/>
      <c r="V885" s="79"/>
      <c r="W885" s="80"/>
      <c r="X885" s="80"/>
    </row>
    <row r="886" spans="1:24" ht="42" customHeight="1">
      <c r="A886" s="80">
        <f t="shared" si="0"/>
        <v>884</v>
      </c>
      <c r="B886" s="51" t="str">
        <f t="shared" si="1"/>
        <v>MA</v>
      </c>
      <c r="C886" s="51" t="s">
        <v>4339</v>
      </c>
      <c r="D886" s="51" t="s">
        <v>95</v>
      </c>
      <c r="E886" s="51" t="s">
        <v>2533</v>
      </c>
      <c r="F886" s="80"/>
      <c r="G886" s="75" t="s">
        <v>420</v>
      </c>
      <c r="H886" s="51" t="s">
        <v>421</v>
      </c>
      <c r="I886" s="76"/>
      <c r="J886" s="96" t="s">
        <v>422</v>
      </c>
      <c r="K886" s="80"/>
      <c r="L886" s="51" t="s">
        <v>78</v>
      </c>
      <c r="M886" s="79">
        <v>44890</v>
      </c>
      <c r="N886" s="51" t="s">
        <v>2551</v>
      </c>
      <c r="O886" s="51" t="s">
        <v>7</v>
      </c>
      <c r="P886" s="79">
        <v>44897</v>
      </c>
      <c r="Q886" s="51" t="s">
        <v>4280</v>
      </c>
      <c r="R886" s="51" t="s">
        <v>78</v>
      </c>
      <c r="S886" s="79">
        <v>44901</v>
      </c>
      <c r="T886" s="51" t="s">
        <v>2552</v>
      </c>
      <c r="U886" s="80"/>
      <c r="V886" s="79"/>
      <c r="W886" s="80"/>
      <c r="X886" s="80"/>
    </row>
    <row r="887" spans="1:24" ht="42" customHeight="1">
      <c r="A887" s="80">
        <f t="shared" si="0"/>
        <v>885</v>
      </c>
      <c r="B887" s="51" t="str">
        <f t="shared" si="1"/>
        <v>MA</v>
      </c>
      <c r="C887" s="51" t="s">
        <v>4340</v>
      </c>
      <c r="D887" s="51" t="s">
        <v>95</v>
      </c>
      <c r="E887" s="51" t="s">
        <v>2533</v>
      </c>
      <c r="F887" s="80"/>
      <c r="G887" s="75" t="s">
        <v>424</v>
      </c>
      <c r="H887" s="51" t="s">
        <v>425</v>
      </c>
      <c r="I887" s="76"/>
      <c r="J887" s="56" t="s">
        <v>426</v>
      </c>
      <c r="K887" s="80"/>
      <c r="L887" s="51" t="s">
        <v>78</v>
      </c>
      <c r="M887" s="79">
        <v>44890</v>
      </c>
      <c r="N887" s="51" t="s">
        <v>2561</v>
      </c>
      <c r="O887" s="51" t="s">
        <v>78</v>
      </c>
      <c r="P887" s="79">
        <v>44897</v>
      </c>
      <c r="Q887" s="51" t="s">
        <v>2623</v>
      </c>
      <c r="R887" s="51" t="s">
        <v>78</v>
      </c>
      <c r="S887" s="79">
        <v>44901</v>
      </c>
      <c r="T887" s="51" t="s">
        <v>2635</v>
      </c>
      <c r="U887" s="80"/>
      <c r="V887" s="79"/>
      <c r="W887" s="80"/>
      <c r="X887" s="80"/>
    </row>
    <row r="888" spans="1:24" ht="42" customHeight="1">
      <c r="A888" s="80">
        <f t="shared" si="0"/>
        <v>886</v>
      </c>
      <c r="B888" s="51" t="str">
        <f t="shared" si="1"/>
        <v>MA</v>
      </c>
      <c r="C888" s="81" t="s">
        <v>4341</v>
      </c>
      <c r="D888" s="51" t="s">
        <v>95</v>
      </c>
      <c r="E888" s="51" t="s">
        <v>2533</v>
      </c>
      <c r="F888" s="80"/>
      <c r="G888" s="75" t="s">
        <v>4342</v>
      </c>
      <c r="H888" s="80"/>
      <c r="I888" s="76"/>
      <c r="J888" s="80"/>
      <c r="K888" s="80"/>
      <c r="L888" s="51" t="s">
        <v>78</v>
      </c>
      <c r="M888" s="79">
        <v>44890</v>
      </c>
      <c r="N888" s="51" t="s">
        <v>2538</v>
      </c>
      <c r="O888" s="51" t="s">
        <v>78</v>
      </c>
      <c r="P888" s="79">
        <v>44897</v>
      </c>
      <c r="Q888" s="51" t="s">
        <v>2538</v>
      </c>
      <c r="R888" s="51" t="s">
        <v>78</v>
      </c>
      <c r="S888" s="79">
        <v>44901</v>
      </c>
      <c r="T888" s="51" t="s">
        <v>2538</v>
      </c>
      <c r="U888" s="80"/>
      <c r="V888" s="79"/>
      <c r="W888" s="80"/>
      <c r="X888" s="80"/>
    </row>
    <row r="889" spans="1:24" ht="42" customHeight="1">
      <c r="A889" s="80">
        <f t="shared" si="0"/>
        <v>887</v>
      </c>
      <c r="B889" s="51" t="str">
        <f t="shared" si="1"/>
        <v>MA</v>
      </c>
      <c r="C889" s="81" t="s">
        <v>4343</v>
      </c>
      <c r="D889" s="51" t="s">
        <v>95</v>
      </c>
      <c r="E889" s="51" t="s">
        <v>2533</v>
      </c>
      <c r="F889" s="80"/>
      <c r="G889" s="75" t="s">
        <v>4344</v>
      </c>
      <c r="H889" s="80"/>
      <c r="I889" s="76"/>
      <c r="J889" s="77" t="s">
        <v>4345</v>
      </c>
      <c r="K889" s="80"/>
      <c r="L889" s="80"/>
      <c r="M889" s="79">
        <v>44789</v>
      </c>
      <c r="N889" s="80"/>
      <c r="O889" s="80"/>
      <c r="P889" s="82"/>
      <c r="Q889" s="80"/>
      <c r="R889" s="80"/>
      <c r="S889" s="82"/>
      <c r="T889" s="80"/>
      <c r="U889" s="80"/>
      <c r="V889" s="79"/>
      <c r="W889" s="80"/>
      <c r="X889" s="80"/>
    </row>
    <row r="890" spans="1:24" ht="42" customHeight="1">
      <c r="A890" s="80">
        <f t="shared" si="0"/>
        <v>888</v>
      </c>
      <c r="B890" s="51" t="str">
        <f t="shared" si="1"/>
        <v>MA</v>
      </c>
      <c r="C890" s="81" t="s">
        <v>4346</v>
      </c>
      <c r="D890" s="51" t="s">
        <v>95</v>
      </c>
      <c r="E890" s="51" t="s">
        <v>2533</v>
      </c>
      <c r="F890" s="80"/>
      <c r="G890" s="75" t="s">
        <v>4347</v>
      </c>
      <c r="H890" s="51" t="s">
        <v>2536</v>
      </c>
      <c r="I890" s="76"/>
      <c r="J890" s="77" t="s">
        <v>4348</v>
      </c>
      <c r="K890" s="80"/>
      <c r="L890" s="51" t="s">
        <v>78</v>
      </c>
      <c r="M890" s="79">
        <v>44890</v>
      </c>
      <c r="N890" s="51" t="s">
        <v>2561</v>
      </c>
      <c r="O890" s="51" t="s">
        <v>78</v>
      </c>
      <c r="P890" s="79">
        <v>44897</v>
      </c>
      <c r="Q890" s="51" t="s">
        <v>2699</v>
      </c>
      <c r="R890" s="80"/>
      <c r="S890" s="82"/>
      <c r="T890" s="80"/>
      <c r="U890" s="80"/>
      <c r="V890" s="79"/>
      <c r="W890" s="80"/>
      <c r="X890" s="80"/>
    </row>
    <row r="891" spans="1:24" ht="42" customHeight="1">
      <c r="A891" s="80">
        <f t="shared" si="0"/>
        <v>889</v>
      </c>
      <c r="B891" s="51" t="str">
        <f t="shared" si="1"/>
        <v>MA</v>
      </c>
      <c r="C891" s="81" t="s">
        <v>4349</v>
      </c>
      <c r="D891" s="51" t="s">
        <v>95</v>
      </c>
      <c r="E891" s="51" t="s">
        <v>2533</v>
      </c>
      <c r="F891" s="80"/>
      <c r="G891" s="75" t="s">
        <v>4350</v>
      </c>
      <c r="H891" s="80"/>
      <c r="I891" s="76"/>
      <c r="J891" s="77" t="s">
        <v>4351</v>
      </c>
      <c r="K891" s="80"/>
      <c r="L891" s="51" t="s">
        <v>78</v>
      </c>
      <c r="M891" s="79">
        <v>44890</v>
      </c>
      <c r="N891" s="51" t="s">
        <v>2560</v>
      </c>
      <c r="O891" s="51" t="s">
        <v>78</v>
      </c>
      <c r="P891" s="79">
        <v>44897</v>
      </c>
      <c r="Q891" s="51" t="s">
        <v>4352</v>
      </c>
      <c r="R891" s="80"/>
      <c r="S891" s="82"/>
      <c r="T891" s="80"/>
      <c r="U891" s="80"/>
      <c r="V891" s="79"/>
      <c r="W891" s="80"/>
      <c r="X891" s="80"/>
    </row>
    <row r="892" spans="1:24" ht="42" customHeight="1">
      <c r="A892" s="80">
        <f t="shared" si="0"/>
        <v>890</v>
      </c>
      <c r="B892" s="51" t="str">
        <f t="shared" si="1"/>
        <v>MA</v>
      </c>
      <c r="C892" s="51" t="s">
        <v>4353</v>
      </c>
      <c r="D892" s="51" t="s">
        <v>95</v>
      </c>
      <c r="E892" s="51" t="s">
        <v>2533</v>
      </c>
      <c r="F892" s="80"/>
      <c r="G892" s="75" t="s">
        <v>413</v>
      </c>
      <c r="H892" s="51" t="s">
        <v>414</v>
      </c>
      <c r="I892" s="76"/>
      <c r="J892" s="77" t="s">
        <v>415</v>
      </c>
      <c r="K892" s="80"/>
      <c r="L892" s="51" t="s">
        <v>78</v>
      </c>
      <c r="M892" s="79">
        <v>44890</v>
      </c>
      <c r="N892" s="51" t="s">
        <v>2561</v>
      </c>
      <c r="O892" s="51" t="s">
        <v>98</v>
      </c>
      <c r="P892" s="79">
        <v>44897</v>
      </c>
      <c r="Q892" s="51" t="s">
        <v>2561</v>
      </c>
      <c r="R892" s="51" t="s">
        <v>78</v>
      </c>
      <c r="S892" s="79">
        <v>44901</v>
      </c>
      <c r="T892" s="51" t="s">
        <v>2538</v>
      </c>
      <c r="U892" s="80"/>
      <c r="V892" s="79"/>
      <c r="W892" s="80"/>
      <c r="X892" s="80"/>
    </row>
    <row r="893" spans="1:24" ht="42" customHeight="1">
      <c r="A893" s="80">
        <f t="shared" si="0"/>
        <v>891</v>
      </c>
      <c r="B893" s="51" t="str">
        <f t="shared" si="1"/>
        <v>MA</v>
      </c>
      <c r="C893" s="81" t="s">
        <v>4354</v>
      </c>
      <c r="D893" s="51" t="s">
        <v>95</v>
      </c>
      <c r="E893" s="51" t="s">
        <v>2533</v>
      </c>
      <c r="F893" s="80"/>
      <c r="G893" s="75" t="s">
        <v>4355</v>
      </c>
      <c r="H893" s="80"/>
      <c r="I893" s="76"/>
      <c r="J893" s="80"/>
      <c r="K893" s="80"/>
      <c r="L893" s="51" t="s">
        <v>78</v>
      </c>
      <c r="M893" s="79">
        <v>44890</v>
      </c>
      <c r="N893" s="51" t="s">
        <v>2699</v>
      </c>
      <c r="O893" s="80"/>
      <c r="P893" s="82"/>
      <c r="Q893" s="80"/>
      <c r="R893" s="80"/>
      <c r="S893" s="82"/>
      <c r="T893" s="80"/>
      <c r="U893" s="80"/>
      <c r="V893" s="79"/>
      <c r="W893" s="80"/>
      <c r="X893" s="80"/>
    </row>
    <row r="894" spans="1:24" ht="42" customHeight="1">
      <c r="A894" s="80">
        <f t="shared" si="0"/>
        <v>892</v>
      </c>
      <c r="B894" s="51" t="str">
        <f t="shared" si="1"/>
        <v>MA</v>
      </c>
      <c r="C894" s="83" t="s">
        <v>4356</v>
      </c>
      <c r="D894" s="51" t="s">
        <v>95</v>
      </c>
      <c r="E894" s="51" t="s">
        <v>2533</v>
      </c>
      <c r="F894" s="80"/>
      <c r="G894" s="75" t="s">
        <v>4357</v>
      </c>
      <c r="H894" s="51" t="s">
        <v>4358</v>
      </c>
      <c r="I894" s="76"/>
      <c r="J894" s="77" t="s">
        <v>4345</v>
      </c>
      <c r="K894" s="80"/>
      <c r="L894" s="51" t="s">
        <v>78</v>
      </c>
      <c r="M894" s="79">
        <v>44890</v>
      </c>
      <c r="N894" s="51" t="s">
        <v>2635</v>
      </c>
      <c r="O894" s="51" t="s">
        <v>78</v>
      </c>
      <c r="P894" s="79">
        <v>44897</v>
      </c>
      <c r="Q894" s="51" t="s">
        <v>2635</v>
      </c>
      <c r="R894" s="80"/>
      <c r="S894" s="82"/>
      <c r="T894" s="80"/>
      <c r="U894" s="80"/>
      <c r="V894" s="79"/>
      <c r="W894" s="80"/>
      <c r="X894" s="80"/>
    </row>
    <row r="895" spans="1:24" ht="42" customHeight="1">
      <c r="A895" s="80">
        <f t="shared" si="0"/>
        <v>893</v>
      </c>
      <c r="B895" s="51" t="str">
        <f t="shared" si="1"/>
        <v>MA</v>
      </c>
      <c r="C895" s="51" t="s">
        <v>409</v>
      </c>
      <c r="D895" s="51" t="s">
        <v>95</v>
      </c>
      <c r="E895" s="51" t="s">
        <v>2533</v>
      </c>
      <c r="F895" s="80"/>
      <c r="G895" s="75" t="s">
        <v>410</v>
      </c>
      <c r="H895" s="80"/>
      <c r="I895" s="76"/>
      <c r="J895" s="77" t="s">
        <v>411</v>
      </c>
      <c r="K895" s="80"/>
      <c r="L895" s="51" t="s">
        <v>78</v>
      </c>
      <c r="M895" s="79">
        <v>44890</v>
      </c>
      <c r="N895" s="51" t="s">
        <v>2561</v>
      </c>
      <c r="O895" s="51" t="s">
        <v>78</v>
      </c>
      <c r="P895" s="79">
        <v>44897</v>
      </c>
      <c r="Q895" s="51" t="s">
        <v>2561</v>
      </c>
      <c r="R895" s="51" t="s">
        <v>78</v>
      </c>
      <c r="S895" s="79">
        <v>44901</v>
      </c>
      <c r="T895" s="51" t="s">
        <v>2538</v>
      </c>
      <c r="U895" s="80"/>
      <c r="V895" s="79"/>
      <c r="W895" s="80"/>
      <c r="X895" s="80"/>
    </row>
    <row r="896" spans="1:24" ht="42" customHeight="1">
      <c r="A896" s="80">
        <f t="shared" si="0"/>
        <v>894</v>
      </c>
      <c r="B896" s="51" t="str">
        <f t="shared" si="1"/>
        <v>MA</v>
      </c>
      <c r="C896" s="51" t="s">
        <v>4359</v>
      </c>
      <c r="D896" s="51" t="s">
        <v>95</v>
      </c>
      <c r="E896" s="51" t="s">
        <v>2533</v>
      </c>
      <c r="F896" s="80"/>
      <c r="G896" s="75" t="s">
        <v>406</v>
      </c>
      <c r="H896" s="51" t="s">
        <v>407</v>
      </c>
      <c r="I896" s="76"/>
      <c r="J896" s="80"/>
      <c r="K896" s="80"/>
      <c r="L896" s="51" t="s">
        <v>78</v>
      </c>
      <c r="M896" s="79">
        <v>44890</v>
      </c>
      <c r="N896" s="51" t="s">
        <v>2538</v>
      </c>
      <c r="O896" s="51" t="s">
        <v>78</v>
      </c>
      <c r="P896" s="79">
        <v>44897</v>
      </c>
      <c r="Q896" s="51" t="s">
        <v>2561</v>
      </c>
      <c r="R896" s="51" t="s">
        <v>78</v>
      </c>
      <c r="S896" s="79">
        <v>44901</v>
      </c>
      <c r="T896" s="51" t="s">
        <v>2561</v>
      </c>
      <c r="U896" s="80"/>
      <c r="V896" s="79"/>
      <c r="W896" s="80"/>
      <c r="X896" s="80"/>
    </row>
    <row r="897" spans="1:24" ht="42" customHeight="1">
      <c r="A897" s="80">
        <f t="shared" si="0"/>
        <v>895</v>
      </c>
      <c r="B897" s="51" t="str">
        <f t="shared" si="1"/>
        <v>MA</v>
      </c>
      <c r="C897" s="81" t="s">
        <v>4360</v>
      </c>
      <c r="D897" s="51" t="s">
        <v>95</v>
      </c>
      <c r="E897" s="51" t="s">
        <v>2533</v>
      </c>
      <c r="F897" s="80"/>
      <c r="G897" s="75" t="s">
        <v>4361</v>
      </c>
      <c r="H897" s="80"/>
      <c r="I897" s="76"/>
      <c r="J897" s="77" t="s">
        <v>4362</v>
      </c>
      <c r="K897" s="80"/>
      <c r="L897" s="51" t="s">
        <v>78</v>
      </c>
      <c r="M897" s="79">
        <v>44890</v>
      </c>
      <c r="N897" s="51" t="s">
        <v>2699</v>
      </c>
      <c r="O897" s="80"/>
      <c r="P897" s="82"/>
      <c r="Q897" s="80"/>
      <c r="R897" s="80"/>
      <c r="S897" s="82"/>
      <c r="T897" s="80"/>
      <c r="U897" s="80"/>
      <c r="V897" s="79"/>
      <c r="W897" s="80"/>
      <c r="X897" s="80"/>
    </row>
    <row r="898" spans="1:24" ht="42" customHeight="1">
      <c r="A898" s="80">
        <f t="shared" si="0"/>
        <v>896</v>
      </c>
      <c r="B898" s="51" t="str">
        <f t="shared" si="1"/>
        <v>MA</v>
      </c>
      <c r="C898" s="83" t="s">
        <v>4363</v>
      </c>
      <c r="D898" s="51" t="s">
        <v>95</v>
      </c>
      <c r="E898" s="51" t="s">
        <v>2533</v>
      </c>
      <c r="F898" s="80"/>
      <c r="G898" s="75" t="s">
        <v>403</v>
      </c>
      <c r="H898" s="51" t="s">
        <v>404</v>
      </c>
      <c r="I898" s="76"/>
      <c r="J898" s="51" t="s">
        <v>402</v>
      </c>
      <c r="K898" s="80"/>
      <c r="L898" s="51" t="s">
        <v>78</v>
      </c>
      <c r="M898" s="79">
        <v>44890</v>
      </c>
      <c r="N898" s="51" t="s">
        <v>4330</v>
      </c>
      <c r="O898" s="51" t="s">
        <v>98</v>
      </c>
      <c r="P898" s="79">
        <v>44897</v>
      </c>
      <c r="Q898" s="51" t="s">
        <v>2623</v>
      </c>
      <c r="R898" s="80"/>
      <c r="S898" s="82"/>
      <c r="T898" s="80"/>
      <c r="U898" s="80"/>
      <c r="V898" s="79"/>
      <c r="W898" s="80"/>
      <c r="X898" s="80"/>
    </row>
    <row r="899" spans="1:24" ht="42" customHeight="1">
      <c r="A899" s="80">
        <f t="shared" si="0"/>
        <v>897</v>
      </c>
      <c r="B899" s="51" t="str">
        <f t="shared" si="1"/>
        <v>MA</v>
      </c>
      <c r="C899" s="51" t="s">
        <v>4364</v>
      </c>
      <c r="D899" s="51" t="s">
        <v>95</v>
      </c>
      <c r="E899" s="51" t="s">
        <v>2533</v>
      </c>
      <c r="F899" s="80"/>
      <c r="G899" s="75" t="s">
        <v>4365</v>
      </c>
      <c r="H899" s="51" t="s">
        <v>4366</v>
      </c>
      <c r="I899" s="54" t="s">
        <v>4367</v>
      </c>
      <c r="J899" s="55" t="s">
        <v>4368</v>
      </c>
      <c r="K899" s="80"/>
      <c r="L899" s="51" t="s">
        <v>78</v>
      </c>
      <c r="M899" s="79">
        <v>44890</v>
      </c>
      <c r="N899" s="51" t="s">
        <v>2551</v>
      </c>
      <c r="O899" s="51" t="s">
        <v>7</v>
      </c>
      <c r="P899" s="79">
        <v>44897</v>
      </c>
      <c r="Q899" s="51" t="s">
        <v>4280</v>
      </c>
      <c r="R899" s="51" t="s">
        <v>7</v>
      </c>
      <c r="S899" s="79">
        <v>44901</v>
      </c>
      <c r="T899" s="51" t="s">
        <v>2551</v>
      </c>
      <c r="U899" s="80"/>
      <c r="V899" s="79"/>
      <c r="W899" s="80"/>
      <c r="X899" s="80"/>
    </row>
    <row r="900" spans="1:24" ht="42" customHeight="1">
      <c r="A900" s="80">
        <f t="shared" si="0"/>
        <v>898</v>
      </c>
      <c r="B900" s="51" t="str">
        <f t="shared" si="1"/>
        <v>MA</v>
      </c>
      <c r="C900" s="51" t="s">
        <v>4369</v>
      </c>
      <c r="D900" s="51" t="s">
        <v>95</v>
      </c>
      <c r="E900" s="51" t="s">
        <v>2533</v>
      </c>
      <c r="F900" s="80"/>
      <c r="G900" s="75" t="s">
        <v>398</v>
      </c>
      <c r="H900" s="51" t="s">
        <v>399</v>
      </c>
      <c r="I900" s="76"/>
      <c r="J900" s="94" t="s">
        <v>4370</v>
      </c>
      <c r="K900" s="80"/>
      <c r="L900" s="51" t="s">
        <v>78</v>
      </c>
      <c r="M900" s="79">
        <v>44893</v>
      </c>
      <c r="N900" s="51" t="s">
        <v>2538</v>
      </c>
      <c r="O900" s="51" t="s">
        <v>78</v>
      </c>
      <c r="P900" s="79">
        <v>44897</v>
      </c>
      <c r="Q900" s="51" t="s">
        <v>2538</v>
      </c>
      <c r="R900" s="51" t="s">
        <v>78</v>
      </c>
      <c r="S900" s="79">
        <v>44901</v>
      </c>
      <c r="T900" s="51" t="s">
        <v>2552</v>
      </c>
      <c r="U900" s="80"/>
      <c r="V900" s="79"/>
      <c r="W900" s="80"/>
      <c r="X900" s="80"/>
    </row>
    <row r="901" spans="1:24" ht="42" customHeight="1">
      <c r="A901" s="80">
        <f t="shared" si="0"/>
        <v>899</v>
      </c>
      <c r="B901" s="51" t="str">
        <f t="shared" si="1"/>
        <v>MA</v>
      </c>
      <c r="C901" s="51" t="s">
        <v>4371</v>
      </c>
      <c r="D901" s="51" t="s">
        <v>397</v>
      </c>
      <c r="E901" s="51" t="s">
        <v>2533</v>
      </c>
      <c r="F901" s="80"/>
      <c r="G901" s="75" t="s">
        <v>4372</v>
      </c>
      <c r="H901" s="80"/>
      <c r="I901" s="76"/>
      <c r="J901" s="96" t="s">
        <v>4373</v>
      </c>
      <c r="K901" s="80"/>
      <c r="L901" s="51" t="s">
        <v>78</v>
      </c>
      <c r="M901" s="79">
        <v>44893</v>
      </c>
      <c r="N901" s="51" t="s">
        <v>2560</v>
      </c>
      <c r="O901" s="80"/>
      <c r="P901" s="82"/>
      <c r="Q901" s="80"/>
      <c r="R901" s="80"/>
      <c r="S901" s="82"/>
      <c r="T901" s="80"/>
      <c r="U901" s="80"/>
      <c r="V901" s="79"/>
      <c r="W901" s="80"/>
      <c r="X901" s="80"/>
    </row>
    <row r="902" spans="1:24" ht="42" customHeight="1">
      <c r="A902" s="80">
        <f t="shared" si="0"/>
        <v>900</v>
      </c>
      <c r="B902" s="51" t="str">
        <f t="shared" si="1"/>
        <v>MA</v>
      </c>
      <c r="C902" s="51" t="s">
        <v>4374</v>
      </c>
      <c r="D902" s="51" t="s">
        <v>4375</v>
      </c>
      <c r="E902" s="51" t="s">
        <v>2533</v>
      </c>
      <c r="F902" s="80"/>
      <c r="G902" s="75" t="s">
        <v>4376</v>
      </c>
      <c r="H902" s="80"/>
      <c r="I902" s="76"/>
      <c r="J902" s="77" t="s">
        <v>4377</v>
      </c>
      <c r="K902" s="80"/>
      <c r="L902" s="51" t="s">
        <v>78</v>
      </c>
      <c r="M902" s="79">
        <v>44893</v>
      </c>
      <c r="N902" s="51" t="s">
        <v>2538</v>
      </c>
      <c r="O902" s="51" t="s">
        <v>78</v>
      </c>
      <c r="P902" s="79">
        <v>44891</v>
      </c>
      <c r="Q902" s="51" t="s">
        <v>2545</v>
      </c>
      <c r="R902" s="80"/>
      <c r="S902" s="82"/>
      <c r="T902" s="80"/>
      <c r="U902" s="80"/>
      <c r="V902" s="79"/>
      <c r="W902" s="80"/>
      <c r="X902" s="80"/>
    </row>
    <row r="903" spans="1:24" ht="42" customHeight="1">
      <c r="A903" s="80">
        <f t="shared" si="0"/>
        <v>901</v>
      </c>
      <c r="B903" s="51" t="str">
        <f t="shared" si="1"/>
        <v>MA</v>
      </c>
      <c r="C903" s="51" t="s">
        <v>394</v>
      </c>
      <c r="D903" s="51" t="s">
        <v>95</v>
      </c>
      <c r="E903" s="51" t="s">
        <v>2533</v>
      </c>
      <c r="F903" s="80"/>
      <c r="G903" s="75" t="s">
        <v>395</v>
      </c>
      <c r="H903" s="80"/>
      <c r="I903" s="76"/>
      <c r="J903" s="80"/>
      <c r="K903" s="80"/>
      <c r="L903" s="51" t="s">
        <v>78</v>
      </c>
      <c r="M903" s="79">
        <v>44890</v>
      </c>
      <c r="N903" s="51" t="s">
        <v>2561</v>
      </c>
      <c r="O903" s="51" t="s">
        <v>98</v>
      </c>
      <c r="P903" s="79">
        <v>44897</v>
      </c>
      <c r="Q903" s="51" t="s">
        <v>2561</v>
      </c>
      <c r="R903" s="51" t="s">
        <v>98</v>
      </c>
      <c r="S903" s="79">
        <v>44901</v>
      </c>
      <c r="T903" s="51" t="s">
        <v>2561</v>
      </c>
      <c r="U903" s="80"/>
      <c r="V903" s="79"/>
      <c r="W903" s="80"/>
      <c r="X903" s="80"/>
    </row>
    <row r="904" spans="1:24" ht="42" customHeight="1">
      <c r="A904" s="80">
        <f t="shared" si="0"/>
        <v>902</v>
      </c>
      <c r="B904" s="51" t="str">
        <f t="shared" si="1"/>
        <v>MA</v>
      </c>
      <c r="C904" s="81" t="s">
        <v>4378</v>
      </c>
      <c r="D904" s="51" t="s">
        <v>119</v>
      </c>
      <c r="E904" s="51" t="s">
        <v>2533</v>
      </c>
      <c r="F904" s="80"/>
      <c r="G904" s="75" t="s">
        <v>4379</v>
      </c>
      <c r="H904" s="51" t="s">
        <v>4380</v>
      </c>
      <c r="I904" s="76"/>
      <c r="J904" s="77" t="s">
        <v>4381</v>
      </c>
      <c r="K904" s="80"/>
      <c r="L904" s="51" t="s">
        <v>78</v>
      </c>
      <c r="M904" s="79">
        <v>44893</v>
      </c>
      <c r="N904" s="51" t="s">
        <v>2570</v>
      </c>
      <c r="O904" s="51" t="s">
        <v>78</v>
      </c>
      <c r="P904" s="79">
        <v>44900</v>
      </c>
      <c r="Q904" s="51" t="s">
        <v>2635</v>
      </c>
      <c r="R904" s="51" t="s">
        <v>98</v>
      </c>
      <c r="S904" s="79">
        <v>44908</v>
      </c>
      <c r="T904" s="51" t="s">
        <v>2635</v>
      </c>
      <c r="U904" s="80"/>
      <c r="V904" s="79"/>
      <c r="W904" s="80"/>
      <c r="X904" s="80"/>
    </row>
    <row r="905" spans="1:24" ht="42" customHeight="1">
      <c r="A905" s="80">
        <f t="shared" si="0"/>
        <v>903</v>
      </c>
      <c r="B905" s="51" t="str">
        <f t="shared" si="1"/>
        <v>MA</v>
      </c>
      <c r="C905" s="81" t="s">
        <v>4382</v>
      </c>
      <c r="D905" s="51" t="s">
        <v>119</v>
      </c>
      <c r="E905" s="51" t="s">
        <v>2533</v>
      </c>
      <c r="F905" s="80"/>
      <c r="G905" s="75" t="s">
        <v>4383</v>
      </c>
      <c r="H905" s="80"/>
      <c r="I905" s="76"/>
      <c r="J905" s="77" t="s">
        <v>4384</v>
      </c>
      <c r="K905" s="80"/>
      <c r="L905" s="51" t="s">
        <v>78</v>
      </c>
      <c r="M905" s="79">
        <v>44893</v>
      </c>
      <c r="N905" s="51" t="s">
        <v>2699</v>
      </c>
      <c r="O905" s="80"/>
      <c r="P905" s="82"/>
      <c r="Q905" s="80"/>
      <c r="R905" s="80"/>
      <c r="S905" s="82"/>
      <c r="T905" s="80"/>
      <c r="U905" s="80"/>
      <c r="V905" s="79"/>
      <c r="W905" s="80"/>
      <c r="X905" s="80"/>
    </row>
    <row r="906" spans="1:24" ht="42" customHeight="1">
      <c r="A906" s="80">
        <f t="shared" si="0"/>
        <v>904</v>
      </c>
      <c r="B906" s="51" t="str">
        <f t="shared" si="1"/>
        <v>MA</v>
      </c>
      <c r="C906" s="51" t="s">
        <v>4385</v>
      </c>
      <c r="D906" s="51" t="s">
        <v>119</v>
      </c>
      <c r="E906" s="51" t="s">
        <v>2533</v>
      </c>
      <c r="F906" s="80"/>
      <c r="G906" s="75" t="s">
        <v>361</v>
      </c>
      <c r="H906" s="80"/>
      <c r="I906" s="76"/>
      <c r="J906" s="80"/>
      <c r="K906" s="80"/>
      <c r="L906" s="51" t="s">
        <v>78</v>
      </c>
      <c r="M906" s="79">
        <v>44893</v>
      </c>
      <c r="N906" s="51" t="s">
        <v>2538</v>
      </c>
      <c r="O906" s="51" t="s">
        <v>78</v>
      </c>
      <c r="P906" s="79">
        <v>44900</v>
      </c>
      <c r="Q906" s="51" t="s">
        <v>2545</v>
      </c>
      <c r="R906" s="51" t="s">
        <v>98</v>
      </c>
      <c r="S906" s="79">
        <v>44908</v>
      </c>
      <c r="T906" s="51" t="s">
        <v>2635</v>
      </c>
      <c r="U906" s="80"/>
      <c r="V906" s="79"/>
      <c r="W906" s="80"/>
      <c r="X906" s="80"/>
    </row>
    <row r="907" spans="1:24" ht="42" customHeight="1">
      <c r="A907" s="80">
        <f t="shared" si="0"/>
        <v>905</v>
      </c>
      <c r="B907" s="51" t="str">
        <f t="shared" si="1"/>
        <v>MA</v>
      </c>
      <c r="C907" s="51" t="s">
        <v>4386</v>
      </c>
      <c r="D907" s="51" t="s">
        <v>119</v>
      </c>
      <c r="E907" s="51" t="s">
        <v>2533</v>
      </c>
      <c r="F907" s="80"/>
      <c r="G907" s="75" t="s">
        <v>4387</v>
      </c>
      <c r="H907" s="80"/>
      <c r="I907" s="76"/>
      <c r="J907" s="77" t="s">
        <v>4388</v>
      </c>
      <c r="K907" s="80"/>
      <c r="L907" s="51" t="s">
        <v>78</v>
      </c>
      <c r="M907" s="79">
        <v>44893</v>
      </c>
      <c r="N907" s="51" t="s">
        <v>2538</v>
      </c>
      <c r="O907" s="51" t="s">
        <v>78</v>
      </c>
      <c r="P907" s="79">
        <v>44900</v>
      </c>
      <c r="Q907" s="51" t="s">
        <v>2635</v>
      </c>
      <c r="R907" s="51" t="s">
        <v>98</v>
      </c>
      <c r="S907" s="79">
        <v>44908</v>
      </c>
      <c r="T907" s="51" t="s">
        <v>2635</v>
      </c>
      <c r="U907" s="80"/>
      <c r="V907" s="79"/>
      <c r="W907" s="80"/>
      <c r="X907" s="80"/>
    </row>
    <row r="908" spans="1:24" ht="42" customHeight="1">
      <c r="A908" s="80">
        <f t="shared" si="0"/>
        <v>906</v>
      </c>
      <c r="B908" s="51" t="str">
        <f t="shared" si="1"/>
        <v>MA</v>
      </c>
      <c r="C908" s="51" t="s">
        <v>4389</v>
      </c>
      <c r="D908" s="51" t="s">
        <v>119</v>
      </c>
      <c r="E908" s="51" t="s">
        <v>2533</v>
      </c>
      <c r="F908" s="80"/>
      <c r="G908" s="75" t="s">
        <v>363</v>
      </c>
      <c r="H908" s="51" t="s">
        <v>364</v>
      </c>
      <c r="I908" s="76"/>
      <c r="J908" s="77" t="s">
        <v>4390</v>
      </c>
      <c r="K908" s="80"/>
      <c r="L908" s="51" t="s">
        <v>78</v>
      </c>
      <c r="M908" s="79">
        <v>44893</v>
      </c>
      <c r="N908" s="51" t="s">
        <v>4330</v>
      </c>
      <c r="O908" s="51" t="s">
        <v>78</v>
      </c>
      <c r="P908" s="79">
        <v>44900</v>
      </c>
      <c r="Q908" s="51" t="s">
        <v>2635</v>
      </c>
      <c r="R908" s="51" t="s">
        <v>98</v>
      </c>
      <c r="S908" s="79">
        <v>44908</v>
      </c>
      <c r="T908" s="51" t="s">
        <v>2635</v>
      </c>
      <c r="U908" s="80"/>
      <c r="V908" s="79"/>
      <c r="W908" s="80"/>
      <c r="X908" s="80"/>
    </row>
    <row r="909" spans="1:24" ht="42" customHeight="1">
      <c r="A909" s="80">
        <f t="shared" si="0"/>
        <v>907</v>
      </c>
      <c r="B909" s="51" t="str">
        <f t="shared" si="1"/>
        <v>MA</v>
      </c>
      <c r="C909" s="81" t="s">
        <v>4391</v>
      </c>
      <c r="D909" s="51" t="s">
        <v>119</v>
      </c>
      <c r="E909" s="51" t="s">
        <v>2533</v>
      </c>
      <c r="F909" s="80"/>
      <c r="G909" s="75" t="s">
        <v>4379</v>
      </c>
      <c r="H909" s="80"/>
      <c r="I909" s="76"/>
      <c r="J909" s="77" t="s">
        <v>4392</v>
      </c>
      <c r="K909" s="80"/>
      <c r="L909" s="80"/>
      <c r="M909" s="79">
        <v>44792</v>
      </c>
      <c r="N909" s="80"/>
      <c r="O909" s="80"/>
      <c r="P909" s="82"/>
      <c r="Q909" s="80"/>
      <c r="R909" s="80"/>
      <c r="S909" s="82"/>
      <c r="T909" s="80"/>
      <c r="U909" s="80"/>
      <c r="V909" s="79"/>
      <c r="W909" s="80"/>
      <c r="X909" s="80"/>
    </row>
    <row r="910" spans="1:24" ht="42" customHeight="1">
      <c r="A910" s="80">
        <f t="shared" si="0"/>
        <v>908</v>
      </c>
      <c r="B910" s="51" t="str">
        <f t="shared" si="1"/>
        <v>MA</v>
      </c>
      <c r="C910" s="51" t="s">
        <v>4393</v>
      </c>
      <c r="D910" s="51" t="s">
        <v>119</v>
      </c>
      <c r="E910" s="51" t="s">
        <v>2533</v>
      </c>
      <c r="F910" s="51"/>
      <c r="G910" s="75" t="s">
        <v>367</v>
      </c>
      <c r="H910" s="80"/>
      <c r="I910" s="76"/>
      <c r="J910" s="96" t="s">
        <v>368</v>
      </c>
      <c r="K910" s="80"/>
      <c r="L910" s="51" t="s">
        <v>78</v>
      </c>
      <c r="M910" s="79">
        <v>44893</v>
      </c>
      <c r="N910" s="51" t="s">
        <v>2538</v>
      </c>
      <c r="O910" s="51" t="s">
        <v>78</v>
      </c>
      <c r="P910" s="79">
        <v>44900</v>
      </c>
      <c r="Q910" s="51" t="s">
        <v>2635</v>
      </c>
      <c r="R910" s="51" t="s">
        <v>98</v>
      </c>
      <c r="S910" s="79">
        <v>44908</v>
      </c>
      <c r="T910" s="51" t="s">
        <v>2635</v>
      </c>
      <c r="U910" s="80"/>
      <c r="V910" s="79"/>
      <c r="W910" s="80"/>
      <c r="X910" s="80"/>
    </row>
    <row r="911" spans="1:24" ht="42" customHeight="1">
      <c r="A911" s="80">
        <f t="shared" si="0"/>
        <v>909</v>
      </c>
      <c r="B911" s="51" t="str">
        <f t="shared" si="1"/>
        <v>MA</v>
      </c>
      <c r="C911" s="51" t="s">
        <v>4394</v>
      </c>
      <c r="D911" s="51" t="s">
        <v>119</v>
      </c>
      <c r="E911" s="51" t="s">
        <v>2533</v>
      </c>
      <c r="F911" s="80"/>
      <c r="G911" s="75" t="s">
        <v>4395</v>
      </c>
      <c r="H911" s="51" t="s">
        <v>4396</v>
      </c>
      <c r="I911" s="76"/>
      <c r="J911" s="77" t="s">
        <v>4397</v>
      </c>
      <c r="K911" s="80"/>
      <c r="L911" s="51" t="s">
        <v>78</v>
      </c>
      <c r="M911" s="79">
        <v>44893</v>
      </c>
      <c r="N911" s="51" t="s">
        <v>4330</v>
      </c>
      <c r="O911" s="51" t="s">
        <v>78</v>
      </c>
      <c r="P911" s="79">
        <v>44900</v>
      </c>
      <c r="Q911" s="51" t="s">
        <v>2635</v>
      </c>
      <c r="R911" s="51" t="s">
        <v>98</v>
      </c>
      <c r="S911" s="79">
        <v>44908</v>
      </c>
      <c r="T911" s="51" t="s">
        <v>2623</v>
      </c>
      <c r="U911" s="80"/>
      <c r="V911" s="79"/>
      <c r="W911" s="80"/>
      <c r="X911" s="80"/>
    </row>
    <row r="912" spans="1:24" ht="42" customHeight="1">
      <c r="A912" s="80">
        <f t="shared" si="0"/>
        <v>910</v>
      </c>
      <c r="B912" s="51" t="str">
        <f t="shared" si="1"/>
        <v>MA</v>
      </c>
      <c r="C912" s="85" t="s">
        <v>4398</v>
      </c>
      <c r="D912" s="51" t="s">
        <v>119</v>
      </c>
      <c r="E912" s="51" t="s">
        <v>2533</v>
      </c>
      <c r="F912" s="80"/>
      <c r="G912" s="75" t="s">
        <v>4399</v>
      </c>
      <c r="H912" s="80"/>
      <c r="I912" s="76"/>
      <c r="J912" s="80"/>
      <c r="K912" s="80"/>
      <c r="L912" s="51" t="s">
        <v>78</v>
      </c>
      <c r="M912" s="79">
        <v>44893</v>
      </c>
      <c r="N912" s="51" t="s">
        <v>4330</v>
      </c>
      <c r="O912" s="51" t="s">
        <v>78</v>
      </c>
      <c r="P912" s="79">
        <v>44900</v>
      </c>
      <c r="Q912" s="51" t="s">
        <v>2635</v>
      </c>
      <c r="R912" s="51" t="s">
        <v>98</v>
      </c>
      <c r="S912" s="79">
        <v>44908</v>
      </c>
      <c r="T912" s="51" t="s">
        <v>2623</v>
      </c>
      <c r="U912" s="80"/>
      <c r="V912" s="79"/>
      <c r="W912" s="80"/>
      <c r="X912" s="80"/>
    </row>
    <row r="913" spans="1:24" ht="42" customHeight="1">
      <c r="A913" s="80">
        <f t="shared" si="0"/>
        <v>911</v>
      </c>
      <c r="B913" s="51" t="str">
        <f t="shared" si="1"/>
        <v>MA</v>
      </c>
      <c r="C913" s="81" t="s">
        <v>4123</v>
      </c>
      <c r="D913" s="51" t="s">
        <v>119</v>
      </c>
      <c r="E913" s="51" t="s">
        <v>2533</v>
      </c>
      <c r="F913" s="80"/>
      <c r="G913" s="75" t="s">
        <v>4124</v>
      </c>
      <c r="H913" s="80"/>
      <c r="I913" s="76"/>
      <c r="J913" s="80"/>
      <c r="K913" s="80"/>
      <c r="L913" s="51" t="s">
        <v>78</v>
      </c>
      <c r="M913" s="79">
        <v>44790</v>
      </c>
      <c r="N913" s="80"/>
      <c r="O913" s="80"/>
      <c r="P913" s="82"/>
      <c r="Q913" s="80"/>
      <c r="R913" s="80"/>
      <c r="S913" s="82"/>
      <c r="T913" s="80"/>
      <c r="U913" s="80"/>
      <c r="V913" s="79"/>
      <c r="W913" s="80"/>
      <c r="X913" s="80"/>
    </row>
    <row r="914" spans="1:24" ht="42" customHeight="1">
      <c r="A914" s="80">
        <f t="shared" si="0"/>
        <v>912</v>
      </c>
      <c r="B914" s="51" t="str">
        <f t="shared" si="1"/>
        <v>MA</v>
      </c>
      <c r="C914" s="81" t="s">
        <v>4400</v>
      </c>
      <c r="D914" s="51" t="s">
        <v>119</v>
      </c>
      <c r="E914" s="51" t="s">
        <v>2533</v>
      </c>
      <c r="F914" s="80"/>
      <c r="G914" s="75" t="s">
        <v>4401</v>
      </c>
      <c r="H914" s="80"/>
      <c r="I914" s="76"/>
      <c r="J914" s="80"/>
      <c r="K914" s="80"/>
      <c r="L914" s="51" t="s">
        <v>78</v>
      </c>
      <c r="M914" s="79">
        <v>44893</v>
      </c>
      <c r="N914" s="51" t="s">
        <v>2699</v>
      </c>
      <c r="O914" s="80"/>
      <c r="P914" s="82"/>
      <c r="Q914" s="80"/>
      <c r="R914" s="80"/>
      <c r="S914" s="82"/>
      <c r="T914" s="80"/>
      <c r="U914" s="80"/>
      <c r="V914" s="79"/>
      <c r="W914" s="80"/>
      <c r="X914" s="80"/>
    </row>
    <row r="915" spans="1:24" ht="42" customHeight="1">
      <c r="A915" s="80">
        <f t="shared" si="0"/>
        <v>913</v>
      </c>
      <c r="B915" s="51" t="str">
        <f t="shared" si="1"/>
        <v>MA</v>
      </c>
      <c r="C915" s="85" t="s">
        <v>4402</v>
      </c>
      <c r="D915" s="51" t="s">
        <v>119</v>
      </c>
      <c r="E915" s="51" t="s">
        <v>2533</v>
      </c>
      <c r="F915" s="80"/>
      <c r="G915" s="75" t="s">
        <v>4403</v>
      </c>
      <c r="H915" s="80"/>
      <c r="I915" s="76"/>
      <c r="J915" s="96" t="s">
        <v>4404</v>
      </c>
      <c r="K915" s="80"/>
      <c r="L915" s="51" t="s">
        <v>78</v>
      </c>
      <c r="M915" s="79">
        <v>44893</v>
      </c>
      <c r="N915" s="51" t="s">
        <v>2538</v>
      </c>
      <c r="O915" s="51" t="s">
        <v>78</v>
      </c>
      <c r="P915" s="79">
        <v>44900</v>
      </c>
      <c r="Q915" s="51" t="s">
        <v>2538</v>
      </c>
      <c r="R915" s="51" t="s">
        <v>78</v>
      </c>
      <c r="S915" s="79">
        <v>44908</v>
      </c>
      <c r="T915" s="51" t="s">
        <v>2538</v>
      </c>
      <c r="U915" s="80"/>
      <c r="V915" s="79"/>
      <c r="W915" s="80"/>
      <c r="X915" s="80"/>
    </row>
    <row r="916" spans="1:24" ht="42" customHeight="1">
      <c r="A916" s="80">
        <f t="shared" si="0"/>
        <v>914</v>
      </c>
      <c r="B916" s="51" t="str">
        <f t="shared" si="1"/>
        <v>MA</v>
      </c>
      <c r="C916" s="51" t="s">
        <v>4405</v>
      </c>
      <c r="D916" s="51" t="s">
        <v>119</v>
      </c>
      <c r="E916" s="51" t="s">
        <v>2533</v>
      </c>
      <c r="F916" s="80"/>
      <c r="G916" s="75" t="s">
        <v>4406</v>
      </c>
      <c r="H916" s="51" t="s">
        <v>695</v>
      </c>
      <c r="I916" s="76"/>
      <c r="J916" s="80"/>
      <c r="K916" s="80"/>
      <c r="L916" s="51" t="s">
        <v>78</v>
      </c>
      <c r="M916" s="79">
        <v>44893</v>
      </c>
      <c r="N916" s="51" t="s">
        <v>4330</v>
      </c>
      <c r="O916" s="51" t="s">
        <v>98</v>
      </c>
      <c r="P916" s="79">
        <v>44900</v>
      </c>
      <c r="Q916" s="51" t="s">
        <v>2561</v>
      </c>
      <c r="R916" s="80"/>
      <c r="S916" s="82"/>
      <c r="T916" s="80"/>
      <c r="U916" s="80"/>
      <c r="V916" s="79"/>
      <c r="W916" s="80"/>
      <c r="X916" s="80"/>
    </row>
    <row r="917" spans="1:24" ht="42" customHeight="1">
      <c r="A917" s="80">
        <f t="shared" si="0"/>
        <v>915</v>
      </c>
      <c r="B917" s="51" t="str">
        <f t="shared" si="1"/>
        <v>MA</v>
      </c>
      <c r="C917" s="51" t="s">
        <v>4407</v>
      </c>
      <c r="D917" s="51" t="s">
        <v>119</v>
      </c>
      <c r="E917" s="51" t="s">
        <v>2533</v>
      </c>
      <c r="F917" s="80"/>
      <c r="G917" s="75" t="s">
        <v>4408</v>
      </c>
      <c r="H917" s="80"/>
      <c r="I917" s="76"/>
      <c r="J917" s="80"/>
      <c r="K917" s="80"/>
      <c r="L917" s="51" t="s">
        <v>78</v>
      </c>
      <c r="M917" s="79">
        <v>44893</v>
      </c>
      <c r="N917" s="51" t="s">
        <v>2570</v>
      </c>
      <c r="O917" s="51" t="s">
        <v>78</v>
      </c>
      <c r="P917" s="79">
        <v>44900</v>
      </c>
      <c r="Q917" s="51" t="s">
        <v>2635</v>
      </c>
      <c r="R917" s="51" t="s">
        <v>98</v>
      </c>
      <c r="S917" s="79">
        <v>44908</v>
      </c>
      <c r="T917" s="51" t="s">
        <v>2635</v>
      </c>
      <c r="U917" s="80"/>
      <c r="V917" s="79"/>
      <c r="W917" s="80"/>
      <c r="X917" s="80"/>
    </row>
    <row r="918" spans="1:24" ht="42" customHeight="1">
      <c r="A918" s="80">
        <f t="shared" si="0"/>
        <v>916</v>
      </c>
      <c r="B918" s="51" t="str">
        <f t="shared" si="1"/>
        <v>MA</v>
      </c>
      <c r="C918" s="81" t="s">
        <v>4409</v>
      </c>
      <c r="D918" s="51" t="s">
        <v>119</v>
      </c>
      <c r="E918" s="51" t="s">
        <v>2533</v>
      </c>
      <c r="F918" s="80"/>
      <c r="G918" s="75"/>
      <c r="H918" s="80"/>
      <c r="I918" s="76"/>
      <c r="J918" s="80"/>
      <c r="K918" s="80"/>
      <c r="L918" s="80"/>
      <c r="M918" s="79">
        <v>44796</v>
      </c>
      <c r="N918" s="80"/>
      <c r="O918" s="80"/>
      <c r="P918" s="82"/>
      <c r="Q918" s="80"/>
      <c r="R918" s="80"/>
      <c r="S918" s="82"/>
      <c r="T918" s="80"/>
      <c r="U918" s="80"/>
      <c r="V918" s="79"/>
      <c r="W918" s="80"/>
      <c r="X918" s="80"/>
    </row>
    <row r="919" spans="1:24" ht="42" customHeight="1">
      <c r="A919" s="80">
        <f t="shared" si="0"/>
        <v>917</v>
      </c>
      <c r="B919" s="51" t="str">
        <f t="shared" si="1"/>
        <v>MA</v>
      </c>
      <c r="C919" s="51" t="s">
        <v>4410</v>
      </c>
      <c r="D919" s="51" t="s">
        <v>119</v>
      </c>
      <c r="E919" s="51" t="s">
        <v>2533</v>
      </c>
      <c r="F919" s="80"/>
      <c r="G919" s="75" t="s">
        <v>4411</v>
      </c>
      <c r="H919" s="80"/>
      <c r="I919" s="76"/>
      <c r="J919" s="80"/>
      <c r="K919" s="80"/>
      <c r="L919" s="51" t="s">
        <v>78</v>
      </c>
      <c r="M919" s="79">
        <v>44893</v>
      </c>
      <c r="N919" s="51" t="s">
        <v>2561</v>
      </c>
      <c r="O919" s="51" t="s">
        <v>78</v>
      </c>
      <c r="P919" s="79">
        <v>44900</v>
      </c>
      <c r="Q919" s="51" t="s">
        <v>2635</v>
      </c>
      <c r="R919" s="51" t="s">
        <v>98</v>
      </c>
      <c r="S919" s="79">
        <v>44908</v>
      </c>
      <c r="T919" s="51" t="s">
        <v>2635</v>
      </c>
      <c r="U919" s="80"/>
      <c r="V919" s="79"/>
      <c r="W919" s="80"/>
      <c r="X919" s="80"/>
    </row>
    <row r="920" spans="1:24" ht="42" customHeight="1">
      <c r="A920" s="80">
        <f t="shared" si="0"/>
        <v>918</v>
      </c>
      <c r="B920" s="51" t="str">
        <f t="shared" si="1"/>
        <v>MA</v>
      </c>
      <c r="C920" s="51" t="s">
        <v>4412</v>
      </c>
      <c r="D920" s="51" t="s">
        <v>119</v>
      </c>
      <c r="E920" s="51" t="s">
        <v>2533</v>
      </c>
      <c r="F920" s="80"/>
      <c r="G920" s="75" t="s">
        <v>4413</v>
      </c>
      <c r="H920" s="80"/>
      <c r="I920" s="76"/>
      <c r="J920" s="80"/>
      <c r="K920" s="80"/>
      <c r="L920" s="51" t="s">
        <v>78</v>
      </c>
      <c r="M920" s="79">
        <v>44893</v>
      </c>
      <c r="N920" s="51" t="s">
        <v>2538</v>
      </c>
      <c r="O920" s="51" t="s">
        <v>78</v>
      </c>
      <c r="P920" s="79">
        <v>44900</v>
      </c>
      <c r="Q920" s="51" t="s">
        <v>2635</v>
      </c>
      <c r="R920" s="51" t="s">
        <v>98</v>
      </c>
      <c r="S920" s="79">
        <v>44908</v>
      </c>
      <c r="T920" s="51" t="s">
        <v>2635</v>
      </c>
      <c r="U920" s="80"/>
      <c r="V920" s="79"/>
      <c r="W920" s="80"/>
      <c r="X920" s="80"/>
    </row>
    <row r="921" spans="1:24" ht="42" customHeight="1">
      <c r="A921" s="80">
        <f t="shared" si="0"/>
        <v>919</v>
      </c>
      <c r="B921" s="51" t="str">
        <f t="shared" si="1"/>
        <v>MA</v>
      </c>
      <c r="C921" s="51" t="s">
        <v>4414</v>
      </c>
      <c r="D921" s="51" t="s">
        <v>119</v>
      </c>
      <c r="E921" s="51" t="s">
        <v>2533</v>
      </c>
      <c r="F921" s="80"/>
      <c r="G921" s="75" t="s">
        <v>4415</v>
      </c>
      <c r="H921" s="51" t="s">
        <v>4416</v>
      </c>
      <c r="I921" s="76"/>
      <c r="J921" s="80"/>
      <c r="K921" s="80"/>
      <c r="L921" s="51" t="s">
        <v>78</v>
      </c>
      <c r="M921" s="79">
        <v>44893</v>
      </c>
      <c r="N921" s="51" t="s">
        <v>2538</v>
      </c>
      <c r="O921" s="51" t="s">
        <v>78</v>
      </c>
      <c r="P921" s="79">
        <v>44900</v>
      </c>
      <c r="Q921" s="51" t="s">
        <v>2561</v>
      </c>
      <c r="R921" s="51" t="s">
        <v>98</v>
      </c>
      <c r="S921" s="79">
        <v>44908</v>
      </c>
      <c r="T921" s="51" t="s">
        <v>2635</v>
      </c>
      <c r="U921" s="80"/>
      <c r="V921" s="79"/>
      <c r="W921" s="80"/>
      <c r="X921" s="80"/>
    </row>
    <row r="922" spans="1:24" ht="42" customHeight="1">
      <c r="A922" s="80">
        <f t="shared" si="0"/>
        <v>920</v>
      </c>
      <c r="B922" s="51" t="str">
        <f t="shared" si="1"/>
        <v>MA</v>
      </c>
      <c r="C922" s="51" t="s">
        <v>4417</v>
      </c>
      <c r="D922" s="51" t="s">
        <v>119</v>
      </c>
      <c r="E922" s="51" t="s">
        <v>2533</v>
      </c>
      <c r="F922" s="80"/>
      <c r="G922" s="75" t="s">
        <v>4418</v>
      </c>
      <c r="H922" s="80"/>
      <c r="I922" s="76"/>
      <c r="J922" s="80"/>
      <c r="K922" s="80"/>
      <c r="L922" s="51" t="s">
        <v>78</v>
      </c>
      <c r="M922" s="79">
        <v>44893</v>
      </c>
      <c r="N922" s="51" t="s">
        <v>2538</v>
      </c>
      <c r="O922" s="51" t="s">
        <v>78</v>
      </c>
      <c r="P922" s="79">
        <v>44900</v>
      </c>
      <c r="Q922" s="51" t="s">
        <v>2635</v>
      </c>
      <c r="R922" s="80"/>
      <c r="S922" s="82"/>
      <c r="T922" s="80"/>
      <c r="U922" s="80"/>
      <c r="V922" s="79"/>
      <c r="W922" s="80"/>
      <c r="X922" s="80"/>
    </row>
    <row r="923" spans="1:24" ht="42" customHeight="1">
      <c r="A923" s="80">
        <f t="shared" si="0"/>
        <v>921</v>
      </c>
      <c r="B923" s="51" t="str">
        <f t="shared" si="1"/>
        <v>MA</v>
      </c>
      <c r="C923" s="83" t="s">
        <v>4419</v>
      </c>
      <c r="D923" s="51" t="s">
        <v>119</v>
      </c>
      <c r="E923" s="51" t="s">
        <v>2533</v>
      </c>
      <c r="F923" s="80"/>
      <c r="G923" s="75" t="s">
        <v>4380</v>
      </c>
      <c r="H923" s="80"/>
      <c r="I923" s="89" t="s">
        <v>4392</v>
      </c>
      <c r="J923" s="80"/>
      <c r="K923" s="80"/>
      <c r="L923" s="51" t="s">
        <v>78</v>
      </c>
      <c r="M923" s="79">
        <v>44893</v>
      </c>
      <c r="N923" s="51" t="s">
        <v>2538</v>
      </c>
      <c r="O923" s="51" t="s">
        <v>78</v>
      </c>
      <c r="P923" s="79">
        <v>44900</v>
      </c>
      <c r="Q923" s="51" t="s">
        <v>2551</v>
      </c>
      <c r="R923" s="51" t="s">
        <v>98</v>
      </c>
      <c r="S923" s="79">
        <v>44908</v>
      </c>
      <c r="T923" s="51" t="s">
        <v>2561</v>
      </c>
      <c r="U923" s="80"/>
      <c r="V923" s="79"/>
      <c r="W923" s="80"/>
      <c r="X923" s="80"/>
    </row>
    <row r="924" spans="1:24" ht="42" customHeight="1">
      <c r="A924" s="80">
        <f t="shared" si="0"/>
        <v>922</v>
      </c>
      <c r="B924" s="51" t="str">
        <f t="shared" si="1"/>
        <v>MA</v>
      </c>
      <c r="C924" s="51" t="s">
        <v>4420</v>
      </c>
      <c r="D924" s="51" t="s">
        <v>119</v>
      </c>
      <c r="E924" s="51" t="s">
        <v>2533</v>
      </c>
      <c r="F924" s="80"/>
      <c r="G924" s="75" t="s">
        <v>209</v>
      </c>
      <c r="H924" s="80"/>
      <c r="I924" s="76"/>
      <c r="J924" s="80"/>
      <c r="K924" s="80"/>
      <c r="L924" s="51" t="s">
        <v>78</v>
      </c>
      <c r="M924" s="79">
        <v>44893</v>
      </c>
      <c r="N924" s="51" t="s">
        <v>2538</v>
      </c>
      <c r="O924" s="51" t="s">
        <v>78</v>
      </c>
      <c r="P924" s="79">
        <v>44900</v>
      </c>
      <c r="Q924" s="51" t="s">
        <v>2635</v>
      </c>
      <c r="R924" s="51" t="s">
        <v>98</v>
      </c>
      <c r="S924" s="79">
        <v>44908</v>
      </c>
      <c r="T924" s="51" t="s">
        <v>2635</v>
      </c>
      <c r="U924" s="80"/>
      <c r="V924" s="79"/>
      <c r="W924" s="80"/>
      <c r="X924" s="80"/>
    </row>
    <row r="925" spans="1:24" ht="42" customHeight="1">
      <c r="A925" s="80">
        <f t="shared" si="0"/>
        <v>923</v>
      </c>
      <c r="B925" s="51" t="str">
        <f t="shared" si="1"/>
        <v>MA</v>
      </c>
      <c r="C925" s="51" t="s">
        <v>4421</v>
      </c>
      <c r="D925" s="51" t="s">
        <v>119</v>
      </c>
      <c r="E925" s="51" t="s">
        <v>2533</v>
      </c>
      <c r="F925" s="80"/>
      <c r="G925" s="75" t="s">
        <v>206</v>
      </c>
      <c r="H925" s="80"/>
      <c r="I925" s="76"/>
      <c r="J925" s="77" t="s">
        <v>207</v>
      </c>
      <c r="K925" s="80"/>
      <c r="L925" s="51" t="s">
        <v>78</v>
      </c>
      <c r="M925" s="79">
        <v>44893</v>
      </c>
      <c r="N925" s="51" t="s">
        <v>4330</v>
      </c>
      <c r="O925" s="51" t="s">
        <v>98</v>
      </c>
      <c r="P925" s="79">
        <v>44897</v>
      </c>
      <c r="Q925" s="51" t="s">
        <v>2623</v>
      </c>
      <c r="R925" s="51" t="s">
        <v>78</v>
      </c>
      <c r="S925" s="79">
        <v>44900</v>
      </c>
      <c r="T925" s="51" t="s">
        <v>2623</v>
      </c>
      <c r="U925" s="51" t="s">
        <v>98</v>
      </c>
      <c r="V925" s="79">
        <v>44908</v>
      </c>
      <c r="W925" s="51" t="s">
        <v>2566</v>
      </c>
      <c r="X925" s="80"/>
    </row>
    <row r="926" spans="1:24" ht="42" customHeight="1">
      <c r="A926" s="80">
        <f t="shared" si="0"/>
        <v>924</v>
      </c>
      <c r="B926" s="51" t="str">
        <f t="shared" si="1"/>
        <v>MA</v>
      </c>
      <c r="C926" s="51" t="s">
        <v>4422</v>
      </c>
      <c r="D926" s="51" t="s">
        <v>119</v>
      </c>
      <c r="E926" s="51" t="s">
        <v>2533</v>
      </c>
      <c r="F926" s="80"/>
      <c r="G926" s="75" t="s">
        <v>203</v>
      </c>
      <c r="H926" s="80"/>
      <c r="I926" s="76"/>
      <c r="J926" s="77" t="s">
        <v>204</v>
      </c>
      <c r="K926" s="80"/>
      <c r="L926" s="51" t="s">
        <v>78</v>
      </c>
      <c r="M926" s="79">
        <v>44893</v>
      </c>
      <c r="N926" s="51" t="s">
        <v>2561</v>
      </c>
      <c r="O926" s="51" t="s">
        <v>78</v>
      </c>
      <c r="P926" s="79">
        <v>44900</v>
      </c>
      <c r="Q926" s="51" t="s">
        <v>2545</v>
      </c>
      <c r="R926" s="51" t="s">
        <v>78</v>
      </c>
      <c r="S926" s="79">
        <v>44908</v>
      </c>
      <c r="T926" s="51" t="s">
        <v>2538</v>
      </c>
      <c r="U926" s="80"/>
      <c r="V926" s="79"/>
      <c r="W926" s="80"/>
      <c r="X926" s="80"/>
    </row>
    <row r="927" spans="1:24" ht="42" customHeight="1">
      <c r="A927" s="80">
        <f t="shared" si="0"/>
        <v>925</v>
      </c>
      <c r="B927" s="51" t="str">
        <f t="shared" si="1"/>
        <v>MA</v>
      </c>
      <c r="C927" s="87" t="s">
        <v>4423</v>
      </c>
      <c r="D927" s="51" t="s">
        <v>119</v>
      </c>
      <c r="E927" s="51" t="s">
        <v>2533</v>
      </c>
      <c r="F927" s="80"/>
      <c r="G927" s="75" t="s">
        <v>4424</v>
      </c>
      <c r="H927" s="80"/>
      <c r="I927" s="76"/>
      <c r="J927" s="80"/>
      <c r="K927" s="80"/>
      <c r="L927" s="51" t="s">
        <v>78</v>
      </c>
      <c r="M927" s="79">
        <v>44893</v>
      </c>
      <c r="N927" s="51" t="s">
        <v>2538</v>
      </c>
      <c r="O927" s="80"/>
      <c r="P927" s="82"/>
      <c r="Q927" s="80"/>
      <c r="R927" s="80"/>
      <c r="S927" s="82"/>
      <c r="T927" s="80"/>
      <c r="U927" s="80"/>
      <c r="V927" s="79"/>
      <c r="W927" s="80"/>
      <c r="X927" s="80"/>
    </row>
    <row r="928" spans="1:24" ht="42" customHeight="1">
      <c r="A928" s="80">
        <f t="shared" si="0"/>
        <v>926</v>
      </c>
      <c r="B928" s="51" t="str">
        <f t="shared" si="1"/>
        <v>MA</v>
      </c>
      <c r="C928" s="51" t="s">
        <v>4425</v>
      </c>
      <c r="D928" s="51" t="s">
        <v>119</v>
      </c>
      <c r="E928" s="51" t="s">
        <v>2533</v>
      </c>
      <c r="F928" s="80"/>
      <c r="G928" s="75" t="s">
        <v>201</v>
      </c>
      <c r="H928" s="80"/>
      <c r="I928" s="76"/>
      <c r="J928" s="80"/>
      <c r="K928" s="80"/>
      <c r="L928" s="51" t="s">
        <v>78</v>
      </c>
      <c r="M928" s="79">
        <v>44893</v>
      </c>
      <c r="N928" s="51" t="s">
        <v>2561</v>
      </c>
      <c r="O928" s="51" t="s">
        <v>78</v>
      </c>
      <c r="P928" s="79">
        <v>44900</v>
      </c>
      <c r="Q928" s="51" t="s">
        <v>2561</v>
      </c>
      <c r="R928" s="51" t="s">
        <v>98</v>
      </c>
      <c r="S928" s="79">
        <v>44908</v>
      </c>
      <c r="T928" s="51" t="s">
        <v>2635</v>
      </c>
      <c r="U928" s="80"/>
      <c r="V928" s="79"/>
      <c r="W928" s="80"/>
      <c r="X928" s="80"/>
    </row>
    <row r="929" spans="1:24" ht="42" customHeight="1">
      <c r="A929" s="80">
        <f t="shared" si="0"/>
        <v>927</v>
      </c>
      <c r="B929" s="51" t="str">
        <f t="shared" si="1"/>
        <v>MA</v>
      </c>
      <c r="C929" s="51" t="s">
        <v>4426</v>
      </c>
      <c r="D929" s="51" t="s">
        <v>119</v>
      </c>
      <c r="E929" s="51" t="s">
        <v>2533</v>
      </c>
      <c r="F929" s="80"/>
      <c r="G929" s="75" t="s">
        <v>197</v>
      </c>
      <c r="H929" s="80"/>
      <c r="I929" s="76"/>
      <c r="J929" s="80"/>
      <c r="K929" s="80"/>
      <c r="L929" s="51" t="s">
        <v>78</v>
      </c>
      <c r="M929" s="79">
        <v>44893</v>
      </c>
      <c r="N929" s="51" t="s">
        <v>2538</v>
      </c>
      <c r="O929" s="51" t="s">
        <v>78</v>
      </c>
      <c r="P929" s="79">
        <v>44900</v>
      </c>
      <c r="Q929" s="51" t="s">
        <v>2561</v>
      </c>
      <c r="R929" s="51" t="s">
        <v>98</v>
      </c>
      <c r="S929" s="79">
        <v>44908</v>
      </c>
      <c r="T929" s="51" t="s">
        <v>2635</v>
      </c>
      <c r="U929" s="80"/>
      <c r="V929" s="79"/>
      <c r="W929" s="80"/>
      <c r="X929" s="80"/>
    </row>
    <row r="930" spans="1:24" ht="42" customHeight="1">
      <c r="A930" s="80">
        <f t="shared" si="0"/>
        <v>928</v>
      </c>
      <c r="B930" s="51" t="str">
        <f t="shared" si="1"/>
        <v>MA</v>
      </c>
      <c r="C930" s="51" t="s">
        <v>4427</v>
      </c>
      <c r="D930" s="51" t="s">
        <v>119</v>
      </c>
      <c r="E930" s="51" t="s">
        <v>2533</v>
      </c>
      <c r="F930" s="80"/>
      <c r="G930" s="146" t="s">
        <v>195</v>
      </c>
      <c r="H930" s="80"/>
      <c r="I930" s="76"/>
      <c r="J930" s="80"/>
      <c r="K930" s="80"/>
      <c r="L930" s="51" t="s">
        <v>78</v>
      </c>
      <c r="M930" s="79">
        <v>44893</v>
      </c>
      <c r="N930" s="51" t="s">
        <v>4428</v>
      </c>
      <c r="O930" s="51" t="s">
        <v>78</v>
      </c>
      <c r="P930" s="79">
        <v>44900</v>
      </c>
      <c r="Q930" s="51" t="s">
        <v>2561</v>
      </c>
      <c r="R930" s="51" t="s">
        <v>98</v>
      </c>
      <c r="S930" s="79">
        <v>44908</v>
      </c>
      <c r="T930" s="51" t="s">
        <v>2561</v>
      </c>
      <c r="U930" s="80"/>
      <c r="V930" s="79"/>
      <c r="W930" s="80"/>
      <c r="X930" s="80"/>
    </row>
    <row r="931" spans="1:24" ht="42" customHeight="1">
      <c r="A931" s="80">
        <f t="shared" si="0"/>
        <v>929</v>
      </c>
      <c r="B931" s="51" t="str">
        <f t="shared" si="1"/>
        <v>MA</v>
      </c>
      <c r="C931" s="81" t="s">
        <v>4429</v>
      </c>
      <c r="D931" s="51" t="s">
        <v>119</v>
      </c>
      <c r="E931" s="51" t="s">
        <v>2533</v>
      </c>
      <c r="F931" s="80"/>
      <c r="G931" s="75" t="s">
        <v>4430</v>
      </c>
      <c r="H931" s="80"/>
      <c r="I931" s="76"/>
      <c r="J931" s="80"/>
      <c r="K931" s="80"/>
      <c r="L931" s="51" t="s">
        <v>78</v>
      </c>
      <c r="M931" s="79">
        <v>44893</v>
      </c>
      <c r="N931" s="51" t="s">
        <v>2701</v>
      </c>
      <c r="O931" s="80"/>
      <c r="P931" s="82"/>
      <c r="Q931" s="80"/>
      <c r="R931" s="80"/>
      <c r="S931" s="82"/>
      <c r="T931" s="80"/>
      <c r="U931" s="80"/>
      <c r="V931" s="79"/>
      <c r="W931" s="80"/>
      <c r="X931" s="80"/>
    </row>
    <row r="932" spans="1:24" ht="42" customHeight="1">
      <c r="A932" s="80">
        <f t="shared" si="0"/>
        <v>930</v>
      </c>
      <c r="B932" s="51" t="str">
        <f t="shared" si="1"/>
        <v>MA</v>
      </c>
      <c r="C932" s="81" t="s">
        <v>4431</v>
      </c>
      <c r="D932" s="51" t="s">
        <v>119</v>
      </c>
      <c r="E932" s="51" t="s">
        <v>2533</v>
      </c>
      <c r="F932" s="80"/>
      <c r="G932" s="75" t="s">
        <v>4432</v>
      </c>
      <c r="H932" s="80"/>
      <c r="I932" s="76"/>
      <c r="J932" s="96" t="s">
        <v>4433</v>
      </c>
      <c r="K932" s="80"/>
      <c r="L932" s="51" t="s">
        <v>78</v>
      </c>
      <c r="M932" s="79">
        <v>44893</v>
      </c>
      <c r="N932" s="51" t="s">
        <v>2701</v>
      </c>
      <c r="O932" s="80"/>
      <c r="P932" s="82"/>
      <c r="Q932" s="80"/>
      <c r="R932" s="80"/>
      <c r="S932" s="82"/>
      <c r="T932" s="80"/>
      <c r="U932" s="80"/>
      <c r="V932" s="79"/>
      <c r="W932" s="80"/>
      <c r="X932" s="80"/>
    </row>
    <row r="933" spans="1:24" ht="42" customHeight="1">
      <c r="A933" s="80">
        <f t="shared" si="0"/>
        <v>931</v>
      </c>
      <c r="B933" s="51" t="str">
        <f t="shared" si="1"/>
        <v>MA</v>
      </c>
      <c r="C933" s="51" t="s">
        <v>4434</v>
      </c>
      <c r="D933" s="51" t="s">
        <v>119</v>
      </c>
      <c r="E933" s="51" t="s">
        <v>2533</v>
      </c>
      <c r="F933" s="80"/>
      <c r="G933" s="75" t="s">
        <v>192</v>
      </c>
      <c r="H933" s="80"/>
      <c r="I933" s="76"/>
      <c r="J933" s="96" t="s">
        <v>4435</v>
      </c>
      <c r="K933" s="80"/>
      <c r="L933" s="51" t="s">
        <v>78</v>
      </c>
      <c r="M933" s="79">
        <v>44893</v>
      </c>
      <c r="N933" s="51" t="s">
        <v>2561</v>
      </c>
      <c r="O933" s="51" t="s">
        <v>78</v>
      </c>
      <c r="P933" s="79">
        <v>44900</v>
      </c>
      <c r="Q933" s="51" t="s">
        <v>2635</v>
      </c>
      <c r="R933" s="80"/>
      <c r="S933" s="82"/>
      <c r="T933" s="80"/>
      <c r="U933" s="80"/>
      <c r="V933" s="79"/>
      <c r="W933" s="80"/>
      <c r="X933" s="80"/>
    </row>
    <row r="934" spans="1:24" ht="42" customHeight="1">
      <c r="A934" s="80">
        <f t="shared" si="0"/>
        <v>932</v>
      </c>
      <c r="B934" s="51" t="str">
        <f t="shared" si="1"/>
        <v>MA</v>
      </c>
      <c r="C934" s="51" t="s">
        <v>4436</v>
      </c>
      <c r="D934" s="51" t="s">
        <v>119</v>
      </c>
      <c r="E934" s="51" t="s">
        <v>2533</v>
      </c>
      <c r="F934" s="80"/>
      <c r="G934" s="75" t="s">
        <v>188</v>
      </c>
      <c r="H934" s="80"/>
      <c r="I934" s="76"/>
      <c r="J934" s="96" t="s">
        <v>189</v>
      </c>
      <c r="K934" s="80"/>
      <c r="L934" s="51" t="s">
        <v>78</v>
      </c>
      <c r="M934" s="79">
        <v>44893</v>
      </c>
      <c r="N934" s="51" t="s">
        <v>2538</v>
      </c>
      <c r="O934" s="80"/>
      <c r="P934" s="82"/>
      <c r="Q934" s="80"/>
      <c r="R934" s="80"/>
      <c r="S934" s="82"/>
      <c r="T934" s="80"/>
      <c r="U934" s="80"/>
      <c r="V934" s="79"/>
      <c r="W934" s="80"/>
      <c r="X934" s="80"/>
    </row>
    <row r="935" spans="1:24" ht="42" customHeight="1">
      <c r="A935" s="80">
        <f t="shared" si="0"/>
        <v>933</v>
      </c>
      <c r="B935" s="51" t="str">
        <f t="shared" si="1"/>
        <v>MA</v>
      </c>
      <c r="C935" s="85" t="s">
        <v>184</v>
      </c>
      <c r="D935" s="51" t="s">
        <v>119</v>
      </c>
      <c r="E935" s="51" t="s">
        <v>2533</v>
      </c>
      <c r="F935" s="80"/>
      <c r="G935" s="75" t="s">
        <v>185</v>
      </c>
      <c r="H935" s="80"/>
      <c r="I935" s="76"/>
      <c r="J935" s="80"/>
      <c r="K935" s="80"/>
      <c r="L935" s="51" t="s">
        <v>78</v>
      </c>
      <c r="M935" s="79">
        <v>44893</v>
      </c>
      <c r="N935" s="51" t="s">
        <v>2561</v>
      </c>
      <c r="O935" s="51" t="s">
        <v>78</v>
      </c>
      <c r="P935" s="79">
        <v>44900</v>
      </c>
      <c r="Q935" s="51" t="s">
        <v>2573</v>
      </c>
      <c r="R935" s="80"/>
      <c r="S935" s="82"/>
      <c r="T935" s="80"/>
      <c r="U935" s="80"/>
      <c r="V935" s="79"/>
      <c r="W935" s="80"/>
      <c r="X935" s="80"/>
    </row>
    <row r="936" spans="1:24" ht="42" customHeight="1">
      <c r="A936" s="80">
        <f t="shared" si="0"/>
        <v>934</v>
      </c>
      <c r="B936" s="51" t="str">
        <f t="shared" si="1"/>
        <v>MA</v>
      </c>
      <c r="C936" s="51" t="s">
        <v>182</v>
      </c>
      <c r="D936" s="51" t="s">
        <v>119</v>
      </c>
      <c r="E936" s="51" t="s">
        <v>2533</v>
      </c>
      <c r="F936" s="80"/>
      <c r="G936" s="75" t="s">
        <v>183</v>
      </c>
      <c r="H936" s="80"/>
      <c r="I936" s="76"/>
      <c r="J936" s="80"/>
      <c r="K936" s="80"/>
      <c r="L936" s="51" t="s">
        <v>78</v>
      </c>
      <c r="M936" s="79">
        <v>44893</v>
      </c>
      <c r="N936" s="51" t="s">
        <v>2538</v>
      </c>
      <c r="O936" s="51" t="s">
        <v>78</v>
      </c>
      <c r="P936" s="79">
        <v>44900</v>
      </c>
      <c r="Q936" s="51" t="s">
        <v>2538</v>
      </c>
      <c r="R936" s="80"/>
      <c r="S936" s="82"/>
      <c r="T936" s="80"/>
      <c r="U936" s="80"/>
      <c r="V936" s="79"/>
      <c r="W936" s="80"/>
      <c r="X936" s="80"/>
    </row>
    <row r="937" spans="1:24" ht="42" customHeight="1">
      <c r="A937" s="80">
        <f t="shared" si="0"/>
        <v>935</v>
      </c>
      <c r="B937" s="51" t="str">
        <f t="shared" si="1"/>
        <v>MA</v>
      </c>
      <c r="C937" s="51" t="s">
        <v>4437</v>
      </c>
      <c r="D937" s="51" t="s">
        <v>119</v>
      </c>
      <c r="E937" s="51" t="s">
        <v>2533</v>
      </c>
      <c r="F937" s="80"/>
      <c r="G937" s="75" t="s">
        <v>180</v>
      </c>
      <c r="H937" s="80"/>
      <c r="I937" s="76"/>
      <c r="J937" s="80"/>
      <c r="K937" s="80"/>
      <c r="L937" s="51" t="s">
        <v>78</v>
      </c>
      <c r="M937" s="79">
        <v>44893</v>
      </c>
      <c r="N937" s="51" t="s">
        <v>2561</v>
      </c>
      <c r="O937" s="51" t="s">
        <v>78</v>
      </c>
      <c r="P937" s="79">
        <v>44900</v>
      </c>
      <c r="Q937" s="51" t="s">
        <v>2635</v>
      </c>
      <c r="R937" s="80"/>
      <c r="S937" s="82"/>
      <c r="T937" s="80"/>
      <c r="U937" s="80"/>
      <c r="V937" s="79"/>
      <c r="W937" s="80"/>
      <c r="X937" s="80"/>
    </row>
    <row r="938" spans="1:24" ht="42" customHeight="1">
      <c r="A938" s="80">
        <f t="shared" si="0"/>
        <v>936</v>
      </c>
      <c r="B938" s="51" t="str">
        <f t="shared" si="1"/>
        <v>MA</v>
      </c>
      <c r="C938" s="51" t="s">
        <v>4438</v>
      </c>
      <c r="D938" s="51" t="s">
        <v>119</v>
      </c>
      <c r="E938" s="51" t="s">
        <v>2533</v>
      </c>
      <c r="F938" s="80"/>
      <c r="G938" s="75" t="s">
        <v>177</v>
      </c>
      <c r="H938" s="80"/>
      <c r="I938" s="76"/>
      <c r="J938" s="56" t="s">
        <v>178</v>
      </c>
      <c r="K938" s="80"/>
      <c r="L938" s="51" t="s">
        <v>78</v>
      </c>
      <c r="M938" s="79">
        <v>44893</v>
      </c>
      <c r="N938" s="51" t="s">
        <v>2538</v>
      </c>
      <c r="O938" s="51" t="s">
        <v>78</v>
      </c>
      <c r="P938" s="79">
        <v>44900</v>
      </c>
      <c r="Q938" s="51" t="s">
        <v>2635</v>
      </c>
      <c r="R938" s="51" t="s">
        <v>98</v>
      </c>
      <c r="S938" s="79">
        <v>44901</v>
      </c>
      <c r="T938" s="51" t="s">
        <v>2561</v>
      </c>
      <c r="U938" s="80"/>
      <c r="V938" s="79"/>
      <c r="W938" s="80"/>
      <c r="X938" s="80"/>
    </row>
    <row r="939" spans="1:24" ht="42" customHeight="1">
      <c r="A939" s="80">
        <f t="shared" si="0"/>
        <v>937</v>
      </c>
      <c r="B939" s="51" t="str">
        <f t="shared" si="1"/>
        <v>MA</v>
      </c>
      <c r="C939" s="148" t="s">
        <v>4439</v>
      </c>
      <c r="D939" s="51" t="s">
        <v>119</v>
      </c>
      <c r="E939" s="51" t="s">
        <v>2533</v>
      </c>
      <c r="F939" s="80"/>
      <c r="G939" s="75" t="s">
        <v>4440</v>
      </c>
      <c r="H939" s="80"/>
      <c r="I939" s="76"/>
      <c r="J939" s="77" t="s">
        <v>174</v>
      </c>
      <c r="K939" s="80"/>
      <c r="L939" s="51" t="s">
        <v>78</v>
      </c>
      <c r="M939" s="79">
        <v>44893</v>
      </c>
      <c r="N939" s="51" t="s">
        <v>2538</v>
      </c>
      <c r="O939" s="51" t="s">
        <v>78</v>
      </c>
      <c r="P939" s="79">
        <v>44900</v>
      </c>
      <c r="Q939" s="51" t="s">
        <v>2635</v>
      </c>
      <c r="R939" s="80"/>
      <c r="S939" s="82"/>
      <c r="T939" s="80"/>
      <c r="U939" s="80"/>
      <c r="V939" s="79"/>
      <c r="W939" s="80"/>
      <c r="X939" s="80"/>
    </row>
    <row r="940" spans="1:24" ht="42" customHeight="1">
      <c r="A940" s="80">
        <f t="shared" si="0"/>
        <v>938</v>
      </c>
      <c r="B940" s="51" t="str">
        <f t="shared" si="1"/>
        <v>MA</v>
      </c>
      <c r="C940" s="81" t="s">
        <v>4441</v>
      </c>
      <c r="D940" s="51" t="s">
        <v>119</v>
      </c>
      <c r="E940" s="51" t="s">
        <v>2533</v>
      </c>
      <c r="F940" s="80"/>
      <c r="G940" s="75" t="s">
        <v>4442</v>
      </c>
      <c r="H940" s="80"/>
      <c r="I940" s="76"/>
      <c r="J940" s="80"/>
      <c r="K940" s="80"/>
      <c r="L940" s="51" t="s">
        <v>78</v>
      </c>
      <c r="M940" s="79">
        <v>44893</v>
      </c>
      <c r="N940" s="51" t="s">
        <v>2538</v>
      </c>
      <c r="O940" s="51" t="s">
        <v>78</v>
      </c>
      <c r="P940" s="79">
        <v>44900</v>
      </c>
      <c r="Q940" s="51" t="s">
        <v>2561</v>
      </c>
      <c r="R940" s="80"/>
      <c r="S940" s="82"/>
      <c r="T940" s="80"/>
      <c r="U940" s="80"/>
      <c r="V940" s="79"/>
      <c r="W940" s="80"/>
      <c r="X940" s="80"/>
    </row>
    <row r="941" spans="1:24" ht="42" customHeight="1">
      <c r="A941" s="80">
        <f t="shared" si="0"/>
        <v>939</v>
      </c>
      <c r="B941" s="51" t="str">
        <f t="shared" si="1"/>
        <v>MA</v>
      </c>
      <c r="C941" s="51" t="s">
        <v>4443</v>
      </c>
      <c r="D941" s="51" t="s">
        <v>119</v>
      </c>
      <c r="E941" s="51" t="s">
        <v>2533</v>
      </c>
      <c r="F941" s="80"/>
      <c r="G941" s="75" t="s">
        <v>171</v>
      </c>
      <c r="H941" s="80"/>
      <c r="I941" s="76"/>
      <c r="J941" s="80"/>
      <c r="K941" s="80"/>
      <c r="L941" s="51" t="s">
        <v>78</v>
      </c>
      <c r="M941" s="79">
        <v>44893</v>
      </c>
      <c r="N941" s="51" t="s">
        <v>2561</v>
      </c>
      <c r="O941" s="51" t="s">
        <v>78</v>
      </c>
      <c r="P941" s="79">
        <v>44900</v>
      </c>
      <c r="Q941" s="51" t="s">
        <v>2561</v>
      </c>
      <c r="R941" s="80"/>
      <c r="S941" s="82"/>
      <c r="T941" s="80"/>
      <c r="U941" s="80"/>
      <c r="V941" s="79"/>
      <c r="W941" s="80"/>
      <c r="X941" s="80"/>
    </row>
    <row r="942" spans="1:24" ht="42" customHeight="1">
      <c r="A942" s="80">
        <f t="shared" si="0"/>
        <v>940</v>
      </c>
      <c r="B942" s="51" t="str">
        <f t="shared" si="1"/>
        <v>MA</v>
      </c>
      <c r="C942" s="87" t="s">
        <v>4444</v>
      </c>
      <c r="D942" s="51" t="s">
        <v>119</v>
      </c>
      <c r="E942" s="51" t="s">
        <v>2533</v>
      </c>
      <c r="F942" s="80"/>
      <c r="G942" s="75" t="s">
        <v>4445</v>
      </c>
      <c r="H942" s="80"/>
      <c r="I942" s="76"/>
      <c r="J942" s="80"/>
      <c r="K942" s="80"/>
      <c r="L942" s="51" t="s">
        <v>78</v>
      </c>
      <c r="M942" s="79">
        <v>44893</v>
      </c>
      <c r="N942" s="51" t="s">
        <v>2561</v>
      </c>
      <c r="O942" s="80"/>
      <c r="P942" s="82"/>
      <c r="Q942" s="80"/>
      <c r="R942" s="80"/>
      <c r="S942" s="82"/>
      <c r="T942" s="80"/>
      <c r="U942" s="80"/>
      <c r="V942" s="79"/>
      <c r="W942" s="80"/>
      <c r="X942" s="80"/>
    </row>
    <row r="943" spans="1:24" ht="42" customHeight="1">
      <c r="A943" s="80">
        <f t="shared" si="0"/>
        <v>941</v>
      </c>
      <c r="B943" s="51" t="str">
        <f t="shared" si="1"/>
        <v>MA</v>
      </c>
      <c r="C943" s="51" t="s">
        <v>4446</v>
      </c>
      <c r="D943" s="51" t="s">
        <v>119</v>
      </c>
      <c r="E943" s="51" t="s">
        <v>2533</v>
      </c>
      <c r="F943" s="80"/>
      <c r="G943" s="75" t="s">
        <v>168</v>
      </c>
      <c r="H943" s="80"/>
      <c r="I943" s="76"/>
      <c r="J943" s="77" t="s">
        <v>169</v>
      </c>
      <c r="K943" s="80"/>
      <c r="L943" s="51" t="s">
        <v>78</v>
      </c>
      <c r="M943" s="79">
        <v>44893</v>
      </c>
      <c r="N943" s="51" t="s">
        <v>2538</v>
      </c>
      <c r="O943" s="51" t="s">
        <v>78</v>
      </c>
      <c r="P943" s="79">
        <v>44900</v>
      </c>
      <c r="Q943" s="51" t="s">
        <v>2561</v>
      </c>
      <c r="R943" s="80"/>
      <c r="S943" s="82"/>
      <c r="T943" s="80"/>
      <c r="U943" s="80"/>
      <c r="V943" s="79"/>
      <c r="W943" s="80"/>
      <c r="X943" s="80"/>
    </row>
    <row r="944" spans="1:24" ht="42" customHeight="1">
      <c r="A944" s="80">
        <f t="shared" si="0"/>
        <v>942</v>
      </c>
      <c r="B944" s="51" t="str">
        <f t="shared" si="1"/>
        <v>MA</v>
      </c>
      <c r="C944" s="51" t="s">
        <v>4447</v>
      </c>
      <c r="D944" s="51" t="s">
        <v>119</v>
      </c>
      <c r="E944" s="51" t="s">
        <v>2533</v>
      </c>
      <c r="F944" s="80"/>
      <c r="G944" s="75" t="s">
        <v>4448</v>
      </c>
      <c r="H944" s="80"/>
      <c r="I944" s="76"/>
      <c r="J944" s="77" t="s">
        <v>164</v>
      </c>
      <c r="K944" s="80"/>
      <c r="L944" s="51" t="s">
        <v>78</v>
      </c>
      <c r="M944" s="79">
        <v>44893</v>
      </c>
      <c r="N944" s="51" t="s">
        <v>2560</v>
      </c>
      <c r="O944" s="51" t="s">
        <v>98</v>
      </c>
      <c r="P944" s="79">
        <v>44900</v>
      </c>
      <c r="Q944" s="51" t="s">
        <v>4280</v>
      </c>
      <c r="R944" s="80"/>
      <c r="S944" s="82"/>
      <c r="T944" s="80"/>
      <c r="U944" s="80"/>
      <c r="V944" s="79"/>
      <c r="W944" s="80"/>
      <c r="X944" s="80"/>
    </row>
    <row r="945" spans="1:24" ht="42" customHeight="1">
      <c r="A945" s="80">
        <f t="shared" si="0"/>
        <v>943</v>
      </c>
      <c r="B945" s="51" t="str">
        <f t="shared" si="1"/>
        <v>MA</v>
      </c>
      <c r="C945" s="81" t="s">
        <v>4449</v>
      </c>
      <c r="D945" s="51" t="s">
        <v>119</v>
      </c>
      <c r="E945" s="51" t="s">
        <v>2533</v>
      </c>
      <c r="F945" s="80"/>
      <c r="G945" s="75" t="s">
        <v>4395</v>
      </c>
      <c r="H945" s="80"/>
      <c r="I945" s="76"/>
      <c r="J945" s="80"/>
      <c r="K945" s="80"/>
      <c r="L945" s="80"/>
      <c r="M945" s="79">
        <v>44784</v>
      </c>
      <c r="N945" s="80"/>
      <c r="O945" s="80"/>
      <c r="P945" s="82"/>
      <c r="Q945" s="80"/>
      <c r="R945" s="80"/>
      <c r="S945" s="82"/>
      <c r="T945" s="80"/>
      <c r="U945" s="80"/>
      <c r="V945" s="79"/>
      <c r="W945" s="80"/>
      <c r="X945" s="80"/>
    </row>
    <row r="946" spans="1:24" ht="42" customHeight="1">
      <c r="A946" s="80">
        <f t="shared" si="0"/>
        <v>944</v>
      </c>
      <c r="B946" s="51" t="str">
        <f t="shared" si="1"/>
        <v>MA</v>
      </c>
      <c r="C946" s="51" t="s">
        <v>4450</v>
      </c>
      <c r="D946" s="51" t="s">
        <v>119</v>
      </c>
      <c r="E946" s="51" t="s">
        <v>2533</v>
      </c>
      <c r="F946" s="80"/>
      <c r="G946" s="75" t="s">
        <v>4451</v>
      </c>
      <c r="H946" s="80"/>
      <c r="I946" s="76"/>
      <c r="J946" s="80"/>
      <c r="K946" s="80"/>
      <c r="L946" s="51" t="s">
        <v>78</v>
      </c>
      <c r="M946" s="79">
        <v>44893</v>
      </c>
      <c r="N946" s="51" t="s">
        <v>2538</v>
      </c>
      <c r="O946" s="51" t="s">
        <v>78</v>
      </c>
      <c r="P946" s="79">
        <v>44900</v>
      </c>
      <c r="Q946" s="51" t="s">
        <v>2635</v>
      </c>
      <c r="R946" s="80"/>
      <c r="S946" s="82"/>
      <c r="T946" s="80"/>
      <c r="U946" s="80"/>
      <c r="V946" s="79"/>
      <c r="W946" s="80"/>
      <c r="X946" s="80"/>
    </row>
    <row r="947" spans="1:24" ht="42" customHeight="1">
      <c r="A947" s="80">
        <f t="shared" si="0"/>
        <v>945</v>
      </c>
      <c r="B947" s="51" t="str">
        <f t="shared" si="1"/>
        <v>MA</v>
      </c>
      <c r="C947" s="81" t="s">
        <v>4452</v>
      </c>
      <c r="D947" s="51" t="s">
        <v>119</v>
      </c>
      <c r="E947" s="51" t="s">
        <v>2533</v>
      </c>
      <c r="F947" s="80"/>
      <c r="G947" s="75" t="s">
        <v>4453</v>
      </c>
      <c r="H947" s="80"/>
      <c r="I947" s="76"/>
      <c r="J947" s="96" t="s">
        <v>4454</v>
      </c>
      <c r="K947" s="80"/>
      <c r="L947" s="51" t="s">
        <v>78</v>
      </c>
      <c r="M947" s="79">
        <v>44893</v>
      </c>
      <c r="N947" s="51" t="s">
        <v>2701</v>
      </c>
      <c r="O947" s="80"/>
      <c r="P947" s="82"/>
      <c r="Q947" s="80"/>
      <c r="R947" s="80"/>
      <c r="S947" s="82"/>
      <c r="T947" s="80"/>
      <c r="U947" s="80"/>
      <c r="V947" s="79"/>
      <c r="W947" s="80"/>
      <c r="X947" s="80"/>
    </row>
    <row r="948" spans="1:24" ht="42" customHeight="1">
      <c r="A948" s="80">
        <f t="shared" si="0"/>
        <v>946</v>
      </c>
      <c r="B948" s="51" t="str">
        <f t="shared" si="1"/>
        <v>MA</v>
      </c>
      <c r="C948" s="87" t="s">
        <v>4455</v>
      </c>
      <c r="D948" s="51" t="s">
        <v>119</v>
      </c>
      <c r="E948" s="51" t="s">
        <v>2533</v>
      </c>
      <c r="F948" s="80"/>
      <c r="G948" s="75" t="s">
        <v>4456</v>
      </c>
      <c r="H948" s="80"/>
      <c r="I948" s="76"/>
      <c r="J948" s="80"/>
      <c r="K948" s="80"/>
      <c r="L948" s="51" t="s">
        <v>78</v>
      </c>
      <c r="M948" s="79">
        <v>44893</v>
      </c>
      <c r="N948" s="51" t="s">
        <v>2538</v>
      </c>
      <c r="O948" s="80"/>
      <c r="P948" s="82"/>
      <c r="Q948" s="80"/>
      <c r="R948" s="80"/>
      <c r="S948" s="82"/>
      <c r="T948" s="80"/>
      <c r="U948" s="80"/>
      <c r="V948" s="79"/>
      <c r="W948" s="80"/>
      <c r="X948" s="80"/>
    </row>
    <row r="949" spans="1:24" ht="42" customHeight="1">
      <c r="A949" s="80">
        <f t="shared" si="0"/>
        <v>947</v>
      </c>
      <c r="B949" s="51" t="str">
        <f t="shared" si="1"/>
        <v>MA</v>
      </c>
      <c r="C949" s="51" t="s">
        <v>4457</v>
      </c>
      <c r="D949" s="51" t="s">
        <v>119</v>
      </c>
      <c r="E949" s="51" t="s">
        <v>2533</v>
      </c>
      <c r="F949" s="80"/>
      <c r="G949" s="75" t="s">
        <v>159</v>
      </c>
      <c r="H949" s="80"/>
      <c r="I949" s="76"/>
      <c r="J949" s="80"/>
      <c r="K949" s="80"/>
      <c r="L949" s="51" t="s">
        <v>78</v>
      </c>
      <c r="M949" s="79">
        <v>44893</v>
      </c>
      <c r="N949" s="51" t="s">
        <v>2538</v>
      </c>
      <c r="O949" s="51" t="s">
        <v>78</v>
      </c>
      <c r="P949" s="79">
        <v>44900</v>
      </c>
      <c r="Q949" s="51" t="s">
        <v>2635</v>
      </c>
      <c r="R949" s="80"/>
      <c r="S949" s="82"/>
      <c r="T949" s="80"/>
      <c r="U949" s="80"/>
      <c r="V949" s="79"/>
      <c r="W949" s="80"/>
      <c r="X949" s="80"/>
    </row>
    <row r="950" spans="1:24" ht="42" customHeight="1">
      <c r="A950" s="80">
        <f t="shared" si="0"/>
        <v>948</v>
      </c>
      <c r="B950" s="51" t="str">
        <f t="shared" si="1"/>
        <v>MA</v>
      </c>
      <c r="C950" s="101" t="s">
        <v>4458</v>
      </c>
      <c r="D950" s="51" t="s">
        <v>119</v>
      </c>
      <c r="E950" s="51" t="s">
        <v>2533</v>
      </c>
      <c r="F950" s="80"/>
      <c r="G950" s="75" t="s">
        <v>157</v>
      </c>
      <c r="H950" s="80"/>
      <c r="I950" s="76"/>
      <c r="J950" s="80"/>
      <c r="K950" s="80"/>
      <c r="L950" s="51" t="s">
        <v>78</v>
      </c>
      <c r="M950" s="79">
        <v>44893</v>
      </c>
      <c r="N950" s="51" t="s">
        <v>2538</v>
      </c>
      <c r="O950" s="51" t="s">
        <v>78</v>
      </c>
      <c r="P950" s="79">
        <v>44900</v>
      </c>
      <c r="Q950" s="51" t="s">
        <v>2635</v>
      </c>
      <c r="R950" s="80"/>
      <c r="S950" s="82"/>
      <c r="T950" s="80"/>
      <c r="U950" s="80"/>
      <c r="V950" s="79"/>
      <c r="W950" s="80"/>
      <c r="X950" s="80"/>
    </row>
    <row r="951" spans="1:24" ht="42" customHeight="1">
      <c r="A951" s="80">
        <f t="shared" si="0"/>
        <v>949</v>
      </c>
      <c r="B951" s="51" t="str">
        <f t="shared" si="1"/>
        <v>MA</v>
      </c>
      <c r="C951" s="81" t="s">
        <v>4459</v>
      </c>
      <c r="D951" s="51" t="s">
        <v>119</v>
      </c>
      <c r="E951" s="51" t="s">
        <v>2533</v>
      </c>
      <c r="F951" s="80"/>
      <c r="G951" s="75" t="s">
        <v>4460</v>
      </c>
      <c r="H951" s="80"/>
      <c r="I951" s="76"/>
      <c r="J951" s="80"/>
      <c r="K951" s="80"/>
      <c r="L951" s="51" t="s">
        <v>78</v>
      </c>
      <c r="M951" s="79">
        <v>44893</v>
      </c>
      <c r="N951" s="51" t="s">
        <v>2558</v>
      </c>
      <c r="O951" s="80"/>
      <c r="P951" s="82"/>
      <c r="Q951" s="80"/>
      <c r="R951" s="80"/>
      <c r="S951" s="82"/>
      <c r="T951" s="80"/>
      <c r="U951" s="80"/>
      <c r="V951" s="79"/>
      <c r="W951" s="80"/>
      <c r="X951" s="80"/>
    </row>
    <row r="952" spans="1:24" ht="42" customHeight="1">
      <c r="A952" s="80">
        <f t="shared" si="0"/>
        <v>950</v>
      </c>
      <c r="B952" s="51" t="str">
        <f t="shared" si="1"/>
        <v>MA</v>
      </c>
      <c r="C952" s="51" t="s">
        <v>4461</v>
      </c>
      <c r="D952" s="51" t="s">
        <v>119</v>
      </c>
      <c r="E952" s="51" t="s">
        <v>2533</v>
      </c>
      <c r="F952" s="80"/>
      <c r="G952" s="75" t="s">
        <v>4462</v>
      </c>
      <c r="H952" s="80"/>
      <c r="I952" s="76"/>
      <c r="J952" s="80"/>
      <c r="K952" s="80"/>
      <c r="L952" s="51" t="s">
        <v>78</v>
      </c>
      <c r="M952" s="79">
        <v>44893</v>
      </c>
      <c r="N952" s="51" t="s">
        <v>2538</v>
      </c>
      <c r="O952" s="51" t="s">
        <v>78</v>
      </c>
      <c r="P952" s="79">
        <v>44900</v>
      </c>
      <c r="Q952" s="51" t="s">
        <v>2538</v>
      </c>
      <c r="R952" s="80"/>
      <c r="S952" s="82"/>
      <c r="T952" s="80"/>
      <c r="U952" s="80"/>
      <c r="V952" s="79"/>
      <c r="W952" s="80"/>
      <c r="X952" s="80"/>
    </row>
    <row r="953" spans="1:24" ht="42" customHeight="1">
      <c r="A953" s="80">
        <f t="shared" si="0"/>
        <v>951</v>
      </c>
      <c r="B953" s="51" t="str">
        <f t="shared" si="1"/>
        <v>MA</v>
      </c>
      <c r="C953" s="51" t="s">
        <v>148</v>
      </c>
      <c r="D953" s="51" t="s">
        <v>119</v>
      </c>
      <c r="E953" s="51" t="s">
        <v>2533</v>
      </c>
      <c r="F953" s="80"/>
      <c r="G953" s="75" t="s">
        <v>149</v>
      </c>
      <c r="H953" s="80"/>
      <c r="I953" s="76"/>
      <c r="J953" s="80"/>
      <c r="K953" s="80"/>
      <c r="L953" s="51" t="s">
        <v>78</v>
      </c>
      <c r="M953" s="79">
        <v>44893</v>
      </c>
      <c r="N953" s="51" t="s">
        <v>2538</v>
      </c>
      <c r="O953" s="51" t="s">
        <v>78</v>
      </c>
      <c r="P953" s="79">
        <v>44900</v>
      </c>
      <c r="Q953" s="51" t="s">
        <v>2538</v>
      </c>
      <c r="R953" s="80"/>
      <c r="S953" s="82"/>
      <c r="T953" s="80"/>
      <c r="U953" s="80"/>
      <c r="V953" s="79"/>
      <c r="W953" s="80"/>
      <c r="X953" s="80"/>
    </row>
    <row r="954" spans="1:24" ht="42" customHeight="1">
      <c r="A954" s="80">
        <f t="shared" si="0"/>
        <v>952</v>
      </c>
      <c r="B954" s="51" t="str">
        <f t="shared" si="1"/>
        <v>MA</v>
      </c>
      <c r="C954" s="51" t="s">
        <v>146</v>
      </c>
      <c r="D954" s="51" t="s">
        <v>119</v>
      </c>
      <c r="E954" s="51" t="s">
        <v>2533</v>
      </c>
      <c r="F954" s="80"/>
      <c r="G954" s="75" t="s">
        <v>147</v>
      </c>
      <c r="H954" s="80"/>
      <c r="I954" s="76"/>
      <c r="J954" s="80"/>
      <c r="K954" s="80"/>
      <c r="L954" s="51" t="s">
        <v>78</v>
      </c>
      <c r="M954" s="79">
        <v>44893</v>
      </c>
      <c r="N954" s="51" t="s">
        <v>2538</v>
      </c>
      <c r="O954" s="51" t="s">
        <v>78</v>
      </c>
      <c r="P954" s="79">
        <v>44900</v>
      </c>
      <c r="Q954" s="51" t="s">
        <v>2635</v>
      </c>
      <c r="R954" s="80"/>
      <c r="S954" s="82"/>
      <c r="T954" s="80"/>
      <c r="U954" s="80"/>
      <c r="V954" s="79"/>
      <c r="W954" s="80"/>
      <c r="X954" s="80"/>
    </row>
    <row r="955" spans="1:24" ht="42" customHeight="1">
      <c r="A955" s="80">
        <f t="shared" si="0"/>
        <v>953</v>
      </c>
      <c r="B955" s="51" t="str">
        <f t="shared" si="1"/>
        <v>MA</v>
      </c>
      <c r="C955" s="51" t="s">
        <v>141</v>
      </c>
      <c r="D955" s="51" t="s">
        <v>119</v>
      </c>
      <c r="E955" s="51" t="s">
        <v>2533</v>
      </c>
      <c r="F955" s="80"/>
      <c r="G955" s="75" t="s">
        <v>142</v>
      </c>
      <c r="H955" s="80"/>
      <c r="I955" s="76"/>
      <c r="J955" s="77" t="s">
        <v>143</v>
      </c>
      <c r="K955" s="80"/>
      <c r="L955" s="51" t="s">
        <v>78</v>
      </c>
      <c r="M955" s="79">
        <v>44893</v>
      </c>
      <c r="N955" s="51" t="s">
        <v>2538</v>
      </c>
      <c r="O955" s="51" t="s">
        <v>78</v>
      </c>
      <c r="P955" s="79">
        <v>44900</v>
      </c>
      <c r="Q955" s="51" t="s">
        <v>2538</v>
      </c>
      <c r="R955" s="80"/>
      <c r="S955" s="82"/>
      <c r="T955" s="80"/>
      <c r="U955" s="80"/>
      <c r="V955" s="79"/>
      <c r="W955" s="80"/>
      <c r="X955" s="80"/>
    </row>
    <row r="956" spans="1:24" ht="42" customHeight="1">
      <c r="A956" s="80">
        <f t="shared" si="0"/>
        <v>954</v>
      </c>
      <c r="B956" s="51" t="str">
        <f t="shared" si="1"/>
        <v>MA</v>
      </c>
      <c r="C956" s="81" t="s">
        <v>4123</v>
      </c>
      <c r="D956" s="51" t="s">
        <v>119</v>
      </c>
      <c r="E956" s="51" t="s">
        <v>2533</v>
      </c>
      <c r="F956" s="80"/>
      <c r="G956" s="75" t="s">
        <v>4124</v>
      </c>
      <c r="H956" s="80"/>
      <c r="I956" s="76"/>
      <c r="J956" s="80"/>
      <c r="K956" s="80"/>
      <c r="L956" s="80"/>
      <c r="M956" s="79">
        <v>44824</v>
      </c>
      <c r="N956" s="80"/>
      <c r="O956" s="80"/>
      <c r="P956" s="82"/>
      <c r="Q956" s="80"/>
      <c r="R956" s="80"/>
      <c r="S956" s="82"/>
      <c r="T956" s="80"/>
      <c r="U956" s="80"/>
      <c r="V956" s="79"/>
      <c r="W956" s="80"/>
      <c r="X956" s="80"/>
    </row>
    <row r="957" spans="1:24" ht="42" customHeight="1">
      <c r="A957" s="80">
        <f t="shared" si="0"/>
        <v>955</v>
      </c>
      <c r="B957" s="51" t="str">
        <f t="shared" si="1"/>
        <v>MA</v>
      </c>
      <c r="C957" s="81" t="s">
        <v>4463</v>
      </c>
      <c r="D957" s="51" t="s">
        <v>119</v>
      </c>
      <c r="E957" s="51" t="s">
        <v>2533</v>
      </c>
      <c r="F957" s="80"/>
      <c r="G957" s="147" t="s">
        <v>4464</v>
      </c>
      <c r="H957" s="80"/>
      <c r="I957" s="76"/>
      <c r="J957" s="77" t="s">
        <v>4465</v>
      </c>
      <c r="K957" s="80"/>
      <c r="L957" s="51" t="s">
        <v>78</v>
      </c>
      <c r="M957" s="79">
        <v>44893</v>
      </c>
      <c r="N957" s="51" t="s">
        <v>2701</v>
      </c>
      <c r="O957" s="80"/>
      <c r="P957" s="82"/>
      <c r="Q957" s="80"/>
      <c r="R957" s="80"/>
      <c r="S957" s="82"/>
      <c r="T957" s="80"/>
      <c r="U957" s="80"/>
      <c r="V957" s="79"/>
      <c r="W957" s="80"/>
      <c r="X957" s="80"/>
    </row>
    <row r="958" spans="1:24" ht="42" customHeight="1">
      <c r="A958" s="80">
        <f t="shared" si="0"/>
        <v>956</v>
      </c>
      <c r="B958" s="51" t="str">
        <f t="shared" si="1"/>
        <v>MA</v>
      </c>
      <c r="C958" s="51" t="s">
        <v>4466</v>
      </c>
      <c r="D958" s="51" t="s">
        <v>119</v>
      </c>
      <c r="E958" s="51" t="s">
        <v>2533</v>
      </c>
      <c r="F958" s="80"/>
      <c r="G958" s="75" t="s">
        <v>4467</v>
      </c>
      <c r="H958" s="80"/>
      <c r="I958" s="76"/>
      <c r="J958" s="96" t="s">
        <v>4468</v>
      </c>
      <c r="K958" s="80"/>
      <c r="L958" s="51" t="s">
        <v>78</v>
      </c>
      <c r="M958" s="79">
        <v>44893</v>
      </c>
      <c r="N958" s="51" t="s">
        <v>2538</v>
      </c>
      <c r="O958" s="51" t="s">
        <v>78</v>
      </c>
      <c r="P958" s="79">
        <v>44900</v>
      </c>
      <c r="Q958" s="51" t="s">
        <v>2635</v>
      </c>
      <c r="R958" s="80"/>
      <c r="S958" s="82"/>
      <c r="T958" s="80"/>
      <c r="U958" s="80"/>
      <c r="V958" s="79"/>
      <c r="W958" s="80"/>
      <c r="X958" s="80"/>
    </row>
    <row r="959" spans="1:24" ht="42" customHeight="1">
      <c r="A959" s="80">
        <f t="shared" si="0"/>
        <v>957</v>
      </c>
      <c r="B959" s="51" t="str">
        <f t="shared" si="1"/>
        <v>MA</v>
      </c>
      <c r="C959" s="81" t="s">
        <v>4469</v>
      </c>
      <c r="D959" s="51" t="s">
        <v>119</v>
      </c>
      <c r="E959" s="51" t="s">
        <v>2533</v>
      </c>
      <c r="F959" s="80"/>
      <c r="G959" s="75" t="s">
        <v>4470</v>
      </c>
      <c r="H959" s="80"/>
      <c r="I959" s="76"/>
      <c r="J959" s="80"/>
      <c r="K959" s="80"/>
      <c r="L959" s="51" t="s">
        <v>78</v>
      </c>
      <c r="M959" s="79">
        <v>44893</v>
      </c>
      <c r="N959" s="51" t="s">
        <v>2558</v>
      </c>
      <c r="O959" s="80"/>
      <c r="P959" s="82"/>
      <c r="Q959" s="80"/>
      <c r="R959" s="80"/>
      <c r="S959" s="82"/>
      <c r="T959" s="80"/>
      <c r="U959" s="80"/>
      <c r="V959" s="79"/>
      <c r="W959" s="80"/>
      <c r="X959" s="80"/>
    </row>
    <row r="960" spans="1:24" ht="42" customHeight="1">
      <c r="A960" s="80">
        <f t="shared" si="0"/>
        <v>958</v>
      </c>
      <c r="B960" s="51" t="str">
        <f t="shared" si="1"/>
        <v>MA</v>
      </c>
      <c r="C960" s="51" t="s">
        <v>4471</v>
      </c>
      <c r="D960" s="51" t="s">
        <v>119</v>
      </c>
      <c r="E960" s="51" t="s">
        <v>2533</v>
      </c>
      <c r="F960" s="80"/>
      <c r="G960" s="75" t="s">
        <v>128</v>
      </c>
      <c r="H960" s="80"/>
      <c r="I960" s="76"/>
      <c r="J960" s="77" t="s">
        <v>130</v>
      </c>
      <c r="K960" s="80"/>
      <c r="L960" s="51" t="s">
        <v>78</v>
      </c>
      <c r="M960" s="79">
        <v>44893</v>
      </c>
      <c r="N960" s="51" t="s">
        <v>2538</v>
      </c>
      <c r="O960" s="51" t="s">
        <v>78</v>
      </c>
      <c r="P960" s="79">
        <v>44900</v>
      </c>
      <c r="Q960" s="51" t="s">
        <v>2623</v>
      </c>
      <c r="R960" s="80"/>
      <c r="S960" s="82"/>
      <c r="T960" s="80"/>
      <c r="U960" s="80"/>
      <c r="V960" s="79"/>
      <c r="W960" s="80"/>
      <c r="X960" s="80"/>
    </row>
    <row r="961" spans="1:24" ht="42" customHeight="1">
      <c r="A961" s="80">
        <f t="shared" si="0"/>
        <v>959</v>
      </c>
      <c r="B961" s="51" t="str">
        <f t="shared" si="1"/>
        <v>MA</v>
      </c>
      <c r="C961" s="81" t="s">
        <v>4472</v>
      </c>
      <c r="D961" s="51" t="s">
        <v>119</v>
      </c>
      <c r="E961" s="51" t="s">
        <v>2533</v>
      </c>
      <c r="F961" s="80"/>
      <c r="G961" s="75" t="s">
        <v>4473</v>
      </c>
      <c r="H961" s="80"/>
      <c r="I961" s="76"/>
      <c r="J961" s="80"/>
      <c r="K961" s="80"/>
      <c r="L961" s="51" t="s">
        <v>78</v>
      </c>
      <c r="M961" s="79">
        <v>44893</v>
      </c>
      <c r="N961" s="51" t="s">
        <v>2538</v>
      </c>
      <c r="O961" s="80"/>
      <c r="P961" s="82"/>
      <c r="Q961" s="80"/>
      <c r="R961" s="80"/>
      <c r="S961" s="82"/>
      <c r="T961" s="80"/>
      <c r="U961" s="80"/>
      <c r="V961" s="79"/>
      <c r="W961" s="80"/>
      <c r="X961" s="80"/>
    </row>
    <row r="962" spans="1:24" ht="42" customHeight="1">
      <c r="A962" s="80">
        <f t="shared" si="0"/>
        <v>960</v>
      </c>
      <c r="B962" s="51" t="str">
        <f t="shared" si="1"/>
        <v>MA</v>
      </c>
      <c r="C962" s="81" t="s">
        <v>4474</v>
      </c>
      <c r="D962" s="51" t="s">
        <v>119</v>
      </c>
      <c r="E962" s="51" t="s">
        <v>2533</v>
      </c>
      <c r="F962" s="80"/>
      <c r="G962" s="75" t="s">
        <v>4475</v>
      </c>
      <c r="H962" s="80"/>
      <c r="I962" s="76"/>
      <c r="J962" s="77" t="s">
        <v>4476</v>
      </c>
      <c r="K962" s="80"/>
      <c r="L962" s="51" t="s">
        <v>78</v>
      </c>
      <c r="M962" s="79">
        <v>44893</v>
      </c>
      <c r="N962" s="51" t="s">
        <v>2538</v>
      </c>
      <c r="O962" s="51"/>
      <c r="P962" s="79"/>
      <c r="Q962" s="51"/>
      <c r="R962" s="80"/>
      <c r="S962" s="82"/>
      <c r="T962" s="80"/>
      <c r="U962" s="80"/>
      <c r="V962" s="79"/>
      <c r="W962" s="80"/>
      <c r="X962" s="80"/>
    </row>
    <row r="963" spans="1:24" ht="42" customHeight="1">
      <c r="A963" s="80">
        <f t="shared" si="0"/>
        <v>961</v>
      </c>
      <c r="B963" s="51" t="str">
        <f t="shared" si="1"/>
        <v>MA</v>
      </c>
      <c r="C963" s="51" t="s">
        <v>4477</v>
      </c>
      <c r="D963" s="51" t="s">
        <v>119</v>
      </c>
      <c r="E963" s="51" t="s">
        <v>2533</v>
      </c>
      <c r="F963" s="80"/>
      <c r="G963" s="75" t="s">
        <v>4478</v>
      </c>
      <c r="H963" s="80"/>
      <c r="I963" s="76"/>
      <c r="J963" s="96" t="s">
        <v>125</v>
      </c>
      <c r="K963" s="80"/>
      <c r="L963" s="51" t="s">
        <v>78</v>
      </c>
      <c r="M963" s="79">
        <v>44893</v>
      </c>
      <c r="N963" s="51" t="s">
        <v>2538</v>
      </c>
      <c r="O963" s="51" t="s">
        <v>78</v>
      </c>
      <c r="P963" s="79">
        <v>44900</v>
      </c>
      <c r="Q963" s="51" t="s">
        <v>2538</v>
      </c>
      <c r="R963" s="80"/>
      <c r="S963" s="82"/>
      <c r="T963" s="80"/>
      <c r="U963" s="80"/>
      <c r="V963" s="79"/>
      <c r="W963" s="80"/>
      <c r="X963" s="80"/>
    </row>
    <row r="964" spans="1:24" ht="42" customHeight="1">
      <c r="A964" s="80">
        <f t="shared" si="0"/>
        <v>962</v>
      </c>
      <c r="B964" s="51" t="str">
        <f t="shared" si="1"/>
        <v>MA</v>
      </c>
      <c r="C964" s="81" t="s">
        <v>4479</v>
      </c>
      <c r="D964" s="51" t="s">
        <v>627</v>
      </c>
      <c r="E964" s="51" t="s">
        <v>2533</v>
      </c>
      <c r="F964" s="80"/>
      <c r="G964" s="75" t="s">
        <v>4480</v>
      </c>
      <c r="H964" s="80"/>
      <c r="I964" s="76"/>
      <c r="J964" s="96" t="s">
        <v>3998</v>
      </c>
      <c r="K964" s="80"/>
      <c r="L964" s="80"/>
      <c r="M964" s="79">
        <v>44811</v>
      </c>
      <c r="N964" s="80"/>
      <c r="O964" s="80"/>
      <c r="P964" s="82"/>
      <c r="Q964" s="80"/>
      <c r="R964" s="80"/>
      <c r="S964" s="82"/>
      <c r="T964" s="80"/>
      <c r="U964" s="80"/>
      <c r="V964" s="79"/>
      <c r="W964" s="80"/>
      <c r="X964" s="80"/>
    </row>
    <row r="965" spans="1:24" ht="42" customHeight="1">
      <c r="A965" s="80">
        <f t="shared" si="0"/>
        <v>963</v>
      </c>
      <c r="B965" s="51" t="str">
        <f t="shared" si="1"/>
        <v>MA</v>
      </c>
      <c r="C965" s="51" t="s">
        <v>4481</v>
      </c>
      <c r="D965" s="51" t="s">
        <v>627</v>
      </c>
      <c r="E965" s="51" t="s">
        <v>2533</v>
      </c>
      <c r="F965" s="80"/>
      <c r="G965" s="75" t="s">
        <v>632</v>
      </c>
      <c r="H965" s="80"/>
      <c r="I965" s="76"/>
      <c r="J965" s="96" t="s">
        <v>633</v>
      </c>
      <c r="K965" s="80"/>
      <c r="L965" s="51" t="s">
        <v>78</v>
      </c>
      <c r="M965" s="79">
        <v>44893</v>
      </c>
      <c r="N965" s="51" t="s">
        <v>2538</v>
      </c>
      <c r="O965" s="80"/>
      <c r="P965" s="82"/>
      <c r="Q965" s="80"/>
      <c r="R965" s="80"/>
      <c r="S965" s="82"/>
      <c r="T965" s="80"/>
      <c r="U965" s="80"/>
      <c r="V965" s="79"/>
      <c r="W965" s="80"/>
      <c r="X965" s="80"/>
    </row>
    <row r="966" spans="1:24" ht="42" customHeight="1">
      <c r="A966" s="80">
        <f t="shared" si="0"/>
        <v>964</v>
      </c>
      <c r="B966" s="51" t="str">
        <f t="shared" si="1"/>
        <v>MA</v>
      </c>
      <c r="C966" s="51" t="s">
        <v>118</v>
      </c>
      <c r="D966" s="51" t="s">
        <v>119</v>
      </c>
      <c r="E966" s="51" t="s">
        <v>2533</v>
      </c>
      <c r="F966" s="80"/>
      <c r="G966" s="75" t="s">
        <v>120</v>
      </c>
      <c r="H966" s="80"/>
      <c r="I966" s="76"/>
      <c r="J966" s="80"/>
      <c r="K966" s="80"/>
      <c r="L966" s="51" t="s">
        <v>78</v>
      </c>
      <c r="M966" s="79">
        <v>44893</v>
      </c>
      <c r="N966" s="51" t="s">
        <v>4330</v>
      </c>
      <c r="O966" s="51" t="s">
        <v>78</v>
      </c>
      <c r="P966" s="79">
        <v>44894</v>
      </c>
      <c r="Q966" s="51" t="s">
        <v>2623</v>
      </c>
      <c r="R966" s="51" t="s">
        <v>98</v>
      </c>
      <c r="S966" s="79">
        <v>44900</v>
      </c>
      <c r="T966" s="51" t="s">
        <v>2561</v>
      </c>
      <c r="U966" s="80"/>
      <c r="V966" s="79"/>
      <c r="W966" s="80"/>
      <c r="X966" s="80"/>
    </row>
    <row r="967" spans="1:24" ht="42" customHeight="1">
      <c r="A967" s="80">
        <f t="shared" si="0"/>
        <v>965</v>
      </c>
      <c r="B967" s="51" t="str">
        <f t="shared" si="1"/>
        <v>MA</v>
      </c>
      <c r="C967" s="83" t="s">
        <v>847</v>
      </c>
      <c r="D967" s="51" t="s">
        <v>725</v>
      </c>
      <c r="E967" s="51" t="s">
        <v>2533</v>
      </c>
      <c r="F967" s="80"/>
      <c r="G967" s="75" t="s">
        <v>849</v>
      </c>
      <c r="H967" s="80"/>
      <c r="I967" s="54" t="s">
        <v>848</v>
      </c>
      <c r="J967" s="80"/>
      <c r="K967" s="80"/>
      <c r="L967" s="51" t="s">
        <v>78</v>
      </c>
      <c r="M967" s="79">
        <v>44887</v>
      </c>
      <c r="N967" s="51" t="s">
        <v>2551</v>
      </c>
      <c r="O967" s="51" t="s">
        <v>98</v>
      </c>
      <c r="P967" s="79">
        <v>44894</v>
      </c>
      <c r="Q967" s="51" t="s">
        <v>2623</v>
      </c>
      <c r="R967" s="80"/>
      <c r="S967" s="82"/>
      <c r="T967" s="80"/>
      <c r="U967" s="80"/>
      <c r="V967" s="79"/>
      <c r="W967" s="80"/>
      <c r="X967" s="80"/>
    </row>
    <row r="968" spans="1:24" ht="42" customHeight="1">
      <c r="A968" s="80">
        <f t="shared" si="0"/>
        <v>966</v>
      </c>
      <c r="B968" s="51" t="str">
        <f t="shared" si="1"/>
        <v>MA</v>
      </c>
      <c r="C968" s="51" t="s">
        <v>4482</v>
      </c>
      <c r="D968" s="51" t="s">
        <v>104</v>
      </c>
      <c r="E968" s="51" t="s">
        <v>2533</v>
      </c>
      <c r="F968" s="80"/>
      <c r="G968" s="75" t="s">
        <v>4483</v>
      </c>
      <c r="H968" s="80"/>
      <c r="I968" s="76"/>
      <c r="J968" s="80"/>
      <c r="K968" s="80"/>
      <c r="L968" s="80"/>
      <c r="M968" s="82"/>
      <c r="N968" s="80"/>
      <c r="O968" s="80"/>
      <c r="P968" s="82"/>
      <c r="Q968" s="80"/>
      <c r="R968" s="80"/>
      <c r="S968" s="82"/>
      <c r="T968" s="80"/>
      <c r="U968" s="80"/>
      <c r="V968" s="79"/>
      <c r="W968" s="80"/>
      <c r="X968" s="80"/>
    </row>
    <row r="969" spans="1:24" ht="42" customHeight="1">
      <c r="A969" s="80">
        <f t="shared" si="0"/>
        <v>967</v>
      </c>
      <c r="B969" s="51" t="str">
        <f t="shared" si="1"/>
        <v>MA</v>
      </c>
      <c r="C969" s="51" t="s">
        <v>4484</v>
      </c>
      <c r="D969" s="51" t="s">
        <v>104</v>
      </c>
      <c r="E969" s="51" t="s">
        <v>2533</v>
      </c>
      <c r="F969" s="80"/>
      <c r="G969" s="75" t="s">
        <v>4485</v>
      </c>
      <c r="H969" s="80"/>
      <c r="I969" s="76"/>
      <c r="J969" s="80"/>
      <c r="K969" s="80"/>
      <c r="L969" s="80"/>
      <c r="M969" s="82"/>
      <c r="N969" s="80"/>
      <c r="O969" s="80"/>
      <c r="P969" s="82"/>
      <c r="Q969" s="80"/>
      <c r="R969" s="80"/>
      <c r="S969" s="82"/>
      <c r="T969" s="80"/>
      <c r="U969" s="80"/>
      <c r="V969" s="79"/>
      <c r="W969" s="80"/>
      <c r="X969" s="80"/>
    </row>
    <row r="970" spans="1:24" ht="42" customHeight="1">
      <c r="A970" s="80">
        <f t="shared" si="0"/>
        <v>968</v>
      </c>
      <c r="B970" s="51" t="str">
        <f t="shared" si="1"/>
        <v>MA</v>
      </c>
      <c r="C970" s="51" t="s">
        <v>4486</v>
      </c>
      <c r="D970" s="51" t="s">
        <v>104</v>
      </c>
      <c r="E970" s="51" t="s">
        <v>2533</v>
      </c>
      <c r="F970" s="80"/>
      <c r="G970" s="75" t="s">
        <v>4487</v>
      </c>
      <c r="H970" s="80"/>
      <c r="I970" s="76"/>
      <c r="J970" s="80"/>
      <c r="K970" s="80"/>
      <c r="L970" s="80"/>
      <c r="M970" s="82"/>
      <c r="N970" s="80"/>
      <c r="O970" s="80"/>
      <c r="P970" s="82"/>
      <c r="Q970" s="80"/>
      <c r="R970" s="80"/>
      <c r="S970" s="82"/>
      <c r="T970" s="80"/>
      <c r="U970" s="80"/>
      <c r="V970" s="79"/>
      <c r="W970" s="80"/>
      <c r="X970" s="80"/>
    </row>
    <row r="971" spans="1:24" ht="42" customHeight="1">
      <c r="A971" s="80">
        <f t="shared" si="0"/>
        <v>969</v>
      </c>
      <c r="B971" s="51" t="str">
        <f t="shared" si="1"/>
        <v>MA</v>
      </c>
      <c r="C971" s="85" t="s">
        <v>4488</v>
      </c>
      <c r="D971" s="51" t="s">
        <v>104</v>
      </c>
      <c r="E971" s="51" t="s">
        <v>2533</v>
      </c>
      <c r="F971" s="80"/>
      <c r="G971" s="75" t="s">
        <v>4489</v>
      </c>
      <c r="H971" s="80"/>
      <c r="I971" s="76"/>
      <c r="J971" s="80"/>
      <c r="K971" s="80"/>
      <c r="L971" s="80"/>
      <c r="M971" s="82"/>
      <c r="N971" s="80"/>
      <c r="O971" s="80"/>
      <c r="P971" s="82"/>
      <c r="Q971" s="80"/>
      <c r="R971" s="80"/>
      <c r="S971" s="82"/>
      <c r="T971" s="80"/>
      <c r="U971" s="80"/>
      <c r="V971" s="79"/>
      <c r="W971" s="80"/>
      <c r="X971" s="80"/>
    </row>
    <row r="972" spans="1:24" ht="42" customHeight="1">
      <c r="A972" s="80">
        <f t="shared" si="0"/>
        <v>970</v>
      </c>
      <c r="B972" s="51" t="str">
        <f t="shared" si="1"/>
        <v>MA</v>
      </c>
      <c r="C972" s="85" t="s">
        <v>4490</v>
      </c>
      <c r="D972" s="51" t="s">
        <v>104</v>
      </c>
      <c r="E972" s="51" t="s">
        <v>2533</v>
      </c>
      <c r="F972" s="80"/>
      <c r="G972" s="75" t="s">
        <v>4491</v>
      </c>
      <c r="H972" s="80"/>
      <c r="I972" s="76"/>
      <c r="J972" s="80"/>
      <c r="K972" s="80"/>
      <c r="L972" s="80"/>
      <c r="M972" s="82"/>
      <c r="N972" s="80"/>
      <c r="O972" s="80"/>
      <c r="P972" s="82"/>
      <c r="Q972" s="80"/>
      <c r="R972" s="80"/>
      <c r="S972" s="82"/>
      <c r="T972" s="80"/>
      <c r="U972" s="80"/>
      <c r="V972" s="79"/>
      <c r="W972" s="80"/>
      <c r="X972" s="80"/>
    </row>
    <row r="973" spans="1:24" ht="42" customHeight="1">
      <c r="A973" s="80">
        <f t="shared" si="0"/>
        <v>971</v>
      </c>
      <c r="B973" s="51" t="str">
        <f t="shared" si="1"/>
        <v>MA</v>
      </c>
      <c r="C973" s="85" t="s">
        <v>4492</v>
      </c>
      <c r="D973" s="51" t="s">
        <v>104</v>
      </c>
      <c r="E973" s="51" t="s">
        <v>2533</v>
      </c>
      <c r="F973" s="80"/>
      <c r="G973" s="75" t="s">
        <v>4493</v>
      </c>
      <c r="H973" s="80"/>
      <c r="I973" s="76"/>
      <c r="J973" s="80"/>
      <c r="K973" s="80"/>
      <c r="L973" s="80"/>
      <c r="M973" s="82"/>
      <c r="N973" s="80"/>
      <c r="O973" s="80"/>
      <c r="P973" s="82"/>
      <c r="Q973" s="80"/>
      <c r="R973" s="80"/>
      <c r="S973" s="82"/>
      <c r="T973" s="80"/>
      <c r="U973" s="80"/>
      <c r="V973" s="79"/>
      <c r="W973" s="80"/>
      <c r="X973" s="80"/>
    </row>
    <row r="974" spans="1:24" ht="42" customHeight="1">
      <c r="A974" s="80">
        <f t="shared" si="0"/>
        <v>972</v>
      </c>
      <c r="B974" s="51" t="str">
        <f t="shared" si="1"/>
        <v>MA</v>
      </c>
      <c r="C974" s="51" t="s">
        <v>4494</v>
      </c>
      <c r="D974" s="51" t="s">
        <v>104</v>
      </c>
      <c r="E974" s="51" t="s">
        <v>2533</v>
      </c>
      <c r="F974" s="80"/>
      <c r="G974" s="75" t="s">
        <v>4495</v>
      </c>
      <c r="H974" s="80"/>
      <c r="I974" s="76"/>
      <c r="J974" s="80"/>
      <c r="K974" s="80"/>
      <c r="L974" s="80"/>
      <c r="M974" s="82"/>
      <c r="N974" s="80"/>
      <c r="O974" s="80"/>
      <c r="P974" s="82"/>
      <c r="Q974" s="80"/>
      <c r="R974" s="80"/>
      <c r="S974" s="82"/>
      <c r="T974" s="80"/>
      <c r="U974" s="80"/>
      <c r="V974" s="79"/>
      <c r="W974" s="80"/>
      <c r="X974" s="80"/>
    </row>
    <row r="975" spans="1:24" ht="42" customHeight="1">
      <c r="A975" s="80">
        <f t="shared" si="0"/>
        <v>973</v>
      </c>
      <c r="B975" s="51" t="str">
        <f t="shared" si="1"/>
        <v>MA</v>
      </c>
      <c r="C975" s="85" t="s">
        <v>4496</v>
      </c>
      <c r="D975" s="51" t="s">
        <v>104</v>
      </c>
      <c r="E975" s="51" t="s">
        <v>2533</v>
      </c>
      <c r="F975" s="80"/>
      <c r="G975" s="75" t="s">
        <v>4497</v>
      </c>
      <c r="H975" s="80"/>
      <c r="I975" s="76"/>
      <c r="J975" s="80"/>
      <c r="K975" s="80"/>
      <c r="L975" s="80"/>
      <c r="M975" s="82"/>
      <c r="N975" s="80"/>
      <c r="O975" s="80"/>
      <c r="P975" s="82"/>
      <c r="Q975" s="80"/>
      <c r="R975" s="80"/>
      <c r="S975" s="82"/>
      <c r="T975" s="80"/>
      <c r="U975" s="80"/>
      <c r="V975" s="79"/>
      <c r="W975" s="80"/>
      <c r="X975" s="80"/>
    </row>
    <row r="976" spans="1:24" ht="42" customHeight="1">
      <c r="A976" s="80">
        <f t="shared" si="0"/>
        <v>974</v>
      </c>
      <c r="B976" s="51" t="str">
        <f t="shared" si="1"/>
        <v>MA</v>
      </c>
      <c r="C976" s="51" t="s">
        <v>4498</v>
      </c>
      <c r="D976" s="51" t="s">
        <v>104</v>
      </c>
      <c r="E976" s="51" t="s">
        <v>2533</v>
      </c>
      <c r="F976" s="80"/>
      <c r="G976" s="75" t="s">
        <v>4499</v>
      </c>
      <c r="H976" s="80"/>
      <c r="I976" s="76"/>
      <c r="J976" s="80"/>
      <c r="K976" s="80"/>
      <c r="L976" s="80"/>
      <c r="M976" s="82"/>
      <c r="N976" s="80"/>
      <c r="O976" s="80"/>
      <c r="P976" s="82"/>
      <c r="Q976" s="80"/>
      <c r="R976" s="80"/>
      <c r="S976" s="82"/>
      <c r="T976" s="80"/>
      <c r="U976" s="80"/>
      <c r="V976" s="79"/>
      <c r="W976" s="80"/>
      <c r="X976" s="80"/>
    </row>
    <row r="977" spans="1:24" ht="42" customHeight="1">
      <c r="A977" s="80">
        <f t="shared" si="0"/>
        <v>975</v>
      </c>
      <c r="B977" s="51" t="str">
        <f t="shared" si="1"/>
        <v>MA</v>
      </c>
      <c r="C977" s="85" t="s">
        <v>4500</v>
      </c>
      <c r="D977" s="51" t="s">
        <v>104</v>
      </c>
      <c r="E977" s="51" t="s">
        <v>2533</v>
      </c>
      <c r="F977" s="80"/>
      <c r="G977" s="75" t="s">
        <v>4501</v>
      </c>
      <c r="H977" s="80"/>
      <c r="I977" s="76"/>
      <c r="J977" s="80"/>
      <c r="K977" s="80"/>
      <c r="L977" s="80"/>
      <c r="M977" s="82"/>
      <c r="N977" s="80"/>
      <c r="O977" s="80"/>
      <c r="P977" s="82"/>
      <c r="Q977" s="80"/>
      <c r="R977" s="80"/>
      <c r="S977" s="82"/>
      <c r="T977" s="80"/>
      <c r="U977" s="80"/>
      <c r="V977" s="79"/>
      <c r="W977" s="80"/>
      <c r="X977" s="80"/>
    </row>
    <row r="978" spans="1:24" ht="42" customHeight="1">
      <c r="A978" s="80">
        <f t="shared" si="0"/>
        <v>976</v>
      </c>
      <c r="B978" s="51" t="str">
        <f t="shared" si="1"/>
        <v>MA</v>
      </c>
      <c r="C978" s="85" t="s">
        <v>4502</v>
      </c>
      <c r="D978" s="51" t="s">
        <v>104</v>
      </c>
      <c r="E978" s="51" t="s">
        <v>2533</v>
      </c>
      <c r="F978" s="80"/>
      <c r="G978" s="75" t="s">
        <v>4503</v>
      </c>
      <c r="H978" s="80"/>
      <c r="I978" s="76"/>
      <c r="J978" s="80"/>
      <c r="K978" s="80"/>
      <c r="L978" s="80"/>
      <c r="M978" s="82"/>
      <c r="N978" s="80"/>
      <c r="O978" s="80"/>
      <c r="P978" s="82"/>
      <c r="Q978" s="80"/>
      <c r="R978" s="80"/>
      <c r="S978" s="82"/>
      <c r="T978" s="80"/>
      <c r="U978" s="80"/>
      <c r="V978" s="79"/>
      <c r="W978" s="80"/>
      <c r="X978" s="80"/>
    </row>
    <row r="979" spans="1:24" ht="42" customHeight="1">
      <c r="A979" s="80">
        <f t="shared" si="0"/>
        <v>977</v>
      </c>
      <c r="B979" s="51" t="str">
        <f t="shared" si="1"/>
        <v>MA</v>
      </c>
      <c r="C979" s="85" t="s">
        <v>4504</v>
      </c>
      <c r="D979" s="51" t="s">
        <v>104</v>
      </c>
      <c r="E979" s="51" t="s">
        <v>2533</v>
      </c>
      <c r="F979" s="80"/>
      <c r="G979" s="75" t="s">
        <v>4505</v>
      </c>
      <c r="H979" s="80"/>
      <c r="I979" s="76"/>
      <c r="J979" s="80"/>
      <c r="K979" s="80"/>
      <c r="L979" s="80"/>
      <c r="M979" s="82"/>
      <c r="N979" s="80"/>
      <c r="O979" s="80"/>
      <c r="P979" s="82"/>
      <c r="Q979" s="80"/>
      <c r="R979" s="80"/>
      <c r="S979" s="82"/>
      <c r="T979" s="80"/>
      <c r="U979" s="80"/>
      <c r="V979" s="79"/>
      <c r="W979" s="80"/>
      <c r="X979" s="80"/>
    </row>
    <row r="980" spans="1:24" ht="42" customHeight="1">
      <c r="A980" s="80">
        <f t="shared" si="0"/>
        <v>978</v>
      </c>
      <c r="B980" s="51" t="str">
        <f t="shared" si="1"/>
        <v>MA</v>
      </c>
      <c r="C980" s="85" t="s">
        <v>4506</v>
      </c>
      <c r="D980" s="51" t="s">
        <v>104</v>
      </c>
      <c r="E980" s="51" t="s">
        <v>2533</v>
      </c>
      <c r="F980" s="80"/>
      <c r="G980" s="75" t="s">
        <v>4507</v>
      </c>
      <c r="H980" s="80"/>
      <c r="I980" s="76"/>
      <c r="J980" s="80"/>
      <c r="K980" s="80"/>
      <c r="L980" s="80"/>
      <c r="M980" s="82"/>
      <c r="N980" s="80"/>
      <c r="O980" s="80"/>
      <c r="P980" s="82"/>
      <c r="Q980" s="80"/>
      <c r="R980" s="80"/>
      <c r="S980" s="82"/>
      <c r="T980" s="80"/>
      <c r="U980" s="80"/>
      <c r="V980" s="79"/>
      <c r="W980" s="80"/>
      <c r="X980" s="80"/>
    </row>
    <row r="981" spans="1:24" ht="42" customHeight="1">
      <c r="A981" s="80">
        <f t="shared" si="0"/>
        <v>979</v>
      </c>
      <c r="B981" s="51" t="str">
        <f t="shared" si="1"/>
        <v>MA</v>
      </c>
      <c r="C981" s="85" t="s">
        <v>4508</v>
      </c>
      <c r="D981" s="51" t="s">
        <v>104</v>
      </c>
      <c r="E981" s="51" t="s">
        <v>2533</v>
      </c>
      <c r="F981" s="80"/>
      <c r="G981" s="75" t="s">
        <v>4509</v>
      </c>
      <c r="H981" s="80"/>
      <c r="I981" s="76"/>
      <c r="J981" s="80"/>
      <c r="K981" s="80"/>
      <c r="L981" s="80"/>
      <c r="M981" s="82"/>
      <c r="N981" s="80"/>
      <c r="O981" s="80"/>
      <c r="P981" s="82"/>
      <c r="Q981" s="80"/>
      <c r="R981" s="80"/>
      <c r="S981" s="82"/>
      <c r="T981" s="80"/>
      <c r="U981" s="80"/>
      <c r="V981" s="79"/>
      <c r="W981" s="80"/>
      <c r="X981" s="80"/>
    </row>
    <row r="982" spans="1:24" ht="42" customHeight="1">
      <c r="A982" s="80">
        <f t="shared" si="0"/>
        <v>980</v>
      </c>
      <c r="B982" s="51" t="str">
        <f t="shared" si="1"/>
        <v>MA</v>
      </c>
      <c r="C982" s="85" t="s">
        <v>4510</v>
      </c>
      <c r="D982" s="51" t="s">
        <v>104</v>
      </c>
      <c r="E982" s="51" t="s">
        <v>2533</v>
      </c>
      <c r="F982" s="80"/>
      <c r="G982" s="75" t="s">
        <v>4511</v>
      </c>
      <c r="H982" s="80"/>
      <c r="I982" s="76"/>
      <c r="J982" s="80"/>
      <c r="K982" s="80"/>
      <c r="L982" s="80"/>
      <c r="M982" s="82"/>
      <c r="N982" s="80"/>
      <c r="O982" s="80"/>
      <c r="P982" s="82"/>
      <c r="Q982" s="80"/>
      <c r="R982" s="80"/>
      <c r="S982" s="82"/>
      <c r="T982" s="80"/>
      <c r="U982" s="80"/>
      <c r="V982" s="79"/>
      <c r="W982" s="80"/>
      <c r="X982" s="80"/>
    </row>
    <row r="983" spans="1:24" ht="42" customHeight="1">
      <c r="A983" s="80">
        <f t="shared" si="0"/>
        <v>981</v>
      </c>
      <c r="B983" s="51" t="str">
        <f t="shared" si="1"/>
        <v>MA</v>
      </c>
      <c r="C983" s="85" t="s">
        <v>4512</v>
      </c>
      <c r="D983" s="51" t="s">
        <v>104</v>
      </c>
      <c r="E983" s="51" t="s">
        <v>2533</v>
      </c>
      <c r="F983" s="80"/>
      <c r="G983" s="75" t="s">
        <v>4513</v>
      </c>
      <c r="H983" s="80"/>
      <c r="I983" s="76"/>
      <c r="J983" s="80"/>
      <c r="K983" s="80"/>
      <c r="L983" s="80"/>
      <c r="M983" s="82"/>
      <c r="N983" s="80"/>
      <c r="O983" s="80"/>
      <c r="P983" s="82"/>
      <c r="Q983" s="80"/>
      <c r="R983" s="80"/>
      <c r="S983" s="82"/>
      <c r="T983" s="80"/>
      <c r="U983" s="80"/>
      <c r="V983" s="79"/>
      <c r="W983" s="80"/>
      <c r="X983" s="80"/>
    </row>
    <row r="984" spans="1:24" ht="42" customHeight="1">
      <c r="A984" s="80">
        <f t="shared" si="0"/>
        <v>982</v>
      </c>
      <c r="B984" s="51" t="str">
        <f t="shared" si="1"/>
        <v>MA</v>
      </c>
      <c r="C984" s="85" t="s">
        <v>4514</v>
      </c>
      <c r="D984" s="51" t="s">
        <v>104</v>
      </c>
      <c r="E984" s="51" t="s">
        <v>2533</v>
      </c>
      <c r="F984" s="80"/>
      <c r="G984" s="75" t="s">
        <v>4515</v>
      </c>
      <c r="H984" s="80"/>
      <c r="I984" s="76"/>
      <c r="J984" s="80"/>
      <c r="K984" s="80"/>
      <c r="L984" s="80"/>
      <c r="M984" s="82"/>
      <c r="N984" s="80"/>
      <c r="O984" s="80"/>
      <c r="P984" s="82"/>
      <c r="Q984" s="80"/>
      <c r="R984" s="80"/>
      <c r="S984" s="82"/>
      <c r="T984" s="80"/>
      <c r="U984" s="80"/>
      <c r="V984" s="79"/>
      <c r="W984" s="80"/>
      <c r="X984" s="80"/>
    </row>
    <row r="985" spans="1:24" ht="42" customHeight="1">
      <c r="A985" s="80">
        <f t="shared" si="0"/>
        <v>983</v>
      </c>
      <c r="B985" s="51" t="str">
        <f t="shared" si="1"/>
        <v>MA</v>
      </c>
      <c r="C985" s="85" t="s">
        <v>4516</v>
      </c>
      <c r="D985" s="51" t="s">
        <v>104</v>
      </c>
      <c r="E985" s="51" t="s">
        <v>2533</v>
      </c>
      <c r="F985" s="80"/>
      <c r="G985" s="75" t="s">
        <v>765</v>
      </c>
      <c r="H985" s="80"/>
      <c r="I985" s="76"/>
      <c r="J985" s="80"/>
      <c r="K985" s="80"/>
      <c r="L985" s="80"/>
      <c r="M985" s="82"/>
      <c r="N985" s="80"/>
      <c r="O985" s="80"/>
      <c r="P985" s="82"/>
      <c r="Q985" s="80"/>
      <c r="R985" s="80"/>
      <c r="S985" s="82"/>
      <c r="T985" s="80"/>
      <c r="U985" s="80"/>
      <c r="V985" s="79"/>
      <c r="W985" s="80"/>
      <c r="X985" s="80"/>
    </row>
    <row r="986" spans="1:24" ht="42" customHeight="1">
      <c r="A986" s="80">
        <f t="shared" si="0"/>
        <v>984</v>
      </c>
      <c r="B986" s="51" t="str">
        <f t="shared" si="1"/>
        <v>MA</v>
      </c>
      <c r="C986" s="85" t="s">
        <v>4517</v>
      </c>
      <c r="D986" s="51" t="s">
        <v>104</v>
      </c>
      <c r="E986" s="51" t="s">
        <v>2533</v>
      </c>
      <c r="F986" s="80"/>
      <c r="G986" s="75" t="s">
        <v>4518</v>
      </c>
      <c r="H986" s="80"/>
      <c r="I986" s="76"/>
      <c r="J986" s="80"/>
      <c r="K986" s="80"/>
      <c r="L986" s="80"/>
      <c r="M986" s="82"/>
      <c r="N986" s="80"/>
      <c r="O986" s="80"/>
      <c r="P986" s="82"/>
      <c r="Q986" s="80"/>
      <c r="R986" s="80"/>
      <c r="S986" s="82"/>
      <c r="T986" s="80"/>
      <c r="U986" s="80"/>
      <c r="V986" s="79"/>
      <c r="W986" s="80"/>
      <c r="X986" s="80"/>
    </row>
    <row r="987" spans="1:24" ht="42" customHeight="1">
      <c r="A987" s="80">
        <f t="shared" si="0"/>
        <v>985</v>
      </c>
      <c r="B987" s="51" t="str">
        <f t="shared" si="1"/>
        <v>MA</v>
      </c>
      <c r="C987" s="51" t="s">
        <v>4519</v>
      </c>
      <c r="D987" s="51" t="s">
        <v>104</v>
      </c>
      <c r="E987" s="51" t="s">
        <v>2533</v>
      </c>
      <c r="F987" s="80"/>
      <c r="G987" s="75" t="s">
        <v>4520</v>
      </c>
      <c r="H987" s="80"/>
      <c r="I987" s="76"/>
      <c r="J987" s="80"/>
      <c r="K987" s="80"/>
      <c r="L987" s="80"/>
      <c r="M987" s="82"/>
      <c r="N987" s="80"/>
      <c r="O987" s="80"/>
      <c r="P987" s="82"/>
      <c r="Q987" s="80"/>
      <c r="R987" s="80"/>
      <c r="S987" s="82"/>
      <c r="T987" s="80"/>
      <c r="U987" s="80"/>
      <c r="V987" s="79"/>
      <c r="W987" s="80"/>
      <c r="X987" s="80"/>
    </row>
    <row r="988" spans="1:24" ht="42" customHeight="1">
      <c r="A988" s="80">
        <f t="shared" si="0"/>
        <v>986</v>
      </c>
      <c r="B988" s="51" t="str">
        <f t="shared" si="1"/>
        <v>MA</v>
      </c>
      <c r="C988" s="85" t="s">
        <v>778</v>
      </c>
      <c r="D988" s="51" t="s">
        <v>104</v>
      </c>
      <c r="E988" s="51" t="s">
        <v>2533</v>
      </c>
      <c r="F988" s="80"/>
      <c r="G988" s="75" t="s">
        <v>779</v>
      </c>
      <c r="H988" s="80"/>
      <c r="I988" s="76"/>
      <c r="J988" s="80"/>
      <c r="K988" s="80"/>
      <c r="L988" s="80"/>
      <c r="M988" s="82"/>
      <c r="N988" s="80"/>
      <c r="O988" s="80"/>
      <c r="P988" s="82"/>
      <c r="Q988" s="80"/>
      <c r="R988" s="80"/>
      <c r="S988" s="82"/>
      <c r="T988" s="80"/>
      <c r="U988" s="80"/>
      <c r="V988" s="79"/>
      <c r="W988" s="80"/>
      <c r="X988" s="80"/>
    </row>
    <row r="989" spans="1:24" ht="42" customHeight="1">
      <c r="A989" s="80">
        <f t="shared" si="0"/>
        <v>987</v>
      </c>
      <c r="B989" s="51" t="str">
        <f t="shared" si="1"/>
        <v>MA</v>
      </c>
      <c r="C989" s="85" t="s">
        <v>4521</v>
      </c>
      <c r="D989" s="51" t="s">
        <v>104</v>
      </c>
      <c r="E989" s="51" t="s">
        <v>2533</v>
      </c>
      <c r="F989" s="80"/>
      <c r="G989" s="75" t="s">
        <v>777</v>
      </c>
      <c r="H989" s="80"/>
      <c r="I989" s="76"/>
      <c r="J989" s="80"/>
      <c r="K989" s="80"/>
      <c r="L989" s="80"/>
      <c r="M989" s="82"/>
      <c r="N989" s="80"/>
      <c r="O989" s="80"/>
      <c r="P989" s="82"/>
      <c r="Q989" s="80"/>
      <c r="R989" s="80"/>
      <c r="S989" s="82"/>
      <c r="T989" s="80"/>
      <c r="U989" s="80"/>
      <c r="V989" s="79"/>
      <c r="W989" s="80"/>
      <c r="X989" s="80"/>
    </row>
    <row r="990" spans="1:24" ht="42" customHeight="1">
      <c r="A990" s="80">
        <f t="shared" si="0"/>
        <v>988</v>
      </c>
      <c r="B990" s="51" t="str">
        <f t="shared" si="1"/>
        <v>MA</v>
      </c>
      <c r="C990" s="85" t="s">
        <v>4522</v>
      </c>
      <c r="D990" s="51" t="s">
        <v>104</v>
      </c>
      <c r="E990" s="51" t="s">
        <v>2533</v>
      </c>
      <c r="F990" s="80"/>
      <c r="G990" s="75" t="s">
        <v>4523</v>
      </c>
      <c r="H990" s="80"/>
      <c r="I990" s="76"/>
      <c r="J990" s="80"/>
      <c r="K990" s="80"/>
      <c r="L990" s="80"/>
      <c r="M990" s="82"/>
      <c r="N990" s="80"/>
      <c r="O990" s="80"/>
      <c r="P990" s="82"/>
      <c r="Q990" s="80"/>
      <c r="R990" s="80"/>
      <c r="S990" s="82"/>
      <c r="T990" s="80"/>
      <c r="U990" s="80"/>
      <c r="V990" s="79"/>
      <c r="W990" s="80"/>
      <c r="X990" s="80"/>
    </row>
    <row r="991" spans="1:24" ht="42" customHeight="1">
      <c r="A991" s="80">
        <f t="shared" si="0"/>
        <v>989</v>
      </c>
      <c r="B991" s="51" t="str">
        <f t="shared" si="1"/>
        <v>MA</v>
      </c>
      <c r="C991" s="85" t="s">
        <v>4524</v>
      </c>
      <c r="D991" s="51" t="s">
        <v>104</v>
      </c>
      <c r="E991" s="51" t="s">
        <v>2533</v>
      </c>
      <c r="F991" s="80"/>
      <c r="G991" s="75" t="s">
        <v>775</v>
      </c>
      <c r="H991" s="80"/>
      <c r="I991" s="76"/>
      <c r="J991" s="80"/>
      <c r="K991" s="80"/>
      <c r="L991" s="80"/>
      <c r="M991" s="82"/>
      <c r="N991" s="80"/>
      <c r="O991" s="80"/>
      <c r="P991" s="82"/>
      <c r="Q991" s="80"/>
      <c r="R991" s="80"/>
      <c r="S991" s="82"/>
      <c r="T991" s="80"/>
      <c r="U991" s="80"/>
      <c r="V991" s="79"/>
      <c r="W991" s="80"/>
      <c r="X991" s="80"/>
    </row>
    <row r="992" spans="1:24" ht="42" customHeight="1">
      <c r="A992" s="80">
        <f t="shared" si="0"/>
        <v>990</v>
      </c>
      <c r="B992" s="51" t="str">
        <f t="shared" si="1"/>
        <v>MA</v>
      </c>
      <c r="C992" s="85" t="s">
        <v>4525</v>
      </c>
      <c r="D992" s="51" t="s">
        <v>104</v>
      </c>
      <c r="E992" s="51" t="s">
        <v>2533</v>
      </c>
      <c r="F992" s="80"/>
      <c r="G992" s="75" t="s">
        <v>773</v>
      </c>
      <c r="H992" s="80"/>
      <c r="I992" s="76"/>
      <c r="J992" s="80"/>
      <c r="K992" s="80"/>
      <c r="L992" s="80"/>
      <c r="M992" s="82"/>
      <c r="N992" s="80"/>
      <c r="O992" s="80"/>
      <c r="P992" s="82"/>
      <c r="Q992" s="80"/>
      <c r="R992" s="80"/>
      <c r="S992" s="82"/>
      <c r="T992" s="80"/>
      <c r="U992" s="80"/>
      <c r="V992" s="79"/>
      <c r="W992" s="80"/>
      <c r="X992" s="80"/>
    </row>
    <row r="993" spans="1:24" ht="42" customHeight="1">
      <c r="A993" s="80">
        <f t="shared" si="0"/>
        <v>991</v>
      </c>
      <c r="B993" s="51" t="str">
        <f t="shared" si="1"/>
        <v>MA</v>
      </c>
      <c r="C993" s="85" t="s">
        <v>4526</v>
      </c>
      <c r="D993" s="51" t="s">
        <v>104</v>
      </c>
      <c r="E993" s="51" t="s">
        <v>2533</v>
      </c>
      <c r="F993" s="80"/>
      <c r="G993" s="75" t="s">
        <v>771</v>
      </c>
      <c r="H993" s="80"/>
      <c r="I993" s="76"/>
      <c r="J993" s="80"/>
      <c r="K993" s="80"/>
      <c r="L993" s="80"/>
      <c r="M993" s="82"/>
      <c r="N993" s="80"/>
      <c r="O993" s="80"/>
      <c r="P993" s="82"/>
      <c r="Q993" s="80"/>
      <c r="R993" s="80"/>
      <c r="S993" s="82"/>
      <c r="T993" s="80"/>
      <c r="U993" s="80"/>
      <c r="V993" s="79"/>
      <c r="W993" s="80"/>
      <c r="X993" s="80"/>
    </row>
    <row r="994" spans="1:24" ht="42" customHeight="1">
      <c r="A994" s="80">
        <f t="shared" si="0"/>
        <v>992</v>
      </c>
      <c r="B994" s="51" t="str">
        <f t="shared" si="1"/>
        <v>MA</v>
      </c>
      <c r="C994" s="85" t="s">
        <v>4527</v>
      </c>
      <c r="D994" s="51" t="s">
        <v>104</v>
      </c>
      <c r="E994" s="51" t="s">
        <v>2533</v>
      </c>
      <c r="F994" s="80"/>
      <c r="G994" s="75" t="s">
        <v>769</v>
      </c>
      <c r="H994" s="80"/>
      <c r="I994" s="76"/>
      <c r="J994" s="80"/>
      <c r="K994" s="80"/>
      <c r="L994" s="80"/>
      <c r="M994" s="82"/>
      <c r="N994" s="80"/>
      <c r="O994" s="80"/>
      <c r="P994" s="82"/>
      <c r="Q994" s="80"/>
      <c r="R994" s="80"/>
      <c r="S994" s="82"/>
      <c r="T994" s="80"/>
      <c r="U994" s="80"/>
      <c r="V994" s="79"/>
      <c r="W994" s="80"/>
      <c r="X994" s="80"/>
    </row>
    <row r="995" spans="1:24" ht="42" customHeight="1">
      <c r="A995" s="80">
        <f t="shared" si="0"/>
        <v>993</v>
      </c>
      <c r="B995" s="51" t="str">
        <f t="shared" si="1"/>
        <v>MA</v>
      </c>
      <c r="C995" s="85" t="s">
        <v>4528</v>
      </c>
      <c r="D995" s="51" t="s">
        <v>104</v>
      </c>
      <c r="E995" s="51" t="s">
        <v>2533</v>
      </c>
      <c r="F995" s="80"/>
      <c r="G995" s="75" t="s">
        <v>765</v>
      </c>
      <c r="H995" s="80"/>
      <c r="I995" s="76"/>
      <c r="J995" s="80"/>
      <c r="K995" s="80"/>
      <c r="L995" s="80"/>
      <c r="M995" s="82"/>
      <c r="N995" s="80"/>
      <c r="O995" s="80"/>
      <c r="P995" s="82"/>
      <c r="Q995" s="80"/>
      <c r="R995" s="80"/>
      <c r="S995" s="82"/>
      <c r="T995" s="80"/>
      <c r="U995" s="80"/>
      <c r="V995" s="79"/>
      <c r="W995" s="80"/>
      <c r="X995" s="80"/>
    </row>
    <row r="996" spans="1:24" ht="42" customHeight="1">
      <c r="A996" s="80">
        <f t="shared" si="0"/>
        <v>994</v>
      </c>
      <c r="B996" s="51" t="str">
        <f t="shared" si="1"/>
        <v>MA</v>
      </c>
      <c r="C996" s="85" t="s">
        <v>4529</v>
      </c>
      <c r="D996" s="51" t="s">
        <v>104</v>
      </c>
      <c r="E996" s="51" t="s">
        <v>2533</v>
      </c>
      <c r="F996" s="80"/>
      <c r="G996" s="75" t="s">
        <v>4530</v>
      </c>
      <c r="H996" s="80"/>
      <c r="I996" s="76"/>
      <c r="J996" s="80"/>
      <c r="K996" s="80"/>
      <c r="L996" s="80"/>
      <c r="M996" s="82"/>
      <c r="N996" s="80"/>
      <c r="O996" s="80"/>
      <c r="P996" s="82"/>
      <c r="Q996" s="80"/>
      <c r="R996" s="80"/>
      <c r="S996" s="82"/>
      <c r="T996" s="80"/>
      <c r="U996" s="80"/>
      <c r="V996" s="79"/>
      <c r="W996" s="80"/>
      <c r="X996" s="80"/>
    </row>
    <row r="997" spans="1:24" ht="42" customHeight="1">
      <c r="A997" s="80">
        <f t="shared" si="0"/>
        <v>995</v>
      </c>
      <c r="B997" s="51" t="str">
        <f t="shared" si="1"/>
        <v>MA</v>
      </c>
      <c r="C997" s="85" t="s">
        <v>4531</v>
      </c>
      <c r="D997" s="51" t="s">
        <v>104</v>
      </c>
      <c r="E997" s="51" t="s">
        <v>2533</v>
      </c>
      <c r="F997" s="80"/>
      <c r="G997" s="75" t="s">
        <v>763</v>
      </c>
      <c r="H997" s="80"/>
      <c r="I997" s="76"/>
      <c r="J997" s="80"/>
      <c r="K997" s="80"/>
      <c r="L997" s="80"/>
      <c r="M997" s="82"/>
      <c r="N997" s="80"/>
      <c r="O997" s="80"/>
      <c r="P997" s="82"/>
      <c r="Q997" s="80"/>
      <c r="R997" s="80"/>
      <c r="S997" s="82"/>
      <c r="T997" s="80"/>
      <c r="U997" s="80"/>
      <c r="V997" s="79"/>
      <c r="W997" s="80"/>
      <c r="X997" s="80"/>
    </row>
    <row r="998" spans="1:24" ht="42" customHeight="1">
      <c r="A998" s="80">
        <f t="shared" si="0"/>
        <v>996</v>
      </c>
      <c r="B998" s="51" t="str">
        <f t="shared" si="1"/>
        <v>MA</v>
      </c>
      <c r="C998" s="85" t="s">
        <v>4532</v>
      </c>
      <c r="D998" s="51" t="s">
        <v>104</v>
      </c>
      <c r="E998" s="51" t="s">
        <v>2533</v>
      </c>
      <c r="F998" s="80"/>
      <c r="G998" s="75" t="s">
        <v>761</v>
      </c>
      <c r="H998" s="80"/>
      <c r="I998" s="76"/>
      <c r="J998" s="80"/>
      <c r="K998" s="80"/>
      <c r="L998" s="80"/>
      <c r="M998" s="82"/>
      <c r="N998" s="80"/>
      <c r="O998" s="80"/>
      <c r="P998" s="82"/>
      <c r="Q998" s="80"/>
      <c r="R998" s="80"/>
      <c r="S998" s="82"/>
      <c r="T998" s="80"/>
      <c r="U998" s="80"/>
      <c r="V998" s="79"/>
      <c r="W998" s="80"/>
      <c r="X998" s="80"/>
    </row>
    <row r="999" spans="1:24" ht="42" customHeight="1">
      <c r="A999" s="80">
        <f t="shared" si="0"/>
        <v>997</v>
      </c>
      <c r="B999" s="51" t="str">
        <f t="shared" si="1"/>
        <v>MA</v>
      </c>
      <c r="C999" s="85" t="s">
        <v>4533</v>
      </c>
      <c r="D999" s="51" t="s">
        <v>104</v>
      </c>
      <c r="E999" s="51" t="s">
        <v>2533</v>
      </c>
      <c r="F999" s="80"/>
      <c r="G999" s="75" t="s">
        <v>759</v>
      </c>
      <c r="H999" s="80"/>
      <c r="I999" s="76"/>
      <c r="J999" s="80"/>
      <c r="K999" s="80"/>
      <c r="L999" s="80"/>
      <c r="M999" s="82"/>
      <c r="N999" s="80"/>
      <c r="O999" s="80"/>
      <c r="P999" s="82"/>
      <c r="Q999" s="80"/>
      <c r="R999" s="80"/>
      <c r="S999" s="82"/>
      <c r="T999" s="80"/>
      <c r="U999" s="80"/>
      <c r="V999" s="79"/>
      <c r="W999" s="80"/>
      <c r="X999" s="80"/>
    </row>
    <row r="1000" spans="1:24" ht="42" customHeight="1">
      <c r="A1000" s="80">
        <f t="shared" si="0"/>
        <v>998</v>
      </c>
      <c r="B1000" s="51" t="str">
        <f t="shared" si="1"/>
        <v>MA</v>
      </c>
      <c r="C1000" s="85" t="s">
        <v>4534</v>
      </c>
      <c r="D1000" s="51" t="s">
        <v>104</v>
      </c>
      <c r="E1000" s="51" t="s">
        <v>2533</v>
      </c>
      <c r="F1000" s="80"/>
      <c r="G1000" s="75" t="s">
        <v>4535</v>
      </c>
      <c r="H1000" s="80"/>
      <c r="I1000" s="76"/>
      <c r="J1000" s="80"/>
      <c r="K1000" s="80"/>
      <c r="L1000" s="80"/>
      <c r="M1000" s="82"/>
      <c r="N1000" s="80"/>
      <c r="O1000" s="80"/>
      <c r="P1000" s="82"/>
      <c r="Q1000" s="80"/>
      <c r="R1000" s="80"/>
      <c r="S1000" s="82"/>
      <c r="T1000" s="80"/>
      <c r="U1000" s="80"/>
      <c r="V1000" s="79"/>
      <c r="W1000" s="80"/>
      <c r="X1000" s="80"/>
    </row>
    <row r="1001" spans="1:24" ht="42" customHeight="1">
      <c r="A1001" s="80">
        <f t="shared" si="0"/>
        <v>999</v>
      </c>
      <c r="B1001" s="51" t="str">
        <f t="shared" si="1"/>
        <v>MA</v>
      </c>
      <c r="C1001" s="85" t="s">
        <v>4536</v>
      </c>
      <c r="D1001" s="51" t="s">
        <v>104</v>
      </c>
      <c r="E1001" s="51" t="s">
        <v>2533</v>
      </c>
      <c r="F1001" s="80"/>
      <c r="G1001" s="75" t="s">
        <v>1188</v>
      </c>
      <c r="H1001" s="80"/>
      <c r="I1001" s="76"/>
      <c r="J1001" s="80"/>
      <c r="K1001" s="80"/>
      <c r="L1001" s="80"/>
      <c r="M1001" s="82"/>
      <c r="N1001" s="80"/>
      <c r="O1001" s="80"/>
      <c r="P1001" s="82"/>
      <c r="Q1001" s="80"/>
      <c r="R1001" s="80"/>
      <c r="S1001" s="82"/>
      <c r="T1001" s="80"/>
      <c r="U1001" s="80"/>
      <c r="V1001" s="79"/>
      <c r="W1001" s="80"/>
      <c r="X1001" s="80"/>
    </row>
    <row r="1002" spans="1:24" ht="42" customHeight="1">
      <c r="A1002" s="149">
        <v>1000</v>
      </c>
      <c r="B1002" s="149" t="s">
        <v>2531</v>
      </c>
      <c r="C1002" s="149" t="s">
        <v>626</v>
      </c>
      <c r="D1002" s="149" t="s">
        <v>627</v>
      </c>
      <c r="E1002" s="149" t="s">
        <v>2547</v>
      </c>
      <c r="F1002" s="78"/>
      <c r="G1002" s="150" t="s">
        <v>4537</v>
      </c>
      <c r="H1002" s="78"/>
      <c r="I1002" s="151"/>
      <c r="J1002" s="78"/>
      <c r="K1002" s="78"/>
      <c r="L1002" s="149" t="s">
        <v>78</v>
      </c>
      <c r="M1002" s="152">
        <v>44851</v>
      </c>
      <c r="N1002" s="149"/>
      <c r="O1002" s="78"/>
      <c r="P1002" s="153"/>
      <c r="Q1002" s="78"/>
      <c r="R1002" s="78"/>
      <c r="S1002" s="153"/>
      <c r="T1002" s="78"/>
      <c r="U1002" s="78"/>
      <c r="V1002" s="152"/>
      <c r="W1002" s="78"/>
      <c r="X1002" s="78"/>
    </row>
    <row r="1003" spans="1:24" ht="42" customHeight="1">
      <c r="A1003" s="149">
        <v>1001</v>
      </c>
      <c r="B1003" s="149" t="s">
        <v>2531</v>
      </c>
      <c r="C1003" s="154" t="s">
        <v>4538</v>
      </c>
      <c r="D1003" s="149" t="s">
        <v>2917</v>
      </c>
      <c r="E1003" s="149" t="s">
        <v>2547</v>
      </c>
      <c r="F1003" s="78"/>
      <c r="G1003" s="150" t="s">
        <v>4539</v>
      </c>
      <c r="H1003" s="78"/>
      <c r="I1003" s="151"/>
      <c r="J1003" s="78"/>
      <c r="K1003" s="78"/>
      <c r="L1003" s="149" t="s">
        <v>78</v>
      </c>
      <c r="M1003" s="152">
        <v>44851</v>
      </c>
      <c r="N1003" s="149"/>
      <c r="O1003" s="78"/>
      <c r="P1003" s="153"/>
      <c r="Q1003" s="78"/>
      <c r="R1003" s="78"/>
      <c r="S1003" s="153"/>
      <c r="T1003" s="78"/>
      <c r="U1003" s="78"/>
      <c r="V1003" s="152"/>
      <c r="W1003" s="78"/>
      <c r="X1003" s="78"/>
    </row>
    <row r="1004" spans="1:24" ht="42" customHeight="1">
      <c r="A1004" s="149">
        <v>1002</v>
      </c>
      <c r="B1004" s="149" t="s">
        <v>2531</v>
      </c>
      <c r="C1004" s="154" t="s">
        <v>4540</v>
      </c>
      <c r="D1004" s="149" t="s">
        <v>2917</v>
      </c>
      <c r="E1004" s="149" t="s">
        <v>2547</v>
      </c>
      <c r="F1004" s="78"/>
      <c r="G1004" s="150" t="s">
        <v>4541</v>
      </c>
      <c r="H1004" s="78"/>
      <c r="I1004" s="151"/>
      <c r="J1004" s="78"/>
      <c r="K1004" s="78"/>
      <c r="L1004" s="149" t="s">
        <v>78</v>
      </c>
      <c r="M1004" s="152">
        <v>44851</v>
      </c>
      <c r="N1004" s="149"/>
      <c r="O1004" s="78"/>
      <c r="P1004" s="153"/>
      <c r="Q1004" s="78"/>
      <c r="R1004" s="78"/>
      <c r="S1004" s="153"/>
      <c r="T1004" s="78"/>
      <c r="U1004" s="78"/>
      <c r="V1004" s="152"/>
      <c r="W1004" s="78"/>
      <c r="X1004" s="78"/>
    </row>
    <row r="1005" spans="1:24" ht="42" customHeight="1">
      <c r="A1005" s="149">
        <v>1003</v>
      </c>
      <c r="B1005" s="149" t="s">
        <v>2531</v>
      </c>
      <c r="C1005" s="149" t="s">
        <v>4542</v>
      </c>
      <c r="D1005" s="149" t="s">
        <v>2917</v>
      </c>
      <c r="E1005" s="149" t="s">
        <v>2547</v>
      </c>
      <c r="F1005" s="78"/>
      <c r="G1005" s="150" t="s">
        <v>4543</v>
      </c>
      <c r="H1005" s="78"/>
      <c r="I1005" s="151"/>
      <c r="J1005" s="78"/>
      <c r="K1005" s="78"/>
      <c r="L1005" s="149" t="s">
        <v>78</v>
      </c>
      <c r="M1005" s="152">
        <v>44851</v>
      </c>
      <c r="N1005" s="149"/>
      <c r="O1005" s="78"/>
      <c r="P1005" s="153"/>
      <c r="Q1005" s="78"/>
      <c r="R1005" s="78"/>
      <c r="S1005" s="153"/>
      <c r="T1005" s="78"/>
      <c r="U1005" s="78"/>
      <c r="V1005" s="152"/>
      <c r="W1005" s="78"/>
      <c r="X1005" s="78"/>
    </row>
    <row r="1006" spans="1:24" ht="42" customHeight="1">
      <c r="A1006" s="149">
        <v>1004</v>
      </c>
      <c r="B1006" s="149" t="s">
        <v>2531</v>
      </c>
      <c r="C1006" s="149" t="s">
        <v>4544</v>
      </c>
      <c r="D1006" s="149" t="s">
        <v>2917</v>
      </c>
      <c r="E1006" s="149" t="s">
        <v>2547</v>
      </c>
      <c r="F1006" s="78"/>
      <c r="G1006" s="150" t="s">
        <v>4545</v>
      </c>
      <c r="H1006" s="78"/>
      <c r="I1006" s="151"/>
      <c r="J1006" s="78"/>
      <c r="K1006" s="78"/>
      <c r="L1006" s="149" t="s">
        <v>78</v>
      </c>
      <c r="M1006" s="152">
        <v>44851</v>
      </c>
      <c r="N1006" s="149"/>
      <c r="O1006" s="78"/>
      <c r="P1006" s="153"/>
      <c r="Q1006" s="78"/>
      <c r="R1006" s="78"/>
      <c r="S1006" s="153"/>
      <c r="T1006" s="78"/>
      <c r="U1006" s="78"/>
      <c r="V1006" s="152"/>
      <c r="W1006" s="78"/>
      <c r="X1006" s="78"/>
    </row>
    <row r="1007" spans="1:24" ht="42" customHeight="1">
      <c r="A1007" s="149">
        <v>1005</v>
      </c>
      <c r="B1007" s="149" t="s">
        <v>2531</v>
      </c>
      <c r="C1007" s="149" t="s">
        <v>4546</v>
      </c>
      <c r="D1007" s="149" t="s">
        <v>2917</v>
      </c>
      <c r="E1007" s="149" t="s">
        <v>2547</v>
      </c>
      <c r="F1007" s="78"/>
      <c r="G1007" s="150" t="s">
        <v>4547</v>
      </c>
      <c r="H1007" s="78"/>
      <c r="I1007" s="151"/>
      <c r="J1007" s="78"/>
      <c r="K1007" s="78"/>
      <c r="L1007" s="149" t="s">
        <v>78</v>
      </c>
      <c r="M1007" s="152">
        <v>44851</v>
      </c>
      <c r="N1007" s="149" t="s">
        <v>2561</v>
      </c>
      <c r="O1007" s="149" t="s">
        <v>78</v>
      </c>
      <c r="P1007" s="152">
        <v>44858</v>
      </c>
      <c r="Q1007" s="149" t="s">
        <v>2553</v>
      </c>
      <c r="R1007" s="78"/>
      <c r="S1007" s="153"/>
      <c r="T1007" s="78"/>
      <c r="U1007" s="78"/>
      <c r="V1007" s="152"/>
      <c r="W1007" s="78"/>
      <c r="X1007" s="78"/>
    </row>
    <row r="1008" spans="1:24" ht="42" customHeight="1">
      <c r="A1008" s="149">
        <v>1006</v>
      </c>
      <c r="B1008" s="149" t="s">
        <v>2531</v>
      </c>
      <c r="C1008" s="154" t="s">
        <v>4548</v>
      </c>
      <c r="D1008" s="149" t="s">
        <v>104</v>
      </c>
      <c r="E1008" s="149" t="s">
        <v>2533</v>
      </c>
      <c r="F1008" s="78"/>
      <c r="G1008" s="150" t="s">
        <v>4549</v>
      </c>
      <c r="H1008" s="78"/>
      <c r="I1008" s="151"/>
      <c r="J1008" s="78"/>
      <c r="K1008" s="78"/>
      <c r="L1008" s="78"/>
      <c r="M1008" s="153"/>
      <c r="N1008" s="78"/>
      <c r="O1008" s="78"/>
      <c r="P1008" s="153"/>
      <c r="Q1008" s="78"/>
      <c r="R1008" s="78"/>
      <c r="S1008" s="153"/>
      <c r="T1008" s="78"/>
      <c r="U1008" s="78"/>
      <c r="V1008" s="152"/>
      <c r="W1008" s="78"/>
      <c r="X1008" s="78"/>
    </row>
    <row r="1009" spans="1:24" ht="42" customHeight="1">
      <c r="A1009" s="78"/>
      <c r="B1009" s="149"/>
      <c r="C1009" s="154" t="s">
        <v>4550</v>
      </c>
      <c r="D1009" s="149" t="s">
        <v>104</v>
      </c>
      <c r="E1009" s="149" t="s">
        <v>2533</v>
      </c>
      <c r="F1009" s="78"/>
      <c r="G1009" s="150" t="s">
        <v>753</v>
      </c>
      <c r="H1009" s="78"/>
      <c r="I1009" s="151"/>
      <c r="J1009" s="78"/>
      <c r="K1009" s="78"/>
      <c r="L1009" s="78"/>
      <c r="M1009" s="153"/>
      <c r="N1009" s="78"/>
      <c r="O1009" s="78"/>
      <c r="P1009" s="153"/>
      <c r="Q1009" s="78"/>
      <c r="R1009" s="78"/>
      <c r="S1009" s="153"/>
      <c r="T1009" s="78"/>
      <c r="U1009" s="78"/>
      <c r="V1009" s="152"/>
      <c r="W1009" s="78"/>
      <c r="X1009" s="78"/>
    </row>
    <row r="1010" spans="1:24" ht="42" customHeight="1">
      <c r="A1010" s="78"/>
      <c r="B1010" s="149"/>
      <c r="C1010" s="154" t="s">
        <v>4551</v>
      </c>
      <c r="D1010" s="149" t="s">
        <v>104</v>
      </c>
      <c r="E1010" s="149" t="s">
        <v>2533</v>
      </c>
      <c r="F1010" s="78"/>
      <c r="G1010" s="150" t="s">
        <v>757</v>
      </c>
      <c r="H1010" s="78"/>
      <c r="I1010" s="151"/>
      <c r="J1010" s="78"/>
      <c r="K1010" s="78"/>
      <c r="L1010" s="78"/>
      <c r="M1010" s="153"/>
      <c r="N1010" s="78"/>
      <c r="O1010" s="78"/>
      <c r="P1010" s="153"/>
      <c r="Q1010" s="78"/>
      <c r="R1010" s="78"/>
      <c r="S1010" s="153"/>
      <c r="T1010" s="78"/>
      <c r="U1010" s="78"/>
      <c r="V1010" s="152"/>
      <c r="W1010" s="78"/>
      <c r="X1010" s="78"/>
    </row>
    <row r="1011" spans="1:24" ht="42" customHeight="1">
      <c r="A1011" s="78"/>
      <c r="B1011" s="149"/>
      <c r="C1011" s="154" t="s">
        <v>4552</v>
      </c>
      <c r="D1011" s="149" t="s">
        <v>104</v>
      </c>
      <c r="E1011" s="149" t="s">
        <v>2533</v>
      </c>
      <c r="F1011" s="78"/>
      <c r="G1011" s="150" t="s">
        <v>751</v>
      </c>
      <c r="H1011" s="78"/>
      <c r="I1011" s="151"/>
      <c r="J1011" s="78"/>
      <c r="K1011" s="78"/>
      <c r="L1011" s="78"/>
      <c r="M1011" s="153"/>
      <c r="N1011" s="78"/>
      <c r="O1011" s="78"/>
      <c r="P1011" s="153"/>
      <c r="Q1011" s="78"/>
      <c r="R1011" s="78"/>
      <c r="S1011" s="153"/>
      <c r="T1011" s="78"/>
      <c r="U1011" s="78"/>
      <c r="V1011" s="152"/>
      <c r="W1011" s="78"/>
      <c r="X1011" s="78"/>
    </row>
    <row r="1012" spans="1:24" ht="42" customHeight="1">
      <c r="A1012" s="78"/>
      <c r="B1012" s="149"/>
      <c r="C1012" s="154" t="s">
        <v>4553</v>
      </c>
      <c r="D1012" s="149" t="s">
        <v>104</v>
      </c>
      <c r="E1012" s="149" t="s">
        <v>2533</v>
      </c>
      <c r="F1012" s="78"/>
      <c r="G1012" s="150" t="s">
        <v>444</v>
      </c>
      <c r="H1012" s="78"/>
      <c r="I1012" s="151"/>
      <c r="J1012" s="78"/>
      <c r="K1012" s="78"/>
      <c r="L1012" s="78"/>
      <c r="M1012" s="153"/>
      <c r="N1012" s="78"/>
      <c r="O1012" s="78"/>
      <c r="P1012" s="153"/>
      <c r="Q1012" s="78"/>
      <c r="R1012" s="78"/>
      <c r="S1012" s="153"/>
      <c r="T1012" s="78"/>
      <c r="U1012" s="78"/>
      <c r="V1012" s="152"/>
      <c r="W1012" s="78"/>
      <c r="X1012" s="78"/>
    </row>
    <row r="1013" spans="1:24" ht="42" customHeight="1">
      <c r="A1013" s="78"/>
      <c r="B1013" s="149"/>
      <c r="C1013" s="154" t="s">
        <v>4554</v>
      </c>
      <c r="D1013" s="149" t="s">
        <v>104</v>
      </c>
      <c r="E1013" s="149" t="s">
        <v>2533</v>
      </c>
      <c r="F1013" s="78"/>
      <c r="G1013" s="150" t="s">
        <v>446</v>
      </c>
      <c r="H1013" s="78"/>
      <c r="I1013" s="151"/>
      <c r="J1013" s="78"/>
      <c r="K1013" s="78"/>
      <c r="L1013" s="78"/>
      <c r="M1013" s="153"/>
      <c r="N1013" s="78"/>
      <c r="O1013" s="78"/>
      <c r="P1013" s="153"/>
      <c r="Q1013" s="78"/>
      <c r="R1013" s="78"/>
      <c r="S1013" s="153"/>
      <c r="T1013" s="78"/>
      <c r="U1013" s="78"/>
      <c r="V1013" s="152"/>
      <c r="W1013" s="78"/>
      <c r="X1013" s="78"/>
    </row>
    <row r="1014" spans="1:24" ht="42" customHeight="1">
      <c r="A1014" s="78"/>
      <c r="B1014" s="149"/>
      <c r="C1014" s="154" t="s">
        <v>4555</v>
      </c>
      <c r="D1014" s="149" t="s">
        <v>104</v>
      </c>
      <c r="E1014" s="149" t="s">
        <v>2533</v>
      </c>
      <c r="F1014" s="78"/>
      <c r="G1014" s="150" t="s">
        <v>749</v>
      </c>
      <c r="H1014" s="78"/>
      <c r="I1014" s="151"/>
      <c r="J1014" s="78"/>
      <c r="K1014" s="78"/>
      <c r="L1014" s="78"/>
      <c r="M1014" s="153"/>
      <c r="N1014" s="78"/>
      <c r="O1014" s="78"/>
      <c r="P1014" s="153"/>
      <c r="Q1014" s="78"/>
      <c r="R1014" s="78"/>
      <c r="S1014" s="153"/>
      <c r="T1014" s="78"/>
      <c r="U1014" s="78"/>
      <c r="V1014" s="152"/>
      <c r="W1014" s="78"/>
      <c r="X1014" s="78"/>
    </row>
    <row r="1015" spans="1:24" ht="42" customHeight="1">
      <c r="A1015" s="78"/>
      <c r="B1015" s="149"/>
      <c r="C1015" s="154" t="s">
        <v>4556</v>
      </c>
      <c r="D1015" s="149" t="s">
        <v>104</v>
      </c>
      <c r="E1015" s="149" t="s">
        <v>2533</v>
      </c>
      <c r="F1015" s="78"/>
      <c r="G1015" s="150" t="s">
        <v>744</v>
      </c>
      <c r="H1015" s="78"/>
      <c r="I1015" s="151"/>
      <c r="J1015" s="78"/>
      <c r="K1015" s="78"/>
      <c r="L1015" s="78"/>
      <c r="M1015" s="153"/>
      <c r="N1015" s="78"/>
      <c r="O1015" s="78"/>
      <c r="P1015" s="153"/>
      <c r="Q1015" s="78"/>
      <c r="R1015" s="78"/>
      <c r="S1015" s="153"/>
      <c r="T1015" s="78"/>
      <c r="U1015" s="78"/>
      <c r="V1015" s="152"/>
      <c r="W1015" s="78"/>
      <c r="X1015" s="78"/>
    </row>
    <row r="1016" spans="1:24" ht="42" customHeight="1">
      <c r="A1016" s="78"/>
      <c r="B1016" s="149"/>
      <c r="C1016" s="154" t="s">
        <v>4557</v>
      </c>
      <c r="D1016" s="149" t="s">
        <v>104</v>
      </c>
      <c r="E1016" s="149" t="s">
        <v>2533</v>
      </c>
      <c r="F1016" s="78"/>
      <c r="G1016" s="150" t="s">
        <v>742</v>
      </c>
      <c r="H1016" s="78"/>
      <c r="I1016" s="151"/>
      <c r="J1016" s="78"/>
      <c r="K1016" s="78"/>
      <c r="L1016" s="78"/>
      <c r="M1016" s="153"/>
      <c r="N1016" s="78"/>
      <c r="O1016" s="78"/>
      <c r="P1016" s="153"/>
      <c r="Q1016" s="78"/>
      <c r="R1016" s="78"/>
      <c r="S1016" s="153"/>
      <c r="T1016" s="78"/>
      <c r="U1016" s="78"/>
      <c r="V1016" s="152"/>
      <c r="W1016" s="78"/>
      <c r="X1016" s="78"/>
    </row>
    <row r="1017" spans="1:24" ht="42" customHeight="1">
      <c r="A1017" s="78"/>
      <c r="B1017" s="149"/>
      <c r="C1017" s="154" t="s">
        <v>4558</v>
      </c>
      <c r="D1017" s="149" t="s">
        <v>104</v>
      </c>
      <c r="E1017" s="149" t="s">
        <v>2533</v>
      </c>
      <c r="F1017" s="78"/>
      <c r="G1017" s="150" t="s">
        <v>740</v>
      </c>
      <c r="H1017" s="78"/>
      <c r="I1017" s="151"/>
      <c r="J1017" s="78"/>
      <c r="K1017" s="78"/>
      <c r="L1017" s="78"/>
      <c r="M1017" s="153"/>
      <c r="N1017" s="78"/>
      <c r="O1017" s="78"/>
      <c r="P1017" s="153"/>
      <c r="Q1017" s="78"/>
      <c r="R1017" s="78"/>
      <c r="S1017" s="153"/>
      <c r="T1017" s="78"/>
      <c r="U1017" s="78"/>
      <c r="V1017" s="152"/>
      <c r="W1017" s="78"/>
      <c r="X1017" s="78"/>
    </row>
    <row r="1018" spans="1:24" ht="42" customHeight="1">
      <c r="A1018" s="78"/>
      <c r="B1018" s="149"/>
      <c r="C1018" s="154" t="s">
        <v>4559</v>
      </c>
      <c r="D1018" s="149" t="s">
        <v>104</v>
      </c>
      <c r="E1018" s="149" t="s">
        <v>2533</v>
      </c>
      <c r="F1018" s="78"/>
      <c r="G1018" s="150" t="s">
        <v>470</v>
      </c>
      <c r="H1018" s="78"/>
      <c r="I1018" s="151"/>
      <c r="J1018" s="78"/>
      <c r="K1018" s="78"/>
      <c r="L1018" s="78"/>
      <c r="M1018" s="153"/>
      <c r="N1018" s="78"/>
      <c r="O1018" s="78"/>
      <c r="P1018" s="153"/>
      <c r="Q1018" s="78"/>
      <c r="R1018" s="78"/>
      <c r="S1018" s="153"/>
      <c r="T1018" s="78"/>
      <c r="U1018" s="78"/>
      <c r="V1018" s="152"/>
      <c r="W1018" s="78"/>
      <c r="X1018" s="78"/>
    </row>
    <row r="1019" spans="1:24" ht="42" customHeight="1">
      <c r="A1019" s="78"/>
      <c r="B1019" s="149"/>
      <c r="C1019" s="154" t="s">
        <v>4560</v>
      </c>
      <c r="D1019" s="149" t="s">
        <v>104</v>
      </c>
      <c r="E1019" s="149" t="s">
        <v>2533</v>
      </c>
      <c r="F1019" s="78"/>
      <c r="G1019" s="155" t="s">
        <v>468</v>
      </c>
      <c r="H1019" s="78"/>
      <c r="I1019" s="151"/>
      <c r="J1019" s="78"/>
      <c r="K1019" s="78"/>
      <c r="L1019" s="78"/>
      <c r="M1019" s="153"/>
      <c r="N1019" s="78"/>
      <c r="O1019" s="78"/>
      <c r="P1019" s="153"/>
      <c r="Q1019" s="78"/>
      <c r="R1019" s="78"/>
      <c r="S1019" s="153"/>
      <c r="T1019" s="78"/>
      <c r="U1019" s="78"/>
      <c r="V1019" s="152"/>
      <c r="W1019" s="78"/>
      <c r="X1019" s="78"/>
    </row>
    <row r="1020" spans="1:24" ht="42" customHeight="1">
      <c r="A1020" s="78"/>
      <c r="B1020" s="149"/>
      <c r="C1020" s="154" t="s">
        <v>4561</v>
      </c>
      <c r="D1020" s="149" t="s">
        <v>104</v>
      </c>
      <c r="E1020" s="149" t="s">
        <v>2533</v>
      </c>
      <c r="F1020" s="78"/>
      <c r="G1020" s="150" t="s">
        <v>466</v>
      </c>
      <c r="H1020" s="78"/>
      <c r="I1020" s="151"/>
      <c r="J1020" s="78"/>
      <c r="K1020" s="78"/>
      <c r="L1020" s="78"/>
      <c r="M1020" s="153"/>
      <c r="N1020" s="78"/>
      <c r="O1020" s="78"/>
      <c r="P1020" s="153"/>
      <c r="Q1020" s="78"/>
      <c r="R1020" s="78"/>
      <c r="S1020" s="153"/>
      <c r="T1020" s="78"/>
      <c r="U1020" s="78"/>
      <c r="V1020" s="152"/>
      <c r="W1020" s="78"/>
      <c r="X1020" s="78"/>
    </row>
    <row r="1021" spans="1:24" ht="42" customHeight="1">
      <c r="A1021" s="78"/>
      <c r="B1021" s="149"/>
      <c r="C1021" s="154" t="s">
        <v>4562</v>
      </c>
      <c r="D1021" s="149" t="s">
        <v>104</v>
      </c>
      <c r="E1021" s="149" t="s">
        <v>2533</v>
      </c>
      <c r="F1021" s="78"/>
      <c r="G1021" s="150" t="s">
        <v>464</v>
      </c>
      <c r="H1021" s="78"/>
      <c r="I1021" s="151"/>
      <c r="J1021" s="78"/>
      <c r="K1021" s="78"/>
      <c r="L1021" s="78"/>
      <c r="M1021" s="153"/>
      <c r="N1021" s="78"/>
      <c r="O1021" s="78"/>
      <c r="P1021" s="153"/>
      <c r="Q1021" s="78"/>
      <c r="R1021" s="78"/>
      <c r="S1021" s="153"/>
      <c r="T1021" s="78"/>
      <c r="U1021" s="78"/>
      <c r="V1021" s="152"/>
      <c r="W1021" s="78"/>
      <c r="X1021" s="78"/>
    </row>
    <row r="1022" spans="1:24" ht="42" customHeight="1">
      <c r="A1022" s="78"/>
      <c r="B1022" s="149"/>
      <c r="C1022" s="154" t="s">
        <v>4563</v>
      </c>
      <c r="D1022" s="149" t="s">
        <v>104</v>
      </c>
      <c r="E1022" s="149" t="s">
        <v>2533</v>
      </c>
      <c r="F1022" s="78"/>
      <c r="G1022" s="150" t="s">
        <v>462</v>
      </c>
      <c r="H1022" s="78"/>
      <c r="I1022" s="151"/>
      <c r="J1022" s="78"/>
      <c r="K1022" s="78"/>
      <c r="L1022" s="78"/>
      <c r="M1022" s="153"/>
      <c r="N1022" s="78"/>
      <c r="O1022" s="78"/>
      <c r="P1022" s="153"/>
      <c r="Q1022" s="78"/>
      <c r="R1022" s="78"/>
      <c r="S1022" s="153"/>
      <c r="T1022" s="78"/>
      <c r="U1022" s="78"/>
      <c r="V1022" s="152"/>
      <c r="W1022" s="78"/>
      <c r="X1022" s="78"/>
    </row>
    <row r="1023" spans="1:24" ht="42" customHeight="1">
      <c r="A1023" s="78"/>
      <c r="B1023" s="149"/>
      <c r="C1023" s="149" t="s">
        <v>4564</v>
      </c>
      <c r="D1023" s="149" t="s">
        <v>104</v>
      </c>
      <c r="E1023" s="149" t="s">
        <v>2533</v>
      </c>
      <c r="F1023" s="78"/>
      <c r="G1023" s="150" t="s">
        <v>457</v>
      </c>
      <c r="H1023" s="78"/>
      <c r="I1023" s="151"/>
      <c r="J1023" s="78"/>
      <c r="K1023" s="78"/>
      <c r="L1023" s="78"/>
      <c r="M1023" s="153"/>
      <c r="N1023" s="78"/>
      <c r="O1023" s="78"/>
      <c r="P1023" s="153"/>
      <c r="Q1023" s="78"/>
      <c r="R1023" s="78"/>
      <c r="S1023" s="153"/>
      <c r="T1023" s="78"/>
      <c r="U1023" s="78"/>
      <c r="V1023" s="152"/>
      <c r="W1023" s="78"/>
      <c r="X1023" s="78"/>
    </row>
    <row r="1024" spans="1:24" ht="42" customHeight="1">
      <c r="A1024" s="78"/>
      <c r="B1024" s="149"/>
      <c r="C1024" s="154" t="s">
        <v>4565</v>
      </c>
      <c r="D1024" s="149" t="s">
        <v>104</v>
      </c>
      <c r="E1024" s="149" t="s">
        <v>2533</v>
      </c>
      <c r="F1024" s="78"/>
      <c r="G1024" s="150" t="s">
        <v>4566</v>
      </c>
      <c r="H1024" s="78"/>
      <c r="I1024" s="151"/>
      <c r="J1024" s="78"/>
      <c r="K1024" s="78"/>
      <c r="L1024" s="78"/>
      <c r="M1024" s="153"/>
      <c r="N1024" s="78"/>
      <c r="O1024" s="78"/>
      <c r="P1024" s="153"/>
      <c r="Q1024" s="78"/>
      <c r="R1024" s="78"/>
      <c r="S1024" s="153"/>
      <c r="T1024" s="78"/>
      <c r="U1024" s="78"/>
      <c r="V1024" s="152"/>
      <c r="W1024" s="78"/>
      <c r="X1024" s="78"/>
    </row>
    <row r="1025" spans="1:35" ht="42" customHeight="1">
      <c r="A1025" s="78"/>
      <c r="B1025" s="149"/>
      <c r="C1025" s="154" t="s">
        <v>4567</v>
      </c>
      <c r="D1025" s="149" t="s">
        <v>104</v>
      </c>
      <c r="E1025" s="149" t="s">
        <v>2533</v>
      </c>
      <c r="F1025" s="78"/>
      <c r="G1025" s="150" t="s">
        <v>452</v>
      </c>
      <c r="H1025" s="78"/>
      <c r="I1025" s="151"/>
      <c r="J1025" s="78"/>
      <c r="K1025" s="78"/>
      <c r="L1025" s="78"/>
      <c r="M1025" s="153"/>
      <c r="N1025" s="78"/>
      <c r="O1025" s="78"/>
      <c r="P1025" s="153"/>
      <c r="Q1025" s="78"/>
      <c r="R1025" s="78"/>
      <c r="S1025" s="153"/>
      <c r="T1025" s="78"/>
      <c r="U1025" s="78"/>
      <c r="V1025" s="152"/>
      <c r="W1025" s="78"/>
      <c r="X1025" s="78"/>
    </row>
    <row r="1026" spans="1:35" ht="42" customHeight="1">
      <c r="A1026" s="78"/>
      <c r="B1026" s="149"/>
      <c r="C1026" s="154" t="s">
        <v>4568</v>
      </c>
      <c r="D1026" s="149" t="s">
        <v>104</v>
      </c>
      <c r="E1026" s="149" t="s">
        <v>2533</v>
      </c>
      <c r="F1026" s="78"/>
      <c r="G1026" s="150" t="s">
        <v>450</v>
      </c>
      <c r="H1026" s="78"/>
      <c r="I1026" s="151"/>
      <c r="J1026" s="78"/>
      <c r="K1026" s="78"/>
      <c r="L1026" s="78"/>
      <c r="M1026" s="153"/>
      <c r="N1026" s="78"/>
      <c r="O1026" s="78"/>
      <c r="P1026" s="153"/>
      <c r="Q1026" s="78"/>
      <c r="R1026" s="78"/>
      <c r="S1026" s="153"/>
      <c r="T1026" s="78"/>
      <c r="U1026" s="78"/>
      <c r="V1026" s="152"/>
      <c r="W1026" s="78"/>
      <c r="X1026" s="78"/>
    </row>
    <row r="1027" spans="1:35" ht="42" customHeight="1">
      <c r="A1027" s="78"/>
      <c r="B1027" s="149"/>
      <c r="C1027" s="154" t="s">
        <v>4569</v>
      </c>
      <c r="D1027" s="149" t="s">
        <v>104</v>
      </c>
      <c r="E1027" s="149" t="s">
        <v>2533</v>
      </c>
      <c r="F1027" s="78"/>
      <c r="G1027" s="150" t="s">
        <v>448</v>
      </c>
      <c r="H1027" s="78"/>
      <c r="I1027" s="151"/>
      <c r="J1027" s="78"/>
      <c r="K1027" s="78"/>
      <c r="L1027" s="78"/>
      <c r="M1027" s="153"/>
      <c r="N1027" s="78"/>
      <c r="O1027" s="78"/>
      <c r="P1027" s="153"/>
      <c r="Q1027" s="78"/>
      <c r="R1027" s="78"/>
      <c r="S1027" s="153"/>
      <c r="T1027" s="78"/>
      <c r="U1027" s="78"/>
      <c r="V1027" s="152"/>
      <c r="W1027" s="78"/>
      <c r="X1027" s="78"/>
    </row>
    <row r="1028" spans="1:35" ht="42" customHeight="1">
      <c r="A1028" s="78"/>
      <c r="B1028" s="149"/>
      <c r="C1028" s="154" t="s">
        <v>4554</v>
      </c>
      <c r="D1028" s="149" t="s">
        <v>104</v>
      </c>
      <c r="E1028" s="149" t="s">
        <v>2533</v>
      </c>
      <c r="F1028" s="78"/>
      <c r="G1028" s="150" t="s">
        <v>446</v>
      </c>
      <c r="H1028" s="78"/>
      <c r="I1028" s="151"/>
      <c r="J1028" s="78"/>
      <c r="K1028" s="78"/>
      <c r="L1028" s="78"/>
      <c r="M1028" s="153"/>
      <c r="N1028" s="78"/>
      <c r="O1028" s="78"/>
      <c r="P1028" s="153"/>
      <c r="Q1028" s="78"/>
      <c r="R1028" s="78"/>
      <c r="S1028" s="153"/>
      <c r="T1028" s="78"/>
      <c r="U1028" s="78"/>
      <c r="V1028" s="152"/>
      <c r="W1028" s="78"/>
      <c r="X1028" s="78"/>
    </row>
    <row r="1029" spans="1:35" ht="42" customHeight="1">
      <c r="A1029" s="78"/>
      <c r="B1029" s="149"/>
      <c r="C1029" s="154" t="s">
        <v>4570</v>
      </c>
      <c r="D1029" s="149" t="s">
        <v>104</v>
      </c>
      <c r="E1029" s="149" t="s">
        <v>2533</v>
      </c>
      <c r="F1029" s="78"/>
      <c r="G1029" s="150" t="s">
        <v>444</v>
      </c>
      <c r="H1029" s="78"/>
      <c r="I1029" s="151"/>
      <c r="J1029" s="78"/>
      <c r="K1029" s="78"/>
      <c r="L1029" s="78"/>
      <c r="M1029" s="153"/>
      <c r="N1029" s="78"/>
      <c r="O1029" s="78"/>
      <c r="P1029" s="153"/>
      <c r="Q1029" s="78"/>
      <c r="R1029" s="78"/>
      <c r="S1029" s="153"/>
      <c r="T1029" s="78"/>
      <c r="U1029" s="78"/>
      <c r="V1029" s="152"/>
      <c r="W1029" s="78"/>
      <c r="X1029" s="78"/>
    </row>
    <row r="1030" spans="1:35" ht="42" customHeight="1">
      <c r="A1030" s="78"/>
      <c r="B1030" s="149"/>
      <c r="C1030" s="149" t="s">
        <v>4571</v>
      </c>
      <c r="D1030" s="149" t="s">
        <v>95</v>
      </c>
      <c r="E1030" s="149" t="s">
        <v>2533</v>
      </c>
      <c r="F1030" s="78"/>
      <c r="G1030" s="150" t="s">
        <v>4572</v>
      </c>
      <c r="H1030" s="78"/>
      <c r="I1030" s="151"/>
      <c r="J1030" s="78"/>
      <c r="K1030" s="78"/>
      <c r="L1030" s="149" t="s">
        <v>78</v>
      </c>
      <c r="M1030" s="152">
        <v>44907</v>
      </c>
      <c r="N1030" s="149" t="s">
        <v>2538</v>
      </c>
      <c r="O1030" s="78"/>
      <c r="P1030" s="153"/>
      <c r="Q1030" s="78"/>
      <c r="R1030" s="78"/>
      <c r="S1030" s="153"/>
      <c r="T1030" s="78"/>
      <c r="U1030" s="78"/>
      <c r="V1030" s="152"/>
      <c r="W1030" s="78"/>
      <c r="X1030" s="78"/>
    </row>
    <row r="1031" spans="1:35" ht="42" customHeight="1">
      <c r="A1031" s="78"/>
      <c r="B1031" s="149"/>
      <c r="C1031" s="149" t="s">
        <v>4573</v>
      </c>
      <c r="D1031" s="149" t="s">
        <v>95</v>
      </c>
      <c r="E1031" s="149" t="s">
        <v>2533</v>
      </c>
      <c r="F1031" s="78"/>
      <c r="G1031" s="156" t="s">
        <v>4574</v>
      </c>
      <c r="H1031" s="78"/>
      <c r="I1031" s="157" t="s">
        <v>4575</v>
      </c>
      <c r="J1031" s="158" t="s">
        <v>4576</v>
      </c>
      <c r="K1031" s="78"/>
      <c r="L1031" s="149" t="s">
        <v>7</v>
      </c>
      <c r="M1031" s="152">
        <v>44907</v>
      </c>
      <c r="N1031" s="149" t="s">
        <v>2561</v>
      </c>
      <c r="O1031" s="78"/>
      <c r="P1031" s="153"/>
      <c r="Q1031" s="78"/>
      <c r="R1031" s="78"/>
      <c r="S1031" s="153"/>
      <c r="T1031" s="78"/>
      <c r="U1031" s="78"/>
      <c r="V1031" s="152"/>
      <c r="W1031" s="78"/>
      <c r="X1031" s="78"/>
    </row>
    <row r="1032" spans="1:35" ht="42" customHeight="1">
      <c r="A1032" s="78"/>
      <c r="B1032" s="149"/>
      <c r="C1032" s="154" t="s">
        <v>4577</v>
      </c>
      <c r="D1032" s="149" t="s">
        <v>95</v>
      </c>
      <c r="E1032" s="149" t="s">
        <v>2533</v>
      </c>
      <c r="F1032" s="78"/>
      <c r="G1032" s="150" t="s">
        <v>4578</v>
      </c>
      <c r="H1032" s="78"/>
      <c r="I1032" s="151"/>
      <c r="J1032" s="78"/>
      <c r="K1032" s="78"/>
      <c r="L1032" s="149" t="s">
        <v>78</v>
      </c>
      <c r="M1032" s="152">
        <v>44907</v>
      </c>
      <c r="N1032" s="149" t="s">
        <v>2561</v>
      </c>
      <c r="O1032" s="78"/>
      <c r="P1032" s="153"/>
      <c r="Q1032" s="78"/>
      <c r="R1032" s="78"/>
      <c r="S1032" s="153"/>
      <c r="T1032" s="78"/>
      <c r="U1032" s="78"/>
      <c r="V1032" s="152"/>
      <c r="W1032" s="78"/>
      <c r="X1032" s="78"/>
    </row>
    <row r="1033" spans="1:35" ht="42" customHeight="1">
      <c r="A1033" s="78"/>
      <c r="B1033" s="149"/>
      <c r="C1033" s="149" t="s">
        <v>4579</v>
      </c>
      <c r="D1033" s="149" t="s">
        <v>95</v>
      </c>
      <c r="E1033" s="149" t="s">
        <v>2533</v>
      </c>
      <c r="F1033" s="78"/>
      <c r="G1033" s="150" t="s">
        <v>4580</v>
      </c>
      <c r="H1033" s="78"/>
      <c r="I1033" s="159" t="s">
        <v>4581</v>
      </c>
      <c r="J1033" s="78"/>
      <c r="K1033" s="78"/>
      <c r="L1033" s="149" t="s">
        <v>78</v>
      </c>
      <c r="M1033" s="152">
        <v>44907</v>
      </c>
      <c r="N1033" s="149" t="s">
        <v>2561</v>
      </c>
      <c r="O1033" s="78"/>
      <c r="P1033" s="153"/>
      <c r="Q1033" s="78"/>
      <c r="R1033" s="78"/>
      <c r="S1033" s="153"/>
      <c r="T1033" s="78"/>
      <c r="U1033" s="78"/>
      <c r="V1033" s="152"/>
      <c r="W1033" s="78"/>
      <c r="X1033" s="78"/>
    </row>
    <row r="1034" spans="1:35" ht="42" customHeight="1">
      <c r="A1034" s="78"/>
      <c r="B1034" s="149"/>
      <c r="C1034" s="149" t="s">
        <v>4582</v>
      </c>
      <c r="D1034" s="149" t="s">
        <v>95</v>
      </c>
      <c r="E1034" s="149" t="s">
        <v>2533</v>
      </c>
      <c r="F1034" s="78"/>
      <c r="G1034" s="150" t="s">
        <v>4583</v>
      </c>
      <c r="H1034" s="78"/>
      <c r="I1034" s="151"/>
      <c r="J1034" s="158" t="s">
        <v>4584</v>
      </c>
      <c r="K1034" s="78"/>
      <c r="L1034" s="149" t="s">
        <v>98</v>
      </c>
      <c r="M1034" s="152">
        <v>44907</v>
      </c>
      <c r="N1034" s="149" t="s">
        <v>2635</v>
      </c>
      <c r="O1034" s="78"/>
      <c r="P1034" s="153"/>
      <c r="Q1034" s="78"/>
      <c r="R1034" s="78"/>
      <c r="S1034" s="153"/>
      <c r="T1034" s="78"/>
      <c r="U1034" s="78"/>
      <c r="V1034" s="152"/>
      <c r="W1034" s="78"/>
      <c r="X1034" s="78"/>
    </row>
    <row r="1035" spans="1:35" ht="42" customHeight="1">
      <c r="A1035" s="78"/>
      <c r="B1035" s="149"/>
      <c r="C1035" s="149" t="s">
        <v>388</v>
      </c>
      <c r="D1035" s="149" t="s">
        <v>95</v>
      </c>
      <c r="E1035" s="149" t="s">
        <v>2533</v>
      </c>
      <c r="F1035" s="78"/>
      <c r="G1035" s="150" t="s">
        <v>389</v>
      </c>
      <c r="H1035" s="78"/>
      <c r="I1035" s="151"/>
      <c r="J1035" s="158" t="s">
        <v>390</v>
      </c>
      <c r="K1035" s="78"/>
      <c r="L1035" s="149" t="s">
        <v>78</v>
      </c>
      <c r="M1035" s="152">
        <v>44907</v>
      </c>
      <c r="N1035" s="149" t="s">
        <v>2561</v>
      </c>
      <c r="O1035" s="149" t="s">
        <v>78</v>
      </c>
      <c r="P1035" s="152">
        <v>44911</v>
      </c>
      <c r="Q1035" s="149" t="s">
        <v>2623</v>
      </c>
      <c r="R1035" s="78"/>
      <c r="S1035" s="153"/>
      <c r="T1035" s="78"/>
      <c r="U1035" s="78"/>
      <c r="V1035" s="152"/>
      <c r="W1035" s="78"/>
      <c r="X1035" s="78"/>
    </row>
    <row r="1036" spans="1:35" ht="42" customHeight="1">
      <c r="A1036" s="160"/>
      <c r="B1036" s="161"/>
      <c r="C1036" s="161" t="s">
        <v>4585</v>
      </c>
      <c r="D1036" s="161" t="s">
        <v>95</v>
      </c>
      <c r="E1036" s="161" t="s">
        <v>2533</v>
      </c>
      <c r="F1036" s="160"/>
      <c r="G1036" s="156" t="s">
        <v>306</v>
      </c>
      <c r="H1036" s="160"/>
      <c r="I1036" s="162" t="s">
        <v>4586</v>
      </c>
      <c r="J1036" s="163" t="s">
        <v>4587</v>
      </c>
      <c r="K1036" s="160"/>
      <c r="L1036" s="160"/>
      <c r="M1036" s="164">
        <v>44907</v>
      </c>
      <c r="N1036" s="160"/>
      <c r="O1036" s="160"/>
      <c r="P1036" s="165"/>
      <c r="Q1036" s="160"/>
      <c r="R1036" s="160"/>
      <c r="S1036" s="165"/>
      <c r="T1036" s="160"/>
      <c r="U1036" s="160"/>
      <c r="V1036" s="164"/>
      <c r="W1036" s="160"/>
      <c r="X1036" s="160"/>
      <c r="Y1036" s="166"/>
      <c r="Z1036" s="166"/>
      <c r="AA1036" s="166"/>
      <c r="AB1036" s="166"/>
      <c r="AC1036" s="166"/>
      <c r="AD1036" s="166"/>
      <c r="AE1036" s="166"/>
      <c r="AF1036" s="166"/>
      <c r="AG1036" s="166"/>
      <c r="AH1036" s="166"/>
      <c r="AI1036" s="166"/>
    </row>
    <row r="1037" spans="1:35" ht="42" customHeight="1">
      <c r="A1037" s="78"/>
      <c r="B1037" s="149"/>
      <c r="C1037" s="154" t="s">
        <v>4588</v>
      </c>
      <c r="D1037" s="149" t="s">
        <v>95</v>
      </c>
      <c r="E1037" s="149" t="s">
        <v>2533</v>
      </c>
      <c r="F1037" s="78"/>
      <c r="G1037" s="150" t="s">
        <v>4589</v>
      </c>
      <c r="H1037" s="78"/>
      <c r="I1037" s="151"/>
      <c r="J1037" s="158" t="s">
        <v>4590</v>
      </c>
      <c r="K1037" s="78"/>
      <c r="L1037" s="149" t="s">
        <v>78</v>
      </c>
      <c r="M1037" s="152">
        <v>44907</v>
      </c>
      <c r="N1037" s="149" t="s">
        <v>2561</v>
      </c>
      <c r="O1037" s="149" t="s">
        <v>98</v>
      </c>
      <c r="P1037" s="152">
        <v>44911</v>
      </c>
      <c r="Q1037" s="149" t="s">
        <v>2635</v>
      </c>
      <c r="R1037" s="78"/>
      <c r="S1037" s="153"/>
      <c r="T1037" s="78"/>
      <c r="U1037" s="78"/>
      <c r="V1037" s="152"/>
      <c r="W1037" s="78"/>
      <c r="X1037" s="78"/>
    </row>
    <row r="1038" spans="1:35" ht="42" customHeight="1">
      <c r="A1038" s="78"/>
      <c r="B1038" s="149"/>
      <c r="C1038" s="149" t="s">
        <v>4591</v>
      </c>
      <c r="D1038" s="149" t="s">
        <v>95</v>
      </c>
      <c r="E1038" s="149" t="s">
        <v>2533</v>
      </c>
      <c r="F1038" s="78"/>
      <c r="G1038" s="150" t="s">
        <v>4592</v>
      </c>
      <c r="H1038" s="78"/>
      <c r="I1038" s="151"/>
      <c r="J1038" s="167" t="s">
        <v>4593</v>
      </c>
      <c r="K1038" s="78"/>
      <c r="L1038" s="149" t="s">
        <v>98</v>
      </c>
      <c r="M1038" s="152">
        <v>44907</v>
      </c>
      <c r="N1038" s="149" t="s">
        <v>2635</v>
      </c>
      <c r="O1038" s="149" t="s">
        <v>78</v>
      </c>
      <c r="P1038" s="152">
        <v>44911</v>
      </c>
      <c r="Q1038" s="149" t="s">
        <v>2561</v>
      </c>
      <c r="R1038" s="78"/>
      <c r="S1038" s="153"/>
      <c r="T1038" s="78"/>
      <c r="U1038" s="78"/>
      <c r="V1038" s="152"/>
      <c r="W1038" s="78"/>
      <c r="X1038" s="78"/>
    </row>
    <row r="1039" spans="1:35" ht="42" customHeight="1">
      <c r="A1039" s="78"/>
      <c r="B1039" s="149"/>
      <c r="C1039" s="161" t="s">
        <v>4594</v>
      </c>
      <c r="D1039" s="149" t="s">
        <v>95</v>
      </c>
      <c r="E1039" s="149" t="s">
        <v>2533</v>
      </c>
      <c r="F1039" s="78"/>
      <c r="G1039" s="150" t="s">
        <v>4595</v>
      </c>
      <c r="H1039" s="78"/>
      <c r="I1039" s="157" t="s">
        <v>4596</v>
      </c>
      <c r="J1039" s="168" t="s">
        <v>4597</v>
      </c>
      <c r="K1039" s="78"/>
      <c r="L1039" s="149" t="s">
        <v>98</v>
      </c>
      <c r="M1039" s="152">
        <v>44907</v>
      </c>
      <c r="N1039" s="149" t="s">
        <v>2635</v>
      </c>
      <c r="O1039" s="149" t="s">
        <v>78</v>
      </c>
      <c r="P1039" s="152">
        <v>44911</v>
      </c>
      <c r="Q1039" s="149" t="s">
        <v>2699</v>
      </c>
      <c r="R1039" s="78"/>
      <c r="S1039" s="153"/>
      <c r="T1039" s="78"/>
      <c r="U1039" s="78"/>
      <c r="V1039" s="152"/>
      <c r="W1039" s="78"/>
      <c r="X1039" s="78"/>
    </row>
    <row r="1040" spans="1:35" ht="42" customHeight="1">
      <c r="A1040" s="78"/>
      <c r="B1040" s="149"/>
      <c r="C1040" s="161" t="s">
        <v>4598</v>
      </c>
      <c r="D1040" s="149" t="s">
        <v>95</v>
      </c>
      <c r="E1040" s="149" t="s">
        <v>2533</v>
      </c>
      <c r="F1040" s="78"/>
      <c r="G1040" s="150" t="s">
        <v>4599</v>
      </c>
      <c r="H1040" s="78"/>
      <c r="I1040" s="151"/>
      <c r="J1040" s="167" t="s">
        <v>4600</v>
      </c>
      <c r="K1040" s="78"/>
      <c r="L1040" s="149" t="s">
        <v>78</v>
      </c>
      <c r="M1040" s="152">
        <v>44907</v>
      </c>
      <c r="N1040" s="149" t="s">
        <v>2561</v>
      </c>
      <c r="O1040" s="78"/>
      <c r="P1040" s="153"/>
      <c r="Q1040" s="78"/>
      <c r="R1040" s="78"/>
      <c r="S1040" s="153"/>
      <c r="T1040" s="78"/>
      <c r="U1040" s="78"/>
      <c r="V1040" s="152"/>
      <c r="W1040" s="78"/>
      <c r="X1040" s="78"/>
    </row>
    <row r="1041" spans="1:35" ht="42" customHeight="1">
      <c r="A1041" s="78"/>
      <c r="B1041" s="149"/>
      <c r="C1041" s="161" t="s">
        <v>4601</v>
      </c>
      <c r="D1041" s="149" t="s">
        <v>95</v>
      </c>
      <c r="E1041" s="149" t="s">
        <v>2533</v>
      </c>
      <c r="F1041" s="78"/>
      <c r="G1041" s="150" t="s">
        <v>4602</v>
      </c>
      <c r="H1041" s="78"/>
      <c r="I1041" s="151"/>
      <c r="J1041" s="168" t="s">
        <v>4603</v>
      </c>
      <c r="K1041" s="78"/>
      <c r="L1041" s="149" t="s">
        <v>78</v>
      </c>
      <c r="M1041" s="152">
        <v>44907</v>
      </c>
      <c r="N1041" s="149" t="s">
        <v>2561</v>
      </c>
      <c r="O1041" s="78"/>
      <c r="P1041" s="153"/>
      <c r="Q1041" s="78"/>
      <c r="R1041" s="78"/>
      <c r="S1041" s="153"/>
      <c r="T1041" s="78"/>
      <c r="U1041" s="78"/>
      <c r="V1041" s="152"/>
      <c r="W1041" s="78"/>
      <c r="X1041" s="78"/>
    </row>
    <row r="1042" spans="1:35" ht="42" customHeight="1">
      <c r="A1042" s="78"/>
      <c r="B1042" s="149"/>
      <c r="C1042" s="149" t="s">
        <v>4604</v>
      </c>
      <c r="D1042" s="149" t="s">
        <v>95</v>
      </c>
      <c r="E1042" s="149" t="s">
        <v>2533</v>
      </c>
      <c r="F1042" s="78"/>
      <c r="G1042" s="150" t="s">
        <v>386</v>
      </c>
      <c r="H1042" s="78"/>
      <c r="I1042" s="151"/>
      <c r="J1042" s="168" t="s">
        <v>387</v>
      </c>
      <c r="K1042" s="78"/>
      <c r="L1042" s="149" t="s">
        <v>98</v>
      </c>
      <c r="M1042" s="152">
        <v>44907</v>
      </c>
      <c r="N1042" s="149" t="s">
        <v>2635</v>
      </c>
      <c r="O1042" s="149" t="s">
        <v>78</v>
      </c>
      <c r="P1042" s="152">
        <v>44908</v>
      </c>
      <c r="Q1042" s="149" t="s">
        <v>2566</v>
      </c>
      <c r="R1042" s="149" t="s">
        <v>98</v>
      </c>
      <c r="S1042" s="152">
        <v>44911</v>
      </c>
      <c r="T1042" s="149" t="s">
        <v>2561</v>
      </c>
      <c r="U1042" s="78"/>
      <c r="V1042" s="152"/>
      <c r="W1042" s="78"/>
      <c r="X1042" s="78"/>
    </row>
    <row r="1043" spans="1:35" ht="42" customHeight="1">
      <c r="A1043" s="78"/>
      <c r="B1043" s="149"/>
      <c r="C1043" s="149" t="s">
        <v>4605</v>
      </c>
      <c r="D1043" s="149" t="s">
        <v>95</v>
      </c>
      <c r="E1043" s="149" t="s">
        <v>2533</v>
      </c>
      <c r="F1043" s="78"/>
      <c r="G1043" s="150" t="s">
        <v>4606</v>
      </c>
      <c r="H1043" s="78"/>
      <c r="I1043" s="151"/>
      <c r="J1043" s="168" t="s">
        <v>4607</v>
      </c>
      <c r="K1043" s="78"/>
      <c r="L1043" s="149" t="s">
        <v>98</v>
      </c>
      <c r="M1043" s="152">
        <v>44907</v>
      </c>
      <c r="N1043" s="149" t="s">
        <v>2635</v>
      </c>
      <c r="O1043" s="149" t="s">
        <v>98</v>
      </c>
      <c r="P1043" s="152">
        <v>44911</v>
      </c>
      <c r="Q1043" s="149" t="s">
        <v>2635</v>
      </c>
      <c r="R1043" s="78"/>
      <c r="S1043" s="153"/>
      <c r="T1043" s="78"/>
      <c r="U1043" s="78"/>
      <c r="V1043" s="152"/>
      <c r="W1043" s="78"/>
      <c r="X1043" s="78"/>
    </row>
    <row r="1044" spans="1:35" ht="42" customHeight="1">
      <c r="A1044" s="78"/>
      <c r="B1044" s="149"/>
      <c r="C1044" s="149" t="s">
        <v>4608</v>
      </c>
      <c r="D1044" s="149" t="s">
        <v>95</v>
      </c>
      <c r="E1044" s="149" t="s">
        <v>2533</v>
      </c>
      <c r="F1044" s="78"/>
      <c r="G1044" s="150" t="s">
        <v>4609</v>
      </c>
      <c r="H1044" s="149" t="s">
        <v>4610</v>
      </c>
      <c r="I1044" s="151"/>
      <c r="J1044" s="168" t="s">
        <v>4611</v>
      </c>
      <c r="K1044" s="78"/>
      <c r="L1044" s="149" t="s">
        <v>98</v>
      </c>
      <c r="M1044" s="152">
        <v>44907</v>
      </c>
      <c r="N1044" s="149" t="s">
        <v>2635</v>
      </c>
      <c r="O1044" s="149" t="s">
        <v>78</v>
      </c>
      <c r="P1044" s="152">
        <v>44911</v>
      </c>
      <c r="Q1044" s="149" t="s">
        <v>4280</v>
      </c>
      <c r="R1044" s="78"/>
      <c r="S1044" s="153"/>
      <c r="T1044" s="78"/>
      <c r="U1044" s="78"/>
      <c r="V1044" s="152"/>
      <c r="W1044" s="78"/>
      <c r="X1044" s="78"/>
    </row>
    <row r="1045" spans="1:35" ht="42" customHeight="1">
      <c r="A1045" s="78"/>
      <c r="B1045" s="149"/>
      <c r="C1045" s="149" t="s">
        <v>4612</v>
      </c>
      <c r="D1045" s="149" t="s">
        <v>95</v>
      </c>
      <c r="E1045" s="149" t="s">
        <v>2533</v>
      </c>
      <c r="F1045" s="78"/>
      <c r="G1045" s="150" t="s">
        <v>4613</v>
      </c>
      <c r="H1045" s="78"/>
      <c r="I1045" s="151"/>
      <c r="J1045" s="158" t="s">
        <v>4614</v>
      </c>
      <c r="K1045" s="78"/>
      <c r="L1045" s="149" t="s">
        <v>78</v>
      </c>
      <c r="M1045" s="152">
        <v>44907</v>
      </c>
      <c r="N1045" s="149" t="s">
        <v>2561</v>
      </c>
      <c r="O1045" s="149" t="s">
        <v>98</v>
      </c>
      <c r="P1045" s="152">
        <v>44911</v>
      </c>
      <c r="Q1045" s="149" t="s">
        <v>2635</v>
      </c>
      <c r="R1045" s="78"/>
      <c r="S1045" s="153"/>
      <c r="T1045" s="78"/>
      <c r="U1045" s="78"/>
      <c r="V1045" s="152"/>
      <c r="W1045" s="78"/>
      <c r="X1045" s="78"/>
    </row>
    <row r="1046" spans="1:35" ht="42" customHeight="1">
      <c r="A1046" s="78"/>
      <c r="B1046" s="149"/>
      <c r="C1046" s="149" t="s">
        <v>4615</v>
      </c>
      <c r="D1046" s="149" t="s">
        <v>95</v>
      </c>
      <c r="E1046" s="149" t="s">
        <v>2533</v>
      </c>
      <c r="F1046" s="78"/>
      <c r="G1046" s="150" t="s">
        <v>4616</v>
      </c>
      <c r="H1046" s="78"/>
      <c r="I1046" s="151"/>
      <c r="J1046" s="158" t="s">
        <v>4617</v>
      </c>
      <c r="K1046" s="78"/>
      <c r="L1046" s="149" t="s">
        <v>98</v>
      </c>
      <c r="M1046" s="152">
        <v>44907</v>
      </c>
      <c r="N1046" s="149" t="s">
        <v>2635</v>
      </c>
      <c r="O1046" s="149" t="s">
        <v>98</v>
      </c>
      <c r="P1046" s="152">
        <v>44911</v>
      </c>
      <c r="Q1046" s="149" t="s">
        <v>2635</v>
      </c>
      <c r="R1046" s="78"/>
      <c r="S1046" s="153"/>
      <c r="T1046" s="78"/>
      <c r="U1046" s="78"/>
      <c r="V1046" s="152"/>
      <c r="W1046" s="78"/>
      <c r="X1046" s="78"/>
    </row>
    <row r="1047" spans="1:35" ht="42" customHeight="1">
      <c r="A1047" s="78"/>
      <c r="B1047" s="149"/>
      <c r="C1047" s="149" t="s">
        <v>4618</v>
      </c>
      <c r="D1047" s="149" t="s">
        <v>95</v>
      </c>
      <c r="E1047" s="149" t="s">
        <v>2533</v>
      </c>
      <c r="F1047" s="78"/>
      <c r="G1047" s="150" t="s">
        <v>96</v>
      </c>
      <c r="H1047" s="78"/>
      <c r="I1047" s="151"/>
      <c r="J1047" s="158" t="s">
        <v>97</v>
      </c>
      <c r="K1047" s="78"/>
      <c r="L1047" s="149" t="s">
        <v>98</v>
      </c>
      <c r="M1047" s="152">
        <v>44907</v>
      </c>
      <c r="N1047" s="149" t="s">
        <v>2635</v>
      </c>
      <c r="O1047" s="149" t="s">
        <v>98</v>
      </c>
      <c r="P1047" s="152">
        <v>44911</v>
      </c>
      <c r="Q1047" s="149" t="s">
        <v>2635</v>
      </c>
      <c r="R1047" s="78"/>
      <c r="S1047" s="153"/>
      <c r="T1047" s="78"/>
      <c r="U1047" s="78"/>
      <c r="V1047" s="152"/>
      <c r="W1047" s="78"/>
      <c r="X1047" s="78"/>
    </row>
    <row r="1048" spans="1:35" ht="42" customHeight="1">
      <c r="A1048" s="78"/>
      <c r="B1048" s="149"/>
      <c r="C1048" s="149" t="s">
        <v>4619</v>
      </c>
      <c r="D1048" s="149" t="s">
        <v>95</v>
      </c>
      <c r="E1048" s="149" t="s">
        <v>2533</v>
      </c>
      <c r="F1048" s="78"/>
      <c r="G1048" s="150" t="s">
        <v>4620</v>
      </c>
      <c r="H1048" s="78"/>
      <c r="I1048" s="151"/>
      <c r="J1048" s="158" t="s">
        <v>4621</v>
      </c>
      <c r="K1048" s="78"/>
      <c r="L1048" s="149" t="s">
        <v>78</v>
      </c>
      <c r="M1048" s="152">
        <v>44907</v>
      </c>
      <c r="N1048" s="149" t="s">
        <v>2561</v>
      </c>
      <c r="O1048" s="149" t="s">
        <v>78</v>
      </c>
      <c r="P1048" s="152">
        <v>44911</v>
      </c>
      <c r="Q1048" s="149" t="s">
        <v>2561</v>
      </c>
      <c r="R1048" s="78"/>
      <c r="S1048" s="153"/>
      <c r="T1048" s="78"/>
      <c r="U1048" s="78"/>
      <c r="V1048" s="152"/>
      <c r="W1048" s="78"/>
      <c r="X1048" s="78"/>
    </row>
    <row r="1049" spans="1:35" ht="42" customHeight="1">
      <c r="A1049" s="78"/>
      <c r="B1049" s="149"/>
      <c r="C1049" s="149" t="s">
        <v>4622</v>
      </c>
      <c r="D1049" s="149" t="s">
        <v>95</v>
      </c>
      <c r="E1049" s="149" t="s">
        <v>2533</v>
      </c>
      <c r="F1049" s="78"/>
      <c r="G1049" s="150" t="s">
        <v>4623</v>
      </c>
      <c r="H1049" s="78"/>
      <c r="I1049" s="151"/>
      <c r="J1049" s="168" t="s">
        <v>4624</v>
      </c>
      <c r="K1049" s="78"/>
      <c r="L1049" s="149" t="s">
        <v>78</v>
      </c>
      <c r="M1049" s="152">
        <v>44907</v>
      </c>
      <c r="N1049" s="149" t="s">
        <v>2561</v>
      </c>
      <c r="O1049" s="149" t="s">
        <v>78</v>
      </c>
      <c r="P1049" s="152">
        <v>44911</v>
      </c>
      <c r="Q1049" s="149" t="s">
        <v>2561</v>
      </c>
      <c r="R1049" s="78"/>
      <c r="S1049" s="153"/>
      <c r="T1049" s="78"/>
      <c r="U1049" s="78"/>
      <c r="V1049" s="152"/>
      <c r="W1049" s="78"/>
      <c r="X1049" s="78"/>
    </row>
    <row r="1050" spans="1:35" ht="42" customHeight="1">
      <c r="A1050" s="78"/>
      <c r="B1050" s="149"/>
      <c r="C1050" s="169" t="s">
        <v>4625</v>
      </c>
      <c r="D1050" s="149" t="s">
        <v>95</v>
      </c>
      <c r="E1050" s="149" t="s">
        <v>2533</v>
      </c>
      <c r="F1050" s="78"/>
      <c r="G1050" s="150" t="s">
        <v>4626</v>
      </c>
      <c r="H1050" s="78"/>
      <c r="I1050" s="151"/>
      <c r="J1050" s="168" t="s">
        <v>4627</v>
      </c>
      <c r="K1050" s="78"/>
      <c r="L1050" s="149" t="s">
        <v>78</v>
      </c>
      <c r="M1050" s="152">
        <v>44907</v>
      </c>
      <c r="N1050" s="149" t="s">
        <v>2561</v>
      </c>
      <c r="O1050" s="149" t="s">
        <v>98</v>
      </c>
      <c r="P1050" s="152">
        <v>44911</v>
      </c>
      <c r="Q1050" s="149" t="s">
        <v>2635</v>
      </c>
      <c r="R1050" s="78"/>
      <c r="S1050" s="153"/>
      <c r="T1050" s="78"/>
      <c r="U1050" s="78"/>
      <c r="V1050" s="152"/>
      <c r="W1050" s="78"/>
      <c r="X1050" s="78"/>
    </row>
    <row r="1051" spans="1:35" ht="42" customHeight="1">
      <c r="A1051" s="78"/>
      <c r="B1051" s="149"/>
      <c r="C1051" s="149" t="s">
        <v>4628</v>
      </c>
      <c r="D1051" s="149" t="s">
        <v>95</v>
      </c>
      <c r="E1051" s="149" t="s">
        <v>2533</v>
      </c>
      <c r="F1051" s="78"/>
      <c r="G1051" s="150" t="s">
        <v>4629</v>
      </c>
      <c r="H1051" s="78"/>
      <c r="I1051" s="151"/>
      <c r="J1051" s="168" t="s">
        <v>4630</v>
      </c>
      <c r="K1051" s="78"/>
      <c r="L1051" s="149" t="s">
        <v>78</v>
      </c>
      <c r="M1051" s="152">
        <v>44907</v>
      </c>
      <c r="N1051" s="149" t="s">
        <v>2561</v>
      </c>
      <c r="O1051" s="149" t="s">
        <v>78</v>
      </c>
      <c r="P1051" s="152">
        <v>44911</v>
      </c>
      <c r="Q1051" s="149" t="s">
        <v>2561</v>
      </c>
      <c r="R1051" s="78"/>
      <c r="S1051" s="153"/>
      <c r="T1051" s="78"/>
      <c r="U1051" s="78"/>
      <c r="V1051" s="152"/>
      <c r="W1051" s="78"/>
      <c r="X1051" s="78"/>
    </row>
    <row r="1052" spans="1:35" ht="42" customHeight="1">
      <c r="A1052" s="160"/>
      <c r="B1052" s="161"/>
      <c r="C1052" s="161" t="s">
        <v>4631</v>
      </c>
      <c r="D1052" s="161" t="s">
        <v>95</v>
      </c>
      <c r="E1052" s="161" t="s">
        <v>2533</v>
      </c>
      <c r="F1052" s="160"/>
      <c r="G1052" s="156" t="s">
        <v>4632</v>
      </c>
      <c r="H1052" s="160"/>
      <c r="I1052" s="170"/>
      <c r="J1052" s="163" t="s">
        <v>4633</v>
      </c>
      <c r="K1052" s="160"/>
      <c r="L1052" s="161" t="s">
        <v>78</v>
      </c>
      <c r="M1052" s="164">
        <v>44907</v>
      </c>
      <c r="N1052" s="161" t="s">
        <v>2699</v>
      </c>
      <c r="O1052" s="160"/>
      <c r="P1052" s="165"/>
      <c r="Q1052" s="160"/>
      <c r="R1052" s="160"/>
      <c r="S1052" s="165"/>
      <c r="T1052" s="160"/>
      <c r="U1052" s="160"/>
      <c r="V1052" s="164"/>
      <c r="W1052" s="160"/>
      <c r="X1052" s="160"/>
      <c r="Y1052" s="166"/>
      <c r="Z1052" s="166"/>
      <c r="AA1052" s="166"/>
      <c r="AB1052" s="166"/>
      <c r="AC1052" s="166"/>
      <c r="AD1052" s="166"/>
      <c r="AE1052" s="166"/>
      <c r="AF1052" s="166"/>
      <c r="AG1052" s="166"/>
      <c r="AH1052" s="166"/>
      <c r="AI1052" s="166"/>
    </row>
    <row r="1053" spans="1:35" ht="42" customHeight="1">
      <c r="A1053" s="78"/>
      <c r="B1053" s="149"/>
      <c r="C1053" s="161" t="s">
        <v>4634</v>
      </c>
      <c r="D1053" s="149" t="s">
        <v>95</v>
      </c>
      <c r="E1053" s="149" t="s">
        <v>2533</v>
      </c>
      <c r="F1053" s="78"/>
      <c r="G1053" s="150" t="s">
        <v>4635</v>
      </c>
      <c r="H1053" s="78"/>
      <c r="I1053" s="151"/>
      <c r="J1053" s="158" t="s">
        <v>4636</v>
      </c>
      <c r="K1053" s="78"/>
      <c r="L1053" s="149" t="s">
        <v>78</v>
      </c>
      <c r="M1053" s="152">
        <v>44907</v>
      </c>
      <c r="N1053" s="149" t="s">
        <v>2561</v>
      </c>
      <c r="O1053" s="78"/>
      <c r="P1053" s="153"/>
      <c r="Q1053" s="78"/>
      <c r="R1053" s="78"/>
      <c r="S1053" s="153"/>
      <c r="T1053" s="78"/>
      <c r="U1053" s="78"/>
      <c r="V1053" s="152"/>
      <c r="W1053" s="78"/>
      <c r="X1053" s="78"/>
    </row>
    <row r="1054" spans="1:35" ht="42" customHeight="1">
      <c r="A1054" s="78"/>
      <c r="B1054" s="149"/>
      <c r="C1054" s="149" t="s">
        <v>4637</v>
      </c>
      <c r="D1054" s="149" t="s">
        <v>95</v>
      </c>
      <c r="E1054" s="149" t="s">
        <v>2533</v>
      </c>
      <c r="F1054" s="78"/>
      <c r="G1054" s="150" t="s">
        <v>4638</v>
      </c>
      <c r="H1054" s="78"/>
      <c r="I1054" s="157" t="s">
        <v>4639</v>
      </c>
      <c r="J1054" s="168" t="s">
        <v>4640</v>
      </c>
      <c r="K1054" s="78"/>
      <c r="L1054" s="149" t="s">
        <v>98</v>
      </c>
      <c r="M1054" s="152">
        <v>44907</v>
      </c>
      <c r="N1054" s="149" t="s">
        <v>2635</v>
      </c>
      <c r="O1054" s="149" t="s">
        <v>78</v>
      </c>
      <c r="P1054" s="152">
        <v>44911</v>
      </c>
      <c r="Q1054" s="149" t="s">
        <v>2561</v>
      </c>
      <c r="R1054" s="78"/>
      <c r="S1054" s="153"/>
      <c r="T1054" s="78"/>
      <c r="U1054" s="78"/>
      <c r="V1054" s="152"/>
      <c r="W1054" s="78"/>
      <c r="X1054" s="78"/>
    </row>
    <row r="1055" spans="1:35" ht="42" customHeight="1">
      <c r="A1055" s="78"/>
      <c r="B1055" s="149"/>
      <c r="C1055" s="149" t="s">
        <v>380</v>
      </c>
      <c r="D1055" s="149" t="s">
        <v>95</v>
      </c>
      <c r="E1055" s="149" t="s">
        <v>2533</v>
      </c>
      <c r="F1055" s="149"/>
      <c r="G1055" s="150" t="s">
        <v>381</v>
      </c>
      <c r="H1055" s="78"/>
      <c r="I1055" s="151"/>
      <c r="J1055" s="168" t="s">
        <v>382</v>
      </c>
      <c r="K1055" s="78"/>
      <c r="L1055" s="149" t="s">
        <v>78</v>
      </c>
      <c r="M1055" s="152">
        <v>44907</v>
      </c>
      <c r="N1055" s="149" t="s">
        <v>2561</v>
      </c>
      <c r="O1055" s="149" t="s">
        <v>78</v>
      </c>
      <c r="P1055" s="152">
        <v>44911</v>
      </c>
      <c r="Q1055" s="149" t="s">
        <v>2566</v>
      </c>
      <c r="R1055" s="78"/>
      <c r="S1055" s="153"/>
      <c r="T1055" s="78"/>
      <c r="U1055" s="78"/>
      <c r="V1055" s="152"/>
      <c r="W1055" s="78"/>
      <c r="X1055" s="78"/>
    </row>
    <row r="1056" spans="1:35" ht="42" customHeight="1">
      <c r="A1056" s="78"/>
      <c r="B1056" s="149"/>
      <c r="C1056" s="149" t="s">
        <v>4641</v>
      </c>
      <c r="D1056" s="149" t="s">
        <v>95</v>
      </c>
      <c r="E1056" s="149" t="s">
        <v>2533</v>
      </c>
      <c r="F1056" s="78"/>
      <c r="G1056" s="150" t="s">
        <v>4642</v>
      </c>
      <c r="H1056" s="78"/>
      <c r="I1056" s="157" t="s">
        <v>4643</v>
      </c>
      <c r="J1056" s="158" t="s">
        <v>4644</v>
      </c>
      <c r="K1056" s="78"/>
      <c r="L1056" s="149" t="s">
        <v>98</v>
      </c>
      <c r="M1056" s="152">
        <v>44907</v>
      </c>
      <c r="N1056" s="149" t="s">
        <v>2635</v>
      </c>
      <c r="O1056" s="149" t="s">
        <v>98</v>
      </c>
      <c r="P1056" s="152">
        <v>44911</v>
      </c>
      <c r="Q1056" s="149" t="s">
        <v>2635</v>
      </c>
      <c r="R1056" s="78"/>
      <c r="S1056" s="153"/>
      <c r="T1056" s="78"/>
      <c r="U1056" s="78"/>
      <c r="V1056" s="152"/>
      <c r="W1056" s="78"/>
      <c r="X1056" s="78"/>
    </row>
    <row r="1057" spans="1:35" ht="42" customHeight="1">
      <c r="A1057" s="78"/>
      <c r="B1057" s="149"/>
      <c r="C1057" s="149" t="s">
        <v>4645</v>
      </c>
      <c r="D1057" s="149" t="s">
        <v>95</v>
      </c>
      <c r="E1057" s="149" t="s">
        <v>2533</v>
      </c>
      <c r="F1057" s="78"/>
      <c r="G1057" s="150" t="s">
        <v>4646</v>
      </c>
      <c r="H1057" s="78"/>
      <c r="I1057" s="151"/>
      <c r="J1057" s="158" t="s">
        <v>4647</v>
      </c>
      <c r="K1057" s="78"/>
      <c r="L1057" s="149" t="s">
        <v>98</v>
      </c>
      <c r="M1057" s="152">
        <v>44907</v>
      </c>
      <c r="N1057" s="149" t="s">
        <v>2635</v>
      </c>
      <c r="O1057" s="149" t="s">
        <v>78</v>
      </c>
      <c r="P1057" s="152">
        <v>44911</v>
      </c>
      <c r="Q1057" s="149" t="s">
        <v>2623</v>
      </c>
      <c r="R1057" s="78"/>
      <c r="S1057" s="153"/>
      <c r="T1057" s="78"/>
      <c r="U1057" s="78"/>
      <c r="V1057" s="152"/>
      <c r="W1057" s="78"/>
      <c r="X1057" s="78"/>
    </row>
    <row r="1058" spans="1:35" ht="42" customHeight="1">
      <c r="A1058" s="78"/>
      <c r="B1058" s="149"/>
      <c r="C1058" s="149" t="s">
        <v>4648</v>
      </c>
      <c r="D1058" s="149" t="s">
        <v>95</v>
      </c>
      <c r="E1058" s="149" t="s">
        <v>2533</v>
      </c>
      <c r="F1058" s="78"/>
      <c r="G1058" s="150" t="s">
        <v>4649</v>
      </c>
      <c r="H1058" s="78"/>
      <c r="I1058" s="151"/>
      <c r="J1058" s="168" t="s">
        <v>4650</v>
      </c>
      <c r="K1058" s="78"/>
      <c r="L1058" s="149" t="s">
        <v>78</v>
      </c>
      <c r="M1058" s="152">
        <v>44907</v>
      </c>
      <c r="N1058" s="149" t="s">
        <v>2552</v>
      </c>
      <c r="O1058" s="149" t="s">
        <v>98</v>
      </c>
      <c r="P1058" s="152">
        <v>44911</v>
      </c>
      <c r="Q1058" s="149" t="s">
        <v>2635</v>
      </c>
      <c r="R1058" s="78"/>
      <c r="S1058" s="153"/>
      <c r="T1058" s="78"/>
      <c r="U1058" s="78"/>
      <c r="V1058" s="152"/>
      <c r="W1058" s="78"/>
      <c r="X1058" s="78"/>
    </row>
    <row r="1059" spans="1:35" ht="42" customHeight="1">
      <c r="A1059" s="78"/>
      <c r="B1059" s="149"/>
      <c r="C1059" s="149" t="s">
        <v>4651</v>
      </c>
      <c r="D1059" s="149" t="s">
        <v>95</v>
      </c>
      <c r="E1059" s="149" t="s">
        <v>2533</v>
      </c>
      <c r="F1059" s="78"/>
      <c r="G1059" s="150"/>
      <c r="H1059" s="78"/>
      <c r="I1059" s="157" t="s">
        <v>4652</v>
      </c>
      <c r="J1059" s="78"/>
      <c r="K1059" s="78"/>
      <c r="L1059" s="149" t="s">
        <v>7</v>
      </c>
      <c r="M1059" s="152">
        <v>44907</v>
      </c>
      <c r="N1059" s="149" t="s">
        <v>2551</v>
      </c>
      <c r="O1059" s="78"/>
      <c r="P1059" s="153"/>
      <c r="Q1059" s="78"/>
      <c r="R1059" s="78"/>
      <c r="S1059" s="153"/>
      <c r="T1059" s="78"/>
      <c r="U1059" s="78"/>
      <c r="V1059" s="152"/>
      <c r="W1059" s="78"/>
      <c r="X1059" s="78"/>
    </row>
    <row r="1060" spans="1:35" ht="42" customHeight="1">
      <c r="A1060" s="160"/>
      <c r="B1060" s="161"/>
      <c r="C1060" s="161" t="s">
        <v>4653</v>
      </c>
      <c r="D1060" s="161" t="s">
        <v>95</v>
      </c>
      <c r="E1060" s="161" t="s">
        <v>2533</v>
      </c>
      <c r="F1060" s="160"/>
      <c r="G1060" s="156" t="s">
        <v>4654</v>
      </c>
      <c r="H1060" s="160"/>
      <c r="I1060" s="171"/>
      <c r="J1060" s="163" t="s">
        <v>4655</v>
      </c>
      <c r="K1060" s="160"/>
      <c r="L1060" s="161" t="s">
        <v>78</v>
      </c>
      <c r="M1060" s="164">
        <v>44907</v>
      </c>
      <c r="N1060" s="161" t="s">
        <v>2699</v>
      </c>
      <c r="O1060" s="160"/>
      <c r="P1060" s="165"/>
      <c r="Q1060" s="160"/>
      <c r="R1060" s="160"/>
      <c r="S1060" s="165"/>
      <c r="T1060" s="160"/>
      <c r="U1060" s="160"/>
      <c r="V1060" s="164"/>
      <c r="W1060" s="160"/>
      <c r="X1060" s="160"/>
      <c r="Y1060" s="166"/>
      <c r="Z1060" s="166"/>
      <c r="AA1060" s="166"/>
      <c r="AB1060" s="166"/>
      <c r="AC1060" s="166"/>
      <c r="AD1060" s="166"/>
      <c r="AE1060" s="166"/>
      <c r="AF1060" s="166"/>
      <c r="AG1060" s="166"/>
      <c r="AH1060" s="166"/>
      <c r="AI1060" s="166"/>
    </row>
    <row r="1061" spans="1:35" ht="42" customHeight="1">
      <c r="A1061" s="78"/>
      <c r="B1061" s="149"/>
      <c r="C1061" s="149" t="s">
        <v>4656</v>
      </c>
      <c r="D1061" s="149" t="s">
        <v>95</v>
      </c>
      <c r="E1061" s="149" t="s">
        <v>2533</v>
      </c>
      <c r="F1061" s="78"/>
      <c r="G1061" s="150" t="s">
        <v>4657</v>
      </c>
      <c r="H1061" s="78"/>
      <c r="I1061" s="151"/>
      <c r="J1061" s="168" t="s">
        <v>4658</v>
      </c>
      <c r="K1061" s="78"/>
      <c r="L1061" s="149" t="s">
        <v>98</v>
      </c>
      <c r="M1061" s="152">
        <v>44907</v>
      </c>
      <c r="N1061" s="149" t="s">
        <v>2561</v>
      </c>
      <c r="O1061" s="149" t="s">
        <v>98</v>
      </c>
      <c r="P1061" s="152">
        <v>44911</v>
      </c>
      <c r="Q1061" s="149" t="s">
        <v>2635</v>
      </c>
      <c r="R1061" s="78"/>
      <c r="S1061" s="153"/>
      <c r="T1061" s="78"/>
      <c r="U1061" s="78"/>
      <c r="V1061" s="152"/>
      <c r="W1061" s="78"/>
      <c r="X1061" s="78"/>
    </row>
    <row r="1062" spans="1:35" ht="42" customHeight="1">
      <c r="A1062" s="78"/>
      <c r="B1062" s="149"/>
      <c r="C1062" s="149" t="s">
        <v>4659</v>
      </c>
      <c r="D1062" s="149" t="s">
        <v>95</v>
      </c>
      <c r="E1062" s="149" t="s">
        <v>2533</v>
      </c>
      <c r="F1062" s="78"/>
      <c r="G1062" s="150" t="s">
        <v>4660</v>
      </c>
      <c r="H1062" s="78"/>
      <c r="I1062" s="151"/>
      <c r="J1062" s="168" t="s">
        <v>4661</v>
      </c>
      <c r="K1062" s="78"/>
      <c r="L1062" s="149" t="s">
        <v>78</v>
      </c>
      <c r="M1062" s="152">
        <v>44907</v>
      </c>
      <c r="N1062" s="149" t="s">
        <v>2561</v>
      </c>
      <c r="O1062" s="149" t="s">
        <v>98</v>
      </c>
      <c r="P1062" s="152">
        <v>44911</v>
      </c>
      <c r="Q1062" s="149" t="s">
        <v>2561</v>
      </c>
      <c r="R1062" s="78"/>
      <c r="S1062" s="153"/>
      <c r="T1062" s="78"/>
      <c r="U1062" s="78"/>
      <c r="V1062" s="152"/>
      <c r="W1062" s="78"/>
      <c r="X1062" s="78"/>
    </row>
    <row r="1063" spans="1:35" ht="42" customHeight="1">
      <c r="A1063" s="160"/>
      <c r="B1063" s="161"/>
      <c r="C1063" s="161" t="s">
        <v>4662</v>
      </c>
      <c r="D1063" s="161" t="s">
        <v>95</v>
      </c>
      <c r="E1063" s="161" t="s">
        <v>2533</v>
      </c>
      <c r="F1063" s="160"/>
      <c r="G1063" s="156" t="s">
        <v>4663</v>
      </c>
      <c r="H1063" s="160"/>
      <c r="I1063" s="170"/>
      <c r="J1063" s="163" t="s">
        <v>4664</v>
      </c>
      <c r="K1063" s="160"/>
      <c r="L1063" s="161" t="s">
        <v>78</v>
      </c>
      <c r="M1063" s="164">
        <v>44907</v>
      </c>
      <c r="N1063" s="161" t="s">
        <v>4352</v>
      </c>
      <c r="O1063" s="160"/>
      <c r="P1063" s="165"/>
      <c r="Q1063" s="160"/>
      <c r="R1063" s="160"/>
      <c r="S1063" s="165"/>
      <c r="T1063" s="160"/>
      <c r="U1063" s="160"/>
      <c r="V1063" s="164"/>
      <c r="W1063" s="160"/>
      <c r="X1063" s="160"/>
      <c r="Y1063" s="166"/>
      <c r="Z1063" s="166"/>
      <c r="AA1063" s="166"/>
      <c r="AB1063" s="166"/>
      <c r="AC1063" s="166"/>
      <c r="AD1063" s="166"/>
      <c r="AE1063" s="166"/>
      <c r="AF1063" s="166"/>
      <c r="AG1063" s="166"/>
      <c r="AH1063" s="166"/>
      <c r="AI1063" s="166"/>
    </row>
    <row r="1064" spans="1:35" ht="42" customHeight="1">
      <c r="A1064" s="78"/>
      <c r="B1064" s="149"/>
      <c r="C1064" s="149" t="s">
        <v>4665</v>
      </c>
      <c r="D1064" s="149" t="s">
        <v>95</v>
      </c>
      <c r="E1064" s="149" t="s">
        <v>2533</v>
      </c>
      <c r="F1064" s="78"/>
      <c r="G1064" s="133" t="s">
        <v>4666</v>
      </c>
      <c r="H1064" s="78"/>
      <c r="I1064" s="151"/>
      <c r="J1064" s="168" t="s">
        <v>4667</v>
      </c>
      <c r="K1064" s="78"/>
      <c r="L1064" s="149" t="s">
        <v>98</v>
      </c>
      <c r="M1064" s="152">
        <v>44907</v>
      </c>
      <c r="N1064" s="149" t="s">
        <v>2635</v>
      </c>
      <c r="O1064" s="149" t="s">
        <v>98</v>
      </c>
      <c r="P1064" s="152">
        <v>44911</v>
      </c>
      <c r="Q1064" s="149" t="s">
        <v>2635</v>
      </c>
      <c r="R1064" s="78"/>
      <c r="S1064" s="153"/>
      <c r="T1064" s="78"/>
      <c r="U1064" s="78"/>
      <c r="V1064" s="152"/>
      <c r="W1064" s="78"/>
      <c r="X1064" s="78"/>
    </row>
    <row r="1065" spans="1:35" ht="42" customHeight="1">
      <c r="A1065" s="78"/>
      <c r="B1065" s="149"/>
      <c r="C1065" s="149" t="s">
        <v>4668</v>
      </c>
      <c r="D1065" s="149" t="s">
        <v>95</v>
      </c>
      <c r="E1065" s="149" t="s">
        <v>2533</v>
      </c>
      <c r="F1065" s="78"/>
      <c r="G1065" s="150" t="s">
        <v>4669</v>
      </c>
      <c r="H1065" s="78"/>
      <c r="I1065" s="151"/>
      <c r="J1065" s="158" t="s">
        <v>4670</v>
      </c>
      <c r="K1065" s="78"/>
      <c r="L1065" s="149" t="s">
        <v>78</v>
      </c>
      <c r="M1065" s="152">
        <v>44907</v>
      </c>
      <c r="N1065" s="149" t="s">
        <v>2561</v>
      </c>
      <c r="O1065" s="149" t="s">
        <v>98</v>
      </c>
      <c r="P1065" s="152">
        <v>44911</v>
      </c>
      <c r="Q1065" s="149" t="s">
        <v>2635</v>
      </c>
      <c r="R1065" s="78"/>
      <c r="S1065" s="153"/>
      <c r="T1065" s="78"/>
      <c r="U1065" s="78"/>
      <c r="V1065" s="152"/>
      <c r="W1065" s="78"/>
      <c r="X1065" s="78"/>
    </row>
    <row r="1066" spans="1:35" ht="42" customHeight="1">
      <c r="A1066" s="78"/>
      <c r="B1066" s="149"/>
      <c r="C1066" s="172" t="s">
        <v>4671</v>
      </c>
      <c r="D1066" s="149" t="s">
        <v>95</v>
      </c>
      <c r="E1066" s="149" t="s">
        <v>2533</v>
      </c>
      <c r="F1066" s="78"/>
      <c r="G1066" s="150" t="s">
        <v>4672</v>
      </c>
      <c r="H1066" s="78"/>
      <c r="I1066" s="157" t="s">
        <v>4673</v>
      </c>
      <c r="J1066" s="168" t="s">
        <v>4674</v>
      </c>
      <c r="K1066" s="78"/>
      <c r="L1066" s="149" t="s">
        <v>7</v>
      </c>
      <c r="M1066" s="152">
        <v>44907</v>
      </c>
      <c r="N1066" s="149" t="s">
        <v>2551</v>
      </c>
      <c r="O1066" s="149" t="s">
        <v>78</v>
      </c>
      <c r="P1066" s="152">
        <v>44911</v>
      </c>
      <c r="Q1066" s="149" t="s">
        <v>2561</v>
      </c>
      <c r="R1066" s="78"/>
      <c r="S1066" s="153"/>
      <c r="T1066" s="78"/>
      <c r="U1066" s="78"/>
      <c r="V1066" s="152"/>
      <c r="W1066" s="78"/>
      <c r="X1066" s="78"/>
    </row>
    <row r="1067" spans="1:35" ht="42" customHeight="1">
      <c r="A1067" s="78"/>
      <c r="B1067" s="149"/>
      <c r="C1067" s="161" t="s">
        <v>4675</v>
      </c>
      <c r="D1067" s="149" t="s">
        <v>95</v>
      </c>
      <c r="E1067" s="149" t="s">
        <v>2533</v>
      </c>
      <c r="F1067" s="78"/>
      <c r="G1067" s="150" t="s">
        <v>4676</v>
      </c>
      <c r="H1067" s="78"/>
      <c r="I1067" s="151"/>
      <c r="J1067" s="158" t="s">
        <v>4677</v>
      </c>
      <c r="K1067" s="78"/>
      <c r="L1067" s="149" t="s">
        <v>78</v>
      </c>
      <c r="M1067" s="152">
        <v>44907</v>
      </c>
      <c r="N1067" s="149" t="s">
        <v>2561</v>
      </c>
      <c r="O1067" s="78"/>
      <c r="P1067" s="153"/>
      <c r="Q1067" s="78"/>
      <c r="R1067" s="78"/>
      <c r="S1067" s="153"/>
      <c r="T1067" s="78"/>
      <c r="U1067" s="78"/>
      <c r="V1067" s="152"/>
      <c r="W1067" s="78"/>
      <c r="X1067" s="78"/>
    </row>
    <row r="1068" spans="1:35" ht="42" customHeight="1">
      <c r="A1068" s="78"/>
      <c r="B1068" s="149"/>
      <c r="C1068" s="149" t="s">
        <v>4678</v>
      </c>
      <c r="D1068" s="149" t="s">
        <v>95</v>
      </c>
      <c r="E1068" s="149" t="s">
        <v>2533</v>
      </c>
      <c r="F1068" s="78"/>
      <c r="G1068" s="150" t="s">
        <v>4679</v>
      </c>
      <c r="H1068" s="78"/>
      <c r="I1068" s="151"/>
      <c r="J1068" s="168" t="s">
        <v>4680</v>
      </c>
      <c r="K1068" s="78"/>
      <c r="L1068" s="149" t="s">
        <v>78</v>
      </c>
      <c r="M1068" s="152">
        <v>44907</v>
      </c>
      <c r="N1068" s="149" t="s">
        <v>2561</v>
      </c>
      <c r="O1068" s="149" t="s">
        <v>98</v>
      </c>
      <c r="P1068" s="152">
        <v>44911</v>
      </c>
      <c r="Q1068" s="149" t="s">
        <v>2635</v>
      </c>
      <c r="R1068" s="78"/>
      <c r="S1068" s="153"/>
      <c r="T1068" s="78"/>
      <c r="U1068" s="78"/>
      <c r="V1068" s="152"/>
      <c r="W1068" s="78"/>
      <c r="X1068" s="78"/>
    </row>
    <row r="1069" spans="1:35" ht="42" customHeight="1">
      <c r="A1069" s="78"/>
      <c r="B1069" s="149"/>
      <c r="C1069" s="149" t="s">
        <v>4681</v>
      </c>
      <c r="D1069" s="149" t="s">
        <v>95</v>
      </c>
      <c r="E1069" s="149" t="s">
        <v>2533</v>
      </c>
      <c r="F1069" s="78"/>
      <c r="G1069" s="150" t="s">
        <v>4682</v>
      </c>
      <c r="H1069" s="78"/>
      <c r="I1069" s="157"/>
      <c r="J1069" s="168" t="s">
        <v>4683</v>
      </c>
      <c r="K1069" s="78"/>
      <c r="L1069" s="149" t="s">
        <v>78</v>
      </c>
      <c r="M1069" s="152">
        <v>44907</v>
      </c>
      <c r="N1069" s="149" t="s">
        <v>2538</v>
      </c>
      <c r="O1069" s="149" t="s">
        <v>78</v>
      </c>
      <c r="P1069" s="152">
        <v>44911</v>
      </c>
      <c r="Q1069" s="149" t="s">
        <v>2538</v>
      </c>
      <c r="R1069" s="78"/>
      <c r="S1069" s="153"/>
      <c r="T1069" s="78"/>
      <c r="U1069" s="78"/>
      <c r="V1069" s="152"/>
      <c r="W1069" s="78"/>
      <c r="X1069" s="78"/>
    </row>
    <row r="1070" spans="1:35" ht="42" customHeight="1">
      <c r="A1070" s="78"/>
      <c r="B1070" s="149"/>
      <c r="C1070" s="172" t="s">
        <v>4684</v>
      </c>
      <c r="D1070" s="149" t="s">
        <v>95</v>
      </c>
      <c r="E1070" s="149" t="s">
        <v>2533</v>
      </c>
      <c r="F1070" s="78"/>
      <c r="G1070" s="150" t="s">
        <v>4685</v>
      </c>
      <c r="H1070" s="78"/>
      <c r="I1070" s="151"/>
      <c r="J1070" s="168" t="s">
        <v>4686</v>
      </c>
      <c r="K1070" s="78"/>
      <c r="L1070" s="149" t="s">
        <v>78</v>
      </c>
      <c r="M1070" s="152">
        <v>44907</v>
      </c>
      <c r="N1070" s="149" t="s">
        <v>2561</v>
      </c>
      <c r="O1070" s="149" t="s">
        <v>78</v>
      </c>
      <c r="P1070" s="152">
        <v>44911</v>
      </c>
      <c r="Q1070" s="149" t="s">
        <v>2573</v>
      </c>
      <c r="R1070" s="78"/>
      <c r="S1070" s="153"/>
      <c r="T1070" s="78"/>
      <c r="U1070" s="78"/>
      <c r="V1070" s="152"/>
      <c r="W1070" s="78"/>
      <c r="X1070" s="78"/>
    </row>
    <row r="1071" spans="1:35" ht="42" customHeight="1">
      <c r="A1071" s="160"/>
      <c r="B1071" s="161"/>
      <c r="C1071" s="161" t="s">
        <v>4687</v>
      </c>
      <c r="D1071" s="161" t="s">
        <v>95</v>
      </c>
      <c r="E1071" s="161" t="s">
        <v>2533</v>
      </c>
      <c r="F1071" s="160"/>
      <c r="G1071" s="156" t="s">
        <v>4688</v>
      </c>
      <c r="H1071" s="160"/>
      <c r="I1071" s="170"/>
      <c r="J1071" s="173" t="s">
        <v>4689</v>
      </c>
      <c r="K1071" s="160"/>
      <c r="L1071" s="161" t="s">
        <v>78</v>
      </c>
      <c r="M1071" s="164">
        <v>44907</v>
      </c>
      <c r="N1071" s="161" t="s">
        <v>2561</v>
      </c>
      <c r="O1071" s="160"/>
      <c r="P1071" s="165"/>
      <c r="Q1071" s="160"/>
      <c r="R1071" s="160"/>
      <c r="S1071" s="165"/>
      <c r="T1071" s="160"/>
      <c r="U1071" s="160"/>
      <c r="V1071" s="164"/>
      <c r="W1071" s="160"/>
      <c r="X1071" s="160"/>
      <c r="Y1071" s="166"/>
      <c r="Z1071" s="166"/>
      <c r="AA1071" s="166"/>
      <c r="AB1071" s="166"/>
      <c r="AC1071" s="166"/>
      <c r="AD1071" s="166"/>
      <c r="AE1071" s="166"/>
      <c r="AF1071" s="166"/>
      <c r="AG1071" s="166"/>
      <c r="AH1071" s="166"/>
      <c r="AI1071" s="166"/>
    </row>
    <row r="1072" spans="1:35" ht="42" customHeight="1">
      <c r="A1072" s="78"/>
      <c r="B1072" s="149"/>
      <c r="C1072" s="172" t="s">
        <v>4690</v>
      </c>
      <c r="D1072" s="149" t="s">
        <v>95</v>
      </c>
      <c r="E1072" s="149" t="s">
        <v>2533</v>
      </c>
      <c r="F1072" s="78"/>
      <c r="G1072" s="150" t="s">
        <v>4691</v>
      </c>
      <c r="H1072" s="78"/>
      <c r="I1072" s="151"/>
      <c r="J1072" s="158" t="s">
        <v>4692</v>
      </c>
      <c r="K1072" s="78"/>
      <c r="L1072" s="149" t="s">
        <v>98</v>
      </c>
      <c r="M1072" s="152">
        <v>44907</v>
      </c>
      <c r="N1072" s="149" t="s">
        <v>2635</v>
      </c>
      <c r="O1072" s="149" t="s">
        <v>78</v>
      </c>
      <c r="P1072" s="152">
        <v>44911</v>
      </c>
      <c r="Q1072" s="149" t="s">
        <v>2573</v>
      </c>
      <c r="R1072" s="78"/>
      <c r="S1072" s="153"/>
      <c r="T1072" s="78"/>
      <c r="U1072" s="78"/>
      <c r="V1072" s="152"/>
      <c r="W1072" s="78"/>
      <c r="X1072" s="78"/>
    </row>
    <row r="1073" spans="1:35" ht="42" customHeight="1">
      <c r="A1073" s="78"/>
      <c r="B1073" s="149"/>
      <c r="C1073" s="149" t="s">
        <v>4693</v>
      </c>
      <c r="D1073" s="149" t="s">
        <v>95</v>
      </c>
      <c r="E1073" s="149" t="s">
        <v>2533</v>
      </c>
      <c r="F1073" s="78"/>
      <c r="G1073" s="150" t="s">
        <v>392</v>
      </c>
      <c r="H1073" s="78"/>
      <c r="I1073" s="151"/>
      <c r="J1073" s="168" t="s">
        <v>393</v>
      </c>
      <c r="K1073" s="78"/>
      <c r="L1073" s="149" t="s">
        <v>98</v>
      </c>
      <c r="M1073" s="152">
        <v>44907</v>
      </c>
      <c r="N1073" s="149" t="s">
        <v>2561</v>
      </c>
      <c r="O1073" s="149" t="s">
        <v>98</v>
      </c>
      <c r="P1073" s="152">
        <v>44911</v>
      </c>
      <c r="Q1073" s="149" t="s">
        <v>2635</v>
      </c>
      <c r="R1073" s="78"/>
      <c r="S1073" s="153"/>
      <c r="T1073" s="78"/>
      <c r="U1073" s="78"/>
      <c r="V1073" s="152"/>
      <c r="W1073" s="78"/>
      <c r="X1073" s="78"/>
    </row>
    <row r="1074" spans="1:35" ht="42" customHeight="1">
      <c r="A1074" s="78"/>
      <c r="B1074" s="149"/>
      <c r="C1074" s="154" t="s">
        <v>4694</v>
      </c>
      <c r="D1074" s="149" t="s">
        <v>95</v>
      </c>
      <c r="E1074" s="149" t="s">
        <v>2533</v>
      </c>
      <c r="F1074" s="78"/>
      <c r="G1074" s="150" t="s">
        <v>4695</v>
      </c>
      <c r="H1074" s="78"/>
      <c r="I1074" s="151"/>
      <c r="J1074" s="168" t="s">
        <v>4696</v>
      </c>
      <c r="K1074" s="78"/>
      <c r="L1074" s="149" t="s">
        <v>98</v>
      </c>
      <c r="M1074" s="152">
        <v>44907</v>
      </c>
      <c r="N1074" s="149" t="s">
        <v>2635</v>
      </c>
      <c r="O1074" s="149" t="s">
        <v>78</v>
      </c>
      <c r="P1074" s="152">
        <v>44911</v>
      </c>
      <c r="Q1074" s="149" t="s">
        <v>2561</v>
      </c>
      <c r="R1074" s="78"/>
      <c r="S1074" s="153"/>
      <c r="T1074" s="78"/>
      <c r="U1074" s="78"/>
      <c r="V1074" s="152"/>
      <c r="W1074" s="78"/>
      <c r="X1074" s="78"/>
    </row>
    <row r="1075" spans="1:35" ht="42" customHeight="1">
      <c r="A1075" s="78"/>
      <c r="B1075" s="149"/>
      <c r="C1075" s="149" t="s">
        <v>4697</v>
      </c>
      <c r="D1075" s="149" t="s">
        <v>95</v>
      </c>
      <c r="E1075" s="149" t="s">
        <v>2533</v>
      </c>
      <c r="F1075" s="78"/>
      <c r="G1075" s="150" t="s">
        <v>4698</v>
      </c>
      <c r="H1075" s="78"/>
      <c r="I1075" s="151"/>
      <c r="J1075" s="158" t="s">
        <v>4699</v>
      </c>
      <c r="K1075" s="78"/>
      <c r="L1075" s="149" t="s">
        <v>78</v>
      </c>
      <c r="M1075" s="152">
        <v>44907</v>
      </c>
      <c r="N1075" s="98" t="s">
        <v>2561</v>
      </c>
      <c r="O1075" s="149" t="s">
        <v>78</v>
      </c>
      <c r="P1075" s="152">
        <v>44911</v>
      </c>
      <c r="Q1075" s="149" t="s">
        <v>2635</v>
      </c>
      <c r="R1075" s="78"/>
      <c r="S1075" s="153"/>
      <c r="T1075" s="78"/>
      <c r="U1075" s="78"/>
      <c r="V1075" s="152"/>
      <c r="W1075" s="78"/>
      <c r="X1075" s="78"/>
    </row>
    <row r="1076" spans="1:35" ht="42" customHeight="1">
      <c r="A1076" s="78"/>
      <c r="B1076" s="149"/>
      <c r="C1076" s="154" t="s">
        <v>4700</v>
      </c>
      <c r="D1076" s="149" t="s">
        <v>95</v>
      </c>
      <c r="E1076" s="149" t="s">
        <v>2533</v>
      </c>
      <c r="F1076" s="78"/>
      <c r="G1076" s="150" t="s">
        <v>4701</v>
      </c>
      <c r="H1076" s="78"/>
      <c r="I1076" s="151"/>
      <c r="J1076" s="158" t="s">
        <v>4702</v>
      </c>
      <c r="K1076" s="78"/>
      <c r="L1076" s="149" t="s">
        <v>98</v>
      </c>
      <c r="M1076" s="152">
        <v>44907</v>
      </c>
      <c r="N1076" s="149" t="s">
        <v>2635</v>
      </c>
      <c r="O1076" s="149" t="s">
        <v>78</v>
      </c>
      <c r="P1076" s="152">
        <v>44911</v>
      </c>
      <c r="Q1076" s="149" t="s">
        <v>2561</v>
      </c>
      <c r="R1076" s="78"/>
      <c r="S1076" s="153"/>
      <c r="T1076" s="78"/>
      <c r="U1076" s="78"/>
      <c r="V1076" s="152"/>
      <c r="W1076" s="78"/>
      <c r="X1076" s="78"/>
    </row>
    <row r="1077" spans="1:35" ht="42" customHeight="1">
      <c r="A1077" s="78"/>
      <c r="B1077" s="149"/>
      <c r="C1077" s="149" t="s">
        <v>4703</v>
      </c>
      <c r="D1077" s="149" t="s">
        <v>95</v>
      </c>
      <c r="E1077" s="149" t="s">
        <v>2533</v>
      </c>
      <c r="F1077" s="78"/>
      <c r="G1077" s="150" t="s">
        <v>4704</v>
      </c>
      <c r="H1077" s="78"/>
      <c r="I1077" s="151"/>
      <c r="J1077" s="158" t="s">
        <v>4705</v>
      </c>
      <c r="K1077" s="78"/>
      <c r="L1077" s="149" t="s">
        <v>98</v>
      </c>
      <c r="M1077" s="152">
        <v>44907</v>
      </c>
      <c r="N1077" s="149" t="s">
        <v>2635</v>
      </c>
      <c r="O1077" s="149" t="s">
        <v>98</v>
      </c>
      <c r="P1077" s="152">
        <v>44911</v>
      </c>
      <c r="Q1077" s="149" t="s">
        <v>2635</v>
      </c>
      <c r="R1077" s="78"/>
      <c r="S1077" s="153"/>
      <c r="T1077" s="78"/>
      <c r="U1077" s="78"/>
      <c r="V1077" s="152"/>
      <c r="W1077" s="78"/>
      <c r="X1077" s="78"/>
    </row>
    <row r="1078" spans="1:35" ht="42" customHeight="1">
      <c r="A1078" s="78"/>
      <c r="B1078" s="149"/>
      <c r="C1078" s="149" t="s">
        <v>4706</v>
      </c>
      <c r="D1078" s="149" t="s">
        <v>95</v>
      </c>
      <c r="E1078" s="149" t="s">
        <v>2533</v>
      </c>
      <c r="F1078" s="78"/>
      <c r="G1078" s="150" t="s">
        <v>4707</v>
      </c>
      <c r="H1078" s="78"/>
      <c r="I1078" s="151"/>
      <c r="J1078" s="168" t="s">
        <v>4708</v>
      </c>
      <c r="K1078" s="78"/>
      <c r="L1078" s="149" t="s">
        <v>78</v>
      </c>
      <c r="M1078" s="152">
        <v>44907</v>
      </c>
      <c r="N1078" s="149" t="s">
        <v>2561</v>
      </c>
      <c r="O1078" s="149" t="s">
        <v>98</v>
      </c>
      <c r="P1078" s="152">
        <v>44911</v>
      </c>
      <c r="Q1078" s="149" t="s">
        <v>2635</v>
      </c>
      <c r="R1078" s="78"/>
      <c r="S1078" s="153"/>
      <c r="T1078" s="78"/>
      <c r="U1078" s="78"/>
      <c r="V1078" s="152"/>
      <c r="W1078" s="78"/>
      <c r="X1078" s="78"/>
    </row>
    <row r="1079" spans="1:35" ht="42" customHeight="1">
      <c r="A1079" s="78"/>
      <c r="B1079" s="149"/>
      <c r="C1079" s="149" t="s">
        <v>4709</v>
      </c>
      <c r="D1079" s="149" t="s">
        <v>95</v>
      </c>
      <c r="E1079" s="149" t="s">
        <v>2533</v>
      </c>
      <c r="F1079" s="78"/>
      <c r="G1079" s="150" t="s">
        <v>378</v>
      </c>
      <c r="H1079" s="78"/>
      <c r="I1079" s="151"/>
      <c r="J1079" s="158" t="s">
        <v>379</v>
      </c>
      <c r="K1079" s="78"/>
      <c r="L1079" s="149" t="s">
        <v>78</v>
      </c>
      <c r="M1079" s="152">
        <v>44907</v>
      </c>
      <c r="N1079" s="149" t="s">
        <v>2561</v>
      </c>
      <c r="O1079" s="149" t="s">
        <v>78</v>
      </c>
      <c r="P1079" s="152">
        <v>44911</v>
      </c>
      <c r="Q1079" s="149" t="s">
        <v>2566</v>
      </c>
      <c r="R1079" s="78"/>
      <c r="S1079" s="153"/>
      <c r="T1079" s="78"/>
      <c r="U1079" s="78"/>
      <c r="V1079" s="152"/>
      <c r="W1079" s="78"/>
      <c r="X1079" s="78"/>
    </row>
    <row r="1080" spans="1:35" ht="42" customHeight="1">
      <c r="A1080" s="160"/>
      <c r="B1080" s="161"/>
      <c r="C1080" s="161" t="s">
        <v>4710</v>
      </c>
      <c r="D1080" s="161" t="s">
        <v>95</v>
      </c>
      <c r="E1080" s="161" t="s">
        <v>2533</v>
      </c>
      <c r="F1080" s="160"/>
      <c r="G1080" s="156" t="s">
        <v>4711</v>
      </c>
      <c r="H1080" s="160"/>
      <c r="I1080" s="170"/>
      <c r="J1080" s="173" t="s">
        <v>4712</v>
      </c>
      <c r="K1080" s="160"/>
      <c r="L1080" s="161" t="s">
        <v>98</v>
      </c>
      <c r="M1080" s="164">
        <v>44907</v>
      </c>
      <c r="N1080" s="161" t="s">
        <v>2635</v>
      </c>
      <c r="O1080" s="160"/>
      <c r="P1080" s="165"/>
      <c r="Q1080" s="160"/>
      <c r="R1080" s="160"/>
      <c r="S1080" s="165"/>
      <c r="T1080" s="160"/>
      <c r="U1080" s="160"/>
      <c r="V1080" s="164"/>
      <c r="W1080" s="160"/>
      <c r="X1080" s="160"/>
      <c r="Y1080" s="166"/>
      <c r="Z1080" s="166"/>
      <c r="AA1080" s="166"/>
      <c r="AB1080" s="166"/>
      <c r="AC1080" s="166"/>
      <c r="AD1080" s="166"/>
      <c r="AE1080" s="166"/>
      <c r="AF1080" s="166"/>
      <c r="AG1080" s="166"/>
      <c r="AH1080" s="166"/>
      <c r="AI1080" s="166"/>
    </row>
    <row r="1081" spans="1:35" ht="42" customHeight="1">
      <c r="A1081" s="78"/>
      <c r="B1081" s="149"/>
      <c r="C1081" s="149" t="s">
        <v>4713</v>
      </c>
      <c r="D1081" s="149" t="s">
        <v>95</v>
      </c>
      <c r="E1081" s="149" t="s">
        <v>2533</v>
      </c>
      <c r="F1081" s="78"/>
      <c r="G1081" s="150" t="s">
        <v>4714</v>
      </c>
      <c r="H1081" s="78"/>
      <c r="I1081" s="151"/>
      <c r="J1081" s="168" t="s">
        <v>4715</v>
      </c>
      <c r="K1081" s="78"/>
      <c r="L1081" s="149" t="s">
        <v>98</v>
      </c>
      <c r="M1081" s="152">
        <v>44907</v>
      </c>
      <c r="N1081" s="149" t="s">
        <v>2635</v>
      </c>
      <c r="O1081" s="149" t="s">
        <v>78</v>
      </c>
      <c r="P1081" s="152">
        <v>44911</v>
      </c>
      <c r="Q1081" s="149" t="s">
        <v>2635</v>
      </c>
      <c r="R1081" s="78"/>
      <c r="S1081" s="153"/>
      <c r="T1081" s="78"/>
      <c r="U1081" s="78"/>
      <c r="V1081" s="152"/>
      <c r="W1081" s="78"/>
      <c r="X1081" s="78"/>
    </row>
    <row r="1082" spans="1:35" ht="42" customHeight="1">
      <c r="A1082" s="78"/>
      <c r="B1082" s="149"/>
      <c r="C1082" s="149" t="s">
        <v>4716</v>
      </c>
      <c r="D1082" s="149" t="s">
        <v>95</v>
      </c>
      <c r="E1082" s="149" t="s">
        <v>2533</v>
      </c>
      <c r="F1082" s="78"/>
      <c r="G1082" s="150" t="s">
        <v>4717</v>
      </c>
      <c r="H1082" s="78"/>
      <c r="I1082" s="151"/>
      <c r="J1082" s="158" t="s">
        <v>4718</v>
      </c>
      <c r="K1082" s="78"/>
      <c r="L1082" s="149" t="s">
        <v>98</v>
      </c>
      <c r="M1082" s="152">
        <v>44907</v>
      </c>
      <c r="N1082" s="149" t="s">
        <v>2635</v>
      </c>
      <c r="O1082" s="149" t="s">
        <v>98</v>
      </c>
      <c r="P1082" s="152">
        <v>44911</v>
      </c>
      <c r="Q1082" s="149" t="s">
        <v>2635</v>
      </c>
      <c r="R1082" s="78"/>
      <c r="S1082" s="153"/>
      <c r="T1082" s="78"/>
      <c r="U1082" s="78"/>
      <c r="V1082" s="152"/>
      <c r="W1082" s="78"/>
      <c r="X1082" s="78"/>
    </row>
    <row r="1083" spans="1:35" ht="42" customHeight="1">
      <c r="A1083" s="78"/>
      <c r="B1083" s="149"/>
      <c r="C1083" s="149" t="s">
        <v>374</v>
      </c>
      <c r="D1083" s="149" t="s">
        <v>95</v>
      </c>
      <c r="E1083" s="149" t="s">
        <v>2559</v>
      </c>
      <c r="F1083" s="78"/>
      <c r="G1083" s="150" t="s">
        <v>376</v>
      </c>
      <c r="H1083" s="78"/>
      <c r="I1083" s="151"/>
      <c r="J1083" s="78"/>
      <c r="K1083" s="78"/>
      <c r="L1083" s="149" t="s">
        <v>78</v>
      </c>
      <c r="M1083" s="152">
        <v>44908</v>
      </c>
      <c r="N1083" s="149" t="s">
        <v>2566</v>
      </c>
      <c r="O1083" s="78"/>
      <c r="P1083" s="153"/>
      <c r="Q1083" s="78"/>
      <c r="R1083" s="78"/>
      <c r="S1083" s="153"/>
      <c r="T1083" s="78"/>
      <c r="U1083" s="78"/>
      <c r="V1083" s="152"/>
      <c r="W1083" s="78"/>
      <c r="X1083" s="78"/>
    </row>
    <row r="1084" spans="1:35" ht="42" customHeight="1">
      <c r="A1084" s="78"/>
      <c r="B1084" s="149"/>
      <c r="C1084" s="149"/>
      <c r="D1084" s="78"/>
      <c r="E1084" s="78"/>
      <c r="F1084" s="78"/>
      <c r="G1084" s="150"/>
      <c r="H1084" s="78"/>
      <c r="I1084" s="151"/>
      <c r="J1084" s="78"/>
      <c r="K1084" s="78"/>
      <c r="L1084" s="78"/>
      <c r="M1084" s="153"/>
      <c r="N1084" s="78"/>
      <c r="O1084" s="78"/>
      <c r="P1084" s="153"/>
      <c r="Q1084" s="78"/>
      <c r="R1084" s="78"/>
      <c r="S1084" s="153"/>
      <c r="T1084" s="78"/>
      <c r="U1084" s="78"/>
      <c r="V1084" s="152"/>
      <c r="W1084" s="78"/>
      <c r="X1084" s="78"/>
    </row>
    <row r="1085" spans="1:35" ht="42" customHeight="1">
      <c r="A1085" s="78"/>
      <c r="B1085" s="149"/>
      <c r="C1085" s="149"/>
      <c r="D1085" s="78"/>
      <c r="E1085" s="78"/>
      <c r="F1085" s="78"/>
      <c r="G1085" s="150"/>
      <c r="H1085" s="78"/>
      <c r="I1085" s="151"/>
      <c r="J1085" s="78"/>
      <c r="K1085" s="78"/>
      <c r="L1085" s="78"/>
      <c r="M1085" s="153"/>
      <c r="N1085" s="78"/>
      <c r="O1085" s="78"/>
      <c r="P1085" s="153"/>
      <c r="Q1085" s="78"/>
      <c r="R1085" s="78"/>
      <c r="S1085" s="153"/>
      <c r="T1085" s="78"/>
      <c r="U1085" s="78"/>
      <c r="V1085" s="152"/>
      <c r="W1085" s="78"/>
      <c r="X1085" s="78"/>
    </row>
    <row r="1086" spans="1:35" ht="42" customHeight="1">
      <c r="A1086" s="78"/>
      <c r="B1086" s="149"/>
      <c r="C1086" s="149"/>
      <c r="D1086" s="78"/>
      <c r="E1086" s="78"/>
      <c r="F1086" s="78"/>
      <c r="G1086" s="150"/>
      <c r="H1086" s="78"/>
      <c r="I1086" s="151"/>
      <c r="J1086" s="78"/>
      <c r="K1086" s="78"/>
      <c r="L1086" s="78"/>
      <c r="M1086" s="153"/>
      <c r="N1086" s="78"/>
      <c r="O1086" s="78"/>
      <c r="P1086" s="153"/>
      <c r="Q1086" s="78"/>
      <c r="R1086" s="78"/>
      <c r="S1086" s="153"/>
      <c r="T1086" s="78"/>
      <c r="U1086" s="78"/>
      <c r="V1086" s="152"/>
      <c r="W1086" s="78"/>
      <c r="X1086" s="78"/>
    </row>
    <row r="1087" spans="1:35" ht="42" customHeight="1">
      <c r="A1087" s="78"/>
      <c r="B1087" s="149"/>
      <c r="C1087" s="149"/>
      <c r="D1087" s="78"/>
      <c r="E1087" s="78"/>
      <c r="F1087" s="78"/>
      <c r="G1087" s="150"/>
      <c r="H1087" s="78"/>
      <c r="I1087" s="151"/>
      <c r="J1087" s="78"/>
      <c r="K1087" s="78"/>
      <c r="L1087" s="78"/>
      <c r="M1087" s="153"/>
      <c r="N1087" s="78"/>
      <c r="O1087" s="78"/>
      <c r="P1087" s="153"/>
      <c r="Q1087" s="78"/>
      <c r="R1087" s="78"/>
      <c r="S1087" s="153"/>
      <c r="T1087" s="78"/>
      <c r="U1087" s="78"/>
      <c r="V1087" s="152"/>
      <c r="W1087" s="78"/>
      <c r="X1087" s="78"/>
    </row>
    <row r="1088" spans="1:35" ht="42" customHeight="1">
      <c r="A1088" s="78"/>
      <c r="B1088" s="149"/>
      <c r="C1088" s="149"/>
      <c r="D1088" s="78"/>
      <c r="E1088" s="78"/>
      <c r="F1088" s="78"/>
      <c r="G1088" s="150"/>
      <c r="H1088" s="78"/>
      <c r="I1088" s="151"/>
      <c r="J1088" s="78"/>
      <c r="K1088" s="78"/>
      <c r="L1088" s="78"/>
      <c r="M1088" s="153"/>
      <c r="N1088" s="78"/>
      <c r="O1088" s="78"/>
      <c r="P1088" s="153"/>
      <c r="Q1088" s="78"/>
      <c r="R1088" s="78"/>
      <c r="S1088" s="153"/>
      <c r="T1088" s="78"/>
      <c r="U1088" s="78"/>
      <c r="V1088" s="152"/>
      <c r="W1088" s="78"/>
      <c r="X1088" s="78"/>
    </row>
    <row r="1089" spans="1:24" ht="42" customHeight="1">
      <c r="A1089" s="78"/>
      <c r="B1089" s="149"/>
      <c r="C1089" s="149"/>
      <c r="D1089" s="78"/>
      <c r="E1089" s="78"/>
      <c r="F1089" s="78"/>
      <c r="G1089" s="150"/>
      <c r="H1089" s="78"/>
      <c r="I1089" s="151"/>
      <c r="J1089" s="78"/>
      <c r="K1089" s="78"/>
      <c r="L1089" s="78"/>
      <c r="M1089" s="153"/>
      <c r="N1089" s="78"/>
      <c r="O1089" s="78"/>
      <c r="P1089" s="153"/>
      <c r="Q1089" s="78"/>
      <c r="R1089" s="78"/>
      <c r="S1089" s="153"/>
      <c r="T1089" s="78"/>
      <c r="U1089" s="78"/>
      <c r="V1089" s="152"/>
      <c r="W1089" s="78"/>
      <c r="X1089" s="78"/>
    </row>
    <row r="1090" spans="1:24" ht="42" customHeight="1">
      <c r="A1090" s="78"/>
      <c r="B1090" s="149"/>
      <c r="C1090" s="149"/>
      <c r="D1090" s="78"/>
      <c r="E1090" s="78"/>
      <c r="F1090" s="78"/>
      <c r="G1090" s="150"/>
      <c r="H1090" s="78"/>
      <c r="I1090" s="151"/>
      <c r="J1090" s="78"/>
      <c r="K1090" s="78"/>
      <c r="L1090" s="78"/>
      <c r="M1090" s="153"/>
      <c r="N1090" s="78"/>
      <c r="O1090" s="78"/>
      <c r="P1090" s="153"/>
      <c r="Q1090" s="78"/>
      <c r="R1090" s="78"/>
      <c r="S1090" s="153"/>
      <c r="T1090" s="78"/>
      <c r="U1090" s="78"/>
      <c r="V1090" s="152"/>
      <c r="W1090" s="78"/>
      <c r="X1090" s="78"/>
    </row>
    <row r="1091" spans="1:24" ht="42" customHeight="1">
      <c r="A1091" s="78"/>
      <c r="B1091" s="149"/>
      <c r="C1091" s="149"/>
      <c r="D1091" s="78"/>
      <c r="E1091" s="78"/>
      <c r="F1091" s="78"/>
      <c r="G1091" s="150"/>
      <c r="H1091" s="78"/>
      <c r="I1091" s="151"/>
      <c r="J1091" s="78"/>
      <c r="K1091" s="78"/>
      <c r="L1091" s="78"/>
      <c r="M1091" s="153"/>
      <c r="N1091" s="78"/>
      <c r="O1091" s="78"/>
      <c r="P1091" s="153"/>
      <c r="Q1091" s="78"/>
      <c r="R1091" s="78"/>
      <c r="S1091" s="153"/>
      <c r="T1091" s="78"/>
      <c r="U1091" s="78"/>
      <c r="V1091" s="152"/>
      <c r="W1091" s="78"/>
      <c r="X1091" s="78"/>
    </row>
    <row r="1092" spans="1:24" ht="42" customHeight="1">
      <c r="A1092" s="78"/>
      <c r="B1092" s="149"/>
      <c r="C1092" s="149"/>
      <c r="D1092" s="78"/>
      <c r="E1092" s="78"/>
      <c r="F1092" s="78"/>
      <c r="G1092" s="150"/>
      <c r="H1092" s="78"/>
      <c r="I1092" s="151"/>
      <c r="J1092" s="78"/>
      <c r="K1092" s="78"/>
      <c r="L1092" s="78"/>
      <c r="M1092" s="153"/>
      <c r="N1092" s="78"/>
      <c r="O1092" s="78"/>
      <c r="P1092" s="153"/>
      <c r="Q1092" s="78"/>
      <c r="R1092" s="78"/>
      <c r="S1092" s="153"/>
      <c r="T1092" s="78"/>
      <c r="U1092" s="78"/>
      <c r="V1092" s="152"/>
      <c r="W1092" s="78"/>
      <c r="X1092" s="78"/>
    </row>
    <row r="1093" spans="1:24" ht="42" customHeight="1">
      <c r="A1093" s="78"/>
      <c r="B1093" s="149"/>
      <c r="C1093" s="149"/>
      <c r="D1093" s="78"/>
      <c r="E1093" s="78"/>
      <c r="F1093" s="78"/>
      <c r="G1093" s="150"/>
      <c r="H1093" s="78"/>
      <c r="I1093" s="151"/>
      <c r="J1093" s="78"/>
      <c r="K1093" s="78"/>
      <c r="L1093" s="78"/>
      <c r="M1093" s="153"/>
      <c r="N1093" s="78"/>
      <c r="O1093" s="78"/>
      <c r="P1093" s="153"/>
      <c r="Q1093" s="78"/>
      <c r="R1093" s="78"/>
      <c r="S1093" s="153"/>
      <c r="T1093" s="78"/>
      <c r="U1093" s="78"/>
      <c r="V1093" s="152"/>
      <c r="W1093" s="78"/>
      <c r="X1093" s="78"/>
    </row>
    <row r="1094" spans="1:24" ht="42" customHeight="1">
      <c r="A1094" s="78"/>
      <c r="B1094" s="149"/>
      <c r="C1094" s="149"/>
      <c r="D1094" s="78"/>
      <c r="E1094" s="78"/>
      <c r="F1094" s="78"/>
      <c r="G1094" s="150"/>
      <c r="H1094" s="78"/>
      <c r="I1094" s="151"/>
      <c r="J1094" s="78"/>
      <c r="K1094" s="78"/>
      <c r="L1094" s="78"/>
      <c r="M1094" s="153"/>
      <c r="N1094" s="78"/>
      <c r="O1094" s="78"/>
      <c r="P1094" s="153"/>
      <c r="Q1094" s="78"/>
      <c r="R1094" s="78"/>
      <c r="S1094" s="153"/>
      <c r="T1094" s="78"/>
      <c r="U1094" s="78"/>
      <c r="V1094" s="152"/>
      <c r="W1094" s="78"/>
      <c r="X1094" s="78"/>
    </row>
    <row r="1095" spans="1:24" ht="42" customHeight="1">
      <c r="A1095" s="78"/>
      <c r="B1095" s="149"/>
      <c r="C1095" s="149"/>
      <c r="D1095" s="78"/>
      <c r="E1095" s="78"/>
      <c r="F1095" s="78"/>
      <c r="G1095" s="150"/>
      <c r="H1095" s="78"/>
      <c r="I1095" s="151"/>
      <c r="J1095" s="78"/>
      <c r="K1095" s="78"/>
      <c r="L1095" s="78"/>
      <c r="M1095" s="153"/>
      <c r="N1095" s="78"/>
      <c r="O1095" s="78"/>
      <c r="P1095" s="153"/>
      <c r="Q1095" s="78"/>
      <c r="R1095" s="78"/>
      <c r="S1095" s="153"/>
      <c r="T1095" s="78"/>
      <c r="U1095" s="78"/>
      <c r="V1095" s="152"/>
      <c r="W1095" s="78"/>
      <c r="X1095" s="78"/>
    </row>
    <row r="1096" spans="1:24" ht="42" customHeight="1">
      <c r="A1096" s="78"/>
      <c r="B1096" s="149"/>
      <c r="C1096" s="149"/>
      <c r="D1096" s="78"/>
      <c r="E1096" s="78"/>
      <c r="F1096" s="78"/>
      <c r="G1096" s="150"/>
      <c r="H1096" s="78"/>
      <c r="I1096" s="151"/>
      <c r="J1096" s="78"/>
      <c r="K1096" s="78"/>
      <c r="L1096" s="78"/>
      <c r="M1096" s="153"/>
      <c r="N1096" s="78"/>
      <c r="O1096" s="78"/>
      <c r="P1096" s="153"/>
      <c r="Q1096" s="78"/>
      <c r="R1096" s="78"/>
      <c r="S1096" s="153"/>
      <c r="T1096" s="78"/>
      <c r="U1096" s="78"/>
      <c r="V1096" s="152"/>
      <c r="W1096" s="78"/>
      <c r="X1096" s="78"/>
    </row>
    <row r="1097" spans="1:24" ht="42" customHeight="1">
      <c r="A1097" s="78"/>
      <c r="B1097" s="149"/>
      <c r="C1097" s="149"/>
      <c r="D1097" s="78"/>
      <c r="E1097" s="78"/>
      <c r="F1097" s="78"/>
      <c r="G1097" s="150"/>
      <c r="H1097" s="78"/>
      <c r="I1097" s="151"/>
      <c r="J1097" s="78"/>
      <c r="K1097" s="78"/>
      <c r="L1097" s="78"/>
      <c r="M1097" s="153"/>
      <c r="N1097" s="78"/>
      <c r="O1097" s="78"/>
      <c r="P1097" s="153"/>
      <c r="Q1097" s="78"/>
      <c r="R1097" s="78"/>
      <c r="S1097" s="153"/>
      <c r="T1097" s="78"/>
      <c r="U1097" s="78"/>
      <c r="V1097" s="152"/>
      <c r="W1097" s="78"/>
      <c r="X1097" s="78"/>
    </row>
    <row r="1098" spans="1:24" ht="42" customHeight="1">
      <c r="A1098" s="78"/>
      <c r="B1098" s="149"/>
      <c r="C1098" s="149"/>
      <c r="D1098" s="78"/>
      <c r="E1098" s="78"/>
      <c r="F1098" s="78"/>
      <c r="G1098" s="150"/>
      <c r="H1098" s="78"/>
      <c r="I1098" s="151"/>
      <c r="J1098" s="78"/>
      <c r="K1098" s="78"/>
      <c r="L1098" s="78"/>
      <c r="M1098" s="153"/>
      <c r="N1098" s="78"/>
      <c r="O1098" s="78"/>
      <c r="P1098" s="153"/>
      <c r="Q1098" s="78"/>
      <c r="R1098" s="78"/>
      <c r="S1098" s="153"/>
      <c r="T1098" s="78"/>
      <c r="U1098" s="78"/>
      <c r="V1098" s="152"/>
      <c r="W1098" s="78"/>
      <c r="X1098" s="78"/>
    </row>
    <row r="1099" spans="1:24" ht="42" customHeight="1">
      <c r="A1099" s="78"/>
      <c r="B1099" s="149"/>
      <c r="C1099" s="149"/>
      <c r="D1099" s="78"/>
      <c r="E1099" s="78"/>
      <c r="F1099" s="78"/>
      <c r="G1099" s="150"/>
      <c r="H1099" s="78"/>
      <c r="I1099" s="151"/>
      <c r="J1099" s="78"/>
      <c r="K1099" s="78"/>
      <c r="L1099" s="78"/>
      <c r="M1099" s="153"/>
      <c r="N1099" s="78"/>
      <c r="O1099" s="78"/>
      <c r="P1099" s="153"/>
      <c r="Q1099" s="78"/>
      <c r="R1099" s="78"/>
      <c r="S1099" s="153"/>
      <c r="T1099" s="78"/>
      <c r="U1099" s="78"/>
      <c r="V1099" s="152"/>
      <c r="W1099" s="78"/>
      <c r="X1099" s="78"/>
    </row>
    <row r="1100" spans="1:24" ht="42" customHeight="1">
      <c r="A1100" s="78"/>
      <c r="B1100" s="149"/>
      <c r="C1100" s="149"/>
      <c r="D1100" s="78"/>
      <c r="E1100" s="78"/>
      <c r="F1100" s="78"/>
      <c r="G1100" s="150"/>
      <c r="H1100" s="78"/>
      <c r="I1100" s="151"/>
      <c r="J1100" s="78"/>
      <c r="K1100" s="78"/>
      <c r="L1100" s="78"/>
      <c r="M1100" s="153"/>
      <c r="N1100" s="78"/>
      <c r="O1100" s="78"/>
      <c r="P1100" s="153"/>
      <c r="Q1100" s="78"/>
      <c r="R1100" s="78"/>
      <c r="S1100" s="153"/>
      <c r="T1100" s="78"/>
      <c r="U1100" s="78"/>
      <c r="V1100" s="152"/>
      <c r="W1100" s="78"/>
      <c r="X1100" s="78"/>
    </row>
    <row r="1101" spans="1:24" ht="42" customHeight="1">
      <c r="A1101" s="78"/>
      <c r="B1101" s="149"/>
      <c r="C1101" s="149"/>
      <c r="D1101" s="78"/>
      <c r="E1101" s="78"/>
      <c r="F1101" s="78"/>
      <c r="G1101" s="150"/>
      <c r="H1101" s="78"/>
      <c r="I1101" s="151"/>
      <c r="J1101" s="78"/>
      <c r="K1101" s="78"/>
      <c r="L1101" s="78"/>
      <c r="M1101" s="153"/>
      <c r="N1101" s="78"/>
      <c r="O1101" s="78"/>
      <c r="P1101" s="153"/>
      <c r="Q1101" s="78"/>
      <c r="R1101" s="78"/>
      <c r="S1101" s="153"/>
      <c r="T1101" s="78"/>
      <c r="U1101" s="78"/>
      <c r="V1101" s="152"/>
      <c r="W1101" s="78"/>
      <c r="X1101" s="78"/>
    </row>
    <row r="1102" spans="1:24" ht="42" customHeight="1">
      <c r="A1102" s="78"/>
      <c r="B1102" s="149"/>
      <c r="C1102" s="149"/>
      <c r="D1102" s="78"/>
      <c r="E1102" s="78"/>
      <c r="F1102" s="78"/>
      <c r="G1102" s="150"/>
      <c r="H1102" s="78"/>
      <c r="I1102" s="151"/>
      <c r="J1102" s="78"/>
      <c r="K1102" s="78"/>
      <c r="L1102" s="78"/>
      <c r="M1102" s="153"/>
      <c r="N1102" s="78"/>
      <c r="O1102" s="78"/>
      <c r="P1102" s="153"/>
      <c r="Q1102" s="78"/>
      <c r="R1102" s="78"/>
      <c r="S1102" s="153"/>
      <c r="T1102" s="78"/>
      <c r="U1102" s="78"/>
      <c r="V1102" s="152"/>
      <c r="W1102" s="78"/>
      <c r="X1102" s="78"/>
    </row>
    <row r="1103" spans="1:24" ht="42" customHeight="1">
      <c r="A1103" s="78"/>
      <c r="B1103" s="149"/>
      <c r="C1103" s="149"/>
      <c r="D1103" s="78"/>
      <c r="E1103" s="78"/>
      <c r="F1103" s="78"/>
      <c r="G1103" s="150"/>
      <c r="H1103" s="78"/>
      <c r="I1103" s="151"/>
      <c r="J1103" s="78"/>
      <c r="K1103" s="78"/>
      <c r="L1103" s="78"/>
      <c r="M1103" s="153"/>
      <c r="N1103" s="78"/>
      <c r="O1103" s="78"/>
      <c r="P1103" s="153"/>
      <c r="Q1103" s="78"/>
      <c r="R1103" s="78"/>
      <c r="S1103" s="153"/>
      <c r="T1103" s="78"/>
      <c r="U1103" s="78"/>
      <c r="V1103" s="152"/>
      <c r="W1103" s="78"/>
      <c r="X1103" s="78"/>
    </row>
    <row r="1104" spans="1:24" ht="42" customHeight="1">
      <c r="A1104" s="78"/>
      <c r="B1104" s="149"/>
      <c r="C1104" s="149"/>
      <c r="D1104" s="78"/>
      <c r="E1104" s="78"/>
      <c r="F1104" s="78"/>
      <c r="G1104" s="150"/>
      <c r="H1104" s="78"/>
      <c r="I1104" s="151"/>
      <c r="J1104" s="78"/>
      <c r="K1104" s="78"/>
      <c r="L1104" s="78"/>
      <c r="M1104" s="153"/>
      <c r="N1104" s="78"/>
      <c r="O1104" s="78"/>
      <c r="P1104" s="153"/>
      <c r="Q1104" s="78"/>
      <c r="R1104" s="78"/>
      <c r="S1104" s="153"/>
      <c r="T1104" s="78"/>
      <c r="U1104" s="78"/>
      <c r="V1104" s="152"/>
      <c r="W1104" s="78"/>
      <c r="X1104" s="78"/>
    </row>
    <row r="1105" spans="1:24" ht="42" customHeight="1">
      <c r="A1105" s="78"/>
      <c r="B1105" s="149"/>
      <c r="C1105" s="149"/>
      <c r="D1105" s="78"/>
      <c r="E1105" s="78"/>
      <c r="F1105" s="78"/>
      <c r="G1105" s="150"/>
      <c r="H1105" s="78"/>
      <c r="I1105" s="151"/>
      <c r="J1105" s="78"/>
      <c r="K1105" s="78"/>
      <c r="L1105" s="78"/>
      <c r="M1105" s="153"/>
      <c r="N1105" s="78"/>
      <c r="O1105" s="78"/>
      <c r="P1105" s="153"/>
      <c r="Q1105" s="78"/>
      <c r="R1105" s="78"/>
      <c r="S1105" s="153"/>
      <c r="T1105" s="78"/>
      <c r="U1105" s="78"/>
      <c r="V1105" s="152"/>
      <c r="W1105" s="78"/>
      <c r="X1105" s="78"/>
    </row>
    <row r="1106" spans="1:24" ht="42" customHeight="1">
      <c r="A1106" s="78"/>
      <c r="B1106" s="149"/>
      <c r="C1106" s="149"/>
      <c r="D1106" s="78"/>
      <c r="E1106" s="78"/>
      <c r="F1106" s="78"/>
      <c r="G1106" s="150"/>
      <c r="H1106" s="78"/>
      <c r="I1106" s="151"/>
      <c r="J1106" s="78"/>
      <c r="K1106" s="78"/>
      <c r="L1106" s="78"/>
      <c r="M1106" s="153"/>
      <c r="N1106" s="78"/>
      <c r="O1106" s="78"/>
      <c r="P1106" s="153"/>
      <c r="Q1106" s="78"/>
      <c r="R1106" s="78"/>
      <c r="S1106" s="153"/>
      <c r="T1106" s="78"/>
      <c r="U1106" s="78"/>
      <c r="V1106" s="152"/>
      <c r="W1106" s="78"/>
      <c r="X1106" s="78"/>
    </row>
    <row r="1107" spans="1:24" ht="42" customHeight="1">
      <c r="A1107" s="78"/>
      <c r="B1107" s="149"/>
      <c r="C1107" s="149"/>
      <c r="D1107" s="78"/>
      <c r="E1107" s="78"/>
      <c r="F1107" s="78"/>
      <c r="G1107" s="150"/>
      <c r="H1107" s="78"/>
      <c r="I1107" s="151"/>
      <c r="J1107" s="78"/>
      <c r="K1107" s="78"/>
      <c r="L1107" s="78"/>
      <c r="M1107" s="153"/>
      <c r="N1107" s="78"/>
      <c r="O1107" s="78"/>
      <c r="P1107" s="153"/>
      <c r="Q1107" s="78"/>
      <c r="R1107" s="78"/>
      <c r="S1107" s="153"/>
      <c r="T1107" s="78"/>
      <c r="U1107" s="78"/>
      <c r="V1107" s="152"/>
      <c r="W1107" s="78"/>
      <c r="X1107" s="78"/>
    </row>
    <row r="1108" spans="1:24" ht="42" customHeight="1">
      <c r="A1108" s="78"/>
      <c r="B1108" s="149"/>
      <c r="C1108" s="149"/>
      <c r="D1108" s="78"/>
      <c r="E1108" s="78"/>
      <c r="F1108" s="78"/>
      <c r="G1108" s="150"/>
      <c r="H1108" s="78"/>
      <c r="I1108" s="151"/>
      <c r="J1108" s="78"/>
      <c r="K1108" s="78"/>
      <c r="L1108" s="78"/>
      <c r="M1108" s="153"/>
      <c r="N1108" s="78"/>
      <c r="O1108" s="78"/>
      <c r="P1108" s="153"/>
      <c r="Q1108" s="78"/>
      <c r="R1108" s="78"/>
      <c r="S1108" s="153"/>
      <c r="T1108" s="78"/>
      <c r="U1108" s="78"/>
      <c r="V1108" s="152"/>
      <c r="W1108" s="78"/>
      <c r="X1108" s="78"/>
    </row>
    <row r="1109" spans="1:24" ht="42" customHeight="1">
      <c r="A1109" s="78"/>
      <c r="B1109" s="149"/>
      <c r="C1109" s="149"/>
      <c r="D1109" s="78"/>
      <c r="E1109" s="78"/>
      <c r="F1109" s="78"/>
      <c r="G1109" s="150"/>
      <c r="H1109" s="78"/>
      <c r="I1109" s="151"/>
      <c r="J1109" s="78"/>
      <c r="K1109" s="78"/>
      <c r="L1109" s="78"/>
      <c r="M1109" s="153"/>
      <c r="N1109" s="78"/>
      <c r="O1109" s="78"/>
      <c r="P1109" s="153"/>
      <c r="Q1109" s="78"/>
      <c r="R1109" s="78"/>
      <c r="S1109" s="153"/>
      <c r="T1109" s="78"/>
      <c r="U1109" s="78"/>
      <c r="V1109" s="152"/>
      <c r="W1109" s="78"/>
      <c r="X1109" s="78"/>
    </row>
    <row r="1110" spans="1:24" ht="42" customHeight="1">
      <c r="A1110" s="78"/>
      <c r="B1110" s="149"/>
      <c r="C1110" s="149"/>
      <c r="D1110" s="78"/>
      <c r="E1110" s="78"/>
      <c r="F1110" s="78"/>
      <c r="G1110" s="150"/>
      <c r="H1110" s="78"/>
      <c r="I1110" s="151"/>
      <c r="J1110" s="78"/>
      <c r="K1110" s="78"/>
      <c r="L1110" s="78"/>
      <c r="M1110" s="153"/>
      <c r="N1110" s="78"/>
      <c r="O1110" s="78"/>
      <c r="P1110" s="153"/>
      <c r="Q1110" s="78"/>
      <c r="R1110" s="78"/>
      <c r="S1110" s="153"/>
      <c r="T1110" s="78"/>
      <c r="U1110" s="78"/>
      <c r="V1110" s="152"/>
      <c r="W1110" s="78"/>
      <c r="X1110" s="78"/>
    </row>
    <row r="1111" spans="1:24" ht="42" customHeight="1">
      <c r="A1111" s="78"/>
      <c r="B1111" s="149"/>
      <c r="C1111" s="149"/>
      <c r="D1111" s="78"/>
      <c r="E1111" s="78"/>
      <c r="F1111" s="78"/>
      <c r="G1111" s="150"/>
      <c r="H1111" s="78"/>
      <c r="I1111" s="151"/>
      <c r="J1111" s="78"/>
      <c r="K1111" s="78"/>
      <c r="L1111" s="78"/>
      <c r="M1111" s="153"/>
      <c r="N1111" s="78"/>
      <c r="O1111" s="78"/>
      <c r="P1111" s="153"/>
      <c r="Q1111" s="78"/>
      <c r="R1111" s="78"/>
      <c r="S1111" s="153"/>
      <c r="T1111" s="78"/>
      <c r="U1111" s="78"/>
      <c r="V1111" s="152"/>
      <c r="W1111" s="78"/>
      <c r="X1111" s="78"/>
    </row>
    <row r="1112" spans="1:24" ht="42" customHeight="1">
      <c r="A1112" s="78"/>
      <c r="B1112" s="149"/>
      <c r="C1112" s="149"/>
      <c r="D1112" s="78"/>
      <c r="E1112" s="78"/>
      <c r="F1112" s="78"/>
      <c r="G1112" s="150"/>
      <c r="H1112" s="78"/>
      <c r="I1112" s="151"/>
      <c r="J1112" s="78"/>
      <c r="K1112" s="78"/>
      <c r="L1112" s="78"/>
      <c r="M1112" s="153"/>
      <c r="N1112" s="78"/>
      <c r="O1112" s="78"/>
      <c r="P1112" s="153"/>
      <c r="Q1112" s="78"/>
      <c r="R1112" s="78"/>
      <c r="S1112" s="153"/>
      <c r="T1112" s="78"/>
      <c r="U1112" s="78"/>
      <c r="V1112" s="152"/>
      <c r="W1112" s="78"/>
      <c r="X1112" s="78"/>
    </row>
    <row r="1113" spans="1:24" ht="42" customHeight="1">
      <c r="A1113" s="78"/>
      <c r="B1113" s="149"/>
      <c r="C1113" s="149"/>
      <c r="D1113" s="78"/>
      <c r="E1113" s="78"/>
      <c r="F1113" s="78"/>
      <c r="G1113" s="150"/>
      <c r="H1113" s="78"/>
      <c r="I1113" s="151"/>
      <c r="J1113" s="78"/>
      <c r="K1113" s="78"/>
      <c r="L1113" s="78"/>
      <c r="M1113" s="153"/>
      <c r="N1113" s="78"/>
      <c r="O1113" s="78"/>
      <c r="P1113" s="153"/>
      <c r="Q1113" s="78"/>
      <c r="R1113" s="78"/>
      <c r="S1113" s="153"/>
      <c r="T1113" s="78"/>
      <c r="U1113" s="78"/>
      <c r="V1113" s="152"/>
      <c r="W1113" s="78"/>
      <c r="X1113" s="78"/>
    </row>
    <row r="1114" spans="1:24" ht="42" customHeight="1">
      <c r="A1114" s="78"/>
      <c r="B1114" s="149"/>
      <c r="C1114" s="149"/>
      <c r="D1114" s="78"/>
      <c r="E1114" s="78"/>
      <c r="F1114" s="78"/>
      <c r="G1114" s="150"/>
      <c r="H1114" s="78"/>
      <c r="I1114" s="151"/>
      <c r="J1114" s="78"/>
      <c r="K1114" s="78"/>
      <c r="L1114" s="78"/>
      <c r="M1114" s="153"/>
      <c r="N1114" s="78"/>
      <c r="O1114" s="78"/>
      <c r="P1114" s="153"/>
      <c r="Q1114" s="78"/>
      <c r="R1114" s="78"/>
      <c r="S1114" s="153"/>
      <c r="T1114" s="78"/>
      <c r="U1114" s="78"/>
      <c r="V1114" s="152"/>
      <c r="W1114" s="78"/>
      <c r="X1114" s="78"/>
    </row>
    <row r="1115" spans="1:24" ht="42" customHeight="1">
      <c r="A1115" s="78"/>
      <c r="B1115" s="149"/>
      <c r="C1115" s="149"/>
      <c r="D1115" s="78"/>
      <c r="E1115" s="78"/>
      <c r="F1115" s="78"/>
      <c r="G1115" s="150"/>
      <c r="H1115" s="78"/>
      <c r="I1115" s="151"/>
      <c r="J1115" s="78"/>
      <c r="K1115" s="78"/>
      <c r="L1115" s="78"/>
      <c r="M1115" s="153"/>
      <c r="N1115" s="78"/>
      <c r="O1115" s="78"/>
      <c r="P1115" s="153"/>
      <c r="Q1115" s="78"/>
      <c r="R1115" s="78"/>
      <c r="S1115" s="153"/>
      <c r="T1115" s="78"/>
      <c r="U1115" s="78"/>
      <c r="V1115" s="152"/>
      <c r="W1115" s="78"/>
      <c r="X1115" s="78"/>
    </row>
    <row r="1116" spans="1:24" ht="42" customHeight="1">
      <c r="A1116" s="78"/>
      <c r="B1116" s="149"/>
      <c r="C1116" s="149"/>
      <c r="D1116" s="78"/>
      <c r="E1116" s="78"/>
      <c r="F1116" s="78"/>
      <c r="G1116" s="150"/>
      <c r="H1116" s="78"/>
      <c r="I1116" s="151"/>
      <c r="J1116" s="78"/>
      <c r="K1116" s="78"/>
      <c r="L1116" s="78"/>
      <c r="M1116" s="153"/>
      <c r="N1116" s="78"/>
      <c r="O1116" s="78"/>
      <c r="P1116" s="153"/>
      <c r="Q1116" s="78"/>
      <c r="R1116" s="78"/>
      <c r="S1116" s="153"/>
      <c r="T1116" s="78"/>
      <c r="U1116" s="78"/>
      <c r="V1116" s="152"/>
      <c r="W1116" s="78"/>
      <c r="X1116" s="78"/>
    </row>
    <row r="1117" spans="1:24" ht="42" customHeight="1">
      <c r="A1117" s="78"/>
      <c r="B1117" s="149"/>
      <c r="C1117" s="149"/>
      <c r="D1117" s="78"/>
      <c r="E1117" s="78"/>
      <c r="F1117" s="78"/>
      <c r="G1117" s="150"/>
      <c r="H1117" s="78"/>
      <c r="I1117" s="151"/>
      <c r="J1117" s="78"/>
      <c r="K1117" s="78"/>
      <c r="L1117" s="78"/>
      <c r="M1117" s="153"/>
      <c r="N1117" s="78"/>
      <c r="O1117" s="78"/>
      <c r="P1117" s="153"/>
      <c r="Q1117" s="78"/>
      <c r="R1117" s="78"/>
      <c r="S1117" s="153"/>
      <c r="T1117" s="78"/>
      <c r="U1117" s="78"/>
      <c r="V1117" s="152"/>
      <c r="W1117" s="78"/>
      <c r="X1117" s="78"/>
    </row>
    <row r="1118" spans="1:24" ht="42" customHeight="1">
      <c r="A1118" s="78"/>
      <c r="B1118" s="149"/>
      <c r="C1118" s="149"/>
      <c r="D1118" s="78"/>
      <c r="E1118" s="78"/>
      <c r="F1118" s="78"/>
      <c r="G1118" s="150"/>
      <c r="H1118" s="78"/>
      <c r="I1118" s="151"/>
      <c r="J1118" s="78"/>
      <c r="K1118" s="78"/>
      <c r="L1118" s="78"/>
      <c r="M1118" s="153"/>
      <c r="N1118" s="78"/>
      <c r="O1118" s="78"/>
      <c r="P1118" s="153"/>
      <c r="Q1118" s="78"/>
      <c r="R1118" s="78"/>
      <c r="S1118" s="153"/>
      <c r="T1118" s="78"/>
      <c r="U1118" s="78"/>
      <c r="V1118" s="152"/>
      <c r="W1118" s="78"/>
      <c r="X1118" s="78"/>
    </row>
    <row r="1119" spans="1:24" ht="42" customHeight="1">
      <c r="A1119" s="78"/>
      <c r="B1119" s="149"/>
      <c r="C1119" s="149"/>
      <c r="D1119" s="78"/>
      <c r="E1119" s="78"/>
      <c r="F1119" s="78"/>
      <c r="G1119" s="150"/>
      <c r="H1119" s="78"/>
      <c r="I1119" s="151"/>
      <c r="J1119" s="78"/>
      <c r="K1119" s="78"/>
      <c r="L1119" s="78"/>
      <c r="M1119" s="153"/>
      <c r="N1119" s="78"/>
      <c r="O1119" s="78"/>
      <c r="P1119" s="153"/>
      <c r="Q1119" s="78"/>
      <c r="R1119" s="78"/>
      <c r="S1119" s="153"/>
      <c r="T1119" s="78"/>
      <c r="U1119" s="78"/>
      <c r="V1119" s="152"/>
      <c r="W1119" s="78"/>
      <c r="X1119" s="78"/>
    </row>
    <row r="1120" spans="1:24" ht="42" customHeight="1">
      <c r="A1120" s="78"/>
      <c r="B1120" s="149"/>
      <c r="C1120" s="149"/>
      <c r="D1120" s="78"/>
      <c r="E1120" s="78"/>
      <c r="F1120" s="78"/>
      <c r="G1120" s="150"/>
      <c r="H1120" s="78"/>
      <c r="I1120" s="151"/>
      <c r="J1120" s="78"/>
      <c r="K1120" s="78"/>
      <c r="L1120" s="78"/>
      <c r="M1120" s="153"/>
      <c r="N1120" s="78"/>
      <c r="O1120" s="78"/>
      <c r="P1120" s="153"/>
      <c r="Q1120" s="78"/>
      <c r="R1120" s="78"/>
      <c r="S1120" s="153"/>
      <c r="T1120" s="78"/>
      <c r="U1120" s="78"/>
      <c r="V1120" s="152"/>
      <c r="W1120" s="78"/>
      <c r="X1120" s="78"/>
    </row>
    <row r="1121" spans="1:24" ht="42" customHeight="1">
      <c r="A1121" s="78"/>
      <c r="B1121" s="149"/>
      <c r="C1121" s="149"/>
      <c r="D1121" s="78"/>
      <c r="E1121" s="78"/>
      <c r="F1121" s="78"/>
      <c r="G1121" s="150"/>
      <c r="H1121" s="78"/>
      <c r="I1121" s="151"/>
      <c r="J1121" s="78"/>
      <c r="K1121" s="78"/>
      <c r="L1121" s="78"/>
      <c r="M1121" s="153"/>
      <c r="N1121" s="78"/>
      <c r="O1121" s="78"/>
      <c r="P1121" s="153"/>
      <c r="Q1121" s="78"/>
      <c r="R1121" s="78"/>
      <c r="S1121" s="153"/>
      <c r="T1121" s="78"/>
      <c r="U1121" s="78"/>
      <c r="V1121" s="152"/>
      <c r="W1121" s="78"/>
      <c r="X1121" s="78"/>
    </row>
    <row r="1122" spans="1:24" ht="42" customHeight="1">
      <c r="A1122" s="78"/>
      <c r="B1122" s="149"/>
      <c r="C1122" s="149"/>
      <c r="D1122" s="78"/>
      <c r="E1122" s="78"/>
      <c r="F1122" s="78"/>
      <c r="G1122" s="150"/>
      <c r="H1122" s="78"/>
      <c r="I1122" s="151"/>
      <c r="J1122" s="78"/>
      <c r="K1122" s="78"/>
      <c r="L1122" s="78"/>
      <c r="M1122" s="153"/>
      <c r="N1122" s="78"/>
      <c r="O1122" s="78"/>
      <c r="P1122" s="153"/>
      <c r="Q1122" s="78"/>
      <c r="R1122" s="78"/>
      <c r="S1122" s="153"/>
      <c r="T1122" s="78"/>
      <c r="U1122" s="78"/>
      <c r="V1122" s="152"/>
      <c r="W1122" s="78"/>
      <c r="X1122" s="78"/>
    </row>
    <row r="1123" spans="1:24" ht="42" customHeight="1">
      <c r="A1123" s="78"/>
      <c r="B1123" s="149"/>
      <c r="C1123" s="149"/>
      <c r="D1123" s="78"/>
      <c r="E1123" s="78"/>
      <c r="F1123" s="78"/>
      <c r="G1123" s="150"/>
      <c r="H1123" s="78"/>
      <c r="I1123" s="151"/>
      <c r="J1123" s="78"/>
      <c r="K1123" s="78"/>
      <c r="L1123" s="78"/>
      <c r="M1123" s="153"/>
      <c r="N1123" s="78"/>
      <c r="O1123" s="78"/>
      <c r="P1123" s="153"/>
      <c r="Q1123" s="78"/>
      <c r="R1123" s="78"/>
      <c r="S1123" s="153"/>
      <c r="T1123" s="78"/>
      <c r="U1123" s="78"/>
      <c r="V1123" s="152"/>
      <c r="W1123" s="78"/>
      <c r="X1123" s="78"/>
    </row>
    <row r="1124" spans="1:24" ht="42" customHeight="1">
      <c r="A1124" s="78"/>
      <c r="B1124" s="149"/>
      <c r="C1124" s="149"/>
      <c r="D1124" s="78"/>
      <c r="E1124" s="78"/>
      <c r="F1124" s="78"/>
      <c r="G1124" s="150"/>
      <c r="H1124" s="78"/>
      <c r="I1124" s="151"/>
      <c r="J1124" s="78"/>
      <c r="K1124" s="78"/>
      <c r="L1124" s="78"/>
      <c r="M1124" s="153"/>
      <c r="N1124" s="78"/>
      <c r="O1124" s="78"/>
      <c r="P1124" s="153"/>
      <c r="Q1124" s="78"/>
      <c r="R1124" s="78"/>
      <c r="S1124" s="153"/>
      <c r="T1124" s="78"/>
      <c r="U1124" s="78"/>
      <c r="V1124" s="152"/>
      <c r="W1124" s="78"/>
      <c r="X1124" s="78"/>
    </row>
    <row r="1125" spans="1:24" ht="42" customHeight="1">
      <c r="A1125" s="78"/>
      <c r="B1125" s="149"/>
      <c r="C1125" s="149"/>
      <c r="D1125" s="78"/>
      <c r="E1125" s="78"/>
      <c r="F1125" s="78"/>
      <c r="G1125" s="150"/>
      <c r="H1125" s="78"/>
      <c r="I1125" s="151"/>
      <c r="J1125" s="78"/>
      <c r="K1125" s="78"/>
      <c r="L1125" s="78"/>
      <c r="M1125" s="153"/>
      <c r="N1125" s="78"/>
      <c r="O1125" s="78"/>
      <c r="P1125" s="153"/>
      <c r="Q1125" s="78"/>
      <c r="R1125" s="78"/>
      <c r="S1125" s="153"/>
      <c r="T1125" s="78"/>
      <c r="U1125" s="78"/>
      <c r="V1125" s="152"/>
      <c r="W1125" s="78"/>
      <c r="X1125" s="78"/>
    </row>
    <row r="1126" spans="1:24" ht="42" customHeight="1">
      <c r="A1126" s="78"/>
      <c r="B1126" s="149"/>
      <c r="C1126" s="149"/>
      <c r="D1126" s="78"/>
      <c r="E1126" s="78"/>
      <c r="F1126" s="78"/>
      <c r="G1126" s="150"/>
      <c r="H1126" s="78"/>
      <c r="I1126" s="151"/>
      <c r="J1126" s="78"/>
      <c r="K1126" s="78"/>
      <c r="L1126" s="78"/>
      <c r="M1126" s="153"/>
      <c r="N1126" s="78"/>
      <c r="O1126" s="78"/>
      <c r="P1126" s="153"/>
      <c r="Q1126" s="78"/>
      <c r="R1126" s="78"/>
      <c r="S1126" s="153"/>
      <c r="T1126" s="78"/>
      <c r="U1126" s="78"/>
      <c r="V1126" s="152"/>
      <c r="W1126" s="78"/>
      <c r="X1126" s="78"/>
    </row>
    <row r="1127" spans="1:24" ht="42" customHeight="1">
      <c r="A1127" s="78"/>
      <c r="B1127" s="149"/>
      <c r="C1127" s="149"/>
      <c r="D1127" s="78"/>
      <c r="E1127" s="78"/>
      <c r="F1127" s="78"/>
      <c r="G1127" s="150"/>
      <c r="H1127" s="78"/>
      <c r="I1127" s="151"/>
      <c r="J1127" s="78"/>
      <c r="K1127" s="78"/>
      <c r="L1127" s="78"/>
      <c r="M1127" s="153"/>
      <c r="N1127" s="78"/>
      <c r="O1127" s="78"/>
      <c r="P1127" s="153"/>
      <c r="Q1127" s="78"/>
      <c r="R1127" s="78"/>
      <c r="S1127" s="153"/>
      <c r="T1127" s="78"/>
      <c r="U1127" s="78"/>
      <c r="V1127" s="152"/>
      <c r="W1127" s="78"/>
      <c r="X1127" s="78"/>
    </row>
    <row r="1128" spans="1:24" ht="42" customHeight="1">
      <c r="A1128" s="78"/>
      <c r="B1128" s="149"/>
      <c r="C1128" s="149"/>
      <c r="D1128" s="78"/>
      <c r="E1128" s="78"/>
      <c r="F1128" s="78"/>
      <c r="G1128" s="150"/>
      <c r="H1128" s="78"/>
      <c r="I1128" s="151"/>
      <c r="J1128" s="78"/>
      <c r="K1128" s="78"/>
      <c r="L1128" s="78"/>
      <c r="M1128" s="153"/>
      <c r="N1128" s="78"/>
      <c r="O1128" s="78"/>
      <c r="P1128" s="153"/>
      <c r="Q1128" s="78"/>
      <c r="R1128" s="78"/>
      <c r="S1128" s="153"/>
      <c r="T1128" s="78"/>
      <c r="U1128" s="78"/>
      <c r="V1128" s="152"/>
      <c r="W1128" s="78"/>
      <c r="X1128" s="78"/>
    </row>
    <row r="1129" spans="1:24" ht="42" customHeight="1">
      <c r="A1129" s="78"/>
      <c r="B1129" s="149"/>
      <c r="C1129" s="149"/>
      <c r="D1129" s="78"/>
      <c r="E1129" s="78"/>
      <c r="F1129" s="78"/>
      <c r="G1129" s="150"/>
      <c r="H1129" s="78"/>
      <c r="I1129" s="151"/>
      <c r="J1129" s="78"/>
      <c r="K1129" s="78"/>
      <c r="L1129" s="78"/>
      <c r="M1129" s="153"/>
      <c r="N1129" s="78"/>
      <c r="O1129" s="78"/>
      <c r="P1129" s="153"/>
      <c r="Q1129" s="78"/>
      <c r="R1129" s="78"/>
      <c r="S1129" s="153"/>
      <c r="T1129" s="78"/>
      <c r="U1129" s="78"/>
      <c r="V1129" s="152"/>
      <c r="W1129" s="78"/>
      <c r="X1129" s="78"/>
    </row>
    <row r="1130" spans="1:24" ht="42" customHeight="1">
      <c r="A1130" s="78"/>
      <c r="B1130" s="149"/>
      <c r="C1130" s="149"/>
      <c r="D1130" s="78"/>
      <c r="E1130" s="78"/>
      <c r="F1130" s="78"/>
      <c r="G1130" s="150"/>
      <c r="H1130" s="78"/>
      <c r="I1130" s="151"/>
      <c r="J1130" s="78"/>
      <c r="K1130" s="78"/>
      <c r="L1130" s="78"/>
      <c r="M1130" s="153"/>
      <c r="N1130" s="78"/>
      <c r="O1130" s="78"/>
      <c r="P1130" s="153"/>
      <c r="Q1130" s="78"/>
      <c r="R1130" s="78"/>
      <c r="S1130" s="153"/>
      <c r="T1130" s="78"/>
      <c r="U1130" s="78"/>
      <c r="V1130" s="152"/>
      <c r="W1130" s="78"/>
      <c r="X1130" s="78"/>
    </row>
    <row r="1131" spans="1:24" ht="42" customHeight="1">
      <c r="A1131" s="78"/>
      <c r="B1131" s="149"/>
      <c r="C1131" s="149"/>
      <c r="D1131" s="78"/>
      <c r="E1131" s="78"/>
      <c r="F1131" s="78"/>
      <c r="G1131" s="150"/>
      <c r="H1131" s="78"/>
      <c r="I1131" s="151"/>
      <c r="J1131" s="78"/>
      <c r="K1131" s="78"/>
      <c r="L1131" s="78"/>
      <c r="M1131" s="153"/>
      <c r="N1131" s="78"/>
      <c r="O1131" s="78"/>
      <c r="P1131" s="153"/>
      <c r="Q1131" s="78"/>
      <c r="R1131" s="78"/>
      <c r="S1131" s="153"/>
      <c r="T1131" s="78"/>
      <c r="U1131" s="78"/>
      <c r="V1131" s="152"/>
      <c r="W1131" s="78"/>
      <c r="X1131" s="78"/>
    </row>
    <row r="1132" spans="1:24" ht="42" customHeight="1">
      <c r="A1132" s="78"/>
      <c r="B1132" s="149"/>
      <c r="C1132" s="149"/>
      <c r="D1132" s="78"/>
      <c r="E1132" s="78"/>
      <c r="F1132" s="78"/>
      <c r="G1132" s="150"/>
      <c r="H1132" s="78"/>
      <c r="I1132" s="151"/>
      <c r="J1132" s="78"/>
      <c r="K1132" s="78"/>
      <c r="L1132" s="78"/>
      <c r="M1132" s="153"/>
      <c r="N1132" s="78"/>
      <c r="O1132" s="78"/>
      <c r="P1132" s="153"/>
      <c r="Q1132" s="78"/>
      <c r="R1132" s="78"/>
      <c r="S1132" s="153"/>
      <c r="T1132" s="78"/>
      <c r="U1132" s="78"/>
      <c r="V1132" s="152"/>
      <c r="W1132" s="78"/>
      <c r="X1132" s="78"/>
    </row>
    <row r="1133" spans="1:24" ht="42" customHeight="1">
      <c r="A1133" s="78"/>
      <c r="B1133" s="149"/>
      <c r="C1133" s="149"/>
      <c r="D1133" s="78"/>
      <c r="E1133" s="78"/>
      <c r="F1133" s="78"/>
      <c r="G1133" s="150"/>
      <c r="H1133" s="78"/>
      <c r="I1133" s="151"/>
      <c r="J1133" s="78"/>
      <c r="K1133" s="78"/>
      <c r="L1133" s="78"/>
      <c r="M1133" s="153"/>
      <c r="N1133" s="78"/>
      <c r="O1133" s="78"/>
      <c r="P1133" s="153"/>
      <c r="Q1133" s="78"/>
      <c r="R1133" s="78"/>
      <c r="S1133" s="153"/>
      <c r="T1133" s="78"/>
      <c r="U1133" s="78"/>
      <c r="V1133" s="152"/>
      <c r="W1133" s="78"/>
      <c r="X1133" s="78"/>
    </row>
    <row r="1134" spans="1:24" ht="42" customHeight="1">
      <c r="A1134" s="78"/>
      <c r="B1134" s="149"/>
      <c r="C1134" s="149"/>
      <c r="D1134" s="78"/>
      <c r="E1134" s="78"/>
      <c r="F1134" s="78"/>
      <c r="G1134" s="150"/>
      <c r="H1134" s="78"/>
      <c r="I1134" s="151"/>
      <c r="J1134" s="78"/>
      <c r="K1134" s="78"/>
      <c r="L1134" s="78"/>
      <c r="M1134" s="153"/>
      <c r="N1134" s="78"/>
      <c r="O1134" s="78"/>
      <c r="P1134" s="153"/>
      <c r="Q1134" s="78"/>
      <c r="R1134" s="78"/>
      <c r="S1134" s="153"/>
      <c r="T1134" s="78"/>
      <c r="U1134" s="78"/>
      <c r="V1134" s="152"/>
      <c r="W1134" s="78"/>
      <c r="X1134" s="78"/>
    </row>
    <row r="1135" spans="1:24" ht="42" customHeight="1">
      <c r="A1135" s="78"/>
      <c r="B1135" s="149"/>
      <c r="C1135" s="149"/>
      <c r="D1135" s="78"/>
      <c r="E1135" s="78"/>
      <c r="F1135" s="78"/>
      <c r="G1135" s="150"/>
      <c r="H1135" s="78"/>
      <c r="I1135" s="151"/>
      <c r="J1135" s="78"/>
      <c r="K1135" s="78"/>
      <c r="L1135" s="78"/>
      <c r="M1135" s="153"/>
      <c r="N1135" s="78"/>
      <c r="O1135" s="78"/>
      <c r="P1135" s="153"/>
      <c r="Q1135" s="78"/>
      <c r="R1135" s="78"/>
      <c r="S1135" s="153"/>
      <c r="T1135" s="78"/>
      <c r="U1135" s="78"/>
      <c r="V1135" s="152"/>
      <c r="W1135" s="78"/>
      <c r="X1135" s="78"/>
    </row>
    <row r="1136" spans="1:24" ht="42" customHeight="1">
      <c r="A1136" s="78"/>
      <c r="B1136" s="149"/>
      <c r="C1136" s="149"/>
      <c r="D1136" s="78"/>
      <c r="E1136" s="78"/>
      <c r="F1136" s="78"/>
      <c r="G1136" s="150"/>
      <c r="H1136" s="78"/>
      <c r="I1136" s="151"/>
      <c r="J1136" s="78"/>
      <c r="K1136" s="78"/>
      <c r="L1136" s="78"/>
      <c r="M1136" s="153"/>
      <c r="N1136" s="78"/>
      <c r="O1136" s="78"/>
      <c r="P1136" s="153"/>
      <c r="Q1136" s="78"/>
      <c r="R1136" s="78"/>
      <c r="S1136" s="153"/>
      <c r="T1136" s="78"/>
      <c r="U1136" s="78"/>
      <c r="V1136" s="152"/>
      <c r="W1136" s="78"/>
      <c r="X1136" s="78"/>
    </row>
    <row r="1137" spans="1:24" ht="42" customHeight="1">
      <c r="A1137" s="78"/>
      <c r="B1137" s="149"/>
      <c r="C1137" s="149"/>
      <c r="D1137" s="78"/>
      <c r="E1137" s="78"/>
      <c r="F1137" s="78"/>
      <c r="G1137" s="150"/>
      <c r="H1137" s="78"/>
      <c r="I1137" s="151"/>
      <c r="J1137" s="78"/>
      <c r="K1137" s="78"/>
      <c r="L1137" s="78"/>
      <c r="M1137" s="153"/>
      <c r="N1137" s="78"/>
      <c r="O1137" s="78"/>
      <c r="P1137" s="153"/>
      <c r="Q1137" s="78"/>
      <c r="R1137" s="78"/>
      <c r="S1137" s="153"/>
      <c r="T1137" s="78"/>
      <c r="U1137" s="78"/>
      <c r="V1137" s="152"/>
      <c r="W1137" s="78"/>
      <c r="X1137" s="78"/>
    </row>
    <row r="1138" spans="1:24" ht="42" customHeight="1">
      <c r="A1138" s="78"/>
      <c r="B1138" s="149"/>
      <c r="C1138" s="149"/>
      <c r="D1138" s="78"/>
      <c r="E1138" s="78"/>
      <c r="F1138" s="78"/>
      <c r="G1138" s="150"/>
      <c r="H1138" s="78"/>
      <c r="I1138" s="151"/>
      <c r="J1138" s="78"/>
      <c r="K1138" s="78"/>
      <c r="L1138" s="78"/>
      <c r="M1138" s="153"/>
      <c r="N1138" s="78"/>
      <c r="O1138" s="78"/>
      <c r="P1138" s="153"/>
      <c r="Q1138" s="78"/>
      <c r="R1138" s="78"/>
      <c r="S1138" s="153"/>
      <c r="T1138" s="78"/>
      <c r="U1138" s="78"/>
      <c r="V1138" s="152"/>
      <c r="W1138" s="78"/>
      <c r="X1138" s="78"/>
    </row>
    <row r="1139" spans="1:24" ht="42" customHeight="1">
      <c r="A1139" s="78"/>
      <c r="B1139" s="149"/>
      <c r="C1139" s="149"/>
      <c r="D1139" s="78"/>
      <c r="E1139" s="78"/>
      <c r="F1139" s="78"/>
      <c r="G1139" s="150"/>
      <c r="H1139" s="78"/>
      <c r="I1139" s="151"/>
      <c r="J1139" s="78"/>
      <c r="K1139" s="78"/>
      <c r="L1139" s="78"/>
      <c r="M1139" s="153"/>
      <c r="N1139" s="78"/>
      <c r="O1139" s="78"/>
      <c r="P1139" s="153"/>
      <c r="Q1139" s="78"/>
      <c r="R1139" s="78"/>
      <c r="S1139" s="153"/>
      <c r="T1139" s="78"/>
      <c r="U1139" s="78"/>
      <c r="V1139" s="152"/>
      <c r="W1139" s="78"/>
      <c r="X1139" s="78"/>
    </row>
    <row r="1140" spans="1:24" ht="42" customHeight="1">
      <c r="A1140" s="78"/>
      <c r="B1140" s="149"/>
      <c r="C1140" s="149"/>
      <c r="D1140" s="78"/>
      <c r="E1140" s="78"/>
      <c r="F1140" s="78"/>
      <c r="G1140" s="150"/>
      <c r="H1140" s="78"/>
      <c r="I1140" s="151"/>
      <c r="J1140" s="78"/>
      <c r="K1140" s="78"/>
      <c r="L1140" s="78"/>
      <c r="M1140" s="153"/>
      <c r="N1140" s="78"/>
      <c r="O1140" s="78"/>
      <c r="P1140" s="153"/>
      <c r="Q1140" s="78"/>
      <c r="R1140" s="78"/>
      <c r="S1140" s="153"/>
      <c r="T1140" s="78"/>
      <c r="U1140" s="78"/>
      <c r="V1140" s="152"/>
      <c r="W1140" s="78"/>
      <c r="X1140" s="78"/>
    </row>
    <row r="1141" spans="1:24" ht="42" customHeight="1">
      <c r="A1141" s="78"/>
      <c r="B1141" s="149"/>
      <c r="C1141" s="149"/>
      <c r="D1141" s="78"/>
      <c r="E1141" s="78"/>
      <c r="F1141" s="78"/>
      <c r="G1141" s="150"/>
      <c r="H1141" s="78"/>
      <c r="I1141" s="151"/>
      <c r="J1141" s="78"/>
      <c r="K1141" s="78"/>
      <c r="L1141" s="78"/>
      <c r="M1141" s="153"/>
      <c r="N1141" s="78"/>
      <c r="O1141" s="78"/>
      <c r="P1141" s="153"/>
      <c r="Q1141" s="78"/>
      <c r="R1141" s="78"/>
      <c r="S1141" s="153"/>
      <c r="T1141" s="78"/>
      <c r="U1141" s="78"/>
      <c r="V1141" s="152"/>
      <c r="W1141" s="78"/>
      <c r="X1141" s="78"/>
    </row>
    <row r="1142" spans="1:24" ht="42" customHeight="1">
      <c r="A1142" s="78"/>
      <c r="B1142" s="149"/>
      <c r="C1142" s="149"/>
      <c r="D1142" s="78"/>
      <c r="E1142" s="78"/>
      <c r="F1142" s="78"/>
      <c r="G1142" s="150"/>
      <c r="H1142" s="78"/>
      <c r="I1142" s="151"/>
      <c r="J1142" s="78"/>
      <c r="K1142" s="78"/>
      <c r="L1142" s="78"/>
      <c r="M1142" s="153"/>
      <c r="N1142" s="78"/>
      <c r="O1142" s="78"/>
      <c r="P1142" s="153"/>
      <c r="Q1142" s="78"/>
      <c r="R1142" s="78"/>
      <c r="S1142" s="153"/>
      <c r="T1142" s="78"/>
      <c r="U1142" s="78"/>
      <c r="V1142" s="152"/>
      <c r="W1142" s="78"/>
      <c r="X1142" s="78"/>
    </row>
    <row r="1143" spans="1:24" ht="42" customHeight="1">
      <c r="A1143" s="78"/>
      <c r="B1143" s="149"/>
      <c r="C1143" s="149"/>
      <c r="D1143" s="78"/>
      <c r="E1143" s="78"/>
      <c r="F1143" s="78"/>
      <c r="G1143" s="150"/>
      <c r="H1143" s="78"/>
      <c r="I1143" s="151"/>
      <c r="J1143" s="78"/>
      <c r="K1143" s="78"/>
      <c r="L1143" s="78"/>
      <c r="M1143" s="153"/>
      <c r="N1143" s="78"/>
      <c r="O1143" s="78"/>
      <c r="P1143" s="153"/>
      <c r="Q1143" s="78"/>
      <c r="R1143" s="78"/>
      <c r="S1143" s="153"/>
      <c r="T1143" s="78"/>
      <c r="U1143" s="78"/>
      <c r="V1143" s="152"/>
      <c r="W1143" s="78"/>
      <c r="X1143" s="78"/>
    </row>
    <row r="1144" spans="1:24" ht="42" customHeight="1">
      <c r="A1144" s="78"/>
      <c r="B1144" s="149"/>
      <c r="C1144" s="149"/>
      <c r="D1144" s="78"/>
      <c r="E1144" s="78"/>
      <c r="F1144" s="78"/>
      <c r="G1144" s="150"/>
      <c r="H1144" s="78"/>
      <c r="I1144" s="151"/>
      <c r="J1144" s="78"/>
      <c r="K1144" s="78"/>
      <c r="L1144" s="78"/>
      <c r="M1144" s="153"/>
      <c r="N1144" s="78"/>
      <c r="O1144" s="78"/>
      <c r="P1144" s="153"/>
      <c r="Q1144" s="78"/>
      <c r="R1144" s="78"/>
      <c r="S1144" s="153"/>
      <c r="T1144" s="78"/>
      <c r="U1144" s="78"/>
      <c r="V1144" s="152"/>
      <c r="W1144" s="78"/>
      <c r="X1144" s="78"/>
    </row>
    <row r="1145" spans="1:24" ht="42" customHeight="1">
      <c r="A1145" s="78"/>
      <c r="B1145" s="149"/>
      <c r="C1145" s="149"/>
      <c r="D1145" s="78"/>
      <c r="E1145" s="78"/>
      <c r="F1145" s="78"/>
      <c r="G1145" s="150"/>
      <c r="H1145" s="78"/>
      <c r="I1145" s="151"/>
      <c r="J1145" s="78"/>
      <c r="K1145" s="78"/>
      <c r="L1145" s="78"/>
      <c r="M1145" s="153"/>
      <c r="N1145" s="78"/>
      <c r="O1145" s="78"/>
      <c r="P1145" s="153"/>
      <c r="Q1145" s="78"/>
      <c r="R1145" s="78"/>
      <c r="S1145" s="153"/>
      <c r="T1145" s="78"/>
      <c r="U1145" s="78"/>
      <c r="V1145" s="152"/>
      <c r="W1145" s="78"/>
      <c r="X1145" s="78"/>
    </row>
    <row r="1146" spans="1:24" ht="42" customHeight="1">
      <c r="A1146" s="78"/>
      <c r="B1146" s="149"/>
      <c r="C1146" s="149"/>
      <c r="D1146" s="78"/>
      <c r="E1146" s="78"/>
      <c r="F1146" s="78"/>
      <c r="G1146" s="150"/>
      <c r="H1146" s="78"/>
      <c r="I1146" s="151"/>
      <c r="J1146" s="78"/>
      <c r="K1146" s="78"/>
      <c r="L1146" s="78"/>
      <c r="M1146" s="153"/>
      <c r="N1146" s="78"/>
      <c r="O1146" s="78"/>
      <c r="P1146" s="153"/>
      <c r="Q1146" s="78"/>
      <c r="R1146" s="78"/>
      <c r="S1146" s="153"/>
      <c r="T1146" s="78"/>
      <c r="U1146" s="78"/>
      <c r="V1146" s="152"/>
      <c r="W1146" s="78"/>
      <c r="X1146" s="78"/>
    </row>
    <row r="1147" spans="1:24" ht="42" customHeight="1">
      <c r="A1147" s="78"/>
      <c r="B1147" s="149"/>
      <c r="C1147" s="149"/>
      <c r="D1147" s="78"/>
      <c r="E1147" s="78"/>
      <c r="F1147" s="78"/>
      <c r="G1147" s="150"/>
      <c r="H1147" s="78"/>
      <c r="I1147" s="151"/>
      <c r="J1147" s="78"/>
      <c r="K1147" s="78"/>
      <c r="L1147" s="78"/>
      <c r="M1147" s="153"/>
      <c r="N1147" s="78"/>
      <c r="O1147" s="78"/>
      <c r="P1147" s="153"/>
      <c r="Q1147" s="78"/>
      <c r="R1147" s="78"/>
      <c r="S1147" s="153"/>
      <c r="T1147" s="78"/>
      <c r="U1147" s="78"/>
      <c r="V1147" s="152"/>
      <c r="W1147" s="78"/>
      <c r="X1147" s="78"/>
    </row>
    <row r="1148" spans="1:24" ht="42" customHeight="1">
      <c r="A1148" s="78"/>
      <c r="B1148" s="149"/>
      <c r="C1148" s="149"/>
      <c r="D1148" s="78"/>
      <c r="E1148" s="78"/>
      <c r="F1148" s="78"/>
      <c r="G1148" s="150"/>
      <c r="H1148" s="78"/>
      <c r="I1148" s="151"/>
      <c r="J1148" s="78"/>
      <c r="K1148" s="78"/>
      <c r="L1148" s="78"/>
      <c r="M1148" s="153"/>
      <c r="N1148" s="78"/>
      <c r="O1148" s="78"/>
      <c r="P1148" s="153"/>
      <c r="Q1148" s="78"/>
      <c r="R1148" s="78"/>
      <c r="S1148" s="153"/>
      <c r="T1148" s="78"/>
      <c r="U1148" s="78"/>
      <c r="V1148" s="152"/>
      <c r="W1148" s="78"/>
      <c r="X1148" s="78"/>
    </row>
    <row r="1149" spans="1:24" ht="42" customHeight="1">
      <c r="A1149" s="78"/>
      <c r="B1149" s="149"/>
      <c r="C1149" s="149"/>
      <c r="D1149" s="78"/>
      <c r="E1149" s="78"/>
      <c r="F1149" s="78"/>
      <c r="G1149" s="150"/>
      <c r="H1149" s="78"/>
      <c r="I1149" s="151"/>
      <c r="J1149" s="78"/>
      <c r="K1149" s="78"/>
      <c r="L1149" s="78"/>
      <c r="M1149" s="153"/>
      <c r="N1149" s="78"/>
      <c r="O1149" s="78"/>
      <c r="P1149" s="153"/>
      <c r="Q1149" s="78"/>
      <c r="R1149" s="78"/>
      <c r="S1149" s="153"/>
      <c r="T1149" s="78"/>
      <c r="U1149" s="78"/>
      <c r="V1149" s="152"/>
      <c r="W1149" s="78"/>
      <c r="X1149" s="78"/>
    </row>
    <row r="1150" spans="1:24" ht="42" customHeight="1">
      <c r="A1150" s="78"/>
      <c r="B1150" s="149"/>
      <c r="C1150" s="149"/>
      <c r="D1150" s="78"/>
      <c r="E1150" s="78"/>
      <c r="F1150" s="78"/>
      <c r="G1150" s="150"/>
      <c r="H1150" s="78"/>
      <c r="I1150" s="151"/>
      <c r="J1150" s="78"/>
      <c r="K1150" s="78"/>
      <c r="L1150" s="78"/>
      <c r="M1150" s="153"/>
      <c r="N1150" s="78"/>
      <c r="O1150" s="78"/>
      <c r="P1150" s="153"/>
      <c r="Q1150" s="78"/>
      <c r="R1150" s="78"/>
      <c r="S1150" s="153"/>
      <c r="T1150" s="78"/>
      <c r="U1150" s="78"/>
      <c r="V1150" s="152"/>
      <c r="W1150" s="78"/>
      <c r="X1150" s="78"/>
    </row>
    <row r="1151" spans="1:24" ht="42" customHeight="1">
      <c r="A1151" s="78"/>
      <c r="B1151" s="149"/>
      <c r="C1151" s="149"/>
      <c r="D1151" s="78"/>
      <c r="E1151" s="78"/>
      <c r="F1151" s="78"/>
      <c r="G1151" s="150"/>
      <c r="H1151" s="78"/>
      <c r="I1151" s="151"/>
      <c r="J1151" s="78"/>
      <c r="K1151" s="78"/>
      <c r="L1151" s="78"/>
      <c r="M1151" s="153"/>
      <c r="N1151" s="78"/>
      <c r="O1151" s="78"/>
      <c r="P1151" s="153"/>
      <c r="Q1151" s="78"/>
      <c r="R1151" s="78"/>
      <c r="S1151" s="153"/>
      <c r="T1151" s="78"/>
      <c r="U1151" s="78"/>
      <c r="V1151" s="152"/>
      <c r="W1151" s="78"/>
      <c r="X1151" s="78"/>
    </row>
    <row r="1152" spans="1:24" ht="42" customHeight="1">
      <c r="A1152" s="78"/>
      <c r="B1152" s="149"/>
      <c r="C1152" s="149"/>
      <c r="D1152" s="78"/>
      <c r="E1152" s="78"/>
      <c r="F1152" s="78"/>
      <c r="G1152" s="150"/>
      <c r="H1152" s="78"/>
      <c r="I1152" s="151"/>
      <c r="J1152" s="78"/>
      <c r="K1152" s="78"/>
      <c r="L1152" s="78"/>
      <c r="M1152" s="153"/>
      <c r="N1152" s="78"/>
      <c r="O1152" s="78"/>
      <c r="P1152" s="153"/>
      <c r="Q1152" s="78"/>
      <c r="R1152" s="78"/>
      <c r="S1152" s="153"/>
      <c r="T1152" s="78"/>
      <c r="U1152" s="78"/>
      <c r="V1152" s="152"/>
      <c r="W1152" s="78"/>
      <c r="X1152" s="78"/>
    </row>
    <row r="1153" spans="1:24" ht="42" customHeight="1">
      <c r="A1153" s="78"/>
      <c r="B1153" s="149"/>
      <c r="C1153" s="149"/>
      <c r="D1153" s="78"/>
      <c r="E1153" s="78"/>
      <c r="F1153" s="78"/>
      <c r="G1153" s="150"/>
      <c r="H1153" s="78"/>
      <c r="I1153" s="151"/>
      <c r="J1153" s="78"/>
      <c r="K1153" s="78"/>
      <c r="L1153" s="78"/>
      <c r="M1153" s="153"/>
      <c r="N1153" s="78"/>
      <c r="O1153" s="78"/>
      <c r="P1153" s="153"/>
      <c r="Q1153" s="78"/>
      <c r="R1153" s="78"/>
      <c r="S1153" s="153"/>
      <c r="T1153" s="78"/>
      <c r="U1153" s="78"/>
      <c r="V1153" s="152"/>
      <c r="W1153" s="78"/>
      <c r="X1153" s="78"/>
    </row>
    <row r="1154" spans="1:24" ht="42" customHeight="1">
      <c r="A1154" s="78"/>
      <c r="B1154" s="149"/>
      <c r="C1154" s="149"/>
      <c r="D1154" s="78"/>
      <c r="E1154" s="78"/>
      <c r="F1154" s="78"/>
      <c r="G1154" s="150"/>
      <c r="H1154" s="78"/>
      <c r="I1154" s="151"/>
      <c r="J1154" s="78"/>
      <c r="K1154" s="78"/>
      <c r="L1154" s="78"/>
      <c r="M1154" s="153"/>
      <c r="N1154" s="78"/>
      <c r="O1154" s="78"/>
      <c r="P1154" s="153"/>
      <c r="Q1154" s="78"/>
      <c r="R1154" s="78"/>
      <c r="S1154" s="153"/>
      <c r="T1154" s="78"/>
      <c r="U1154" s="78"/>
      <c r="V1154" s="152"/>
      <c r="W1154" s="78"/>
      <c r="X1154" s="78"/>
    </row>
    <row r="1155" spans="1:24" ht="42" customHeight="1">
      <c r="A1155" s="78"/>
      <c r="B1155" s="149"/>
      <c r="C1155" s="149"/>
      <c r="D1155" s="78"/>
      <c r="E1155" s="78"/>
      <c r="F1155" s="78"/>
      <c r="G1155" s="150"/>
      <c r="H1155" s="78"/>
      <c r="I1155" s="151"/>
      <c r="J1155" s="78"/>
      <c r="K1155" s="78"/>
      <c r="L1155" s="78"/>
      <c r="M1155" s="153"/>
      <c r="N1155" s="78"/>
      <c r="O1155" s="78"/>
      <c r="P1155" s="153"/>
      <c r="Q1155" s="78"/>
      <c r="R1155" s="78"/>
      <c r="S1155" s="153"/>
      <c r="T1155" s="78"/>
      <c r="U1155" s="78"/>
      <c r="V1155" s="152"/>
      <c r="W1155" s="78"/>
      <c r="X1155" s="78"/>
    </row>
    <row r="1156" spans="1:24" ht="42" customHeight="1">
      <c r="A1156" s="78"/>
      <c r="B1156" s="149"/>
      <c r="C1156" s="149"/>
      <c r="D1156" s="78"/>
      <c r="E1156" s="78"/>
      <c r="F1156" s="78"/>
      <c r="G1156" s="150"/>
      <c r="H1156" s="78"/>
      <c r="I1156" s="151"/>
      <c r="J1156" s="78"/>
      <c r="K1156" s="78"/>
      <c r="L1156" s="78"/>
      <c r="M1156" s="153"/>
      <c r="N1156" s="78"/>
      <c r="O1156" s="78"/>
      <c r="P1156" s="153"/>
      <c r="Q1156" s="78"/>
      <c r="R1156" s="78"/>
      <c r="S1156" s="153"/>
      <c r="T1156" s="78"/>
      <c r="U1156" s="78"/>
      <c r="V1156" s="152"/>
      <c r="W1156" s="78"/>
      <c r="X1156" s="78"/>
    </row>
    <row r="1157" spans="1:24" ht="42" customHeight="1">
      <c r="A1157" s="78"/>
      <c r="B1157" s="149"/>
      <c r="C1157" s="149"/>
      <c r="D1157" s="78"/>
      <c r="E1157" s="78"/>
      <c r="F1157" s="78"/>
      <c r="G1157" s="150"/>
      <c r="H1157" s="78"/>
      <c r="I1157" s="151"/>
      <c r="J1157" s="78"/>
      <c r="K1157" s="78"/>
      <c r="L1157" s="78"/>
      <c r="M1157" s="153"/>
      <c r="N1157" s="78"/>
      <c r="O1157" s="78"/>
      <c r="P1157" s="153"/>
      <c r="Q1157" s="78"/>
      <c r="R1157" s="78"/>
      <c r="S1157" s="153"/>
      <c r="T1157" s="78"/>
      <c r="U1157" s="78"/>
      <c r="V1157" s="152"/>
      <c r="W1157" s="78"/>
      <c r="X1157" s="78"/>
    </row>
    <row r="1158" spans="1:24" ht="42" customHeight="1">
      <c r="A1158" s="78"/>
      <c r="B1158" s="149"/>
      <c r="C1158" s="149"/>
      <c r="D1158" s="78"/>
      <c r="E1158" s="78"/>
      <c r="F1158" s="78"/>
      <c r="G1158" s="150"/>
      <c r="H1158" s="78"/>
      <c r="I1158" s="151"/>
      <c r="J1158" s="78"/>
      <c r="K1158" s="78"/>
      <c r="L1158" s="78"/>
      <c r="M1158" s="153"/>
      <c r="N1158" s="78"/>
      <c r="O1158" s="78"/>
      <c r="P1158" s="153"/>
      <c r="Q1158" s="78"/>
      <c r="R1158" s="78"/>
      <c r="S1158" s="153"/>
      <c r="T1158" s="78"/>
      <c r="U1158" s="78"/>
      <c r="V1158" s="152"/>
      <c r="W1158" s="78"/>
      <c r="X1158" s="78"/>
    </row>
    <row r="1159" spans="1:24" ht="42" customHeight="1">
      <c r="A1159" s="78"/>
      <c r="B1159" s="149"/>
      <c r="C1159" s="149"/>
      <c r="D1159" s="78"/>
      <c r="E1159" s="78"/>
      <c r="F1159" s="78"/>
      <c r="G1159" s="150"/>
      <c r="H1159" s="78"/>
      <c r="I1159" s="151"/>
      <c r="J1159" s="78"/>
      <c r="K1159" s="78"/>
      <c r="L1159" s="78"/>
      <c r="M1159" s="153"/>
      <c r="N1159" s="78"/>
      <c r="O1159" s="78"/>
      <c r="P1159" s="153"/>
      <c r="Q1159" s="78"/>
      <c r="R1159" s="78"/>
      <c r="S1159" s="153"/>
      <c r="T1159" s="78"/>
      <c r="U1159" s="78"/>
      <c r="V1159" s="152"/>
      <c r="W1159" s="78"/>
      <c r="X1159" s="78"/>
    </row>
    <row r="1160" spans="1:24" ht="42" customHeight="1">
      <c r="A1160" s="78"/>
      <c r="B1160" s="149"/>
      <c r="C1160" s="149"/>
      <c r="D1160" s="78"/>
      <c r="E1160" s="78"/>
      <c r="F1160" s="78"/>
      <c r="G1160" s="150"/>
      <c r="H1160" s="78"/>
      <c r="I1160" s="151"/>
      <c r="J1160" s="78"/>
      <c r="K1160" s="78"/>
      <c r="L1160" s="78"/>
      <c r="M1160" s="153"/>
      <c r="N1160" s="78"/>
      <c r="O1160" s="78"/>
      <c r="P1160" s="153"/>
      <c r="Q1160" s="78"/>
      <c r="R1160" s="78"/>
      <c r="S1160" s="153"/>
      <c r="T1160" s="78"/>
      <c r="U1160" s="78"/>
      <c r="V1160" s="152"/>
      <c r="W1160" s="78"/>
      <c r="X1160" s="78"/>
    </row>
    <row r="1161" spans="1:24" ht="42" customHeight="1">
      <c r="A1161" s="78"/>
      <c r="B1161" s="149"/>
      <c r="C1161" s="149"/>
      <c r="D1161" s="78"/>
      <c r="E1161" s="78"/>
      <c r="F1161" s="78"/>
      <c r="G1161" s="150"/>
      <c r="H1161" s="78"/>
      <c r="I1161" s="151"/>
      <c r="J1161" s="78"/>
      <c r="K1161" s="78"/>
      <c r="L1161" s="78"/>
      <c r="M1161" s="153"/>
      <c r="N1161" s="78"/>
      <c r="O1161" s="78"/>
      <c r="P1161" s="153"/>
      <c r="Q1161" s="78"/>
      <c r="R1161" s="78"/>
      <c r="S1161" s="153"/>
      <c r="T1161" s="78"/>
      <c r="U1161" s="78"/>
      <c r="V1161" s="152"/>
      <c r="W1161" s="78"/>
      <c r="X1161" s="78"/>
    </row>
    <row r="1162" spans="1:24" ht="42" customHeight="1">
      <c r="A1162" s="78"/>
      <c r="B1162" s="149"/>
      <c r="C1162" s="149"/>
      <c r="D1162" s="78"/>
      <c r="E1162" s="78"/>
      <c r="F1162" s="78"/>
      <c r="G1162" s="150"/>
      <c r="H1162" s="78"/>
      <c r="I1162" s="151"/>
      <c r="J1162" s="78"/>
      <c r="K1162" s="78"/>
      <c r="L1162" s="78"/>
      <c r="M1162" s="153"/>
      <c r="N1162" s="78"/>
      <c r="O1162" s="78"/>
      <c r="P1162" s="153"/>
      <c r="Q1162" s="78"/>
      <c r="R1162" s="78"/>
      <c r="S1162" s="153"/>
      <c r="T1162" s="78"/>
      <c r="U1162" s="78"/>
      <c r="V1162" s="152"/>
      <c r="W1162" s="78"/>
      <c r="X1162" s="78"/>
    </row>
    <row r="1163" spans="1:24" ht="42" customHeight="1">
      <c r="A1163" s="78"/>
      <c r="B1163" s="149"/>
      <c r="C1163" s="149"/>
      <c r="D1163" s="78"/>
      <c r="E1163" s="78"/>
      <c r="F1163" s="78"/>
      <c r="G1163" s="150"/>
      <c r="H1163" s="78"/>
      <c r="I1163" s="151"/>
      <c r="J1163" s="78"/>
      <c r="K1163" s="78"/>
      <c r="L1163" s="78"/>
      <c r="M1163" s="153"/>
      <c r="N1163" s="78"/>
      <c r="O1163" s="78"/>
      <c r="P1163" s="153"/>
      <c r="Q1163" s="78"/>
      <c r="R1163" s="78"/>
      <c r="S1163" s="153"/>
      <c r="T1163" s="78"/>
      <c r="U1163" s="78"/>
      <c r="V1163" s="152"/>
      <c r="W1163" s="78"/>
      <c r="X1163" s="78"/>
    </row>
    <row r="1164" spans="1:24" ht="42" customHeight="1">
      <c r="A1164" s="78"/>
      <c r="B1164" s="149"/>
      <c r="C1164" s="149"/>
      <c r="D1164" s="78"/>
      <c r="E1164" s="78"/>
      <c r="F1164" s="78"/>
      <c r="G1164" s="150"/>
      <c r="H1164" s="78"/>
      <c r="I1164" s="151"/>
      <c r="J1164" s="78"/>
      <c r="K1164" s="78"/>
      <c r="L1164" s="78"/>
      <c r="M1164" s="153"/>
      <c r="N1164" s="78"/>
      <c r="O1164" s="78"/>
      <c r="P1164" s="153"/>
      <c r="Q1164" s="78"/>
      <c r="R1164" s="78"/>
      <c r="S1164" s="153"/>
      <c r="T1164" s="78"/>
      <c r="U1164" s="78"/>
      <c r="V1164" s="152"/>
      <c r="W1164" s="78"/>
      <c r="X1164" s="78"/>
    </row>
    <row r="1165" spans="1:24" ht="42" customHeight="1">
      <c r="A1165" s="78"/>
      <c r="B1165" s="149"/>
      <c r="C1165" s="149"/>
      <c r="D1165" s="78"/>
      <c r="E1165" s="78"/>
      <c r="F1165" s="78"/>
      <c r="G1165" s="150"/>
      <c r="H1165" s="78"/>
      <c r="I1165" s="151"/>
      <c r="J1165" s="78"/>
      <c r="K1165" s="78"/>
      <c r="L1165" s="78"/>
      <c r="M1165" s="153"/>
      <c r="N1165" s="78"/>
      <c r="O1165" s="78"/>
      <c r="P1165" s="153"/>
      <c r="Q1165" s="78"/>
      <c r="R1165" s="78"/>
      <c r="S1165" s="153"/>
      <c r="T1165" s="78"/>
      <c r="U1165" s="78"/>
      <c r="V1165" s="152"/>
      <c r="W1165" s="78"/>
      <c r="X1165" s="78"/>
    </row>
    <row r="1166" spans="1:24" ht="42" customHeight="1">
      <c r="A1166" s="78"/>
      <c r="B1166" s="149"/>
      <c r="C1166" s="149"/>
      <c r="D1166" s="78"/>
      <c r="E1166" s="78"/>
      <c r="F1166" s="78"/>
      <c r="G1166" s="150"/>
      <c r="H1166" s="78"/>
      <c r="I1166" s="151"/>
      <c r="J1166" s="78"/>
      <c r="K1166" s="78"/>
      <c r="L1166" s="78"/>
      <c r="M1166" s="153"/>
      <c r="N1166" s="78"/>
      <c r="O1166" s="78"/>
      <c r="P1166" s="153"/>
      <c r="Q1166" s="78"/>
      <c r="R1166" s="78"/>
      <c r="S1166" s="153"/>
      <c r="T1166" s="78"/>
      <c r="U1166" s="78"/>
      <c r="V1166" s="152"/>
      <c r="W1166" s="78"/>
      <c r="X1166" s="78"/>
    </row>
    <row r="1167" spans="1:24" ht="42" customHeight="1">
      <c r="A1167" s="78"/>
      <c r="B1167" s="149"/>
      <c r="C1167" s="149"/>
      <c r="D1167" s="78"/>
      <c r="E1167" s="78"/>
      <c r="F1167" s="78"/>
      <c r="G1167" s="150"/>
      <c r="H1167" s="78"/>
      <c r="I1167" s="151"/>
      <c r="J1167" s="78"/>
      <c r="K1167" s="78"/>
      <c r="L1167" s="78"/>
      <c r="M1167" s="153"/>
      <c r="N1167" s="78"/>
      <c r="O1167" s="78"/>
      <c r="P1167" s="153"/>
      <c r="Q1167" s="78"/>
      <c r="R1167" s="78"/>
      <c r="S1167" s="153"/>
      <c r="T1167" s="78"/>
      <c r="U1167" s="78"/>
      <c r="V1167" s="152"/>
      <c r="W1167" s="78"/>
      <c r="X1167" s="78"/>
    </row>
    <row r="1168" spans="1:24" ht="42" customHeight="1">
      <c r="A1168" s="78"/>
      <c r="B1168" s="149"/>
      <c r="C1168" s="149"/>
      <c r="D1168" s="78"/>
      <c r="E1168" s="78"/>
      <c r="F1168" s="78"/>
      <c r="G1168" s="150"/>
      <c r="H1168" s="78"/>
      <c r="I1168" s="151"/>
      <c r="J1168" s="78"/>
      <c r="K1168" s="78"/>
      <c r="L1168" s="78"/>
      <c r="M1168" s="153"/>
      <c r="N1168" s="78"/>
      <c r="O1168" s="78"/>
      <c r="P1168" s="153"/>
      <c r="Q1168" s="78"/>
      <c r="R1168" s="78"/>
      <c r="S1168" s="153"/>
      <c r="T1168" s="78"/>
      <c r="U1168" s="78"/>
      <c r="V1168" s="152"/>
      <c r="W1168" s="78"/>
      <c r="X1168" s="78"/>
    </row>
    <row r="1169" spans="1:24" ht="42" customHeight="1">
      <c r="A1169" s="78"/>
      <c r="B1169" s="149"/>
      <c r="C1169" s="149"/>
      <c r="D1169" s="78"/>
      <c r="E1169" s="78"/>
      <c r="F1169" s="78"/>
      <c r="G1169" s="150"/>
      <c r="H1169" s="78"/>
      <c r="I1169" s="151"/>
      <c r="J1169" s="78"/>
      <c r="K1169" s="78"/>
      <c r="L1169" s="78"/>
      <c r="M1169" s="153"/>
      <c r="N1169" s="78"/>
      <c r="O1169" s="78"/>
      <c r="P1169" s="153"/>
      <c r="Q1169" s="78"/>
      <c r="R1169" s="78"/>
      <c r="S1169" s="153"/>
      <c r="T1169" s="78"/>
      <c r="U1169" s="78"/>
      <c r="V1169" s="152"/>
      <c r="W1169" s="78"/>
      <c r="X1169" s="78"/>
    </row>
    <row r="1170" spans="1:24" ht="42" customHeight="1">
      <c r="A1170" s="78"/>
      <c r="B1170" s="149"/>
      <c r="C1170" s="149"/>
      <c r="D1170" s="78"/>
      <c r="E1170" s="78"/>
      <c r="F1170" s="78"/>
      <c r="G1170" s="150"/>
      <c r="H1170" s="78"/>
      <c r="I1170" s="151"/>
      <c r="J1170" s="78"/>
      <c r="K1170" s="78"/>
      <c r="L1170" s="78"/>
      <c r="M1170" s="153"/>
      <c r="N1170" s="78"/>
      <c r="O1170" s="78"/>
      <c r="P1170" s="153"/>
      <c r="Q1170" s="78"/>
      <c r="R1170" s="78"/>
      <c r="S1170" s="153"/>
      <c r="T1170" s="78"/>
      <c r="U1170" s="78"/>
      <c r="V1170" s="152"/>
      <c r="W1170" s="78"/>
      <c r="X1170" s="78"/>
    </row>
    <row r="1171" spans="1:24" ht="42" customHeight="1">
      <c r="A1171" s="78"/>
      <c r="B1171" s="149"/>
      <c r="C1171" s="149"/>
      <c r="D1171" s="78"/>
      <c r="E1171" s="78"/>
      <c r="F1171" s="78"/>
      <c r="G1171" s="150"/>
      <c r="H1171" s="78"/>
      <c r="I1171" s="151"/>
      <c r="J1171" s="78"/>
      <c r="K1171" s="78"/>
      <c r="L1171" s="78"/>
      <c r="M1171" s="153"/>
      <c r="N1171" s="78"/>
      <c r="O1171" s="78"/>
      <c r="P1171" s="153"/>
      <c r="Q1171" s="78"/>
      <c r="R1171" s="78"/>
      <c r="S1171" s="153"/>
      <c r="T1171" s="78"/>
      <c r="U1171" s="78"/>
      <c r="V1171" s="152"/>
      <c r="W1171" s="78"/>
      <c r="X1171" s="78"/>
    </row>
    <row r="1172" spans="1:24" ht="42" customHeight="1">
      <c r="A1172" s="78"/>
      <c r="B1172" s="149"/>
      <c r="C1172" s="149"/>
      <c r="D1172" s="78"/>
      <c r="E1172" s="78"/>
      <c r="F1172" s="78"/>
      <c r="G1172" s="150"/>
      <c r="H1172" s="78"/>
      <c r="I1172" s="151"/>
      <c r="J1172" s="78"/>
      <c r="K1172" s="78"/>
      <c r="L1172" s="78"/>
      <c r="M1172" s="153"/>
      <c r="N1172" s="78"/>
      <c r="O1172" s="78"/>
      <c r="P1172" s="153"/>
      <c r="Q1172" s="78"/>
      <c r="R1172" s="78"/>
      <c r="S1172" s="153"/>
      <c r="T1172" s="78"/>
      <c r="U1172" s="78"/>
      <c r="V1172" s="152"/>
      <c r="W1172" s="78"/>
      <c r="X1172" s="78"/>
    </row>
    <row r="1173" spans="1:24" ht="42" customHeight="1">
      <c r="A1173" s="78"/>
      <c r="B1173" s="149"/>
      <c r="C1173" s="149"/>
      <c r="D1173" s="78"/>
      <c r="E1173" s="78"/>
      <c r="F1173" s="78"/>
      <c r="G1173" s="150"/>
      <c r="H1173" s="78"/>
      <c r="I1173" s="151"/>
      <c r="J1173" s="78"/>
      <c r="K1173" s="78"/>
      <c r="L1173" s="78"/>
      <c r="M1173" s="153"/>
      <c r="N1173" s="78"/>
      <c r="O1173" s="78"/>
      <c r="P1173" s="153"/>
      <c r="Q1173" s="78"/>
      <c r="R1173" s="78"/>
      <c r="S1173" s="153"/>
      <c r="T1173" s="78"/>
      <c r="U1173" s="78"/>
      <c r="V1173" s="152"/>
      <c r="W1173" s="78"/>
      <c r="X1173" s="78"/>
    </row>
    <row r="1174" spans="1:24" ht="42" customHeight="1">
      <c r="A1174" s="78"/>
      <c r="B1174" s="149"/>
      <c r="C1174" s="149"/>
      <c r="D1174" s="78"/>
      <c r="E1174" s="78"/>
      <c r="F1174" s="78"/>
      <c r="G1174" s="150"/>
      <c r="H1174" s="78"/>
      <c r="I1174" s="151"/>
      <c r="J1174" s="78"/>
      <c r="K1174" s="78"/>
      <c r="L1174" s="78"/>
      <c r="M1174" s="153"/>
      <c r="N1174" s="78"/>
      <c r="O1174" s="78"/>
      <c r="P1174" s="153"/>
      <c r="Q1174" s="78"/>
      <c r="R1174" s="78"/>
      <c r="S1174" s="153"/>
      <c r="T1174" s="78"/>
      <c r="U1174" s="78"/>
      <c r="V1174" s="152"/>
      <c r="W1174" s="78"/>
      <c r="X1174" s="78"/>
    </row>
    <row r="1175" spans="1:24" ht="42" customHeight="1">
      <c r="A1175" s="78"/>
      <c r="B1175" s="149"/>
      <c r="C1175" s="149"/>
      <c r="D1175" s="78"/>
      <c r="E1175" s="78"/>
      <c r="F1175" s="78"/>
      <c r="G1175" s="150"/>
      <c r="H1175" s="78"/>
      <c r="I1175" s="151"/>
      <c r="J1175" s="78"/>
      <c r="K1175" s="78"/>
      <c r="L1175" s="78"/>
      <c r="M1175" s="153"/>
      <c r="N1175" s="78"/>
      <c r="O1175" s="78"/>
      <c r="P1175" s="153"/>
      <c r="Q1175" s="78"/>
      <c r="R1175" s="78"/>
      <c r="S1175" s="153"/>
      <c r="T1175" s="78"/>
      <c r="U1175" s="78"/>
      <c r="V1175" s="152"/>
      <c r="W1175" s="78"/>
      <c r="X1175" s="78"/>
    </row>
    <row r="1176" spans="1:24" ht="42" customHeight="1">
      <c r="A1176" s="78"/>
      <c r="B1176" s="149"/>
      <c r="C1176" s="149"/>
      <c r="D1176" s="78"/>
      <c r="E1176" s="78"/>
      <c r="F1176" s="78"/>
      <c r="G1176" s="150"/>
      <c r="H1176" s="78"/>
      <c r="I1176" s="151"/>
      <c r="J1176" s="78"/>
      <c r="K1176" s="78"/>
      <c r="L1176" s="78"/>
      <c r="M1176" s="153"/>
      <c r="N1176" s="78"/>
      <c r="O1176" s="78"/>
      <c r="P1176" s="153"/>
      <c r="Q1176" s="78"/>
      <c r="R1176" s="78"/>
      <c r="S1176" s="153"/>
      <c r="T1176" s="78"/>
      <c r="U1176" s="78"/>
      <c r="V1176" s="152"/>
      <c r="W1176" s="78"/>
      <c r="X1176" s="78"/>
    </row>
    <row r="1177" spans="1:24" ht="42" customHeight="1">
      <c r="A1177" s="78"/>
      <c r="B1177" s="149"/>
      <c r="C1177" s="149"/>
      <c r="D1177" s="78"/>
      <c r="E1177" s="78"/>
      <c r="F1177" s="78"/>
      <c r="G1177" s="150"/>
      <c r="H1177" s="78"/>
      <c r="I1177" s="151"/>
      <c r="J1177" s="78"/>
      <c r="K1177" s="78"/>
      <c r="L1177" s="78"/>
      <c r="M1177" s="153"/>
      <c r="N1177" s="78"/>
      <c r="O1177" s="78"/>
      <c r="P1177" s="153"/>
      <c r="Q1177" s="78"/>
      <c r="R1177" s="78"/>
      <c r="S1177" s="153"/>
      <c r="T1177" s="78"/>
      <c r="U1177" s="78"/>
      <c r="V1177" s="152"/>
      <c r="W1177" s="78"/>
      <c r="X1177" s="78"/>
    </row>
    <row r="1178" spans="1:24" ht="42" customHeight="1">
      <c r="A1178" s="78"/>
      <c r="B1178" s="149"/>
      <c r="C1178" s="149"/>
      <c r="D1178" s="78"/>
      <c r="E1178" s="78"/>
      <c r="F1178" s="78"/>
      <c r="G1178" s="150"/>
      <c r="H1178" s="78"/>
      <c r="I1178" s="151"/>
      <c r="J1178" s="78"/>
      <c r="K1178" s="78"/>
      <c r="L1178" s="78"/>
      <c r="M1178" s="153"/>
      <c r="N1178" s="78"/>
      <c r="O1178" s="78"/>
      <c r="P1178" s="153"/>
      <c r="Q1178" s="78"/>
      <c r="R1178" s="78"/>
      <c r="S1178" s="153"/>
      <c r="T1178" s="78"/>
      <c r="U1178" s="78"/>
      <c r="V1178" s="152"/>
      <c r="W1178" s="78"/>
      <c r="X1178" s="78"/>
    </row>
    <row r="1179" spans="1:24" ht="42" customHeight="1">
      <c r="A1179" s="78"/>
      <c r="B1179" s="149"/>
      <c r="C1179" s="149"/>
      <c r="D1179" s="78"/>
      <c r="E1179" s="78"/>
      <c r="F1179" s="78"/>
      <c r="G1179" s="150"/>
      <c r="H1179" s="78"/>
      <c r="I1179" s="151"/>
      <c r="J1179" s="78"/>
      <c r="K1179" s="78"/>
      <c r="L1179" s="78"/>
      <c r="M1179" s="153"/>
      <c r="N1179" s="78"/>
      <c r="O1179" s="78"/>
      <c r="P1179" s="153"/>
      <c r="Q1179" s="78"/>
      <c r="R1179" s="78"/>
      <c r="S1179" s="153"/>
      <c r="T1179" s="78"/>
      <c r="U1179" s="78"/>
      <c r="V1179" s="152"/>
      <c r="W1179" s="78"/>
      <c r="X1179" s="78"/>
    </row>
    <row r="1180" spans="1:24" ht="42" customHeight="1">
      <c r="A1180" s="78"/>
      <c r="B1180" s="149"/>
      <c r="C1180" s="149"/>
      <c r="D1180" s="78"/>
      <c r="E1180" s="78"/>
      <c r="F1180" s="78"/>
      <c r="G1180" s="150"/>
      <c r="H1180" s="78"/>
      <c r="I1180" s="151"/>
      <c r="J1180" s="78"/>
      <c r="K1180" s="78"/>
      <c r="L1180" s="78"/>
      <c r="M1180" s="153"/>
      <c r="N1180" s="78"/>
      <c r="O1180" s="78"/>
      <c r="P1180" s="153"/>
      <c r="Q1180" s="78"/>
      <c r="R1180" s="78"/>
      <c r="S1180" s="153"/>
      <c r="T1180" s="78"/>
      <c r="U1180" s="78"/>
      <c r="V1180" s="152"/>
      <c r="W1180" s="78"/>
      <c r="X1180" s="78"/>
    </row>
    <row r="1181" spans="1:24" ht="42" customHeight="1">
      <c r="A1181" s="78"/>
      <c r="B1181" s="149"/>
      <c r="C1181" s="149"/>
      <c r="D1181" s="78"/>
      <c r="E1181" s="78"/>
      <c r="F1181" s="78"/>
      <c r="G1181" s="150"/>
      <c r="H1181" s="78"/>
      <c r="I1181" s="151"/>
      <c r="J1181" s="78"/>
      <c r="K1181" s="78"/>
      <c r="L1181" s="78"/>
      <c r="M1181" s="153"/>
      <c r="N1181" s="78"/>
      <c r="O1181" s="78"/>
      <c r="P1181" s="153"/>
      <c r="Q1181" s="78"/>
      <c r="R1181" s="78"/>
      <c r="S1181" s="153"/>
      <c r="T1181" s="78"/>
      <c r="U1181" s="78"/>
      <c r="V1181" s="152"/>
      <c r="W1181" s="78"/>
      <c r="X1181" s="78"/>
    </row>
    <row r="1182" spans="1:24" ht="42" customHeight="1">
      <c r="A1182" s="78"/>
      <c r="B1182" s="149"/>
      <c r="C1182" s="149"/>
      <c r="D1182" s="78"/>
      <c r="E1182" s="78"/>
      <c r="F1182" s="78"/>
      <c r="G1182" s="150"/>
      <c r="H1182" s="78"/>
      <c r="I1182" s="151"/>
      <c r="J1182" s="78"/>
      <c r="K1182" s="78"/>
      <c r="L1182" s="78"/>
      <c r="M1182" s="153"/>
      <c r="N1182" s="78"/>
      <c r="O1182" s="78"/>
      <c r="P1182" s="153"/>
      <c r="Q1182" s="78"/>
      <c r="R1182" s="78"/>
      <c r="S1182" s="153"/>
      <c r="T1182" s="78"/>
      <c r="U1182" s="78"/>
      <c r="V1182" s="152"/>
      <c r="W1182" s="78"/>
      <c r="X1182" s="78"/>
    </row>
    <row r="1183" spans="1:24" ht="42" customHeight="1">
      <c r="A1183" s="78"/>
      <c r="B1183" s="149"/>
      <c r="C1183" s="149"/>
      <c r="D1183" s="78"/>
      <c r="E1183" s="78"/>
      <c r="F1183" s="78"/>
      <c r="G1183" s="150"/>
      <c r="H1183" s="78"/>
      <c r="I1183" s="151"/>
      <c r="J1183" s="78"/>
      <c r="K1183" s="78"/>
      <c r="L1183" s="78"/>
      <c r="M1183" s="153"/>
      <c r="N1183" s="78"/>
      <c r="O1183" s="78"/>
      <c r="P1183" s="153"/>
      <c r="Q1183" s="78"/>
      <c r="R1183" s="78"/>
      <c r="S1183" s="153"/>
      <c r="T1183" s="78"/>
      <c r="U1183" s="78"/>
      <c r="V1183" s="152"/>
      <c r="W1183" s="78"/>
      <c r="X1183" s="78"/>
    </row>
    <row r="1184" spans="1:24" ht="42" customHeight="1">
      <c r="A1184" s="78"/>
      <c r="B1184" s="149"/>
      <c r="C1184" s="149"/>
      <c r="D1184" s="78"/>
      <c r="E1184" s="78"/>
      <c r="F1184" s="78"/>
      <c r="G1184" s="150"/>
      <c r="H1184" s="78"/>
      <c r="I1184" s="151"/>
      <c r="J1184" s="78"/>
      <c r="K1184" s="78"/>
      <c r="L1184" s="78"/>
      <c r="M1184" s="153"/>
      <c r="N1184" s="78"/>
      <c r="O1184" s="78"/>
      <c r="P1184" s="153"/>
      <c r="Q1184" s="78"/>
      <c r="R1184" s="78"/>
      <c r="S1184" s="153"/>
      <c r="T1184" s="78"/>
      <c r="U1184" s="78"/>
      <c r="V1184" s="152"/>
      <c r="W1184" s="78"/>
      <c r="X1184" s="78"/>
    </row>
    <row r="1185" spans="1:24" ht="42" customHeight="1">
      <c r="A1185" s="78"/>
      <c r="B1185" s="149"/>
      <c r="C1185" s="149"/>
      <c r="D1185" s="78"/>
      <c r="E1185" s="78"/>
      <c r="F1185" s="78"/>
      <c r="G1185" s="150"/>
      <c r="H1185" s="78"/>
      <c r="I1185" s="151"/>
      <c r="J1185" s="78"/>
      <c r="K1185" s="78"/>
      <c r="L1185" s="78"/>
      <c r="M1185" s="153"/>
      <c r="N1185" s="78"/>
      <c r="O1185" s="78"/>
      <c r="P1185" s="153"/>
      <c r="Q1185" s="78"/>
      <c r="R1185" s="78"/>
      <c r="S1185" s="153"/>
      <c r="T1185" s="78"/>
      <c r="U1185" s="78"/>
      <c r="V1185" s="152"/>
      <c r="W1185" s="78"/>
      <c r="X1185" s="78"/>
    </row>
    <row r="1186" spans="1:24" ht="42" customHeight="1">
      <c r="A1186" s="78"/>
      <c r="B1186" s="149"/>
      <c r="C1186" s="149"/>
      <c r="D1186" s="78"/>
      <c r="E1186" s="78"/>
      <c r="F1186" s="78"/>
      <c r="G1186" s="150"/>
      <c r="H1186" s="78"/>
      <c r="I1186" s="151"/>
      <c r="J1186" s="78"/>
      <c r="K1186" s="78"/>
      <c r="L1186" s="78"/>
      <c r="M1186" s="153"/>
      <c r="N1186" s="78"/>
      <c r="O1186" s="78"/>
      <c r="P1186" s="153"/>
      <c r="Q1186" s="78"/>
      <c r="R1186" s="78"/>
      <c r="S1186" s="153"/>
      <c r="T1186" s="78"/>
      <c r="U1186" s="78"/>
      <c r="V1186" s="152"/>
      <c r="W1186" s="78"/>
      <c r="X1186" s="78"/>
    </row>
    <row r="1187" spans="1:24" ht="42" customHeight="1">
      <c r="A1187" s="78"/>
      <c r="B1187" s="149"/>
      <c r="C1187" s="149"/>
      <c r="D1187" s="78"/>
      <c r="E1187" s="78"/>
      <c r="F1187" s="78"/>
      <c r="G1187" s="150"/>
      <c r="H1187" s="78"/>
      <c r="I1187" s="151"/>
      <c r="J1187" s="78"/>
      <c r="K1187" s="78"/>
      <c r="L1187" s="78"/>
      <c r="M1187" s="153"/>
      <c r="N1187" s="78"/>
      <c r="O1187" s="78"/>
      <c r="P1187" s="153"/>
      <c r="Q1187" s="78"/>
      <c r="R1187" s="78"/>
      <c r="S1187" s="153"/>
      <c r="T1187" s="78"/>
      <c r="U1187" s="78"/>
      <c r="V1187" s="152"/>
      <c r="W1187" s="78"/>
      <c r="X1187" s="78"/>
    </row>
    <row r="1188" spans="1:24" ht="42" customHeight="1">
      <c r="A1188" s="78"/>
      <c r="B1188" s="149"/>
      <c r="C1188" s="149"/>
      <c r="D1188" s="78"/>
      <c r="E1188" s="78"/>
      <c r="F1188" s="78"/>
      <c r="G1188" s="150"/>
      <c r="H1188" s="78"/>
      <c r="I1188" s="151"/>
      <c r="J1188" s="78"/>
      <c r="K1188" s="78"/>
      <c r="L1188" s="78"/>
      <c r="M1188" s="153"/>
      <c r="N1188" s="78"/>
      <c r="O1188" s="78"/>
      <c r="P1188" s="153"/>
      <c r="Q1188" s="78"/>
      <c r="R1188" s="78"/>
      <c r="S1188" s="153"/>
      <c r="T1188" s="78"/>
      <c r="U1188" s="78"/>
      <c r="V1188" s="152"/>
      <c r="W1188" s="78"/>
      <c r="X1188" s="78"/>
    </row>
    <row r="1189" spans="1:24" ht="42" customHeight="1">
      <c r="A1189" s="78"/>
      <c r="B1189" s="149"/>
      <c r="C1189" s="149"/>
      <c r="D1189" s="78"/>
      <c r="E1189" s="78"/>
      <c r="F1189" s="78"/>
      <c r="G1189" s="150"/>
      <c r="H1189" s="78"/>
      <c r="I1189" s="151"/>
      <c r="J1189" s="78"/>
      <c r="K1189" s="78"/>
      <c r="L1189" s="78"/>
      <c r="M1189" s="153"/>
      <c r="N1189" s="78"/>
      <c r="O1189" s="78"/>
      <c r="P1189" s="153"/>
      <c r="Q1189" s="78"/>
      <c r="R1189" s="78"/>
      <c r="S1189" s="153"/>
      <c r="T1189" s="78"/>
      <c r="U1189" s="78"/>
      <c r="V1189" s="152"/>
      <c r="W1189" s="78"/>
      <c r="X1189" s="78"/>
    </row>
    <row r="1190" spans="1:24" ht="42" customHeight="1">
      <c r="A1190" s="78"/>
      <c r="B1190" s="149"/>
      <c r="C1190" s="149"/>
      <c r="D1190" s="78"/>
      <c r="E1190" s="78"/>
      <c r="F1190" s="78"/>
      <c r="G1190" s="150"/>
      <c r="H1190" s="78"/>
      <c r="I1190" s="151"/>
      <c r="J1190" s="78"/>
      <c r="K1190" s="78"/>
      <c r="L1190" s="78"/>
      <c r="M1190" s="153"/>
      <c r="N1190" s="78"/>
      <c r="O1190" s="78"/>
      <c r="P1190" s="153"/>
      <c r="Q1190" s="78"/>
      <c r="R1190" s="78"/>
      <c r="S1190" s="153"/>
      <c r="T1190" s="78"/>
      <c r="U1190" s="78"/>
      <c r="V1190" s="152"/>
      <c r="W1190" s="78"/>
      <c r="X1190" s="78"/>
    </row>
    <row r="1191" spans="1:24" ht="42" customHeight="1">
      <c r="A1191" s="78"/>
      <c r="B1191" s="149"/>
      <c r="C1191" s="149"/>
      <c r="D1191" s="78"/>
      <c r="E1191" s="78"/>
      <c r="F1191" s="78"/>
      <c r="G1191" s="150"/>
      <c r="H1191" s="78"/>
      <c r="I1191" s="151"/>
      <c r="J1191" s="78"/>
      <c r="K1191" s="78"/>
      <c r="L1191" s="78"/>
      <c r="M1191" s="153"/>
      <c r="N1191" s="78"/>
      <c r="O1191" s="78"/>
      <c r="P1191" s="153"/>
      <c r="Q1191" s="78"/>
      <c r="R1191" s="78"/>
      <c r="S1191" s="153"/>
      <c r="T1191" s="78"/>
      <c r="U1191" s="78"/>
      <c r="V1191" s="152"/>
      <c r="W1191" s="78"/>
      <c r="X1191" s="78"/>
    </row>
    <row r="1192" spans="1:24" ht="42" customHeight="1">
      <c r="A1192" s="78"/>
      <c r="B1192" s="149"/>
      <c r="C1192" s="149"/>
      <c r="D1192" s="78"/>
      <c r="E1192" s="78"/>
      <c r="F1192" s="78"/>
      <c r="G1192" s="150"/>
      <c r="H1192" s="78"/>
      <c r="I1192" s="151"/>
      <c r="J1192" s="78"/>
      <c r="K1192" s="78"/>
      <c r="L1192" s="78"/>
      <c r="M1192" s="153"/>
      <c r="N1192" s="78"/>
      <c r="O1192" s="78"/>
      <c r="P1192" s="153"/>
      <c r="Q1192" s="78"/>
      <c r="R1192" s="78"/>
      <c r="S1192" s="153"/>
      <c r="T1192" s="78"/>
      <c r="U1192" s="78"/>
      <c r="V1192" s="152"/>
      <c r="W1192" s="78"/>
      <c r="X1192" s="78"/>
    </row>
    <row r="1193" spans="1:24" ht="42" customHeight="1">
      <c r="A1193" s="78"/>
      <c r="B1193" s="149"/>
      <c r="C1193" s="149"/>
      <c r="D1193" s="78"/>
      <c r="E1193" s="78"/>
      <c r="F1193" s="78"/>
      <c r="G1193" s="150"/>
      <c r="H1193" s="78"/>
      <c r="I1193" s="151"/>
      <c r="J1193" s="78"/>
      <c r="K1193" s="78"/>
      <c r="L1193" s="78"/>
      <c r="M1193" s="153"/>
      <c r="N1193" s="78"/>
      <c r="O1193" s="78"/>
      <c r="P1193" s="153"/>
      <c r="Q1193" s="78"/>
      <c r="R1193" s="78"/>
      <c r="S1193" s="153"/>
      <c r="T1193" s="78"/>
      <c r="U1193" s="78"/>
      <c r="V1193" s="152"/>
      <c r="W1193" s="78"/>
      <c r="X1193" s="78"/>
    </row>
    <row r="1194" spans="1:24" ht="42" customHeight="1">
      <c r="A1194" s="78"/>
      <c r="B1194" s="149"/>
      <c r="C1194" s="149"/>
      <c r="D1194" s="78"/>
      <c r="E1194" s="78"/>
      <c r="F1194" s="78"/>
      <c r="G1194" s="150"/>
      <c r="H1194" s="78"/>
      <c r="I1194" s="151"/>
      <c r="J1194" s="78"/>
      <c r="K1194" s="78"/>
      <c r="L1194" s="78"/>
      <c r="M1194" s="153"/>
      <c r="N1194" s="78"/>
      <c r="O1194" s="78"/>
      <c r="P1194" s="153"/>
      <c r="Q1194" s="78"/>
      <c r="R1194" s="78"/>
      <c r="S1194" s="153"/>
      <c r="T1194" s="78"/>
      <c r="U1194" s="78"/>
      <c r="V1194" s="152"/>
      <c r="W1194" s="78"/>
      <c r="X1194" s="78"/>
    </row>
    <row r="1195" spans="1:24" ht="42" customHeight="1">
      <c r="A1195" s="78"/>
      <c r="B1195" s="149"/>
      <c r="C1195" s="149"/>
      <c r="D1195" s="78"/>
      <c r="E1195" s="78"/>
      <c r="F1195" s="78"/>
      <c r="G1195" s="150"/>
      <c r="H1195" s="78"/>
      <c r="I1195" s="151"/>
      <c r="J1195" s="78"/>
      <c r="K1195" s="78"/>
      <c r="L1195" s="78"/>
      <c r="M1195" s="153"/>
      <c r="N1195" s="78"/>
      <c r="O1195" s="78"/>
      <c r="P1195" s="153"/>
      <c r="Q1195" s="78"/>
      <c r="R1195" s="78"/>
      <c r="S1195" s="153"/>
      <c r="T1195" s="78"/>
      <c r="U1195" s="78"/>
      <c r="V1195" s="152"/>
      <c r="W1195" s="78"/>
      <c r="X1195" s="78"/>
    </row>
    <row r="1196" spans="1:24" ht="42" customHeight="1">
      <c r="A1196" s="78"/>
      <c r="B1196" s="149"/>
      <c r="C1196" s="149"/>
      <c r="D1196" s="78"/>
      <c r="E1196" s="78"/>
      <c r="F1196" s="78"/>
      <c r="G1196" s="150"/>
      <c r="H1196" s="78"/>
      <c r="I1196" s="151"/>
      <c r="J1196" s="78"/>
      <c r="K1196" s="78"/>
      <c r="L1196" s="78"/>
      <c r="M1196" s="153"/>
      <c r="N1196" s="78"/>
      <c r="O1196" s="78"/>
      <c r="P1196" s="153"/>
      <c r="Q1196" s="78"/>
      <c r="R1196" s="78"/>
      <c r="S1196" s="153"/>
      <c r="T1196" s="78"/>
      <c r="U1196" s="78"/>
      <c r="V1196" s="152"/>
      <c r="W1196" s="78"/>
      <c r="X1196" s="78"/>
    </row>
    <row r="1197" spans="1:24" ht="42" customHeight="1">
      <c r="A1197" s="78"/>
      <c r="B1197" s="149"/>
      <c r="C1197" s="149"/>
      <c r="D1197" s="78"/>
      <c r="E1197" s="78"/>
      <c r="F1197" s="78"/>
      <c r="G1197" s="150"/>
      <c r="H1197" s="78"/>
      <c r="I1197" s="151"/>
      <c r="J1197" s="78"/>
      <c r="K1197" s="78"/>
      <c r="L1197" s="78"/>
      <c r="M1197" s="153"/>
      <c r="N1197" s="78"/>
      <c r="O1197" s="78"/>
      <c r="P1197" s="153"/>
      <c r="Q1197" s="78"/>
      <c r="R1197" s="78"/>
      <c r="S1197" s="153"/>
      <c r="T1197" s="78"/>
      <c r="U1197" s="78"/>
      <c r="V1197" s="152"/>
      <c r="W1197" s="78"/>
      <c r="X1197" s="78"/>
    </row>
    <row r="1198" spans="1:24" ht="42" customHeight="1">
      <c r="A1198" s="78"/>
      <c r="B1198" s="149"/>
      <c r="C1198" s="149"/>
      <c r="D1198" s="78"/>
      <c r="E1198" s="78"/>
      <c r="F1198" s="78"/>
      <c r="G1198" s="150"/>
      <c r="H1198" s="78"/>
      <c r="I1198" s="151"/>
      <c r="J1198" s="78"/>
      <c r="K1198" s="78"/>
      <c r="L1198" s="78"/>
      <c r="M1198" s="153"/>
      <c r="N1198" s="78"/>
      <c r="O1198" s="78"/>
      <c r="P1198" s="153"/>
      <c r="Q1198" s="78"/>
      <c r="R1198" s="78"/>
      <c r="S1198" s="153"/>
      <c r="T1198" s="78"/>
      <c r="U1198" s="78"/>
      <c r="V1198" s="152"/>
      <c r="W1198" s="78"/>
      <c r="X1198" s="78"/>
    </row>
    <row r="1199" spans="1:24" ht="42" customHeight="1">
      <c r="A1199" s="78"/>
      <c r="B1199" s="149"/>
      <c r="C1199" s="149"/>
      <c r="D1199" s="78"/>
      <c r="E1199" s="78"/>
      <c r="F1199" s="78"/>
      <c r="G1199" s="150"/>
      <c r="H1199" s="78"/>
      <c r="I1199" s="151"/>
      <c r="J1199" s="78"/>
      <c r="K1199" s="78"/>
      <c r="L1199" s="78"/>
      <c r="M1199" s="153"/>
      <c r="N1199" s="78"/>
      <c r="O1199" s="78"/>
      <c r="P1199" s="153"/>
      <c r="Q1199" s="78"/>
      <c r="R1199" s="78"/>
      <c r="S1199" s="153"/>
      <c r="T1199" s="78"/>
      <c r="U1199" s="78"/>
      <c r="V1199" s="152"/>
      <c r="W1199" s="78"/>
      <c r="X1199" s="78"/>
    </row>
    <row r="1200" spans="1:24" ht="42" customHeight="1">
      <c r="A1200" s="78"/>
      <c r="B1200" s="149"/>
      <c r="C1200" s="149"/>
      <c r="D1200" s="78"/>
      <c r="E1200" s="78"/>
      <c r="F1200" s="78"/>
      <c r="G1200" s="150"/>
      <c r="H1200" s="78"/>
      <c r="I1200" s="151"/>
      <c r="J1200" s="78"/>
      <c r="K1200" s="78"/>
      <c r="L1200" s="78"/>
      <c r="M1200" s="153"/>
      <c r="N1200" s="78"/>
      <c r="O1200" s="78"/>
      <c r="P1200" s="153"/>
      <c r="Q1200" s="78"/>
      <c r="R1200" s="78"/>
      <c r="S1200" s="153"/>
      <c r="T1200" s="78"/>
      <c r="U1200" s="78"/>
      <c r="V1200" s="152"/>
      <c r="W1200" s="78"/>
      <c r="X1200" s="78"/>
    </row>
    <row r="1201" spans="1:24" ht="42" customHeight="1">
      <c r="A1201" s="78"/>
      <c r="B1201" s="149"/>
      <c r="C1201" s="149"/>
      <c r="D1201" s="78"/>
      <c r="E1201" s="78"/>
      <c r="F1201" s="78"/>
      <c r="G1201" s="150"/>
      <c r="H1201" s="78"/>
      <c r="I1201" s="151"/>
      <c r="J1201" s="78"/>
      <c r="K1201" s="78"/>
      <c r="L1201" s="78"/>
      <c r="M1201" s="153"/>
      <c r="N1201" s="78"/>
      <c r="O1201" s="78"/>
      <c r="P1201" s="153"/>
      <c r="Q1201" s="78"/>
      <c r="R1201" s="78"/>
      <c r="S1201" s="153"/>
      <c r="T1201" s="78"/>
      <c r="U1201" s="78"/>
      <c r="V1201" s="152"/>
      <c r="W1201" s="78"/>
      <c r="X1201" s="78"/>
    </row>
    <row r="1202" spans="1:24" ht="42" customHeight="1">
      <c r="A1202" s="78"/>
      <c r="B1202" s="149"/>
      <c r="C1202" s="149"/>
      <c r="D1202" s="78"/>
      <c r="E1202" s="78"/>
      <c r="F1202" s="78"/>
      <c r="G1202" s="150"/>
      <c r="H1202" s="78"/>
      <c r="I1202" s="151"/>
      <c r="J1202" s="78"/>
      <c r="K1202" s="78"/>
      <c r="L1202" s="78"/>
      <c r="M1202" s="153"/>
      <c r="N1202" s="78"/>
      <c r="O1202" s="78"/>
      <c r="P1202" s="153"/>
      <c r="Q1202" s="78"/>
      <c r="R1202" s="78"/>
      <c r="S1202" s="153"/>
      <c r="T1202" s="78"/>
      <c r="U1202" s="78"/>
      <c r="V1202" s="152"/>
      <c r="W1202" s="78"/>
      <c r="X1202" s="78"/>
    </row>
    <row r="1203" spans="1:24" ht="42" customHeight="1">
      <c r="A1203" s="78"/>
      <c r="B1203" s="149"/>
      <c r="C1203" s="149"/>
      <c r="D1203" s="78"/>
      <c r="E1203" s="78"/>
      <c r="F1203" s="78"/>
      <c r="G1203" s="150"/>
      <c r="H1203" s="78"/>
      <c r="I1203" s="151"/>
      <c r="J1203" s="78"/>
      <c r="K1203" s="78"/>
      <c r="L1203" s="78"/>
      <c r="M1203" s="153"/>
      <c r="N1203" s="78"/>
      <c r="O1203" s="78"/>
      <c r="P1203" s="153"/>
      <c r="Q1203" s="78"/>
      <c r="R1203" s="78"/>
      <c r="S1203" s="153"/>
      <c r="T1203" s="78"/>
      <c r="U1203" s="78"/>
      <c r="V1203" s="152"/>
      <c r="W1203" s="78"/>
      <c r="X1203" s="78"/>
    </row>
    <row r="1204" spans="1:24" ht="42" customHeight="1">
      <c r="A1204" s="78"/>
      <c r="B1204" s="149"/>
      <c r="C1204" s="149"/>
      <c r="D1204" s="78"/>
      <c r="E1204" s="78"/>
      <c r="F1204" s="78"/>
      <c r="G1204" s="150"/>
      <c r="H1204" s="78"/>
      <c r="I1204" s="151"/>
      <c r="J1204" s="78"/>
      <c r="K1204" s="78"/>
      <c r="L1204" s="78"/>
      <c r="M1204" s="153"/>
      <c r="N1204" s="78"/>
      <c r="O1204" s="78"/>
      <c r="P1204" s="153"/>
      <c r="Q1204" s="78"/>
      <c r="R1204" s="78"/>
      <c r="S1204" s="153"/>
      <c r="T1204" s="78"/>
      <c r="U1204" s="78"/>
      <c r="V1204" s="152"/>
      <c r="W1204" s="78"/>
      <c r="X1204" s="78"/>
    </row>
    <row r="1205" spans="1:24" ht="42" customHeight="1">
      <c r="A1205" s="78"/>
      <c r="B1205" s="149"/>
      <c r="C1205" s="149"/>
      <c r="D1205" s="78"/>
      <c r="E1205" s="78"/>
      <c r="F1205" s="78"/>
      <c r="G1205" s="150"/>
      <c r="H1205" s="78"/>
      <c r="I1205" s="151"/>
      <c r="J1205" s="78"/>
      <c r="K1205" s="78"/>
      <c r="L1205" s="78"/>
      <c r="M1205" s="153"/>
      <c r="N1205" s="78"/>
      <c r="O1205" s="78"/>
      <c r="P1205" s="153"/>
      <c r="Q1205" s="78"/>
      <c r="R1205" s="78"/>
      <c r="S1205" s="153"/>
      <c r="T1205" s="78"/>
      <c r="U1205" s="78"/>
      <c r="V1205" s="152"/>
      <c r="W1205" s="78"/>
      <c r="X1205" s="78"/>
    </row>
    <row r="1206" spans="1:24" ht="42" customHeight="1">
      <c r="A1206" s="78"/>
      <c r="B1206" s="149"/>
      <c r="C1206" s="149"/>
      <c r="D1206" s="78"/>
      <c r="E1206" s="78"/>
      <c r="F1206" s="78"/>
      <c r="G1206" s="150"/>
      <c r="H1206" s="78"/>
      <c r="I1206" s="151"/>
      <c r="J1206" s="78"/>
      <c r="K1206" s="78"/>
      <c r="L1206" s="78"/>
      <c r="M1206" s="153"/>
      <c r="N1206" s="78"/>
      <c r="O1206" s="78"/>
      <c r="P1206" s="153"/>
      <c r="Q1206" s="78"/>
      <c r="R1206" s="78"/>
      <c r="S1206" s="153"/>
      <c r="T1206" s="78"/>
      <c r="U1206" s="78"/>
      <c r="V1206" s="152"/>
      <c r="W1206" s="78"/>
      <c r="X1206" s="78"/>
    </row>
    <row r="1207" spans="1:24" ht="42" customHeight="1">
      <c r="A1207" s="78"/>
      <c r="B1207" s="149"/>
      <c r="C1207" s="149"/>
      <c r="D1207" s="78"/>
      <c r="E1207" s="78"/>
      <c r="F1207" s="78"/>
      <c r="G1207" s="150"/>
      <c r="H1207" s="78"/>
      <c r="I1207" s="151"/>
      <c r="J1207" s="78"/>
      <c r="K1207" s="78"/>
      <c r="L1207" s="78"/>
      <c r="M1207" s="153"/>
      <c r="N1207" s="78"/>
      <c r="O1207" s="78"/>
      <c r="P1207" s="153"/>
      <c r="Q1207" s="78"/>
      <c r="R1207" s="78"/>
      <c r="S1207" s="153"/>
      <c r="T1207" s="78"/>
      <c r="U1207" s="78"/>
      <c r="V1207" s="152"/>
      <c r="W1207" s="78"/>
      <c r="X1207" s="78"/>
    </row>
    <row r="1208" spans="1:24" ht="42" customHeight="1">
      <c r="A1208" s="78"/>
      <c r="B1208" s="149"/>
      <c r="C1208" s="149"/>
      <c r="D1208" s="78"/>
      <c r="E1208" s="78"/>
      <c r="F1208" s="78"/>
      <c r="G1208" s="150"/>
      <c r="H1208" s="78"/>
      <c r="I1208" s="151"/>
      <c r="J1208" s="78"/>
      <c r="K1208" s="78"/>
      <c r="L1208" s="78"/>
      <c r="M1208" s="153"/>
      <c r="N1208" s="78"/>
      <c r="O1208" s="78"/>
      <c r="P1208" s="153"/>
      <c r="Q1208" s="78"/>
      <c r="R1208" s="78"/>
      <c r="S1208" s="153"/>
      <c r="T1208" s="78"/>
      <c r="U1208" s="78"/>
      <c r="V1208" s="152"/>
      <c r="W1208" s="78"/>
      <c r="X1208" s="78"/>
    </row>
    <row r="1209" spans="1:24" ht="42" customHeight="1">
      <c r="A1209" s="78"/>
      <c r="B1209" s="149"/>
      <c r="C1209" s="149"/>
      <c r="D1209" s="78"/>
      <c r="E1209" s="78"/>
      <c r="F1209" s="78"/>
      <c r="G1209" s="150"/>
      <c r="H1209" s="78"/>
      <c r="I1209" s="151"/>
      <c r="J1209" s="78"/>
      <c r="K1209" s="78"/>
      <c r="L1209" s="78"/>
      <c r="M1209" s="153"/>
      <c r="N1209" s="78"/>
      <c r="O1209" s="78"/>
      <c r="P1209" s="153"/>
      <c r="Q1209" s="78"/>
      <c r="R1209" s="78"/>
      <c r="S1209" s="153"/>
      <c r="T1209" s="78"/>
      <c r="U1209" s="78"/>
      <c r="V1209" s="152"/>
      <c r="W1209" s="78"/>
      <c r="X1209" s="78"/>
    </row>
    <row r="1210" spans="1:24" ht="42" customHeight="1">
      <c r="A1210" s="78"/>
      <c r="B1210" s="149"/>
      <c r="C1210" s="149"/>
      <c r="D1210" s="78"/>
      <c r="E1210" s="78"/>
      <c r="F1210" s="78"/>
      <c r="G1210" s="150"/>
      <c r="H1210" s="78"/>
      <c r="I1210" s="151"/>
      <c r="J1210" s="78"/>
      <c r="K1210" s="78"/>
      <c r="L1210" s="78"/>
      <c r="M1210" s="153"/>
      <c r="N1210" s="78"/>
      <c r="O1210" s="78"/>
      <c r="P1210" s="153"/>
      <c r="Q1210" s="78"/>
      <c r="R1210" s="78"/>
      <c r="S1210" s="153"/>
      <c r="T1210" s="78"/>
      <c r="U1210" s="78"/>
      <c r="V1210" s="152"/>
      <c r="W1210" s="78"/>
      <c r="X1210" s="78"/>
    </row>
    <row r="1211" spans="1:24" ht="42" customHeight="1">
      <c r="A1211" s="78"/>
      <c r="B1211" s="149"/>
      <c r="C1211" s="149"/>
      <c r="D1211" s="78"/>
      <c r="E1211" s="78"/>
      <c r="F1211" s="78"/>
      <c r="G1211" s="150"/>
      <c r="H1211" s="78"/>
      <c r="I1211" s="151"/>
      <c r="J1211" s="78"/>
      <c r="K1211" s="78"/>
      <c r="L1211" s="78"/>
      <c r="M1211" s="153"/>
      <c r="N1211" s="78"/>
      <c r="O1211" s="78"/>
      <c r="P1211" s="153"/>
      <c r="Q1211" s="78"/>
      <c r="R1211" s="78"/>
      <c r="S1211" s="153"/>
      <c r="T1211" s="78"/>
      <c r="U1211" s="78"/>
      <c r="V1211" s="152"/>
      <c r="W1211" s="78"/>
      <c r="X1211" s="78"/>
    </row>
    <row r="1212" spans="1:24" ht="42" customHeight="1">
      <c r="A1212" s="78"/>
      <c r="B1212" s="149"/>
      <c r="C1212" s="149"/>
      <c r="D1212" s="78"/>
      <c r="E1212" s="78"/>
      <c r="F1212" s="78"/>
      <c r="G1212" s="150"/>
      <c r="H1212" s="78"/>
      <c r="I1212" s="151"/>
      <c r="J1212" s="78"/>
      <c r="K1212" s="78"/>
      <c r="L1212" s="78"/>
      <c r="M1212" s="153"/>
      <c r="N1212" s="78"/>
      <c r="O1212" s="78"/>
      <c r="P1212" s="153"/>
      <c r="Q1212" s="78"/>
      <c r="R1212" s="78"/>
      <c r="S1212" s="153"/>
      <c r="T1212" s="78"/>
      <c r="U1212" s="78"/>
      <c r="V1212" s="152"/>
      <c r="W1212" s="78"/>
      <c r="X1212" s="78"/>
    </row>
    <row r="1213" spans="1:24" ht="42" customHeight="1">
      <c r="A1213" s="78"/>
      <c r="B1213" s="149"/>
      <c r="C1213" s="149"/>
      <c r="D1213" s="78"/>
      <c r="E1213" s="78"/>
      <c r="F1213" s="78"/>
      <c r="G1213" s="150"/>
      <c r="H1213" s="78"/>
      <c r="I1213" s="151"/>
      <c r="J1213" s="78"/>
      <c r="K1213" s="78"/>
      <c r="L1213" s="78"/>
      <c r="M1213" s="153"/>
      <c r="N1213" s="78"/>
      <c r="O1213" s="78"/>
      <c r="P1213" s="153"/>
      <c r="Q1213" s="78"/>
      <c r="R1213" s="78"/>
      <c r="S1213" s="153"/>
      <c r="T1213" s="78"/>
      <c r="U1213" s="78"/>
      <c r="V1213" s="152"/>
      <c r="W1213" s="78"/>
      <c r="X1213" s="78"/>
    </row>
    <row r="1214" spans="1:24" ht="42" customHeight="1">
      <c r="A1214" s="78"/>
      <c r="B1214" s="149"/>
      <c r="C1214" s="149"/>
      <c r="D1214" s="78"/>
      <c r="E1214" s="78"/>
      <c r="F1214" s="78"/>
      <c r="G1214" s="150"/>
      <c r="H1214" s="78"/>
      <c r="I1214" s="151"/>
      <c r="J1214" s="78"/>
      <c r="K1214" s="78"/>
      <c r="L1214" s="78"/>
      <c r="M1214" s="153"/>
      <c r="N1214" s="78"/>
      <c r="O1214" s="78"/>
      <c r="P1214" s="153"/>
      <c r="Q1214" s="78"/>
      <c r="R1214" s="78"/>
      <c r="S1214" s="153"/>
      <c r="T1214" s="78"/>
      <c r="U1214" s="78"/>
      <c r="V1214" s="152"/>
      <c r="W1214" s="78"/>
      <c r="X1214" s="78"/>
    </row>
    <row r="1215" spans="1:24" ht="42" customHeight="1">
      <c r="A1215" s="78"/>
      <c r="B1215" s="149"/>
      <c r="C1215" s="149"/>
      <c r="D1215" s="78"/>
      <c r="E1215" s="78"/>
      <c r="F1215" s="78"/>
      <c r="G1215" s="150"/>
      <c r="H1215" s="78"/>
      <c r="I1215" s="151"/>
      <c r="J1215" s="78"/>
      <c r="K1215" s="78"/>
      <c r="L1215" s="78"/>
      <c r="M1215" s="153"/>
      <c r="N1215" s="78"/>
      <c r="O1215" s="78"/>
      <c r="P1215" s="153"/>
      <c r="Q1215" s="78"/>
      <c r="R1215" s="78"/>
      <c r="S1215" s="153"/>
      <c r="T1215" s="78"/>
      <c r="U1215" s="78"/>
      <c r="V1215" s="152"/>
      <c r="W1215" s="78"/>
      <c r="X1215" s="78"/>
    </row>
    <row r="1216" spans="1:24" ht="42" customHeight="1">
      <c r="A1216" s="78"/>
      <c r="B1216" s="149"/>
      <c r="C1216" s="149"/>
      <c r="D1216" s="78"/>
      <c r="E1216" s="78"/>
      <c r="F1216" s="78"/>
      <c r="G1216" s="150"/>
      <c r="H1216" s="78"/>
      <c r="I1216" s="151"/>
      <c r="J1216" s="78"/>
      <c r="K1216" s="78"/>
      <c r="L1216" s="78"/>
      <c r="M1216" s="153"/>
      <c r="N1216" s="78"/>
      <c r="O1216" s="78"/>
      <c r="P1216" s="153"/>
      <c r="Q1216" s="78"/>
      <c r="R1216" s="78"/>
      <c r="S1216" s="153"/>
      <c r="T1216" s="78"/>
      <c r="U1216" s="78"/>
      <c r="V1216" s="152"/>
      <c r="W1216" s="78"/>
      <c r="X1216" s="78"/>
    </row>
    <row r="1217" spans="1:24" ht="42" customHeight="1">
      <c r="A1217" s="78"/>
      <c r="B1217" s="149"/>
      <c r="C1217" s="149"/>
      <c r="D1217" s="78"/>
      <c r="E1217" s="78"/>
      <c r="F1217" s="78"/>
      <c r="G1217" s="150"/>
      <c r="H1217" s="78"/>
      <c r="I1217" s="151"/>
      <c r="J1217" s="78"/>
      <c r="K1217" s="78"/>
      <c r="L1217" s="78"/>
      <c r="M1217" s="153"/>
      <c r="N1217" s="78"/>
      <c r="O1217" s="78"/>
      <c r="P1217" s="153"/>
      <c r="Q1217" s="78"/>
      <c r="R1217" s="78"/>
      <c r="S1217" s="153"/>
      <c r="T1217" s="78"/>
      <c r="U1217" s="78"/>
      <c r="V1217" s="152"/>
      <c r="W1217" s="78"/>
      <c r="X1217" s="78"/>
    </row>
    <row r="1218" spans="1:24" ht="42" customHeight="1">
      <c r="A1218" s="78"/>
      <c r="B1218" s="149"/>
      <c r="C1218" s="149"/>
      <c r="D1218" s="78"/>
      <c r="E1218" s="78"/>
      <c r="F1218" s="78"/>
      <c r="G1218" s="150"/>
      <c r="H1218" s="78"/>
      <c r="I1218" s="151"/>
      <c r="J1218" s="78"/>
      <c r="K1218" s="78"/>
      <c r="L1218" s="78"/>
      <c r="M1218" s="153"/>
      <c r="N1218" s="78"/>
      <c r="O1218" s="78"/>
      <c r="P1218" s="153"/>
      <c r="Q1218" s="78"/>
      <c r="R1218" s="78"/>
      <c r="S1218" s="153"/>
      <c r="T1218" s="78"/>
      <c r="U1218" s="78"/>
      <c r="V1218" s="152"/>
      <c r="W1218" s="78"/>
      <c r="X1218" s="78"/>
    </row>
    <row r="1219" spans="1:24" ht="42" customHeight="1">
      <c r="A1219" s="78"/>
      <c r="B1219" s="149"/>
      <c r="C1219" s="149"/>
      <c r="D1219" s="78"/>
      <c r="E1219" s="78"/>
      <c r="F1219" s="78"/>
      <c r="G1219" s="150"/>
      <c r="H1219" s="78"/>
      <c r="I1219" s="151"/>
      <c r="J1219" s="78"/>
      <c r="K1219" s="78"/>
      <c r="L1219" s="78"/>
      <c r="M1219" s="153"/>
      <c r="N1219" s="78"/>
      <c r="O1219" s="78"/>
      <c r="P1219" s="153"/>
      <c r="Q1219" s="78"/>
      <c r="R1219" s="78"/>
      <c r="S1219" s="153"/>
      <c r="T1219" s="78"/>
      <c r="U1219" s="78"/>
      <c r="V1219" s="152"/>
      <c r="W1219" s="78"/>
      <c r="X1219" s="78"/>
    </row>
    <row r="1220" spans="1:24" ht="42" customHeight="1">
      <c r="A1220" s="78"/>
      <c r="B1220" s="149"/>
      <c r="C1220" s="149"/>
      <c r="D1220" s="78"/>
      <c r="E1220" s="78"/>
      <c r="F1220" s="78"/>
      <c r="G1220" s="150"/>
      <c r="H1220" s="78"/>
      <c r="I1220" s="151"/>
      <c r="J1220" s="78"/>
      <c r="K1220" s="78"/>
      <c r="L1220" s="78"/>
      <c r="M1220" s="153"/>
      <c r="N1220" s="78"/>
      <c r="O1220" s="78"/>
      <c r="P1220" s="153"/>
      <c r="Q1220" s="78"/>
      <c r="R1220" s="78"/>
      <c r="S1220" s="153"/>
      <c r="T1220" s="78"/>
      <c r="U1220" s="78"/>
      <c r="V1220" s="152"/>
      <c r="W1220" s="78"/>
      <c r="X1220" s="78"/>
    </row>
    <row r="1221" spans="1:24" ht="42" customHeight="1">
      <c r="A1221" s="78"/>
      <c r="B1221" s="149"/>
      <c r="C1221" s="149"/>
      <c r="D1221" s="78"/>
      <c r="E1221" s="78"/>
      <c r="F1221" s="78"/>
      <c r="G1221" s="150"/>
      <c r="H1221" s="78"/>
      <c r="I1221" s="151"/>
      <c r="J1221" s="78"/>
      <c r="K1221" s="78"/>
      <c r="L1221" s="78"/>
      <c r="M1221" s="153"/>
      <c r="N1221" s="78"/>
      <c r="O1221" s="78"/>
      <c r="P1221" s="153"/>
      <c r="Q1221" s="78"/>
      <c r="R1221" s="78"/>
      <c r="S1221" s="153"/>
      <c r="T1221" s="78"/>
      <c r="U1221" s="78"/>
      <c r="V1221" s="152"/>
      <c r="W1221" s="78"/>
      <c r="X1221" s="78"/>
    </row>
    <row r="1222" spans="1:24" ht="42" customHeight="1">
      <c r="A1222" s="78"/>
      <c r="B1222" s="149"/>
      <c r="C1222" s="149"/>
      <c r="D1222" s="78"/>
      <c r="E1222" s="78"/>
      <c r="F1222" s="78"/>
      <c r="G1222" s="150"/>
      <c r="H1222" s="78"/>
      <c r="I1222" s="151"/>
      <c r="J1222" s="78"/>
      <c r="K1222" s="78"/>
      <c r="L1222" s="78"/>
      <c r="M1222" s="153"/>
      <c r="N1222" s="78"/>
      <c r="O1222" s="78"/>
      <c r="P1222" s="153"/>
      <c r="Q1222" s="78"/>
      <c r="R1222" s="78"/>
      <c r="S1222" s="153"/>
      <c r="T1222" s="78"/>
      <c r="U1222" s="78"/>
      <c r="V1222" s="152"/>
      <c r="W1222" s="78"/>
      <c r="X1222" s="78"/>
    </row>
    <row r="1223" spans="1:24" ht="42" customHeight="1">
      <c r="A1223" s="78"/>
      <c r="B1223" s="149"/>
      <c r="C1223" s="149"/>
      <c r="D1223" s="78"/>
      <c r="E1223" s="78"/>
      <c r="F1223" s="78"/>
      <c r="G1223" s="150"/>
      <c r="H1223" s="78"/>
      <c r="I1223" s="151"/>
      <c r="J1223" s="78"/>
      <c r="K1223" s="78"/>
      <c r="L1223" s="78"/>
      <c r="M1223" s="153"/>
      <c r="N1223" s="78"/>
      <c r="O1223" s="78"/>
      <c r="P1223" s="153"/>
      <c r="Q1223" s="78"/>
      <c r="R1223" s="78"/>
      <c r="S1223" s="153"/>
      <c r="T1223" s="78"/>
      <c r="U1223" s="78"/>
      <c r="V1223" s="152"/>
      <c r="W1223" s="78"/>
      <c r="X1223" s="78"/>
    </row>
    <row r="1224" spans="1:24" ht="42" customHeight="1">
      <c r="A1224" s="78"/>
      <c r="B1224" s="149"/>
      <c r="C1224" s="149"/>
      <c r="D1224" s="78"/>
      <c r="E1224" s="78"/>
      <c r="F1224" s="78"/>
      <c r="G1224" s="150"/>
      <c r="H1224" s="78"/>
      <c r="I1224" s="151"/>
      <c r="J1224" s="78"/>
      <c r="K1224" s="78"/>
      <c r="L1224" s="78"/>
      <c r="M1224" s="153"/>
      <c r="N1224" s="78"/>
      <c r="O1224" s="78"/>
      <c r="P1224" s="153"/>
      <c r="Q1224" s="78"/>
      <c r="R1224" s="78"/>
      <c r="S1224" s="153"/>
      <c r="T1224" s="78"/>
      <c r="U1224" s="78"/>
      <c r="V1224" s="152"/>
      <c r="W1224" s="78"/>
      <c r="X1224" s="78"/>
    </row>
    <row r="1225" spans="1:24" ht="42" customHeight="1">
      <c r="A1225" s="78"/>
      <c r="B1225" s="149"/>
      <c r="C1225" s="149"/>
      <c r="D1225" s="78"/>
      <c r="E1225" s="78"/>
      <c r="F1225" s="78"/>
      <c r="G1225" s="150"/>
      <c r="H1225" s="78"/>
      <c r="I1225" s="151"/>
      <c r="J1225" s="78"/>
      <c r="K1225" s="78"/>
      <c r="L1225" s="78"/>
      <c r="M1225" s="153"/>
      <c r="N1225" s="78"/>
      <c r="O1225" s="78"/>
      <c r="P1225" s="153"/>
      <c r="Q1225" s="78"/>
      <c r="R1225" s="78"/>
      <c r="S1225" s="153"/>
      <c r="T1225" s="78"/>
      <c r="U1225" s="78"/>
      <c r="V1225" s="152"/>
      <c r="W1225" s="78"/>
      <c r="X1225" s="78"/>
    </row>
    <row r="1226" spans="1:24" ht="42" customHeight="1">
      <c r="A1226" s="78"/>
      <c r="B1226" s="149"/>
      <c r="C1226" s="149"/>
      <c r="D1226" s="78"/>
      <c r="E1226" s="78"/>
      <c r="F1226" s="78"/>
      <c r="G1226" s="150"/>
      <c r="H1226" s="78"/>
      <c r="I1226" s="151"/>
      <c r="J1226" s="78"/>
      <c r="K1226" s="78"/>
      <c r="L1226" s="78"/>
      <c r="M1226" s="153"/>
      <c r="N1226" s="78"/>
      <c r="O1226" s="78"/>
      <c r="P1226" s="153"/>
      <c r="Q1226" s="78"/>
      <c r="R1226" s="78"/>
      <c r="S1226" s="153"/>
      <c r="T1226" s="78"/>
      <c r="U1226" s="78"/>
      <c r="V1226" s="152"/>
      <c r="W1226" s="78"/>
      <c r="X1226" s="78"/>
    </row>
    <row r="1227" spans="1:24" ht="42" customHeight="1">
      <c r="A1227" s="78"/>
      <c r="B1227" s="149"/>
      <c r="C1227" s="149"/>
      <c r="D1227" s="78"/>
      <c r="E1227" s="78"/>
      <c r="F1227" s="78"/>
      <c r="G1227" s="150"/>
      <c r="H1227" s="78"/>
      <c r="I1227" s="151"/>
      <c r="J1227" s="78"/>
      <c r="K1227" s="78"/>
      <c r="L1227" s="78"/>
      <c r="M1227" s="153"/>
      <c r="N1227" s="78"/>
      <c r="O1227" s="78"/>
      <c r="P1227" s="153"/>
      <c r="Q1227" s="78"/>
      <c r="R1227" s="78"/>
      <c r="S1227" s="153"/>
      <c r="T1227" s="78"/>
      <c r="U1227" s="78"/>
      <c r="V1227" s="152"/>
      <c r="W1227" s="78"/>
      <c r="X1227" s="78"/>
    </row>
    <row r="1228" spans="1:24" ht="42" customHeight="1">
      <c r="A1228" s="78"/>
      <c r="B1228" s="149"/>
      <c r="C1228" s="149"/>
      <c r="D1228" s="78"/>
      <c r="E1228" s="78"/>
      <c r="F1228" s="78"/>
      <c r="G1228" s="150"/>
      <c r="H1228" s="78"/>
      <c r="I1228" s="151"/>
      <c r="J1228" s="78"/>
      <c r="K1228" s="78"/>
      <c r="L1228" s="78"/>
      <c r="M1228" s="153"/>
      <c r="N1228" s="78"/>
      <c r="O1228" s="78"/>
      <c r="P1228" s="153"/>
      <c r="Q1228" s="78"/>
      <c r="R1228" s="78"/>
      <c r="S1228" s="153"/>
      <c r="T1228" s="78"/>
      <c r="U1228" s="78"/>
      <c r="V1228" s="152"/>
      <c r="W1228" s="78"/>
      <c r="X1228" s="78"/>
    </row>
    <row r="1229" spans="1:24" ht="42" customHeight="1">
      <c r="A1229" s="78"/>
      <c r="B1229" s="149"/>
      <c r="C1229" s="149"/>
      <c r="D1229" s="78"/>
      <c r="E1229" s="78"/>
      <c r="F1229" s="78"/>
      <c r="G1229" s="150"/>
      <c r="H1229" s="78"/>
      <c r="I1229" s="151"/>
      <c r="J1229" s="78"/>
      <c r="K1229" s="78"/>
      <c r="L1229" s="78"/>
      <c r="M1229" s="153"/>
      <c r="N1229" s="78"/>
      <c r="O1229" s="78"/>
      <c r="P1229" s="153"/>
      <c r="Q1229" s="78"/>
      <c r="R1229" s="78"/>
      <c r="S1229" s="153"/>
      <c r="T1229" s="78"/>
      <c r="U1229" s="78"/>
      <c r="V1229" s="152"/>
      <c r="W1229" s="78"/>
      <c r="X1229" s="78"/>
    </row>
    <row r="1230" spans="1:24" ht="42" customHeight="1">
      <c r="A1230" s="78"/>
      <c r="B1230" s="149"/>
      <c r="C1230" s="149"/>
      <c r="D1230" s="78"/>
      <c r="E1230" s="78"/>
      <c r="F1230" s="78"/>
      <c r="G1230" s="150"/>
      <c r="H1230" s="78"/>
      <c r="I1230" s="151"/>
      <c r="J1230" s="78"/>
      <c r="K1230" s="78"/>
      <c r="L1230" s="78"/>
      <c r="M1230" s="153"/>
      <c r="N1230" s="78"/>
      <c r="O1230" s="78"/>
      <c r="P1230" s="153"/>
      <c r="Q1230" s="78"/>
      <c r="R1230" s="78"/>
      <c r="S1230" s="153"/>
      <c r="T1230" s="78"/>
      <c r="U1230" s="78"/>
      <c r="V1230" s="152"/>
      <c r="W1230" s="78"/>
      <c r="X1230" s="78"/>
    </row>
    <row r="1231" spans="1:24" ht="42" customHeight="1">
      <c r="A1231" s="78"/>
      <c r="B1231" s="149"/>
      <c r="C1231" s="149"/>
      <c r="D1231" s="78"/>
      <c r="E1231" s="78"/>
      <c r="F1231" s="78"/>
      <c r="G1231" s="150"/>
      <c r="H1231" s="78"/>
      <c r="I1231" s="151"/>
      <c r="J1231" s="78"/>
      <c r="K1231" s="78"/>
      <c r="L1231" s="78"/>
      <c r="M1231" s="153"/>
      <c r="N1231" s="78"/>
      <c r="O1231" s="78"/>
      <c r="P1231" s="153"/>
      <c r="Q1231" s="78"/>
      <c r="R1231" s="78"/>
      <c r="S1231" s="153"/>
      <c r="T1231" s="78"/>
      <c r="U1231" s="78"/>
      <c r="V1231" s="152"/>
      <c r="W1231" s="78"/>
      <c r="X1231" s="78"/>
    </row>
    <row r="1232" spans="1:24" ht="42" customHeight="1">
      <c r="A1232" s="78"/>
      <c r="B1232" s="149"/>
      <c r="C1232" s="149"/>
      <c r="D1232" s="78"/>
      <c r="E1232" s="78"/>
      <c r="F1232" s="78"/>
      <c r="G1232" s="150"/>
      <c r="H1232" s="78"/>
      <c r="I1232" s="151"/>
      <c r="J1232" s="78"/>
      <c r="K1232" s="78"/>
      <c r="L1232" s="78"/>
      <c r="M1232" s="153"/>
      <c r="N1232" s="78"/>
      <c r="O1232" s="78"/>
      <c r="P1232" s="153"/>
      <c r="Q1232" s="78"/>
      <c r="R1232" s="78"/>
      <c r="S1232" s="153"/>
      <c r="T1232" s="78"/>
      <c r="U1232" s="78"/>
      <c r="V1232" s="152"/>
      <c r="W1232" s="78"/>
      <c r="X1232" s="78"/>
    </row>
    <row r="1233" spans="1:24" ht="42" customHeight="1">
      <c r="A1233" s="78"/>
      <c r="B1233" s="149"/>
      <c r="C1233" s="149"/>
      <c r="D1233" s="78"/>
      <c r="E1233" s="78"/>
      <c r="F1233" s="78"/>
      <c r="G1233" s="150"/>
      <c r="H1233" s="78"/>
      <c r="I1233" s="151"/>
      <c r="J1233" s="78"/>
      <c r="K1233" s="78"/>
      <c r="L1233" s="78"/>
      <c r="M1233" s="153"/>
      <c r="N1233" s="78"/>
      <c r="O1233" s="78"/>
      <c r="P1233" s="153"/>
      <c r="Q1233" s="78"/>
      <c r="R1233" s="78"/>
      <c r="S1233" s="153"/>
      <c r="T1233" s="78"/>
      <c r="U1233" s="78"/>
      <c r="V1233" s="152"/>
      <c r="W1233" s="78"/>
      <c r="X1233" s="78"/>
    </row>
    <row r="1234" spans="1:24" ht="42" customHeight="1">
      <c r="A1234" s="78"/>
      <c r="B1234" s="149"/>
      <c r="C1234" s="149"/>
      <c r="D1234" s="78"/>
      <c r="E1234" s="78"/>
      <c r="F1234" s="78"/>
      <c r="G1234" s="150"/>
      <c r="H1234" s="78"/>
      <c r="I1234" s="151"/>
      <c r="J1234" s="78"/>
      <c r="K1234" s="78"/>
      <c r="L1234" s="78"/>
      <c r="M1234" s="153"/>
      <c r="N1234" s="78"/>
      <c r="O1234" s="78"/>
      <c r="P1234" s="153"/>
      <c r="Q1234" s="78"/>
      <c r="R1234" s="78"/>
      <c r="S1234" s="153"/>
      <c r="T1234" s="78"/>
      <c r="U1234" s="78"/>
      <c r="V1234" s="152"/>
      <c r="W1234" s="78"/>
      <c r="X1234" s="78"/>
    </row>
    <row r="1235" spans="1:24" ht="42" customHeight="1">
      <c r="A1235" s="78"/>
      <c r="B1235" s="149"/>
      <c r="C1235" s="149"/>
      <c r="D1235" s="78"/>
      <c r="E1235" s="78"/>
      <c r="F1235" s="78"/>
      <c r="G1235" s="150"/>
      <c r="H1235" s="78"/>
      <c r="I1235" s="151"/>
      <c r="J1235" s="78"/>
      <c r="K1235" s="78"/>
      <c r="L1235" s="78"/>
      <c r="M1235" s="153"/>
      <c r="N1235" s="78"/>
      <c r="O1235" s="78"/>
      <c r="P1235" s="153"/>
      <c r="Q1235" s="78"/>
      <c r="R1235" s="78"/>
      <c r="S1235" s="153"/>
      <c r="T1235" s="78"/>
      <c r="U1235" s="78"/>
      <c r="V1235" s="152"/>
      <c r="W1235" s="78"/>
      <c r="X1235" s="78"/>
    </row>
    <row r="1236" spans="1:24" ht="42" customHeight="1">
      <c r="A1236" s="78"/>
      <c r="B1236" s="149"/>
      <c r="C1236" s="149"/>
      <c r="D1236" s="78"/>
      <c r="E1236" s="78"/>
      <c r="F1236" s="78"/>
      <c r="G1236" s="150"/>
      <c r="H1236" s="78"/>
      <c r="I1236" s="151"/>
      <c r="J1236" s="78"/>
      <c r="K1236" s="78"/>
      <c r="L1236" s="78"/>
      <c r="M1236" s="153"/>
      <c r="N1236" s="78"/>
      <c r="O1236" s="78"/>
      <c r="P1236" s="153"/>
      <c r="Q1236" s="78"/>
      <c r="R1236" s="78"/>
      <c r="S1236" s="153"/>
      <c r="T1236" s="78"/>
      <c r="U1236" s="78"/>
      <c r="V1236" s="152"/>
      <c r="W1236" s="78"/>
      <c r="X1236" s="78"/>
    </row>
    <row r="1237" spans="1:24" ht="42" customHeight="1">
      <c r="A1237" s="78"/>
      <c r="B1237" s="149"/>
      <c r="C1237" s="149"/>
      <c r="D1237" s="78"/>
      <c r="E1237" s="78"/>
      <c r="F1237" s="78"/>
      <c r="G1237" s="150"/>
      <c r="H1237" s="78"/>
      <c r="I1237" s="151"/>
      <c r="J1237" s="78"/>
      <c r="K1237" s="78"/>
      <c r="L1237" s="78"/>
      <c r="M1237" s="153"/>
      <c r="N1237" s="78"/>
      <c r="O1237" s="78"/>
      <c r="P1237" s="153"/>
      <c r="Q1237" s="78"/>
      <c r="R1237" s="78"/>
      <c r="S1237" s="153"/>
      <c r="T1237" s="78"/>
      <c r="U1237" s="78"/>
      <c r="V1237" s="152"/>
      <c r="W1237" s="78"/>
      <c r="X1237" s="78"/>
    </row>
    <row r="1238" spans="1:24" ht="42" customHeight="1">
      <c r="A1238" s="78"/>
      <c r="B1238" s="149"/>
      <c r="C1238" s="149"/>
      <c r="D1238" s="78"/>
      <c r="E1238" s="78"/>
      <c r="F1238" s="78"/>
      <c r="G1238" s="150"/>
      <c r="H1238" s="78"/>
      <c r="I1238" s="151"/>
      <c r="J1238" s="78"/>
      <c r="K1238" s="78"/>
      <c r="L1238" s="78"/>
      <c r="M1238" s="153"/>
      <c r="N1238" s="78"/>
      <c r="O1238" s="78"/>
      <c r="P1238" s="153"/>
      <c r="Q1238" s="78"/>
      <c r="R1238" s="78"/>
      <c r="S1238" s="153"/>
      <c r="T1238" s="78"/>
      <c r="U1238" s="78"/>
      <c r="V1238" s="152"/>
      <c r="W1238" s="78"/>
      <c r="X1238" s="78"/>
    </row>
    <row r="1239" spans="1:24" ht="42" customHeight="1">
      <c r="A1239" s="78"/>
      <c r="B1239" s="149"/>
      <c r="C1239" s="149"/>
      <c r="D1239" s="78"/>
      <c r="E1239" s="78"/>
      <c r="F1239" s="78"/>
      <c r="G1239" s="150"/>
      <c r="H1239" s="78"/>
      <c r="I1239" s="151"/>
      <c r="J1239" s="78"/>
      <c r="K1239" s="78"/>
      <c r="L1239" s="78"/>
      <c r="M1239" s="153"/>
      <c r="N1239" s="78"/>
      <c r="O1239" s="78"/>
      <c r="P1239" s="153"/>
      <c r="Q1239" s="78"/>
      <c r="R1239" s="78"/>
      <c r="S1239" s="153"/>
      <c r="T1239" s="78"/>
      <c r="U1239" s="78"/>
      <c r="V1239" s="152"/>
      <c r="W1239" s="78"/>
      <c r="X1239" s="78"/>
    </row>
    <row r="1240" spans="1:24" ht="42" customHeight="1">
      <c r="A1240" s="78"/>
      <c r="B1240" s="149"/>
      <c r="C1240" s="149"/>
      <c r="D1240" s="78"/>
      <c r="E1240" s="78"/>
      <c r="F1240" s="78"/>
      <c r="G1240" s="150"/>
      <c r="H1240" s="78"/>
      <c r="I1240" s="151"/>
      <c r="J1240" s="78"/>
      <c r="K1240" s="78"/>
      <c r="L1240" s="78"/>
      <c r="M1240" s="153"/>
      <c r="N1240" s="78"/>
      <c r="O1240" s="78"/>
      <c r="P1240" s="153"/>
      <c r="Q1240" s="78"/>
      <c r="R1240" s="78"/>
      <c r="S1240" s="153"/>
      <c r="T1240" s="78"/>
      <c r="U1240" s="78"/>
      <c r="V1240" s="152"/>
      <c r="W1240" s="78"/>
      <c r="X1240" s="78"/>
    </row>
    <row r="1241" spans="1:24" ht="42" customHeight="1">
      <c r="A1241" s="78"/>
      <c r="B1241" s="149"/>
      <c r="C1241" s="149"/>
      <c r="D1241" s="78"/>
      <c r="E1241" s="78"/>
      <c r="F1241" s="78"/>
      <c r="G1241" s="150"/>
      <c r="H1241" s="78"/>
      <c r="I1241" s="151"/>
      <c r="J1241" s="78"/>
      <c r="K1241" s="78"/>
      <c r="L1241" s="78"/>
      <c r="M1241" s="153"/>
      <c r="N1241" s="78"/>
      <c r="O1241" s="78"/>
      <c r="P1241" s="153"/>
      <c r="Q1241" s="78"/>
      <c r="R1241" s="78"/>
      <c r="S1241" s="153"/>
      <c r="T1241" s="78"/>
      <c r="U1241" s="78"/>
      <c r="V1241" s="152"/>
      <c r="W1241" s="78"/>
      <c r="X1241" s="78"/>
    </row>
    <row r="1242" spans="1:24" ht="42" customHeight="1">
      <c r="A1242" s="78"/>
      <c r="B1242" s="149"/>
      <c r="C1242" s="149"/>
      <c r="D1242" s="78"/>
      <c r="E1242" s="78"/>
      <c r="F1242" s="78"/>
      <c r="G1242" s="150"/>
      <c r="H1242" s="78"/>
      <c r="I1242" s="151"/>
      <c r="J1242" s="78"/>
      <c r="K1242" s="78"/>
      <c r="L1242" s="78"/>
      <c r="M1242" s="153"/>
      <c r="N1242" s="78"/>
      <c r="O1242" s="78"/>
      <c r="P1242" s="153"/>
      <c r="Q1242" s="78"/>
      <c r="R1242" s="78"/>
      <c r="S1242" s="153"/>
      <c r="T1242" s="78"/>
      <c r="U1242" s="78"/>
      <c r="V1242" s="152"/>
      <c r="W1242" s="78"/>
      <c r="X1242" s="78"/>
    </row>
    <row r="1243" spans="1:24" ht="42" customHeight="1">
      <c r="A1243" s="78"/>
      <c r="B1243" s="149"/>
      <c r="C1243" s="149"/>
      <c r="D1243" s="78"/>
      <c r="E1243" s="78"/>
      <c r="F1243" s="78"/>
      <c r="G1243" s="150"/>
      <c r="H1243" s="78"/>
      <c r="I1243" s="151"/>
      <c r="J1243" s="78"/>
      <c r="K1243" s="78"/>
      <c r="L1243" s="78"/>
      <c r="M1243" s="153"/>
      <c r="N1243" s="78"/>
      <c r="O1243" s="78"/>
      <c r="P1243" s="153"/>
      <c r="Q1243" s="78"/>
      <c r="R1243" s="78"/>
      <c r="S1243" s="153"/>
      <c r="T1243" s="78"/>
      <c r="U1243" s="78"/>
      <c r="V1243" s="152"/>
      <c r="W1243" s="78"/>
      <c r="X1243" s="78"/>
    </row>
    <row r="1244" spans="1:24" ht="42" customHeight="1">
      <c r="A1244" s="78"/>
      <c r="B1244" s="149"/>
      <c r="C1244" s="149"/>
      <c r="D1244" s="78"/>
      <c r="E1244" s="78"/>
      <c r="F1244" s="78"/>
      <c r="G1244" s="150"/>
      <c r="H1244" s="78"/>
      <c r="I1244" s="151"/>
      <c r="J1244" s="78"/>
      <c r="K1244" s="78"/>
      <c r="L1244" s="78"/>
      <c r="M1244" s="153"/>
      <c r="N1244" s="78"/>
      <c r="O1244" s="78"/>
      <c r="P1244" s="153"/>
      <c r="Q1244" s="78"/>
      <c r="R1244" s="78"/>
      <c r="S1244" s="153"/>
      <c r="T1244" s="78"/>
      <c r="U1244" s="78"/>
      <c r="V1244" s="152"/>
      <c r="W1244" s="78"/>
      <c r="X1244" s="78"/>
    </row>
    <row r="1245" spans="1:24" ht="42" customHeight="1">
      <c r="A1245" s="78"/>
      <c r="B1245" s="149"/>
      <c r="C1245" s="149"/>
      <c r="D1245" s="78"/>
      <c r="E1245" s="78"/>
      <c r="F1245" s="78"/>
      <c r="G1245" s="150"/>
      <c r="H1245" s="78"/>
      <c r="I1245" s="151"/>
      <c r="J1245" s="78"/>
      <c r="K1245" s="78"/>
      <c r="L1245" s="78"/>
      <c r="M1245" s="153"/>
      <c r="N1245" s="78"/>
      <c r="O1245" s="78"/>
      <c r="P1245" s="153"/>
      <c r="Q1245" s="78"/>
      <c r="R1245" s="78"/>
      <c r="S1245" s="153"/>
      <c r="T1245" s="78"/>
      <c r="U1245" s="78"/>
      <c r="V1245" s="152"/>
      <c r="W1245" s="78"/>
      <c r="X1245" s="78"/>
    </row>
    <row r="1246" spans="1:24" ht="42" customHeight="1">
      <c r="A1246" s="78"/>
      <c r="B1246" s="149"/>
      <c r="C1246" s="149"/>
      <c r="D1246" s="78"/>
      <c r="E1246" s="78"/>
      <c r="F1246" s="78"/>
      <c r="G1246" s="150"/>
      <c r="H1246" s="78"/>
      <c r="I1246" s="151"/>
      <c r="J1246" s="78"/>
      <c r="K1246" s="78"/>
      <c r="L1246" s="78"/>
      <c r="M1246" s="153"/>
      <c r="N1246" s="78"/>
      <c r="O1246" s="78"/>
      <c r="P1246" s="153"/>
      <c r="Q1246" s="78"/>
      <c r="R1246" s="78"/>
      <c r="S1246" s="153"/>
      <c r="T1246" s="78"/>
      <c r="U1246" s="78"/>
      <c r="V1246" s="152"/>
      <c r="W1246" s="78"/>
      <c r="X1246" s="78"/>
    </row>
    <row r="1247" spans="1:24" ht="42" customHeight="1">
      <c r="A1247" s="78"/>
      <c r="B1247" s="149"/>
      <c r="C1247" s="149"/>
      <c r="D1247" s="78"/>
      <c r="E1247" s="78"/>
      <c r="F1247" s="78"/>
      <c r="G1247" s="150"/>
      <c r="H1247" s="78"/>
      <c r="I1247" s="151"/>
      <c r="J1247" s="78"/>
      <c r="K1247" s="78"/>
      <c r="L1247" s="78"/>
      <c r="M1247" s="153"/>
      <c r="N1247" s="78"/>
      <c r="O1247" s="78"/>
      <c r="P1247" s="153"/>
      <c r="Q1247" s="78"/>
      <c r="R1247" s="78"/>
      <c r="S1247" s="153"/>
      <c r="T1247" s="78"/>
      <c r="U1247" s="78"/>
      <c r="V1247" s="152"/>
      <c r="W1247" s="78"/>
      <c r="X1247" s="78"/>
    </row>
    <row r="1248" spans="1:24" ht="42" customHeight="1">
      <c r="A1248" s="78"/>
      <c r="B1248" s="149"/>
      <c r="C1248" s="149"/>
      <c r="D1248" s="78"/>
      <c r="E1248" s="78"/>
      <c r="F1248" s="78"/>
      <c r="G1248" s="150"/>
      <c r="H1248" s="78"/>
      <c r="I1248" s="151"/>
      <c r="J1248" s="78"/>
      <c r="K1248" s="78"/>
      <c r="L1248" s="78"/>
      <c r="M1248" s="153"/>
      <c r="N1248" s="78"/>
      <c r="O1248" s="78"/>
      <c r="P1248" s="153"/>
      <c r="Q1248" s="78"/>
      <c r="R1248" s="78"/>
      <c r="S1248" s="153"/>
      <c r="T1248" s="78"/>
      <c r="U1248" s="78"/>
      <c r="V1248" s="152"/>
      <c r="W1248" s="78"/>
      <c r="X1248" s="78"/>
    </row>
    <row r="1249" spans="1:24" ht="42" customHeight="1">
      <c r="A1249" s="78"/>
      <c r="B1249" s="149"/>
      <c r="C1249" s="149"/>
      <c r="D1249" s="78"/>
      <c r="E1249" s="78"/>
      <c r="F1249" s="78"/>
      <c r="G1249" s="150"/>
      <c r="H1249" s="78"/>
      <c r="I1249" s="151"/>
      <c r="J1249" s="78"/>
      <c r="K1249" s="78"/>
      <c r="L1249" s="78"/>
      <c r="M1249" s="153"/>
      <c r="N1249" s="78"/>
      <c r="O1249" s="78"/>
      <c r="P1249" s="153"/>
      <c r="Q1249" s="78"/>
      <c r="R1249" s="78"/>
      <c r="S1249" s="153"/>
      <c r="T1249" s="78"/>
      <c r="U1249" s="78"/>
      <c r="V1249" s="152"/>
      <c r="W1249" s="78"/>
      <c r="X1249" s="78"/>
    </row>
    <row r="1250" spans="1:24" ht="42" customHeight="1">
      <c r="A1250" s="78"/>
      <c r="B1250" s="149"/>
      <c r="C1250" s="149"/>
      <c r="D1250" s="78"/>
      <c r="E1250" s="78"/>
      <c r="F1250" s="78"/>
      <c r="G1250" s="150"/>
      <c r="H1250" s="78"/>
      <c r="I1250" s="151"/>
      <c r="J1250" s="78"/>
      <c r="K1250" s="78"/>
      <c r="L1250" s="78"/>
      <c r="M1250" s="153"/>
      <c r="N1250" s="78"/>
      <c r="O1250" s="78"/>
      <c r="P1250" s="153"/>
      <c r="Q1250" s="78"/>
      <c r="R1250" s="78"/>
      <c r="S1250" s="153"/>
      <c r="T1250" s="78"/>
      <c r="U1250" s="78"/>
      <c r="V1250" s="152"/>
      <c r="W1250" s="78"/>
      <c r="X1250" s="78"/>
    </row>
    <row r="1251" spans="1:24" ht="42" customHeight="1">
      <c r="A1251" s="78"/>
      <c r="B1251" s="149"/>
      <c r="C1251" s="149"/>
      <c r="D1251" s="78"/>
      <c r="E1251" s="78"/>
      <c r="F1251" s="78"/>
      <c r="G1251" s="150"/>
      <c r="H1251" s="78"/>
      <c r="I1251" s="151"/>
      <c r="J1251" s="78"/>
      <c r="K1251" s="78"/>
      <c r="L1251" s="78"/>
      <c r="M1251" s="153"/>
      <c r="N1251" s="78"/>
      <c r="O1251" s="78"/>
      <c r="P1251" s="153"/>
      <c r="Q1251" s="78"/>
      <c r="R1251" s="78"/>
      <c r="S1251" s="153"/>
      <c r="T1251" s="78"/>
      <c r="U1251" s="78"/>
      <c r="V1251" s="152"/>
      <c r="W1251" s="78"/>
      <c r="X1251" s="78"/>
    </row>
    <row r="1252" spans="1:24" ht="42" customHeight="1">
      <c r="A1252" s="78"/>
      <c r="B1252" s="149"/>
      <c r="C1252" s="149"/>
      <c r="D1252" s="78"/>
      <c r="E1252" s="78"/>
      <c r="F1252" s="78"/>
      <c r="G1252" s="150"/>
      <c r="H1252" s="78"/>
      <c r="I1252" s="151"/>
      <c r="J1252" s="78"/>
      <c r="K1252" s="78"/>
      <c r="L1252" s="78"/>
      <c r="M1252" s="153"/>
      <c r="N1252" s="78"/>
      <c r="O1252" s="78"/>
      <c r="P1252" s="153"/>
      <c r="Q1252" s="78"/>
      <c r="R1252" s="78"/>
      <c r="S1252" s="153"/>
      <c r="T1252" s="78"/>
      <c r="U1252" s="78"/>
      <c r="V1252" s="152"/>
      <c r="W1252" s="78"/>
      <c r="X1252" s="78"/>
    </row>
    <row r="1253" spans="1:24" ht="42" customHeight="1">
      <c r="A1253" s="78"/>
      <c r="B1253" s="149"/>
      <c r="C1253" s="149"/>
      <c r="D1253" s="78"/>
      <c r="E1253" s="78"/>
      <c r="F1253" s="78"/>
      <c r="G1253" s="150"/>
      <c r="H1253" s="78"/>
      <c r="I1253" s="151"/>
      <c r="J1253" s="78"/>
      <c r="K1253" s="78"/>
      <c r="L1253" s="78"/>
      <c r="M1253" s="153"/>
      <c r="N1253" s="78"/>
      <c r="O1253" s="78"/>
      <c r="P1253" s="153"/>
      <c r="Q1253" s="78"/>
      <c r="R1253" s="78"/>
      <c r="S1253" s="153"/>
      <c r="T1253" s="78"/>
      <c r="U1253" s="78"/>
      <c r="V1253" s="152"/>
      <c r="W1253" s="78"/>
      <c r="X1253" s="78"/>
    </row>
    <row r="1254" spans="1:24" ht="42" customHeight="1">
      <c r="A1254" s="78"/>
      <c r="B1254" s="149"/>
      <c r="C1254" s="149"/>
      <c r="D1254" s="78"/>
      <c r="E1254" s="78"/>
      <c r="F1254" s="78"/>
      <c r="G1254" s="150"/>
      <c r="H1254" s="78"/>
      <c r="I1254" s="151"/>
      <c r="J1254" s="78"/>
      <c r="K1254" s="78"/>
      <c r="L1254" s="78"/>
      <c r="M1254" s="153"/>
      <c r="N1254" s="78"/>
      <c r="O1254" s="78"/>
      <c r="P1254" s="153"/>
      <c r="Q1254" s="78"/>
      <c r="R1254" s="78"/>
      <c r="S1254" s="153"/>
      <c r="T1254" s="78"/>
      <c r="U1254" s="78"/>
      <c r="V1254" s="152"/>
      <c r="W1254" s="78"/>
      <c r="X1254" s="78"/>
    </row>
    <row r="1255" spans="1:24" ht="42" customHeight="1">
      <c r="A1255" s="78"/>
      <c r="B1255" s="149"/>
      <c r="C1255" s="149"/>
      <c r="D1255" s="78"/>
      <c r="E1255" s="78"/>
      <c r="F1255" s="78"/>
      <c r="G1255" s="150"/>
      <c r="H1255" s="78"/>
      <c r="I1255" s="151"/>
      <c r="J1255" s="78"/>
      <c r="K1255" s="78"/>
      <c r="L1255" s="78"/>
      <c r="M1255" s="153"/>
      <c r="N1255" s="78"/>
      <c r="O1255" s="78"/>
      <c r="P1255" s="153"/>
      <c r="Q1255" s="78"/>
      <c r="R1255" s="78"/>
      <c r="S1255" s="153"/>
      <c r="T1255" s="78"/>
      <c r="U1255" s="78"/>
      <c r="V1255" s="152"/>
      <c r="W1255" s="78"/>
      <c r="X1255" s="78"/>
    </row>
    <row r="1256" spans="1:24" ht="42" customHeight="1">
      <c r="A1256" s="78"/>
      <c r="B1256" s="149"/>
      <c r="C1256" s="149"/>
      <c r="D1256" s="78"/>
      <c r="E1256" s="78"/>
      <c r="F1256" s="78"/>
      <c r="G1256" s="150"/>
      <c r="H1256" s="78"/>
      <c r="I1256" s="151"/>
      <c r="J1256" s="78"/>
      <c r="K1256" s="78"/>
      <c r="L1256" s="78"/>
      <c r="M1256" s="153"/>
      <c r="N1256" s="78"/>
      <c r="O1256" s="78"/>
      <c r="P1256" s="153"/>
      <c r="Q1256" s="78"/>
      <c r="R1256" s="78"/>
      <c r="S1256" s="153"/>
      <c r="T1256" s="78"/>
      <c r="U1256" s="78"/>
      <c r="V1256" s="152"/>
      <c r="W1256" s="78"/>
      <c r="X1256" s="78"/>
    </row>
    <row r="1257" spans="1:24" ht="42" customHeight="1">
      <c r="A1257" s="78"/>
      <c r="B1257" s="149"/>
      <c r="C1257" s="149"/>
      <c r="D1257" s="78"/>
      <c r="E1257" s="78"/>
      <c r="F1257" s="78"/>
      <c r="G1257" s="150"/>
      <c r="H1257" s="78"/>
      <c r="I1257" s="151"/>
      <c r="J1257" s="78"/>
      <c r="K1257" s="78"/>
      <c r="L1257" s="78"/>
      <c r="M1257" s="153"/>
      <c r="N1257" s="78"/>
      <c r="O1257" s="78"/>
      <c r="P1257" s="153"/>
      <c r="Q1257" s="78"/>
      <c r="R1257" s="78"/>
      <c r="S1257" s="153"/>
      <c r="T1257" s="78"/>
      <c r="U1257" s="78"/>
      <c r="V1257" s="152"/>
      <c r="W1257" s="78"/>
      <c r="X1257" s="78"/>
    </row>
    <row r="1258" spans="1:24" ht="42" customHeight="1">
      <c r="A1258" s="78"/>
      <c r="B1258" s="149"/>
      <c r="C1258" s="149"/>
      <c r="D1258" s="78"/>
      <c r="E1258" s="78"/>
      <c r="F1258" s="78"/>
      <c r="G1258" s="150"/>
      <c r="H1258" s="78"/>
      <c r="I1258" s="151"/>
      <c r="J1258" s="78"/>
      <c r="K1258" s="78"/>
      <c r="L1258" s="78"/>
      <c r="M1258" s="153"/>
      <c r="N1258" s="78"/>
      <c r="O1258" s="78"/>
      <c r="P1258" s="153"/>
      <c r="Q1258" s="78"/>
      <c r="R1258" s="78"/>
      <c r="S1258" s="153"/>
      <c r="T1258" s="78"/>
      <c r="U1258" s="78"/>
      <c r="V1258" s="152"/>
      <c r="W1258" s="78"/>
      <c r="X1258" s="78"/>
    </row>
    <row r="1259" spans="1:24" ht="42" customHeight="1">
      <c r="A1259" s="78"/>
      <c r="B1259" s="149"/>
      <c r="C1259" s="149"/>
      <c r="D1259" s="78"/>
      <c r="E1259" s="78"/>
      <c r="F1259" s="78"/>
      <c r="G1259" s="150"/>
      <c r="H1259" s="78"/>
      <c r="I1259" s="151"/>
      <c r="J1259" s="78"/>
      <c r="K1259" s="78"/>
      <c r="L1259" s="78"/>
      <c r="M1259" s="153"/>
      <c r="N1259" s="78"/>
      <c r="O1259" s="78"/>
      <c r="P1259" s="153"/>
      <c r="Q1259" s="78"/>
      <c r="R1259" s="78"/>
      <c r="S1259" s="153"/>
      <c r="T1259" s="78"/>
      <c r="U1259" s="78"/>
      <c r="V1259" s="152"/>
      <c r="W1259" s="78"/>
      <c r="X1259" s="78"/>
    </row>
    <row r="1260" spans="1:24" ht="42" customHeight="1">
      <c r="A1260" s="78"/>
      <c r="B1260" s="149"/>
      <c r="C1260" s="149"/>
      <c r="D1260" s="78"/>
      <c r="E1260" s="78"/>
      <c r="F1260" s="78"/>
      <c r="G1260" s="150"/>
      <c r="H1260" s="78"/>
      <c r="I1260" s="151"/>
      <c r="J1260" s="78"/>
      <c r="K1260" s="78"/>
      <c r="L1260" s="78"/>
      <c r="M1260" s="153"/>
      <c r="N1260" s="78"/>
      <c r="O1260" s="78"/>
      <c r="P1260" s="153"/>
      <c r="Q1260" s="78"/>
      <c r="R1260" s="78"/>
      <c r="S1260" s="153"/>
      <c r="T1260" s="78"/>
      <c r="U1260" s="78"/>
      <c r="V1260" s="152"/>
      <c r="W1260" s="78"/>
      <c r="X1260" s="78"/>
    </row>
    <row r="1261" spans="1:24" ht="42" customHeight="1">
      <c r="A1261" s="78"/>
      <c r="B1261" s="149"/>
      <c r="C1261" s="149"/>
      <c r="D1261" s="78"/>
      <c r="E1261" s="78"/>
      <c r="F1261" s="78"/>
      <c r="G1261" s="150"/>
      <c r="H1261" s="78"/>
      <c r="I1261" s="151"/>
      <c r="J1261" s="78"/>
      <c r="K1261" s="78"/>
      <c r="L1261" s="78"/>
      <c r="M1261" s="153"/>
      <c r="N1261" s="78"/>
      <c r="O1261" s="78"/>
      <c r="P1261" s="153"/>
      <c r="Q1261" s="78"/>
      <c r="R1261" s="78"/>
      <c r="S1261" s="153"/>
      <c r="T1261" s="78"/>
      <c r="U1261" s="78"/>
      <c r="V1261" s="152"/>
      <c r="W1261" s="78"/>
      <c r="X1261" s="78"/>
    </row>
    <row r="1262" spans="1:24" ht="42" customHeight="1">
      <c r="A1262" s="78"/>
      <c r="B1262" s="149"/>
      <c r="C1262" s="149"/>
      <c r="D1262" s="78"/>
      <c r="E1262" s="78"/>
      <c r="F1262" s="78"/>
      <c r="G1262" s="150"/>
      <c r="H1262" s="78"/>
      <c r="I1262" s="151"/>
      <c r="J1262" s="78"/>
      <c r="K1262" s="78"/>
      <c r="L1262" s="78"/>
      <c r="M1262" s="153"/>
      <c r="N1262" s="78"/>
      <c r="O1262" s="78"/>
      <c r="P1262" s="153"/>
      <c r="Q1262" s="78"/>
      <c r="R1262" s="78"/>
      <c r="S1262" s="153"/>
      <c r="T1262" s="78"/>
      <c r="U1262" s="78"/>
      <c r="V1262" s="152"/>
      <c r="W1262" s="78"/>
      <c r="X1262" s="78"/>
    </row>
    <row r="1263" spans="1:24" ht="42" customHeight="1">
      <c r="A1263" s="78"/>
      <c r="B1263" s="149"/>
      <c r="C1263" s="149"/>
      <c r="D1263" s="78"/>
      <c r="E1263" s="78"/>
      <c r="F1263" s="78"/>
      <c r="G1263" s="150"/>
      <c r="H1263" s="78"/>
      <c r="I1263" s="151"/>
      <c r="J1263" s="78"/>
      <c r="K1263" s="78"/>
      <c r="L1263" s="78"/>
      <c r="M1263" s="153"/>
      <c r="N1263" s="78"/>
      <c r="O1263" s="78"/>
      <c r="P1263" s="153"/>
      <c r="Q1263" s="78"/>
      <c r="R1263" s="78"/>
      <c r="S1263" s="153"/>
      <c r="T1263" s="78"/>
      <c r="U1263" s="78"/>
      <c r="V1263" s="152"/>
      <c r="W1263" s="78"/>
      <c r="X1263" s="78"/>
    </row>
    <row r="1264" spans="1:24" ht="42" customHeight="1">
      <c r="A1264" s="78"/>
      <c r="B1264" s="149"/>
      <c r="C1264" s="149"/>
      <c r="D1264" s="78"/>
      <c r="E1264" s="78"/>
      <c r="F1264" s="78"/>
      <c r="G1264" s="150"/>
      <c r="H1264" s="78"/>
      <c r="I1264" s="151"/>
      <c r="J1264" s="78"/>
      <c r="K1264" s="78"/>
      <c r="L1264" s="78"/>
      <c r="M1264" s="153"/>
      <c r="N1264" s="78"/>
      <c r="O1264" s="78"/>
      <c r="P1264" s="153"/>
      <c r="Q1264" s="78"/>
      <c r="R1264" s="78"/>
      <c r="S1264" s="153"/>
      <c r="T1264" s="78"/>
      <c r="U1264" s="78"/>
      <c r="V1264" s="152"/>
      <c r="W1264" s="78"/>
      <c r="X1264" s="78"/>
    </row>
    <row r="1265" spans="1:24" ht="42" customHeight="1">
      <c r="A1265" s="78"/>
      <c r="B1265" s="149"/>
      <c r="C1265" s="149"/>
      <c r="D1265" s="78"/>
      <c r="E1265" s="78"/>
      <c r="F1265" s="78"/>
      <c r="G1265" s="150"/>
      <c r="H1265" s="78"/>
      <c r="I1265" s="151"/>
      <c r="J1265" s="78"/>
      <c r="K1265" s="78"/>
      <c r="L1265" s="78"/>
      <c r="M1265" s="153"/>
      <c r="N1265" s="78"/>
      <c r="O1265" s="78"/>
      <c r="P1265" s="153"/>
      <c r="Q1265" s="78"/>
      <c r="R1265" s="78"/>
      <c r="S1265" s="153"/>
      <c r="T1265" s="78"/>
      <c r="U1265" s="78"/>
      <c r="V1265" s="152"/>
      <c r="W1265" s="78"/>
      <c r="X1265" s="78"/>
    </row>
    <row r="1266" spans="1:24" ht="42" customHeight="1">
      <c r="A1266" s="78"/>
      <c r="B1266" s="149"/>
      <c r="C1266" s="149"/>
      <c r="D1266" s="78"/>
      <c r="E1266" s="78"/>
      <c r="F1266" s="78"/>
      <c r="G1266" s="150"/>
      <c r="H1266" s="78"/>
      <c r="I1266" s="151"/>
      <c r="J1266" s="78"/>
      <c r="K1266" s="78"/>
      <c r="L1266" s="78"/>
      <c r="M1266" s="153"/>
      <c r="N1266" s="78"/>
      <c r="O1266" s="78"/>
      <c r="P1266" s="153"/>
      <c r="Q1266" s="78"/>
      <c r="R1266" s="78"/>
      <c r="S1266" s="153"/>
      <c r="T1266" s="78"/>
      <c r="U1266" s="78"/>
      <c r="V1266" s="152"/>
      <c r="W1266" s="78"/>
      <c r="X1266" s="78"/>
    </row>
    <row r="1267" spans="1:24" ht="42" customHeight="1">
      <c r="A1267" s="78"/>
      <c r="B1267" s="149"/>
      <c r="C1267" s="149"/>
      <c r="D1267" s="78"/>
      <c r="E1267" s="78"/>
      <c r="F1267" s="78"/>
      <c r="G1267" s="150"/>
      <c r="H1267" s="78"/>
      <c r="I1267" s="151"/>
      <c r="J1267" s="78"/>
      <c r="K1267" s="78"/>
      <c r="L1267" s="78"/>
      <c r="M1267" s="153"/>
      <c r="N1267" s="78"/>
      <c r="O1267" s="78"/>
      <c r="P1267" s="153"/>
      <c r="Q1267" s="78"/>
      <c r="R1267" s="78"/>
      <c r="S1267" s="153"/>
      <c r="T1267" s="78"/>
      <c r="U1267" s="78"/>
      <c r="V1267" s="152"/>
      <c r="W1267" s="78"/>
      <c r="X1267" s="78"/>
    </row>
    <row r="1268" spans="1:24" ht="42" customHeight="1">
      <c r="A1268" s="78"/>
      <c r="B1268" s="149"/>
      <c r="C1268" s="149"/>
      <c r="D1268" s="78"/>
      <c r="E1268" s="78"/>
      <c r="F1268" s="78"/>
      <c r="G1268" s="150"/>
      <c r="H1268" s="78"/>
      <c r="I1268" s="151"/>
      <c r="J1268" s="78"/>
      <c r="K1268" s="78"/>
      <c r="L1268" s="78"/>
      <c r="M1268" s="153"/>
      <c r="N1268" s="78"/>
      <c r="O1268" s="78"/>
      <c r="P1268" s="153"/>
      <c r="Q1268" s="78"/>
      <c r="R1268" s="78"/>
      <c r="S1268" s="153"/>
      <c r="T1268" s="78"/>
      <c r="U1268" s="78"/>
      <c r="V1268" s="152"/>
      <c r="W1268" s="78"/>
      <c r="X1268" s="78"/>
    </row>
    <row r="1269" spans="1:24" ht="42" customHeight="1">
      <c r="A1269" s="78"/>
      <c r="B1269" s="149"/>
      <c r="C1269" s="149"/>
      <c r="D1269" s="78"/>
      <c r="E1269" s="78"/>
      <c r="F1269" s="78"/>
      <c r="G1269" s="150"/>
      <c r="H1269" s="78"/>
      <c r="I1269" s="151"/>
      <c r="J1269" s="78"/>
      <c r="K1269" s="78"/>
      <c r="L1269" s="78"/>
      <c r="M1269" s="153"/>
      <c r="N1269" s="78"/>
      <c r="O1269" s="78"/>
      <c r="P1269" s="153"/>
      <c r="Q1269" s="78"/>
      <c r="R1269" s="78"/>
      <c r="S1269" s="153"/>
      <c r="T1269" s="78"/>
      <c r="U1269" s="78"/>
      <c r="V1269" s="152"/>
      <c r="W1269" s="78"/>
      <c r="X1269" s="78"/>
    </row>
    <row r="1270" spans="1:24" ht="42" customHeight="1">
      <c r="A1270" s="78"/>
      <c r="B1270" s="149"/>
      <c r="C1270" s="149"/>
      <c r="D1270" s="78"/>
      <c r="E1270" s="78"/>
      <c r="F1270" s="78"/>
      <c r="G1270" s="150"/>
      <c r="H1270" s="78"/>
      <c r="I1270" s="151"/>
      <c r="J1270" s="78"/>
      <c r="K1270" s="78"/>
      <c r="L1270" s="78"/>
      <c r="M1270" s="153"/>
      <c r="N1270" s="78"/>
      <c r="O1270" s="78"/>
      <c r="P1270" s="153"/>
      <c r="Q1270" s="78"/>
      <c r="R1270" s="78"/>
      <c r="S1270" s="153"/>
      <c r="T1270" s="78"/>
      <c r="U1270" s="78"/>
      <c r="V1270" s="152"/>
      <c r="W1270" s="78"/>
      <c r="X1270" s="78"/>
    </row>
    <row r="1271" spans="1:24" ht="42" customHeight="1">
      <c r="A1271" s="78"/>
      <c r="B1271" s="149"/>
      <c r="C1271" s="149"/>
      <c r="D1271" s="78"/>
      <c r="E1271" s="78"/>
      <c r="F1271" s="78"/>
      <c r="G1271" s="150"/>
      <c r="H1271" s="78"/>
      <c r="I1271" s="151"/>
      <c r="J1271" s="78"/>
      <c r="K1271" s="78"/>
      <c r="L1271" s="78"/>
      <c r="M1271" s="153"/>
      <c r="N1271" s="78"/>
      <c r="O1271" s="78"/>
      <c r="P1271" s="153"/>
      <c r="Q1271" s="78"/>
      <c r="R1271" s="78"/>
      <c r="S1271" s="153"/>
      <c r="T1271" s="78"/>
      <c r="U1271" s="78"/>
      <c r="V1271" s="152"/>
      <c r="W1271" s="78"/>
      <c r="X1271" s="78"/>
    </row>
    <row r="1272" spans="1:24" ht="42" customHeight="1">
      <c r="A1272" s="78"/>
      <c r="B1272" s="149"/>
      <c r="C1272" s="149"/>
      <c r="D1272" s="78"/>
      <c r="E1272" s="78"/>
      <c r="F1272" s="78"/>
      <c r="G1272" s="150"/>
      <c r="H1272" s="78"/>
      <c r="I1272" s="151"/>
      <c r="J1272" s="78"/>
      <c r="K1272" s="78"/>
      <c r="L1272" s="78"/>
      <c r="M1272" s="153"/>
      <c r="N1272" s="78"/>
      <c r="O1272" s="78"/>
      <c r="P1272" s="153"/>
      <c r="Q1272" s="78"/>
      <c r="R1272" s="78"/>
      <c r="S1272" s="153"/>
      <c r="T1272" s="78"/>
      <c r="U1272" s="78"/>
      <c r="V1272" s="152"/>
      <c r="W1272" s="78"/>
      <c r="X1272" s="78"/>
    </row>
    <row r="1273" spans="1:24" ht="42" customHeight="1">
      <c r="A1273" s="78"/>
      <c r="B1273" s="149"/>
      <c r="C1273" s="149"/>
      <c r="D1273" s="78"/>
      <c r="E1273" s="78"/>
      <c r="F1273" s="78"/>
      <c r="G1273" s="150"/>
      <c r="H1273" s="78"/>
      <c r="I1273" s="151"/>
      <c r="J1273" s="78"/>
      <c r="K1273" s="78"/>
      <c r="L1273" s="78"/>
      <c r="M1273" s="153"/>
      <c r="N1273" s="78"/>
      <c r="O1273" s="78"/>
      <c r="P1273" s="153"/>
      <c r="Q1273" s="78"/>
      <c r="R1273" s="78"/>
      <c r="S1273" s="153"/>
      <c r="T1273" s="78"/>
      <c r="U1273" s="78"/>
      <c r="V1273" s="152"/>
      <c r="W1273" s="78"/>
      <c r="X1273" s="78"/>
    </row>
    <row r="1274" spans="1:24" ht="42" customHeight="1">
      <c r="A1274" s="78"/>
      <c r="B1274" s="149"/>
      <c r="C1274" s="149"/>
      <c r="D1274" s="78"/>
      <c r="E1274" s="78"/>
      <c r="F1274" s="78"/>
      <c r="G1274" s="150"/>
      <c r="H1274" s="78"/>
      <c r="I1274" s="151"/>
      <c r="J1274" s="78"/>
      <c r="K1274" s="78"/>
      <c r="L1274" s="78"/>
      <c r="M1274" s="153"/>
      <c r="N1274" s="78"/>
      <c r="O1274" s="78"/>
      <c r="P1274" s="153"/>
      <c r="Q1274" s="78"/>
      <c r="R1274" s="78"/>
      <c r="S1274" s="153"/>
      <c r="T1274" s="78"/>
      <c r="U1274" s="78"/>
      <c r="V1274" s="152"/>
      <c r="W1274" s="78"/>
      <c r="X1274" s="78"/>
    </row>
    <row r="1275" spans="1:24" ht="42" customHeight="1">
      <c r="A1275" s="78"/>
      <c r="B1275" s="149"/>
      <c r="C1275" s="149"/>
      <c r="D1275" s="78"/>
      <c r="E1275" s="78"/>
      <c r="F1275" s="78"/>
      <c r="G1275" s="150"/>
      <c r="H1275" s="78"/>
      <c r="I1275" s="151"/>
      <c r="J1275" s="78"/>
      <c r="K1275" s="78"/>
      <c r="L1275" s="78"/>
      <c r="M1275" s="153"/>
      <c r="N1275" s="78"/>
      <c r="O1275" s="78"/>
      <c r="P1275" s="153"/>
      <c r="Q1275" s="78"/>
      <c r="R1275" s="78"/>
      <c r="S1275" s="153"/>
      <c r="T1275" s="78"/>
      <c r="U1275" s="78"/>
      <c r="V1275" s="152"/>
      <c r="W1275" s="78"/>
      <c r="X1275" s="78"/>
    </row>
    <row r="1276" spans="1:24" ht="42" customHeight="1">
      <c r="A1276" s="78"/>
      <c r="B1276" s="149"/>
      <c r="C1276" s="149"/>
      <c r="D1276" s="78"/>
      <c r="E1276" s="78"/>
      <c r="F1276" s="78"/>
      <c r="G1276" s="150"/>
      <c r="H1276" s="78"/>
      <c r="I1276" s="151"/>
      <c r="J1276" s="78"/>
      <c r="K1276" s="78"/>
      <c r="L1276" s="78"/>
      <c r="M1276" s="153"/>
      <c r="N1276" s="78"/>
      <c r="O1276" s="78"/>
      <c r="P1276" s="153"/>
      <c r="Q1276" s="78"/>
      <c r="R1276" s="78"/>
      <c r="S1276" s="153"/>
      <c r="T1276" s="78"/>
      <c r="U1276" s="78"/>
      <c r="V1276" s="152"/>
      <c r="W1276" s="78"/>
      <c r="X1276" s="78"/>
    </row>
    <row r="1277" spans="1:24" ht="42" customHeight="1">
      <c r="A1277" s="78"/>
      <c r="B1277" s="149"/>
      <c r="C1277" s="149"/>
      <c r="D1277" s="78"/>
      <c r="E1277" s="78"/>
      <c r="F1277" s="78"/>
      <c r="G1277" s="150"/>
      <c r="H1277" s="78"/>
      <c r="I1277" s="151"/>
      <c r="J1277" s="78"/>
      <c r="K1277" s="78"/>
      <c r="L1277" s="78"/>
      <c r="M1277" s="153"/>
      <c r="N1277" s="78"/>
      <c r="O1277" s="78"/>
      <c r="P1277" s="153"/>
      <c r="Q1277" s="78"/>
      <c r="R1277" s="78"/>
      <c r="S1277" s="153"/>
      <c r="T1277" s="78"/>
      <c r="U1277" s="78"/>
      <c r="V1277" s="152"/>
      <c r="W1277" s="78"/>
      <c r="X1277" s="78"/>
    </row>
    <row r="1278" spans="1:24" ht="42" customHeight="1">
      <c r="A1278" s="78"/>
      <c r="B1278" s="149"/>
      <c r="C1278" s="149"/>
      <c r="D1278" s="78"/>
      <c r="E1278" s="78"/>
      <c r="F1278" s="78"/>
      <c r="G1278" s="150"/>
      <c r="H1278" s="78"/>
      <c r="I1278" s="151"/>
      <c r="J1278" s="78"/>
      <c r="K1278" s="78"/>
      <c r="L1278" s="78"/>
      <c r="M1278" s="153"/>
      <c r="N1278" s="78"/>
      <c r="O1278" s="78"/>
      <c r="P1278" s="153"/>
      <c r="Q1278" s="78"/>
      <c r="R1278" s="78"/>
      <c r="S1278" s="153"/>
      <c r="T1278" s="78"/>
      <c r="U1278" s="78"/>
      <c r="V1278" s="152"/>
      <c r="W1278" s="78"/>
      <c r="X1278" s="78"/>
    </row>
    <row r="1279" spans="1:24" ht="42" customHeight="1">
      <c r="A1279" s="78"/>
      <c r="B1279" s="149"/>
      <c r="C1279" s="149"/>
      <c r="D1279" s="78"/>
      <c r="E1279" s="78"/>
      <c r="F1279" s="78"/>
      <c r="G1279" s="150"/>
      <c r="H1279" s="78"/>
      <c r="I1279" s="151"/>
      <c r="J1279" s="78"/>
      <c r="K1279" s="78"/>
      <c r="L1279" s="78"/>
      <c r="M1279" s="153"/>
      <c r="N1279" s="78"/>
      <c r="O1279" s="78"/>
      <c r="P1279" s="153"/>
      <c r="Q1279" s="78"/>
      <c r="R1279" s="78"/>
      <c r="S1279" s="153"/>
      <c r="T1279" s="78"/>
      <c r="U1279" s="78"/>
      <c r="V1279" s="152"/>
      <c r="W1279" s="78"/>
      <c r="X1279" s="78"/>
    </row>
    <row r="1280" spans="1:24" ht="42" customHeight="1">
      <c r="A1280" s="78"/>
      <c r="B1280" s="149"/>
      <c r="C1280" s="149"/>
      <c r="D1280" s="78"/>
      <c r="E1280" s="78"/>
      <c r="F1280" s="78"/>
      <c r="G1280" s="150"/>
      <c r="H1280" s="78"/>
      <c r="I1280" s="151"/>
      <c r="J1280" s="78"/>
      <c r="K1280" s="78"/>
      <c r="L1280" s="78"/>
      <c r="M1280" s="153"/>
      <c r="N1280" s="78"/>
      <c r="O1280" s="78"/>
      <c r="P1280" s="153"/>
      <c r="Q1280" s="78"/>
      <c r="R1280" s="78"/>
      <c r="S1280" s="153"/>
      <c r="T1280" s="78"/>
      <c r="U1280" s="78"/>
      <c r="V1280" s="152"/>
      <c r="W1280" s="78"/>
      <c r="X1280" s="78"/>
    </row>
    <row r="1281" spans="1:24" ht="42" customHeight="1">
      <c r="A1281" s="78"/>
      <c r="B1281" s="149"/>
      <c r="C1281" s="149"/>
      <c r="D1281" s="78"/>
      <c r="E1281" s="78"/>
      <c r="F1281" s="78"/>
      <c r="G1281" s="150"/>
      <c r="H1281" s="78"/>
      <c r="I1281" s="151"/>
      <c r="J1281" s="78"/>
      <c r="K1281" s="78"/>
      <c r="L1281" s="78"/>
      <c r="M1281" s="153"/>
      <c r="N1281" s="78"/>
      <c r="O1281" s="78"/>
      <c r="P1281" s="153"/>
      <c r="Q1281" s="78"/>
      <c r="R1281" s="78"/>
      <c r="S1281" s="153"/>
      <c r="T1281" s="78"/>
      <c r="U1281" s="78"/>
      <c r="V1281" s="152"/>
      <c r="W1281" s="78"/>
      <c r="X1281" s="78"/>
    </row>
    <row r="1282" spans="1:24" ht="42" customHeight="1">
      <c r="A1282" s="78"/>
      <c r="B1282" s="149"/>
      <c r="C1282" s="149"/>
      <c r="D1282" s="78"/>
      <c r="E1282" s="78"/>
      <c r="F1282" s="78"/>
      <c r="G1282" s="150"/>
      <c r="H1282" s="78"/>
      <c r="I1282" s="151"/>
      <c r="J1282" s="78"/>
      <c r="K1282" s="78"/>
      <c r="L1282" s="78"/>
      <c r="M1282" s="153"/>
      <c r="N1282" s="78"/>
      <c r="O1282" s="78"/>
      <c r="P1282" s="153"/>
      <c r="Q1282" s="78"/>
      <c r="R1282" s="78"/>
      <c r="S1282" s="153"/>
      <c r="T1282" s="78"/>
      <c r="U1282" s="78"/>
      <c r="V1282" s="152"/>
      <c r="W1282" s="78"/>
      <c r="X1282" s="78"/>
    </row>
    <row r="1283" spans="1:24" ht="42" customHeight="1">
      <c r="A1283" s="78"/>
      <c r="B1283" s="149"/>
      <c r="C1283" s="149"/>
      <c r="D1283" s="78"/>
      <c r="E1283" s="78"/>
      <c r="F1283" s="78"/>
      <c r="G1283" s="150"/>
      <c r="H1283" s="78"/>
      <c r="I1283" s="151"/>
      <c r="J1283" s="78"/>
      <c r="K1283" s="78"/>
      <c r="L1283" s="78"/>
      <c r="M1283" s="153"/>
      <c r="N1283" s="78"/>
      <c r="O1283" s="78"/>
      <c r="P1283" s="153"/>
      <c r="Q1283" s="78"/>
      <c r="R1283" s="78"/>
      <c r="S1283" s="153"/>
      <c r="T1283" s="78"/>
      <c r="U1283" s="78"/>
      <c r="V1283" s="152"/>
      <c r="W1283" s="78"/>
      <c r="X1283" s="78"/>
    </row>
    <row r="1284" spans="1:24" ht="42" customHeight="1">
      <c r="A1284" s="78"/>
      <c r="B1284" s="149"/>
      <c r="C1284" s="149"/>
      <c r="D1284" s="78"/>
      <c r="E1284" s="78"/>
      <c r="F1284" s="78"/>
      <c r="G1284" s="150"/>
      <c r="H1284" s="78"/>
      <c r="I1284" s="151"/>
      <c r="J1284" s="78"/>
      <c r="K1284" s="78"/>
      <c r="L1284" s="78"/>
      <c r="M1284" s="153"/>
      <c r="N1284" s="78"/>
      <c r="O1284" s="78"/>
      <c r="P1284" s="153"/>
      <c r="Q1284" s="78"/>
      <c r="R1284" s="78"/>
      <c r="S1284" s="153"/>
      <c r="T1284" s="78"/>
      <c r="U1284" s="78"/>
      <c r="V1284" s="152"/>
      <c r="W1284" s="78"/>
      <c r="X1284" s="78"/>
    </row>
    <row r="1285" spans="1:24" ht="42" customHeight="1">
      <c r="A1285" s="78"/>
      <c r="B1285" s="149"/>
      <c r="C1285" s="149"/>
      <c r="D1285" s="78"/>
      <c r="E1285" s="78"/>
      <c r="F1285" s="78"/>
      <c r="G1285" s="150"/>
      <c r="H1285" s="78"/>
      <c r="I1285" s="151"/>
      <c r="J1285" s="78"/>
      <c r="K1285" s="78"/>
      <c r="L1285" s="78"/>
      <c r="M1285" s="153"/>
      <c r="N1285" s="78"/>
      <c r="O1285" s="78"/>
      <c r="P1285" s="153"/>
      <c r="Q1285" s="78"/>
      <c r="R1285" s="78"/>
      <c r="S1285" s="153"/>
      <c r="T1285" s="78"/>
      <c r="U1285" s="78"/>
      <c r="V1285" s="152"/>
      <c r="W1285" s="78"/>
      <c r="X1285" s="78"/>
    </row>
    <row r="1286" spans="1:24" ht="42" customHeight="1">
      <c r="A1286" s="78"/>
      <c r="B1286" s="149"/>
      <c r="C1286" s="149"/>
      <c r="D1286" s="78"/>
      <c r="E1286" s="78"/>
      <c r="F1286" s="78"/>
      <c r="G1286" s="150"/>
      <c r="H1286" s="78"/>
      <c r="I1286" s="151"/>
      <c r="J1286" s="78"/>
      <c r="K1286" s="78"/>
      <c r="L1286" s="78"/>
      <c r="M1286" s="153"/>
      <c r="N1286" s="78"/>
      <c r="O1286" s="78"/>
      <c r="P1286" s="153"/>
      <c r="Q1286" s="78"/>
      <c r="R1286" s="78"/>
      <c r="S1286" s="153"/>
      <c r="T1286" s="78"/>
      <c r="U1286" s="78"/>
      <c r="V1286" s="152"/>
      <c r="W1286" s="78"/>
      <c r="X1286" s="78"/>
    </row>
    <row r="1287" spans="1:24" ht="42" customHeight="1">
      <c r="A1287" s="78"/>
      <c r="B1287" s="149"/>
      <c r="C1287" s="149"/>
      <c r="D1287" s="78"/>
      <c r="E1287" s="78"/>
      <c r="F1287" s="78"/>
      <c r="G1287" s="150"/>
      <c r="H1287" s="78"/>
      <c r="I1287" s="151"/>
      <c r="J1287" s="78"/>
      <c r="K1287" s="78"/>
      <c r="L1287" s="78"/>
      <c r="M1287" s="153"/>
      <c r="N1287" s="78"/>
      <c r="O1287" s="78"/>
      <c r="P1287" s="153"/>
      <c r="Q1287" s="78"/>
      <c r="R1287" s="78"/>
      <c r="S1287" s="153"/>
      <c r="T1287" s="78"/>
      <c r="U1287" s="78"/>
      <c r="V1287" s="152"/>
      <c r="W1287" s="78"/>
      <c r="X1287" s="78"/>
    </row>
    <row r="1288" spans="1:24" ht="42" customHeight="1">
      <c r="A1288" s="78"/>
      <c r="B1288" s="149"/>
      <c r="C1288" s="149"/>
      <c r="D1288" s="78"/>
      <c r="E1288" s="78"/>
      <c r="F1288" s="78"/>
      <c r="G1288" s="150"/>
      <c r="H1288" s="78"/>
      <c r="I1288" s="151"/>
      <c r="J1288" s="78"/>
      <c r="K1288" s="78"/>
      <c r="L1288" s="78"/>
      <c r="M1288" s="153"/>
      <c r="N1288" s="78"/>
      <c r="O1288" s="78"/>
      <c r="P1288" s="153"/>
      <c r="Q1288" s="78"/>
      <c r="R1288" s="78"/>
      <c r="S1288" s="153"/>
      <c r="T1288" s="78"/>
      <c r="U1288" s="78"/>
      <c r="V1288" s="152"/>
      <c r="W1288" s="78"/>
      <c r="X1288" s="78"/>
    </row>
    <row r="1289" spans="1:24" ht="42" customHeight="1">
      <c r="A1289" s="78"/>
      <c r="B1289" s="149"/>
      <c r="C1289" s="149"/>
      <c r="D1289" s="78"/>
      <c r="E1289" s="78"/>
      <c r="F1289" s="78"/>
      <c r="G1289" s="150"/>
      <c r="H1289" s="78"/>
      <c r="I1289" s="151"/>
      <c r="J1289" s="78"/>
      <c r="K1289" s="78"/>
      <c r="L1289" s="78"/>
      <c r="M1289" s="153"/>
      <c r="N1289" s="78"/>
      <c r="O1289" s="78"/>
      <c r="P1289" s="153"/>
      <c r="Q1289" s="78"/>
      <c r="R1289" s="78"/>
      <c r="S1289" s="153"/>
      <c r="T1289" s="78"/>
      <c r="U1289" s="78"/>
      <c r="V1289" s="152"/>
      <c r="W1289" s="78"/>
      <c r="X1289" s="78"/>
    </row>
    <row r="1290" spans="1:24" ht="42" customHeight="1">
      <c r="A1290" s="78"/>
      <c r="B1290" s="149"/>
      <c r="C1290" s="149"/>
      <c r="D1290" s="78"/>
      <c r="E1290" s="78"/>
      <c r="F1290" s="78"/>
      <c r="G1290" s="150"/>
      <c r="H1290" s="78"/>
      <c r="I1290" s="151"/>
      <c r="J1290" s="78"/>
      <c r="K1290" s="78"/>
      <c r="L1290" s="78"/>
      <c r="M1290" s="153"/>
      <c r="N1290" s="78"/>
      <c r="O1290" s="78"/>
      <c r="P1290" s="153"/>
      <c r="Q1290" s="78"/>
      <c r="R1290" s="78"/>
      <c r="S1290" s="153"/>
      <c r="T1290" s="78"/>
      <c r="U1290" s="78"/>
      <c r="V1290" s="152"/>
      <c r="W1290" s="78"/>
      <c r="X1290" s="78"/>
    </row>
    <row r="1291" spans="1:24" ht="42" customHeight="1">
      <c r="A1291" s="78"/>
      <c r="B1291" s="149"/>
      <c r="C1291" s="149"/>
      <c r="D1291" s="78"/>
      <c r="E1291" s="78"/>
      <c r="F1291" s="78"/>
      <c r="G1291" s="150"/>
      <c r="H1291" s="78"/>
      <c r="I1291" s="151"/>
      <c r="J1291" s="78"/>
      <c r="K1291" s="78"/>
      <c r="L1291" s="78"/>
      <c r="M1291" s="153"/>
      <c r="N1291" s="78"/>
      <c r="O1291" s="78"/>
      <c r="P1291" s="153"/>
      <c r="Q1291" s="78"/>
      <c r="R1291" s="78"/>
      <c r="S1291" s="153"/>
      <c r="T1291" s="78"/>
      <c r="U1291" s="78"/>
      <c r="V1291" s="152"/>
      <c r="W1291" s="78"/>
      <c r="X1291" s="78"/>
    </row>
    <row r="1292" spans="1:24" ht="42" customHeight="1">
      <c r="A1292" s="78"/>
      <c r="B1292" s="149"/>
      <c r="C1292" s="149"/>
      <c r="D1292" s="78"/>
      <c r="E1292" s="78"/>
      <c r="F1292" s="78"/>
      <c r="G1292" s="150"/>
      <c r="H1292" s="78"/>
      <c r="I1292" s="151"/>
      <c r="J1292" s="78"/>
      <c r="K1292" s="78"/>
      <c r="L1292" s="78"/>
      <c r="M1292" s="153"/>
      <c r="N1292" s="78"/>
      <c r="O1292" s="78"/>
      <c r="P1292" s="153"/>
      <c r="Q1292" s="78"/>
      <c r="R1292" s="78"/>
      <c r="S1292" s="153"/>
      <c r="T1292" s="78"/>
      <c r="U1292" s="78"/>
      <c r="V1292" s="152"/>
      <c r="W1292" s="78"/>
      <c r="X1292" s="78"/>
    </row>
    <row r="1293" spans="1:24" ht="42" customHeight="1">
      <c r="A1293" s="78"/>
      <c r="B1293" s="149"/>
      <c r="C1293" s="149"/>
      <c r="D1293" s="78"/>
      <c r="E1293" s="78"/>
      <c r="F1293" s="78"/>
      <c r="G1293" s="150"/>
      <c r="H1293" s="78"/>
      <c r="I1293" s="151"/>
      <c r="J1293" s="78"/>
      <c r="K1293" s="78"/>
      <c r="L1293" s="78"/>
      <c r="M1293" s="153"/>
      <c r="N1293" s="78"/>
      <c r="O1293" s="78"/>
      <c r="P1293" s="153"/>
      <c r="Q1293" s="78"/>
      <c r="R1293" s="78"/>
      <c r="S1293" s="153"/>
      <c r="T1293" s="78"/>
      <c r="U1293" s="78"/>
      <c r="V1293" s="152"/>
      <c r="W1293" s="78"/>
      <c r="X1293" s="78"/>
    </row>
    <row r="1294" spans="1:24" ht="42" customHeight="1">
      <c r="A1294" s="78"/>
      <c r="B1294" s="149"/>
      <c r="C1294" s="149"/>
      <c r="D1294" s="78"/>
      <c r="E1294" s="78"/>
      <c r="F1294" s="78"/>
      <c r="G1294" s="150"/>
      <c r="H1294" s="78"/>
      <c r="I1294" s="151"/>
      <c r="J1294" s="78"/>
      <c r="K1294" s="78"/>
      <c r="L1294" s="78"/>
      <c r="M1294" s="153"/>
      <c r="N1294" s="78"/>
      <c r="O1294" s="78"/>
      <c r="P1294" s="153"/>
      <c r="Q1294" s="78"/>
      <c r="R1294" s="78"/>
      <c r="S1294" s="153"/>
      <c r="T1294" s="78"/>
      <c r="U1294" s="78"/>
      <c r="V1294" s="152"/>
      <c r="W1294" s="78"/>
      <c r="X1294" s="78"/>
    </row>
    <row r="1295" spans="1:24" ht="42" customHeight="1">
      <c r="A1295" s="78"/>
      <c r="B1295" s="149"/>
      <c r="C1295" s="149"/>
      <c r="D1295" s="78"/>
      <c r="E1295" s="78"/>
      <c r="F1295" s="78"/>
      <c r="G1295" s="150"/>
      <c r="H1295" s="78"/>
      <c r="I1295" s="151"/>
      <c r="J1295" s="78"/>
      <c r="K1295" s="78"/>
      <c r="L1295" s="78"/>
      <c r="M1295" s="153"/>
      <c r="N1295" s="78"/>
      <c r="O1295" s="78"/>
      <c r="P1295" s="153"/>
      <c r="Q1295" s="78"/>
      <c r="R1295" s="78"/>
      <c r="S1295" s="153"/>
      <c r="T1295" s="78"/>
      <c r="U1295" s="78"/>
      <c r="V1295" s="152"/>
      <c r="W1295" s="78"/>
      <c r="X1295" s="78"/>
    </row>
    <row r="1296" spans="1:24" ht="42" customHeight="1">
      <c r="A1296" s="78"/>
      <c r="B1296" s="149"/>
      <c r="C1296" s="149"/>
      <c r="D1296" s="78"/>
      <c r="E1296" s="78"/>
      <c r="F1296" s="78"/>
      <c r="G1296" s="150"/>
      <c r="H1296" s="78"/>
      <c r="I1296" s="151"/>
      <c r="J1296" s="78"/>
      <c r="K1296" s="78"/>
      <c r="L1296" s="78"/>
      <c r="M1296" s="153"/>
      <c r="N1296" s="78"/>
      <c r="O1296" s="78"/>
      <c r="P1296" s="153"/>
      <c r="Q1296" s="78"/>
      <c r="R1296" s="78"/>
      <c r="S1296" s="153"/>
      <c r="T1296" s="78"/>
      <c r="U1296" s="78"/>
      <c r="V1296" s="152"/>
      <c r="W1296" s="78"/>
      <c r="X1296" s="78"/>
    </row>
    <row r="1297" spans="1:24" ht="42" customHeight="1">
      <c r="A1297" s="78"/>
      <c r="B1297" s="149"/>
      <c r="C1297" s="149"/>
      <c r="D1297" s="78"/>
      <c r="E1297" s="78"/>
      <c r="F1297" s="78"/>
      <c r="G1297" s="150"/>
      <c r="H1297" s="78"/>
      <c r="I1297" s="151"/>
      <c r="J1297" s="78"/>
      <c r="K1297" s="78"/>
      <c r="L1297" s="78"/>
      <c r="M1297" s="153"/>
      <c r="N1297" s="78"/>
      <c r="O1297" s="78"/>
      <c r="P1297" s="153"/>
      <c r="Q1297" s="78"/>
      <c r="R1297" s="78"/>
      <c r="S1297" s="153"/>
      <c r="T1297" s="78"/>
      <c r="U1297" s="78"/>
      <c r="V1297" s="152"/>
      <c r="W1297" s="78"/>
      <c r="X1297" s="78"/>
    </row>
    <row r="1298" spans="1:24" ht="42" customHeight="1">
      <c r="A1298" s="78"/>
      <c r="B1298" s="149"/>
      <c r="C1298" s="149"/>
      <c r="D1298" s="78"/>
      <c r="E1298" s="78"/>
      <c r="F1298" s="78"/>
      <c r="G1298" s="150"/>
      <c r="H1298" s="78"/>
      <c r="I1298" s="151"/>
      <c r="J1298" s="78"/>
      <c r="K1298" s="78"/>
      <c r="L1298" s="78"/>
      <c r="M1298" s="153"/>
      <c r="N1298" s="78"/>
      <c r="O1298" s="78"/>
      <c r="P1298" s="153"/>
      <c r="Q1298" s="78"/>
      <c r="R1298" s="78"/>
      <c r="S1298" s="153"/>
      <c r="T1298" s="78"/>
      <c r="U1298" s="78"/>
      <c r="V1298" s="152"/>
      <c r="W1298" s="78"/>
      <c r="X1298" s="78"/>
    </row>
    <row r="1299" spans="1:24" ht="42" customHeight="1">
      <c r="A1299" s="78"/>
      <c r="B1299" s="149"/>
      <c r="C1299" s="149"/>
      <c r="D1299" s="78"/>
      <c r="E1299" s="78"/>
      <c r="F1299" s="78"/>
      <c r="G1299" s="150"/>
      <c r="H1299" s="78"/>
      <c r="I1299" s="151"/>
      <c r="J1299" s="78"/>
      <c r="K1299" s="78"/>
      <c r="L1299" s="78"/>
      <c r="M1299" s="153"/>
      <c r="N1299" s="78"/>
      <c r="O1299" s="78"/>
      <c r="P1299" s="153"/>
      <c r="Q1299" s="78"/>
      <c r="R1299" s="78"/>
      <c r="S1299" s="153"/>
      <c r="T1299" s="78"/>
      <c r="U1299" s="78"/>
      <c r="V1299" s="152"/>
      <c r="W1299" s="78"/>
      <c r="X1299" s="78"/>
    </row>
    <row r="1300" spans="1:24" ht="42" customHeight="1">
      <c r="A1300" s="78"/>
      <c r="B1300" s="149"/>
      <c r="C1300" s="149"/>
      <c r="D1300" s="78"/>
      <c r="E1300" s="78"/>
      <c r="F1300" s="78"/>
      <c r="G1300" s="150"/>
      <c r="H1300" s="78"/>
      <c r="I1300" s="151"/>
      <c r="J1300" s="78"/>
      <c r="K1300" s="78"/>
      <c r="L1300" s="78"/>
      <c r="M1300" s="153"/>
      <c r="N1300" s="78"/>
      <c r="O1300" s="78"/>
      <c r="P1300" s="153"/>
      <c r="Q1300" s="78"/>
      <c r="R1300" s="78"/>
      <c r="S1300" s="153"/>
      <c r="T1300" s="78"/>
      <c r="U1300" s="78"/>
      <c r="V1300" s="152"/>
      <c r="W1300" s="78"/>
      <c r="X1300" s="78"/>
    </row>
    <row r="1301" spans="1:24" ht="42" customHeight="1">
      <c r="A1301" s="78"/>
      <c r="B1301" s="149"/>
      <c r="C1301" s="149"/>
      <c r="D1301" s="78"/>
      <c r="E1301" s="78"/>
      <c r="F1301" s="78"/>
      <c r="G1301" s="150"/>
      <c r="H1301" s="78"/>
      <c r="I1301" s="151"/>
      <c r="J1301" s="78"/>
      <c r="K1301" s="78"/>
      <c r="L1301" s="78"/>
      <c r="M1301" s="153"/>
      <c r="N1301" s="78"/>
      <c r="O1301" s="78"/>
      <c r="P1301" s="153"/>
      <c r="Q1301" s="78"/>
      <c r="R1301" s="78"/>
      <c r="S1301" s="153"/>
      <c r="T1301" s="78"/>
      <c r="U1301" s="78"/>
      <c r="V1301" s="152"/>
      <c r="W1301" s="78"/>
      <c r="X1301" s="78"/>
    </row>
    <row r="1302" spans="1:24" ht="42" customHeight="1">
      <c r="A1302" s="78"/>
      <c r="B1302" s="149"/>
      <c r="C1302" s="149"/>
      <c r="D1302" s="78"/>
      <c r="E1302" s="78"/>
      <c r="F1302" s="78"/>
      <c r="G1302" s="150"/>
      <c r="H1302" s="78"/>
      <c r="I1302" s="151"/>
      <c r="J1302" s="78"/>
      <c r="K1302" s="78"/>
      <c r="L1302" s="78"/>
      <c r="M1302" s="153"/>
      <c r="N1302" s="78"/>
      <c r="O1302" s="78"/>
      <c r="P1302" s="153"/>
      <c r="Q1302" s="78"/>
      <c r="R1302" s="78"/>
      <c r="S1302" s="153"/>
      <c r="T1302" s="78"/>
      <c r="U1302" s="78"/>
      <c r="V1302" s="152"/>
      <c r="W1302" s="78"/>
      <c r="X1302" s="78"/>
    </row>
    <row r="1303" spans="1:24" ht="42" customHeight="1">
      <c r="A1303" s="78"/>
      <c r="B1303" s="149"/>
      <c r="C1303" s="149"/>
      <c r="D1303" s="78"/>
      <c r="E1303" s="78"/>
      <c r="F1303" s="78"/>
      <c r="G1303" s="150"/>
      <c r="H1303" s="78"/>
      <c r="I1303" s="151"/>
      <c r="J1303" s="78"/>
      <c r="K1303" s="78"/>
      <c r="L1303" s="78"/>
      <c r="M1303" s="153"/>
      <c r="N1303" s="78"/>
      <c r="O1303" s="78"/>
      <c r="P1303" s="153"/>
      <c r="Q1303" s="78"/>
      <c r="R1303" s="78"/>
      <c r="S1303" s="153"/>
      <c r="T1303" s="78"/>
      <c r="U1303" s="78"/>
      <c r="V1303" s="152"/>
      <c r="W1303" s="78"/>
      <c r="X1303" s="78"/>
    </row>
    <row r="1304" spans="1:24" ht="42" customHeight="1">
      <c r="A1304" s="78"/>
      <c r="B1304" s="149"/>
      <c r="C1304" s="149"/>
      <c r="D1304" s="78"/>
      <c r="E1304" s="78"/>
      <c r="F1304" s="78"/>
      <c r="G1304" s="150"/>
      <c r="H1304" s="78"/>
      <c r="I1304" s="151"/>
      <c r="J1304" s="78"/>
      <c r="K1304" s="78"/>
      <c r="L1304" s="78"/>
      <c r="M1304" s="153"/>
      <c r="N1304" s="78"/>
      <c r="O1304" s="78"/>
      <c r="P1304" s="153"/>
      <c r="Q1304" s="78"/>
      <c r="R1304" s="78"/>
      <c r="S1304" s="153"/>
      <c r="T1304" s="78"/>
      <c r="U1304" s="78"/>
      <c r="V1304" s="152"/>
      <c r="W1304" s="78"/>
      <c r="X1304" s="78"/>
    </row>
    <row r="1305" spans="1:24" ht="42" customHeight="1">
      <c r="A1305" s="78"/>
      <c r="B1305" s="149"/>
      <c r="C1305" s="149"/>
      <c r="D1305" s="78"/>
      <c r="E1305" s="78"/>
      <c r="F1305" s="78"/>
      <c r="G1305" s="150"/>
      <c r="H1305" s="78"/>
      <c r="I1305" s="151"/>
      <c r="J1305" s="78"/>
      <c r="K1305" s="78"/>
      <c r="L1305" s="78"/>
      <c r="M1305" s="153"/>
      <c r="N1305" s="78"/>
      <c r="O1305" s="78"/>
      <c r="P1305" s="153"/>
      <c r="Q1305" s="78"/>
      <c r="R1305" s="78"/>
      <c r="S1305" s="153"/>
      <c r="T1305" s="78"/>
      <c r="U1305" s="78"/>
      <c r="V1305" s="152"/>
      <c r="W1305" s="78"/>
      <c r="X1305" s="78"/>
    </row>
    <row r="1306" spans="1:24" ht="42" customHeight="1">
      <c r="A1306" s="78"/>
      <c r="B1306" s="149"/>
      <c r="C1306" s="149"/>
      <c r="D1306" s="78"/>
      <c r="E1306" s="78"/>
      <c r="F1306" s="78"/>
      <c r="G1306" s="150"/>
      <c r="H1306" s="78"/>
      <c r="I1306" s="151"/>
      <c r="J1306" s="78"/>
      <c r="K1306" s="78"/>
      <c r="L1306" s="78"/>
      <c r="M1306" s="153"/>
      <c r="N1306" s="78"/>
      <c r="O1306" s="78"/>
      <c r="P1306" s="153"/>
      <c r="Q1306" s="78"/>
      <c r="R1306" s="78"/>
      <c r="S1306" s="153"/>
      <c r="T1306" s="78"/>
      <c r="U1306" s="78"/>
      <c r="V1306" s="152"/>
      <c r="W1306" s="78"/>
      <c r="X1306" s="78"/>
    </row>
    <row r="1307" spans="1:24" ht="42" customHeight="1">
      <c r="A1307" s="78"/>
      <c r="B1307" s="149"/>
      <c r="C1307" s="149"/>
      <c r="D1307" s="78"/>
      <c r="E1307" s="78"/>
      <c r="F1307" s="78"/>
      <c r="G1307" s="150"/>
      <c r="H1307" s="78"/>
      <c r="I1307" s="151"/>
      <c r="J1307" s="78"/>
      <c r="K1307" s="78"/>
      <c r="L1307" s="78"/>
      <c r="M1307" s="153"/>
      <c r="N1307" s="78"/>
      <c r="O1307" s="78"/>
      <c r="P1307" s="153"/>
      <c r="Q1307" s="78"/>
      <c r="R1307" s="78"/>
      <c r="S1307" s="153"/>
      <c r="T1307" s="78"/>
      <c r="U1307" s="78"/>
      <c r="V1307" s="152"/>
      <c r="W1307" s="78"/>
      <c r="X1307" s="78"/>
    </row>
    <row r="1308" spans="1:24" ht="42" customHeight="1">
      <c r="A1308" s="78"/>
      <c r="B1308" s="149"/>
      <c r="C1308" s="149"/>
      <c r="D1308" s="78"/>
      <c r="E1308" s="78"/>
      <c r="F1308" s="78"/>
      <c r="G1308" s="150"/>
      <c r="H1308" s="78"/>
      <c r="I1308" s="151"/>
      <c r="J1308" s="78"/>
      <c r="K1308" s="78"/>
      <c r="L1308" s="78"/>
      <c r="M1308" s="153"/>
      <c r="N1308" s="78"/>
      <c r="O1308" s="78"/>
      <c r="P1308" s="153"/>
      <c r="Q1308" s="78"/>
      <c r="R1308" s="78"/>
      <c r="S1308" s="153"/>
      <c r="T1308" s="78"/>
      <c r="U1308" s="78"/>
      <c r="V1308" s="152"/>
      <c r="W1308" s="78"/>
      <c r="X1308" s="78"/>
    </row>
    <row r="1309" spans="1:24" ht="42" customHeight="1">
      <c r="A1309" s="78"/>
      <c r="B1309" s="149"/>
      <c r="C1309" s="149"/>
      <c r="D1309" s="78"/>
      <c r="E1309" s="78"/>
      <c r="F1309" s="78"/>
      <c r="G1309" s="150"/>
      <c r="H1309" s="78"/>
      <c r="I1309" s="151"/>
      <c r="J1309" s="78"/>
      <c r="K1309" s="78"/>
      <c r="L1309" s="78"/>
      <c r="M1309" s="153"/>
      <c r="N1309" s="78"/>
      <c r="O1309" s="78"/>
      <c r="P1309" s="153"/>
      <c r="Q1309" s="78"/>
      <c r="R1309" s="78"/>
      <c r="S1309" s="153"/>
      <c r="T1309" s="78"/>
      <c r="U1309" s="78"/>
      <c r="V1309" s="152"/>
      <c r="W1309" s="78"/>
      <c r="X1309" s="78"/>
    </row>
    <row r="1310" spans="1:24" ht="42" customHeight="1">
      <c r="A1310" s="78"/>
      <c r="B1310" s="149"/>
      <c r="C1310" s="149"/>
      <c r="D1310" s="78"/>
      <c r="E1310" s="78"/>
      <c r="F1310" s="78"/>
      <c r="G1310" s="150"/>
      <c r="H1310" s="78"/>
      <c r="I1310" s="151"/>
      <c r="J1310" s="78"/>
      <c r="K1310" s="78"/>
      <c r="L1310" s="78"/>
      <c r="M1310" s="153"/>
      <c r="N1310" s="78"/>
      <c r="O1310" s="78"/>
      <c r="P1310" s="153"/>
      <c r="Q1310" s="78"/>
      <c r="R1310" s="78"/>
      <c r="S1310" s="153"/>
      <c r="T1310" s="78"/>
      <c r="U1310" s="78"/>
      <c r="V1310" s="152"/>
      <c r="W1310" s="78"/>
      <c r="X1310" s="78"/>
    </row>
    <row r="1311" spans="1:24" ht="42" customHeight="1">
      <c r="A1311" s="78"/>
      <c r="B1311" s="149"/>
      <c r="C1311" s="149"/>
      <c r="D1311" s="78"/>
      <c r="E1311" s="78"/>
      <c r="F1311" s="78"/>
      <c r="G1311" s="150"/>
      <c r="H1311" s="78"/>
      <c r="I1311" s="151"/>
      <c r="J1311" s="78"/>
      <c r="K1311" s="78"/>
      <c r="L1311" s="78"/>
      <c r="M1311" s="153"/>
      <c r="N1311" s="78"/>
      <c r="O1311" s="78"/>
      <c r="P1311" s="153"/>
      <c r="Q1311" s="78"/>
      <c r="R1311" s="78"/>
      <c r="S1311" s="153"/>
      <c r="T1311" s="78"/>
      <c r="U1311" s="78"/>
      <c r="V1311" s="152"/>
      <c r="W1311" s="78"/>
      <c r="X1311" s="78"/>
    </row>
    <row r="1312" spans="1:24" ht="42" customHeight="1">
      <c r="A1312" s="78"/>
      <c r="B1312" s="149"/>
      <c r="C1312" s="149"/>
      <c r="D1312" s="78"/>
      <c r="E1312" s="78"/>
      <c r="F1312" s="78"/>
      <c r="G1312" s="150"/>
      <c r="H1312" s="78"/>
      <c r="I1312" s="151"/>
      <c r="J1312" s="78"/>
      <c r="K1312" s="78"/>
      <c r="L1312" s="78"/>
      <c r="M1312" s="153"/>
      <c r="N1312" s="78"/>
      <c r="O1312" s="78"/>
      <c r="P1312" s="153"/>
      <c r="Q1312" s="78"/>
      <c r="R1312" s="78"/>
      <c r="S1312" s="153"/>
      <c r="T1312" s="78"/>
      <c r="U1312" s="78"/>
      <c r="V1312" s="152"/>
      <c r="W1312" s="78"/>
      <c r="X1312" s="78"/>
    </row>
    <row r="1313" spans="1:24" ht="42" customHeight="1">
      <c r="A1313" s="78"/>
      <c r="B1313" s="149"/>
      <c r="C1313" s="149"/>
      <c r="D1313" s="78"/>
      <c r="E1313" s="78"/>
      <c r="F1313" s="78"/>
      <c r="G1313" s="150"/>
      <c r="H1313" s="78"/>
      <c r="I1313" s="151"/>
      <c r="J1313" s="78"/>
      <c r="K1313" s="78"/>
      <c r="L1313" s="78"/>
      <c r="M1313" s="153"/>
      <c r="N1313" s="78"/>
      <c r="O1313" s="78"/>
      <c r="P1313" s="153"/>
      <c r="Q1313" s="78"/>
      <c r="R1313" s="78"/>
      <c r="S1313" s="153"/>
      <c r="T1313" s="78"/>
      <c r="U1313" s="78"/>
      <c r="V1313" s="152"/>
      <c r="W1313" s="78"/>
      <c r="X1313" s="78"/>
    </row>
    <row r="1314" spans="1:24" ht="42" customHeight="1">
      <c r="A1314" s="78"/>
      <c r="B1314" s="149"/>
      <c r="C1314" s="149"/>
      <c r="D1314" s="78"/>
      <c r="E1314" s="78"/>
      <c r="F1314" s="78"/>
      <c r="G1314" s="150"/>
      <c r="H1314" s="78"/>
      <c r="I1314" s="151"/>
      <c r="J1314" s="78"/>
      <c r="K1314" s="78"/>
      <c r="L1314" s="78"/>
      <c r="M1314" s="153"/>
      <c r="N1314" s="78"/>
      <c r="O1314" s="78"/>
      <c r="P1314" s="153"/>
      <c r="Q1314" s="78"/>
      <c r="R1314" s="78"/>
      <c r="S1314" s="153"/>
      <c r="T1314" s="78"/>
      <c r="U1314" s="78"/>
      <c r="V1314" s="152"/>
      <c r="W1314" s="78"/>
      <c r="X1314" s="78"/>
    </row>
    <row r="1315" spans="1:24" ht="42" customHeight="1">
      <c r="A1315" s="78"/>
      <c r="B1315" s="149"/>
      <c r="C1315" s="149"/>
      <c r="D1315" s="78"/>
      <c r="E1315" s="78"/>
      <c r="F1315" s="78"/>
      <c r="G1315" s="150"/>
      <c r="H1315" s="78"/>
      <c r="I1315" s="151"/>
      <c r="J1315" s="78"/>
      <c r="K1315" s="78"/>
      <c r="L1315" s="78"/>
      <c r="M1315" s="153"/>
      <c r="N1315" s="78"/>
      <c r="O1315" s="78"/>
      <c r="P1315" s="153"/>
      <c r="Q1315" s="78"/>
      <c r="R1315" s="78"/>
      <c r="S1315" s="153"/>
      <c r="T1315" s="78"/>
      <c r="U1315" s="78"/>
      <c r="V1315" s="152"/>
      <c r="W1315" s="78"/>
      <c r="X1315" s="78"/>
    </row>
    <row r="1316" spans="1:24" ht="42" customHeight="1">
      <c r="A1316" s="78"/>
      <c r="B1316" s="149"/>
      <c r="C1316" s="149"/>
      <c r="D1316" s="78"/>
      <c r="E1316" s="78"/>
      <c r="F1316" s="78"/>
      <c r="G1316" s="150"/>
      <c r="H1316" s="78"/>
      <c r="I1316" s="151"/>
      <c r="J1316" s="78"/>
      <c r="K1316" s="78"/>
      <c r="L1316" s="78"/>
      <c r="M1316" s="153"/>
      <c r="N1316" s="78"/>
      <c r="O1316" s="78"/>
      <c r="P1316" s="153"/>
      <c r="Q1316" s="78"/>
      <c r="R1316" s="78"/>
      <c r="S1316" s="153"/>
      <c r="T1316" s="78"/>
      <c r="U1316" s="78"/>
      <c r="V1316" s="152"/>
      <c r="W1316" s="78"/>
      <c r="X1316" s="78"/>
    </row>
    <row r="1317" spans="1:24" ht="42" customHeight="1">
      <c r="A1317" s="78"/>
      <c r="B1317" s="149"/>
      <c r="C1317" s="149"/>
      <c r="D1317" s="78"/>
      <c r="E1317" s="78"/>
      <c r="F1317" s="78"/>
      <c r="G1317" s="150"/>
      <c r="H1317" s="78"/>
      <c r="I1317" s="151"/>
      <c r="J1317" s="78"/>
      <c r="K1317" s="78"/>
      <c r="L1317" s="78"/>
      <c r="M1317" s="153"/>
      <c r="N1317" s="78"/>
      <c r="O1317" s="78"/>
      <c r="P1317" s="153"/>
      <c r="Q1317" s="78"/>
      <c r="R1317" s="78"/>
      <c r="S1317" s="153"/>
      <c r="T1317" s="78"/>
      <c r="U1317" s="78"/>
      <c r="V1317" s="152"/>
      <c r="W1317" s="78"/>
      <c r="X1317" s="78"/>
    </row>
    <row r="1318" spans="1:24" ht="42" customHeight="1">
      <c r="A1318" s="78"/>
      <c r="B1318" s="149"/>
      <c r="C1318" s="149"/>
      <c r="D1318" s="78"/>
      <c r="E1318" s="78"/>
      <c r="F1318" s="78"/>
      <c r="G1318" s="150"/>
      <c r="H1318" s="78"/>
      <c r="I1318" s="151"/>
      <c r="J1318" s="78"/>
      <c r="K1318" s="78"/>
      <c r="L1318" s="78"/>
      <c r="M1318" s="153"/>
      <c r="N1318" s="78"/>
      <c r="O1318" s="78"/>
      <c r="P1318" s="153"/>
      <c r="Q1318" s="78"/>
      <c r="R1318" s="78"/>
      <c r="S1318" s="153"/>
      <c r="T1318" s="78"/>
      <c r="U1318" s="78"/>
      <c r="V1318" s="152"/>
      <c r="W1318" s="78"/>
      <c r="X1318" s="78"/>
    </row>
    <row r="1319" spans="1:24" ht="42" customHeight="1">
      <c r="A1319" s="78"/>
      <c r="B1319" s="149"/>
      <c r="C1319" s="149"/>
      <c r="D1319" s="78"/>
      <c r="E1319" s="78"/>
      <c r="F1319" s="78"/>
      <c r="G1319" s="150"/>
      <c r="H1319" s="78"/>
      <c r="I1319" s="151"/>
      <c r="J1319" s="78"/>
      <c r="K1319" s="78"/>
      <c r="L1319" s="78"/>
      <c r="M1319" s="153"/>
      <c r="N1319" s="78"/>
      <c r="O1319" s="78"/>
      <c r="P1319" s="153"/>
      <c r="Q1319" s="78"/>
      <c r="R1319" s="78"/>
      <c r="S1319" s="153"/>
      <c r="T1319" s="78"/>
      <c r="U1319" s="78"/>
      <c r="V1319" s="152"/>
      <c r="W1319" s="78"/>
      <c r="X1319" s="78"/>
    </row>
    <row r="1320" spans="1:24" ht="42" customHeight="1">
      <c r="A1320" s="78"/>
      <c r="B1320" s="149"/>
      <c r="C1320" s="149"/>
      <c r="D1320" s="78"/>
      <c r="E1320" s="78"/>
      <c r="F1320" s="78"/>
      <c r="G1320" s="150"/>
      <c r="H1320" s="78"/>
      <c r="I1320" s="151"/>
      <c r="J1320" s="78"/>
      <c r="K1320" s="78"/>
      <c r="L1320" s="78"/>
      <c r="M1320" s="153"/>
      <c r="N1320" s="78"/>
      <c r="O1320" s="78"/>
      <c r="P1320" s="153"/>
      <c r="Q1320" s="78"/>
      <c r="R1320" s="78"/>
      <c r="S1320" s="153"/>
      <c r="T1320" s="78"/>
      <c r="U1320" s="78"/>
      <c r="V1320" s="152"/>
      <c r="W1320" s="78"/>
      <c r="X1320" s="78"/>
    </row>
    <row r="1321" spans="1:24" ht="42" customHeight="1">
      <c r="A1321" s="78"/>
      <c r="B1321" s="149"/>
      <c r="C1321" s="149"/>
      <c r="D1321" s="78"/>
      <c r="E1321" s="78"/>
      <c r="F1321" s="78"/>
      <c r="G1321" s="150"/>
      <c r="H1321" s="78"/>
      <c r="I1321" s="151"/>
      <c r="J1321" s="78"/>
      <c r="K1321" s="78"/>
      <c r="L1321" s="78"/>
      <c r="M1321" s="153"/>
      <c r="N1321" s="78"/>
      <c r="O1321" s="78"/>
      <c r="P1321" s="153"/>
      <c r="Q1321" s="78"/>
      <c r="R1321" s="78"/>
      <c r="S1321" s="153"/>
      <c r="T1321" s="78"/>
      <c r="U1321" s="78"/>
      <c r="V1321" s="152"/>
      <c r="W1321" s="78"/>
      <c r="X1321" s="78"/>
    </row>
    <row r="1322" spans="1:24" ht="42" customHeight="1">
      <c r="A1322" s="78"/>
      <c r="B1322" s="149"/>
      <c r="C1322" s="149"/>
      <c r="D1322" s="78"/>
      <c r="E1322" s="78"/>
      <c r="F1322" s="78"/>
      <c r="G1322" s="150"/>
      <c r="H1322" s="78"/>
      <c r="I1322" s="151"/>
      <c r="J1322" s="78"/>
      <c r="K1322" s="78"/>
      <c r="L1322" s="78"/>
      <c r="M1322" s="153"/>
      <c r="N1322" s="78"/>
      <c r="O1322" s="78"/>
      <c r="P1322" s="153"/>
      <c r="Q1322" s="78"/>
      <c r="R1322" s="78"/>
      <c r="S1322" s="153"/>
      <c r="T1322" s="78"/>
      <c r="U1322" s="78"/>
      <c r="V1322" s="152"/>
      <c r="W1322" s="78"/>
      <c r="X1322" s="78"/>
    </row>
    <row r="1323" spans="1:24" ht="42" customHeight="1">
      <c r="A1323" s="78"/>
      <c r="B1323" s="149"/>
      <c r="C1323" s="149"/>
      <c r="D1323" s="78"/>
      <c r="E1323" s="78"/>
      <c r="F1323" s="78"/>
      <c r="G1323" s="150"/>
      <c r="H1323" s="78"/>
      <c r="I1323" s="151"/>
      <c r="J1323" s="78"/>
      <c r="K1323" s="78"/>
      <c r="L1323" s="78"/>
      <c r="M1323" s="153"/>
      <c r="N1323" s="78"/>
      <c r="O1323" s="78"/>
      <c r="P1323" s="153"/>
      <c r="Q1323" s="78"/>
      <c r="R1323" s="78"/>
      <c r="S1323" s="153"/>
      <c r="T1323" s="78"/>
      <c r="U1323" s="78"/>
      <c r="V1323" s="152"/>
      <c r="W1323" s="78"/>
      <c r="X1323" s="78"/>
    </row>
    <row r="1324" spans="1:24" ht="42" customHeight="1">
      <c r="A1324" s="78"/>
      <c r="B1324" s="149"/>
      <c r="C1324" s="149"/>
      <c r="D1324" s="78"/>
      <c r="E1324" s="78"/>
      <c r="F1324" s="78"/>
      <c r="G1324" s="150"/>
      <c r="H1324" s="78"/>
      <c r="I1324" s="151"/>
      <c r="J1324" s="78"/>
      <c r="K1324" s="78"/>
      <c r="L1324" s="78"/>
      <c r="M1324" s="153"/>
      <c r="N1324" s="78"/>
      <c r="O1324" s="78"/>
      <c r="P1324" s="153"/>
      <c r="Q1324" s="78"/>
      <c r="R1324" s="78"/>
      <c r="S1324" s="153"/>
      <c r="T1324" s="78"/>
      <c r="U1324" s="78"/>
      <c r="V1324" s="152"/>
      <c r="W1324" s="78"/>
      <c r="X1324" s="78"/>
    </row>
    <row r="1325" spans="1:24" ht="42" customHeight="1">
      <c r="A1325" s="78"/>
      <c r="B1325" s="149"/>
      <c r="C1325" s="149"/>
      <c r="D1325" s="78"/>
      <c r="E1325" s="78"/>
      <c r="F1325" s="78"/>
      <c r="G1325" s="150"/>
      <c r="H1325" s="78"/>
      <c r="I1325" s="151"/>
      <c r="J1325" s="78"/>
      <c r="K1325" s="78"/>
      <c r="L1325" s="78"/>
      <c r="M1325" s="153"/>
      <c r="N1325" s="78"/>
      <c r="O1325" s="78"/>
      <c r="P1325" s="153"/>
      <c r="Q1325" s="78"/>
      <c r="R1325" s="78"/>
      <c r="S1325" s="153"/>
      <c r="T1325" s="78"/>
      <c r="U1325" s="78"/>
      <c r="V1325" s="152"/>
      <c r="W1325" s="78"/>
      <c r="X1325" s="78"/>
    </row>
    <row r="1326" spans="1:24" ht="42" customHeight="1">
      <c r="A1326" s="78"/>
      <c r="B1326" s="149"/>
      <c r="C1326" s="149"/>
      <c r="D1326" s="78"/>
      <c r="E1326" s="78"/>
      <c r="F1326" s="78"/>
      <c r="G1326" s="150"/>
      <c r="H1326" s="78"/>
      <c r="I1326" s="151"/>
      <c r="J1326" s="78"/>
      <c r="K1326" s="78"/>
      <c r="L1326" s="78"/>
      <c r="M1326" s="153"/>
      <c r="N1326" s="78"/>
      <c r="O1326" s="78"/>
      <c r="P1326" s="153"/>
      <c r="Q1326" s="78"/>
      <c r="R1326" s="78"/>
      <c r="S1326" s="153"/>
      <c r="T1326" s="78"/>
      <c r="U1326" s="78"/>
      <c r="V1326" s="152"/>
      <c r="W1326" s="78"/>
      <c r="X1326" s="78"/>
    </row>
    <row r="1327" spans="1:24" ht="42" customHeight="1">
      <c r="A1327" s="78"/>
      <c r="B1327" s="149"/>
      <c r="C1327" s="149"/>
      <c r="D1327" s="78"/>
      <c r="E1327" s="78"/>
      <c r="F1327" s="78"/>
      <c r="G1327" s="150"/>
      <c r="H1327" s="78"/>
      <c r="I1327" s="151"/>
      <c r="J1327" s="78"/>
      <c r="K1327" s="78"/>
      <c r="L1327" s="78"/>
      <c r="M1327" s="153"/>
      <c r="N1327" s="78"/>
      <c r="O1327" s="78"/>
      <c r="P1327" s="153"/>
      <c r="Q1327" s="78"/>
      <c r="R1327" s="78"/>
      <c r="S1327" s="153"/>
      <c r="T1327" s="78"/>
      <c r="U1327" s="78"/>
      <c r="V1327" s="152"/>
      <c r="W1327" s="78"/>
      <c r="X1327" s="78"/>
    </row>
    <row r="1328" spans="1:24" ht="42" customHeight="1">
      <c r="A1328" s="78"/>
      <c r="B1328" s="149"/>
      <c r="C1328" s="149"/>
      <c r="D1328" s="78"/>
      <c r="E1328" s="78"/>
      <c r="F1328" s="78"/>
      <c r="G1328" s="150"/>
      <c r="H1328" s="78"/>
      <c r="I1328" s="151"/>
      <c r="J1328" s="78"/>
      <c r="K1328" s="78"/>
      <c r="L1328" s="78"/>
      <c r="M1328" s="153"/>
      <c r="N1328" s="78"/>
      <c r="O1328" s="78"/>
      <c r="P1328" s="153"/>
      <c r="Q1328" s="78"/>
      <c r="R1328" s="78"/>
      <c r="S1328" s="153"/>
      <c r="T1328" s="78"/>
      <c r="U1328" s="78"/>
      <c r="V1328" s="152"/>
      <c r="W1328" s="78"/>
      <c r="X1328" s="78"/>
    </row>
    <row r="1329" spans="1:24" ht="42" customHeight="1">
      <c r="A1329" s="78"/>
      <c r="B1329" s="149"/>
      <c r="C1329" s="149"/>
      <c r="D1329" s="78"/>
      <c r="E1329" s="78"/>
      <c r="F1329" s="78"/>
      <c r="G1329" s="150"/>
      <c r="H1329" s="78"/>
      <c r="I1329" s="151"/>
      <c r="J1329" s="78"/>
      <c r="K1329" s="78"/>
      <c r="L1329" s="78"/>
      <c r="M1329" s="153"/>
      <c r="N1329" s="78"/>
      <c r="O1329" s="78"/>
      <c r="P1329" s="153"/>
      <c r="Q1329" s="78"/>
      <c r="R1329" s="78"/>
      <c r="S1329" s="153"/>
      <c r="T1329" s="78"/>
      <c r="U1329" s="78"/>
      <c r="V1329" s="152"/>
      <c r="W1329" s="78"/>
      <c r="X1329" s="78"/>
    </row>
    <row r="1330" spans="1:24" ht="42" customHeight="1">
      <c r="A1330" s="78"/>
      <c r="B1330" s="149"/>
      <c r="C1330" s="149"/>
      <c r="D1330" s="78"/>
      <c r="E1330" s="78"/>
      <c r="F1330" s="78"/>
      <c r="G1330" s="150"/>
      <c r="H1330" s="78"/>
      <c r="I1330" s="151"/>
      <c r="J1330" s="78"/>
      <c r="K1330" s="78"/>
      <c r="L1330" s="78"/>
      <c r="M1330" s="153"/>
      <c r="N1330" s="78"/>
      <c r="O1330" s="78"/>
      <c r="P1330" s="153"/>
      <c r="Q1330" s="78"/>
      <c r="R1330" s="78"/>
      <c r="S1330" s="153"/>
      <c r="T1330" s="78"/>
      <c r="U1330" s="78"/>
      <c r="V1330" s="152"/>
      <c r="W1330" s="78"/>
      <c r="X1330" s="78"/>
    </row>
    <row r="1331" spans="1:24" ht="42" customHeight="1">
      <c r="A1331" s="78"/>
      <c r="B1331" s="149"/>
      <c r="C1331" s="149"/>
      <c r="D1331" s="78"/>
      <c r="E1331" s="78"/>
      <c r="F1331" s="78"/>
      <c r="G1331" s="150"/>
      <c r="H1331" s="78"/>
      <c r="I1331" s="151"/>
      <c r="J1331" s="78"/>
      <c r="K1331" s="78"/>
      <c r="L1331" s="78"/>
      <c r="M1331" s="153"/>
      <c r="N1331" s="78"/>
      <c r="O1331" s="78"/>
      <c r="P1331" s="153"/>
      <c r="Q1331" s="78"/>
      <c r="R1331" s="78"/>
      <c r="S1331" s="153"/>
      <c r="T1331" s="78"/>
      <c r="U1331" s="78"/>
      <c r="V1331" s="152"/>
      <c r="W1331" s="78"/>
      <c r="X1331" s="78"/>
    </row>
    <row r="1332" spans="1:24" ht="42" customHeight="1">
      <c r="A1332" s="78"/>
      <c r="B1332" s="149"/>
      <c r="C1332" s="149"/>
      <c r="D1332" s="78"/>
      <c r="E1332" s="78"/>
      <c r="F1332" s="78"/>
      <c r="G1332" s="150"/>
      <c r="H1332" s="78"/>
      <c r="I1332" s="151"/>
      <c r="J1332" s="78"/>
      <c r="K1332" s="78"/>
      <c r="L1332" s="78"/>
      <c r="M1332" s="153"/>
      <c r="N1332" s="78"/>
      <c r="O1332" s="78"/>
      <c r="P1332" s="153"/>
      <c r="Q1332" s="78"/>
      <c r="R1332" s="78"/>
      <c r="S1332" s="153"/>
      <c r="T1332" s="78"/>
      <c r="U1332" s="78"/>
      <c r="V1332" s="152"/>
      <c r="W1332" s="78"/>
      <c r="X1332" s="78"/>
    </row>
    <row r="1333" spans="1:24" ht="42" customHeight="1">
      <c r="A1333" s="78"/>
      <c r="B1333" s="149"/>
      <c r="C1333" s="149"/>
      <c r="D1333" s="78"/>
      <c r="E1333" s="78"/>
      <c r="F1333" s="78"/>
      <c r="G1333" s="150"/>
      <c r="H1333" s="78"/>
      <c r="I1333" s="151"/>
      <c r="J1333" s="78"/>
      <c r="K1333" s="78"/>
      <c r="L1333" s="78"/>
      <c r="M1333" s="153"/>
      <c r="N1333" s="78"/>
      <c r="O1333" s="78"/>
      <c r="P1333" s="153"/>
      <c r="Q1333" s="78"/>
      <c r="R1333" s="78"/>
      <c r="S1333" s="153"/>
      <c r="T1333" s="78"/>
      <c r="U1333" s="78"/>
      <c r="V1333" s="152"/>
      <c r="W1333" s="78"/>
      <c r="X1333" s="78"/>
    </row>
    <row r="1334" spans="1:24" ht="42" customHeight="1">
      <c r="A1334" s="78"/>
      <c r="B1334" s="149"/>
      <c r="C1334" s="149"/>
      <c r="D1334" s="78"/>
      <c r="E1334" s="78"/>
      <c r="F1334" s="78"/>
      <c r="G1334" s="150"/>
      <c r="H1334" s="78"/>
      <c r="I1334" s="151"/>
      <c r="J1334" s="78"/>
      <c r="K1334" s="78"/>
      <c r="L1334" s="78"/>
      <c r="M1334" s="153"/>
      <c r="N1334" s="78"/>
      <c r="O1334" s="78"/>
      <c r="P1334" s="153"/>
      <c r="Q1334" s="78"/>
      <c r="R1334" s="78"/>
      <c r="S1334" s="153"/>
      <c r="T1334" s="78"/>
      <c r="U1334" s="78"/>
      <c r="V1334" s="152"/>
      <c r="W1334" s="78"/>
      <c r="X1334" s="78"/>
    </row>
    <row r="1335" spans="1:24" ht="42" customHeight="1">
      <c r="A1335" s="78"/>
      <c r="B1335" s="149"/>
      <c r="C1335" s="149"/>
      <c r="D1335" s="78"/>
      <c r="E1335" s="78"/>
      <c r="F1335" s="78"/>
      <c r="G1335" s="150"/>
      <c r="H1335" s="78"/>
      <c r="I1335" s="151"/>
      <c r="J1335" s="78"/>
      <c r="K1335" s="78"/>
      <c r="L1335" s="78"/>
      <c r="M1335" s="153"/>
      <c r="N1335" s="78"/>
      <c r="O1335" s="78"/>
      <c r="P1335" s="153"/>
      <c r="Q1335" s="78"/>
      <c r="R1335" s="78"/>
      <c r="S1335" s="153"/>
      <c r="T1335" s="78"/>
      <c r="U1335" s="78"/>
      <c r="V1335" s="152"/>
      <c r="W1335" s="78"/>
      <c r="X1335" s="78"/>
    </row>
    <row r="1336" spans="1:24" ht="42" customHeight="1">
      <c r="A1336" s="78"/>
      <c r="B1336" s="149"/>
      <c r="C1336" s="149"/>
      <c r="D1336" s="78"/>
      <c r="E1336" s="78"/>
      <c r="F1336" s="78"/>
      <c r="G1336" s="150"/>
      <c r="H1336" s="78"/>
      <c r="I1336" s="151"/>
      <c r="J1336" s="78"/>
      <c r="K1336" s="78"/>
      <c r="L1336" s="78"/>
      <c r="M1336" s="153"/>
      <c r="N1336" s="78"/>
      <c r="O1336" s="78"/>
      <c r="P1336" s="153"/>
      <c r="Q1336" s="78"/>
      <c r="R1336" s="78"/>
      <c r="S1336" s="153"/>
      <c r="T1336" s="78"/>
      <c r="U1336" s="78"/>
      <c r="V1336" s="152"/>
      <c r="W1336" s="78"/>
      <c r="X1336" s="78"/>
    </row>
    <row r="1337" spans="1:24" ht="42" customHeight="1">
      <c r="A1337" s="78"/>
      <c r="B1337" s="149"/>
      <c r="C1337" s="149"/>
      <c r="D1337" s="78"/>
      <c r="E1337" s="78"/>
      <c r="F1337" s="78"/>
      <c r="G1337" s="150"/>
      <c r="H1337" s="78"/>
      <c r="I1337" s="151"/>
      <c r="J1337" s="78"/>
      <c r="K1337" s="78"/>
      <c r="L1337" s="78"/>
      <c r="M1337" s="153"/>
      <c r="N1337" s="78"/>
      <c r="O1337" s="78"/>
      <c r="P1337" s="153"/>
      <c r="Q1337" s="78"/>
      <c r="R1337" s="78"/>
      <c r="S1337" s="153"/>
      <c r="T1337" s="78"/>
      <c r="U1337" s="78"/>
      <c r="V1337" s="152"/>
      <c r="W1337" s="78"/>
      <c r="X1337" s="78"/>
    </row>
    <row r="1338" spans="1:24" ht="42" customHeight="1">
      <c r="A1338" s="78"/>
      <c r="B1338" s="149"/>
      <c r="C1338" s="149"/>
      <c r="D1338" s="78"/>
      <c r="E1338" s="78"/>
      <c r="F1338" s="78"/>
      <c r="G1338" s="150"/>
      <c r="H1338" s="78"/>
      <c r="I1338" s="151"/>
      <c r="J1338" s="78"/>
      <c r="K1338" s="78"/>
      <c r="L1338" s="78"/>
      <c r="M1338" s="153"/>
      <c r="N1338" s="78"/>
      <c r="O1338" s="78"/>
      <c r="P1338" s="153"/>
      <c r="Q1338" s="78"/>
      <c r="R1338" s="78"/>
      <c r="S1338" s="153"/>
      <c r="T1338" s="78"/>
      <c r="U1338" s="78"/>
      <c r="V1338" s="152"/>
      <c r="W1338" s="78"/>
      <c r="X1338" s="78"/>
    </row>
    <row r="1339" spans="1:24" ht="42" customHeight="1">
      <c r="A1339" s="78"/>
      <c r="B1339" s="149"/>
      <c r="C1339" s="149"/>
      <c r="D1339" s="78"/>
      <c r="E1339" s="78"/>
      <c r="F1339" s="78"/>
      <c r="G1339" s="150"/>
      <c r="H1339" s="78"/>
      <c r="I1339" s="151"/>
      <c r="J1339" s="78"/>
      <c r="K1339" s="78"/>
      <c r="L1339" s="78"/>
      <c r="M1339" s="153"/>
      <c r="N1339" s="78"/>
      <c r="O1339" s="78"/>
      <c r="P1339" s="153"/>
      <c r="Q1339" s="78"/>
      <c r="R1339" s="78"/>
      <c r="S1339" s="153"/>
      <c r="T1339" s="78"/>
      <c r="U1339" s="78"/>
      <c r="V1339" s="152"/>
      <c r="W1339" s="78"/>
      <c r="X1339" s="78"/>
    </row>
    <row r="1340" spans="1:24" ht="42" customHeight="1">
      <c r="A1340" s="78"/>
      <c r="B1340" s="149"/>
      <c r="C1340" s="149"/>
      <c r="D1340" s="78"/>
      <c r="E1340" s="78"/>
      <c r="F1340" s="78"/>
      <c r="G1340" s="150"/>
      <c r="H1340" s="78"/>
      <c r="I1340" s="151"/>
      <c r="J1340" s="78"/>
      <c r="K1340" s="78"/>
      <c r="L1340" s="78"/>
      <c r="M1340" s="153"/>
      <c r="N1340" s="78"/>
      <c r="O1340" s="78"/>
      <c r="P1340" s="153"/>
      <c r="Q1340" s="78"/>
      <c r="R1340" s="78"/>
      <c r="S1340" s="153"/>
      <c r="T1340" s="78"/>
      <c r="U1340" s="78"/>
      <c r="V1340" s="152"/>
      <c r="W1340" s="78"/>
      <c r="X1340" s="78"/>
    </row>
    <row r="1341" spans="1:24" ht="42" customHeight="1">
      <c r="A1341" s="78"/>
      <c r="B1341" s="149"/>
      <c r="C1341" s="149"/>
      <c r="D1341" s="78"/>
      <c r="E1341" s="78"/>
      <c r="F1341" s="78"/>
      <c r="G1341" s="150"/>
      <c r="H1341" s="78"/>
      <c r="I1341" s="151"/>
      <c r="J1341" s="78"/>
      <c r="K1341" s="78"/>
      <c r="L1341" s="78"/>
      <c r="M1341" s="153"/>
      <c r="N1341" s="78"/>
      <c r="O1341" s="78"/>
      <c r="P1341" s="153"/>
      <c r="Q1341" s="78"/>
      <c r="R1341" s="78"/>
      <c r="S1341" s="153"/>
      <c r="T1341" s="78"/>
      <c r="U1341" s="78"/>
      <c r="V1341" s="152"/>
      <c r="W1341" s="78"/>
      <c r="X1341" s="78"/>
    </row>
    <row r="1342" spans="1:24" ht="42" customHeight="1">
      <c r="A1342" s="78"/>
      <c r="B1342" s="149"/>
      <c r="C1342" s="149"/>
      <c r="D1342" s="78"/>
      <c r="E1342" s="78"/>
      <c r="F1342" s="78"/>
      <c r="G1342" s="150"/>
      <c r="H1342" s="78"/>
      <c r="I1342" s="151"/>
      <c r="J1342" s="78"/>
      <c r="K1342" s="78"/>
      <c r="L1342" s="78"/>
      <c r="M1342" s="153"/>
      <c r="N1342" s="78"/>
      <c r="O1342" s="78"/>
      <c r="P1342" s="153"/>
      <c r="Q1342" s="78"/>
      <c r="R1342" s="78"/>
      <c r="S1342" s="153"/>
      <c r="T1342" s="78"/>
      <c r="U1342" s="78"/>
      <c r="V1342" s="152"/>
      <c r="W1342" s="78"/>
      <c r="X1342" s="78"/>
    </row>
    <row r="1343" spans="1:24" ht="42" customHeight="1">
      <c r="A1343" s="78"/>
      <c r="B1343" s="149"/>
      <c r="C1343" s="149"/>
      <c r="D1343" s="78"/>
      <c r="E1343" s="78"/>
      <c r="F1343" s="78"/>
      <c r="G1343" s="150"/>
      <c r="H1343" s="78"/>
      <c r="I1343" s="151"/>
      <c r="J1343" s="78"/>
      <c r="K1343" s="78"/>
      <c r="L1343" s="78"/>
      <c r="M1343" s="153"/>
      <c r="N1343" s="78"/>
      <c r="O1343" s="78"/>
      <c r="P1343" s="153"/>
      <c r="Q1343" s="78"/>
      <c r="R1343" s="78"/>
      <c r="S1343" s="153"/>
      <c r="T1343" s="78"/>
      <c r="U1343" s="78"/>
      <c r="V1343" s="152"/>
      <c r="W1343" s="78"/>
      <c r="X1343" s="78"/>
    </row>
    <row r="1344" spans="1:24" ht="42" customHeight="1">
      <c r="A1344" s="78"/>
      <c r="B1344" s="149"/>
      <c r="C1344" s="149"/>
      <c r="D1344" s="78"/>
      <c r="E1344" s="78"/>
      <c r="F1344" s="78"/>
      <c r="G1344" s="150"/>
      <c r="H1344" s="78"/>
      <c r="I1344" s="151"/>
      <c r="J1344" s="78"/>
      <c r="K1344" s="78"/>
      <c r="L1344" s="78"/>
      <c r="M1344" s="153"/>
      <c r="N1344" s="78"/>
      <c r="O1344" s="78"/>
      <c r="P1344" s="153"/>
      <c r="Q1344" s="78"/>
      <c r="R1344" s="78"/>
      <c r="S1344" s="153"/>
      <c r="T1344" s="78"/>
      <c r="U1344" s="78"/>
      <c r="V1344" s="152"/>
      <c r="W1344" s="78"/>
      <c r="X1344" s="78"/>
    </row>
    <row r="1345" spans="1:24" ht="42" customHeight="1">
      <c r="A1345" s="78"/>
      <c r="B1345" s="149"/>
      <c r="C1345" s="149"/>
      <c r="D1345" s="78"/>
      <c r="E1345" s="78"/>
      <c r="F1345" s="78"/>
      <c r="G1345" s="150"/>
      <c r="H1345" s="78"/>
      <c r="I1345" s="151"/>
      <c r="J1345" s="78"/>
      <c r="K1345" s="78"/>
      <c r="L1345" s="78"/>
      <c r="M1345" s="153"/>
      <c r="N1345" s="78"/>
      <c r="O1345" s="78"/>
      <c r="P1345" s="153"/>
      <c r="Q1345" s="78"/>
      <c r="R1345" s="78"/>
      <c r="S1345" s="153"/>
      <c r="T1345" s="78"/>
      <c r="U1345" s="78"/>
      <c r="V1345" s="152"/>
      <c r="W1345" s="78"/>
      <c r="X1345" s="78"/>
    </row>
    <row r="1346" spans="1:24" ht="42" customHeight="1">
      <c r="A1346" s="78"/>
      <c r="B1346" s="149"/>
      <c r="C1346" s="149"/>
      <c r="D1346" s="78"/>
      <c r="E1346" s="78"/>
      <c r="F1346" s="78"/>
      <c r="G1346" s="150"/>
      <c r="H1346" s="78"/>
      <c r="I1346" s="151"/>
      <c r="J1346" s="78"/>
      <c r="K1346" s="78"/>
      <c r="L1346" s="78"/>
      <c r="M1346" s="153"/>
      <c r="N1346" s="78"/>
      <c r="O1346" s="78"/>
      <c r="P1346" s="153"/>
      <c r="Q1346" s="78"/>
      <c r="R1346" s="78"/>
      <c r="S1346" s="153"/>
      <c r="T1346" s="78"/>
      <c r="U1346" s="78"/>
      <c r="V1346" s="152"/>
      <c r="W1346" s="78"/>
      <c r="X1346" s="78"/>
    </row>
    <row r="1347" spans="1:24" ht="42" customHeight="1">
      <c r="A1347" s="78"/>
      <c r="B1347" s="149"/>
      <c r="C1347" s="149"/>
      <c r="D1347" s="78"/>
      <c r="E1347" s="78"/>
      <c r="F1347" s="78"/>
      <c r="G1347" s="150"/>
      <c r="H1347" s="78"/>
      <c r="I1347" s="151"/>
      <c r="J1347" s="78"/>
      <c r="K1347" s="78"/>
      <c r="L1347" s="78"/>
      <c r="M1347" s="153"/>
      <c r="N1347" s="78"/>
      <c r="O1347" s="78"/>
      <c r="P1347" s="153"/>
      <c r="Q1347" s="78"/>
      <c r="R1347" s="78"/>
      <c r="S1347" s="153"/>
      <c r="T1347" s="78"/>
      <c r="U1347" s="78"/>
      <c r="V1347" s="152"/>
      <c r="W1347" s="78"/>
      <c r="X1347" s="78"/>
    </row>
    <row r="1348" spans="1:24" ht="42" customHeight="1">
      <c r="A1348" s="78"/>
      <c r="B1348" s="149"/>
      <c r="C1348" s="149"/>
      <c r="D1348" s="78"/>
      <c r="E1348" s="78"/>
      <c r="F1348" s="78"/>
      <c r="G1348" s="150"/>
      <c r="H1348" s="78"/>
      <c r="I1348" s="151"/>
      <c r="J1348" s="78"/>
      <c r="K1348" s="78"/>
      <c r="L1348" s="78"/>
      <c r="M1348" s="153"/>
      <c r="N1348" s="78"/>
      <c r="O1348" s="78"/>
      <c r="P1348" s="153"/>
      <c r="Q1348" s="78"/>
      <c r="R1348" s="78"/>
      <c r="S1348" s="153"/>
      <c r="T1348" s="78"/>
      <c r="U1348" s="78"/>
      <c r="V1348" s="152"/>
      <c r="W1348" s="78"/>
      <c r="X1348" s="78"/>
    </row>
    <row r="1349" spans="1:24" ht="42" customHeight="1">
      <c r="A1349" s="78"/>
      <c r="B1349" s="149"/>
      <c r="C1349" s="149"/>
      <c r="D1349" s="78"/>
      <c r="E1349" s="78"/>
      <c r="F1349" s="78"/>
      <c r="G1349" s="150"/>
      <c r="H1349" s="78"/>
      <c r="I1349" s="151"/>
      <c r="J1349" s="78"/>
      <c r="K1349" s="78"/>
      <c r="L1349" s="78"/>
      <c r="M1349" s="153"/>
      <c r="N1349" s="78"/>
      <c r="O1349" s="78"/>
      <c r="P1349" s="153"/>
      <c r="Q1349" s="78"/>
      <c r="R1349" s="78"/>
      <c r="S1349" s="153"/>
      <c r="T1349" s="78"/>
      <c r="U1349" s="78"/>
      <c r="V1349" s="152"/>
      <c r="W1349" s="78"/>
      <c r="X1349" s="78"/>
    </row>
    <row r="1350" spans="1:24" ht="42" customHeight="1">
      <c r="A1350" s="78"/>
      <c r="B1350" s="149"/>
      <c r="C1350" s="149"/>
      <c r="D1350" s="78"/>
      <c r="E1350" s="78"/>
      <c r="F1350" s="78"/>
      <c r="G1350" s="150"/>
      <c r="H1350" s="78"/>
      <c r="I1350" s="151"/>
      <c r="J1350" s="78"/>
      <c r="K1350" s="78"/>
      <c r="L1350" s="78"/>
      <c r="M1350" s="153"/>
      <c r="N1350" s="78"/>
      <c r="O1350" s="78"/>
      <c r="P1350" s="153"/>
      <c r="Q1350" s="78"/>
      <c r="R1350" s="78"/>
      <c r="S1350" s="153"/>
      <c r="T1350" s="78"/>
      <c r="U1350" s="78"/>
      <c r="V1350" s="152"/>
      <c r="W1350" s="78"/>
      <c r="X1350" s="78"/>
    </row>
    <row r="1351" spans="1:24" ht="42" customHeight="1">
      <c r="A1351" s="78"/>
      <c r="B1351" s="149"/>
      <c r="C1351" s="149"/>
      <c r="D1351" s="78"/>
      <c r="E1351" s="78"/>
      <c r="F1351" s="78"/>
      <c r="G1351" s="150"/>
      <c r="H1351" s="78"/>
      <c r="I1351" s="151"/>
      <c r="J1351" s="78"/>
      <c r="K1351" s="78"/>
      <c r="L1351" s="78"/>
      <c r="M1351" s="153"/>
      <c r="N1351" s="78"/>
      <c r="O1351" s="78"/>
      <c r="P1351" s="153"/>
      <c r="Q1351" s="78"/>
      <c r="R1351" s="78"/>
      <c r="S1351" s="153"/>
      <c r="T1351" s="78"/>
      <c r="U1351" s="78"/>
      <c r="V1351" s="152"/>
      <c r="W1351" s="78"/>
      <c r="X1351" s="78"/>
    </row>
    <row r="1352" spans="1:24" ht="42" customHeight="1">
      <c r="A1352" s="78"/>
      <c r="B1352" s="149"/>
      <c r="C1352" s="149"/>
      <c r="D1352" s="78"/>
      <c r="E1352" s="78"/>
      <c r="F1352" s="78"/>
      <c r="G1352" s="150"/>
      <c r="H1352" s="78"/>
      <c r="I1352" s="151"/>
      <c r="J1352" s="78"/>
      <c r="K1352" s="78"/>
      <c r="L1352" s="78"/>
      <c r="M1352" s="153"/>
      <c r="N1352" s="78"/>
      <c r="O1352" s="78"/>
      <c r="P1352" s="153"/>
      <c r="Q1352" s="78"/>
      <c r="R1352" s="78"/>
      <c r="S1352" s="153"/>
      <c r="T1352" s="78"/>
      <c r="U1352" s="78"/>
      <c r="V1352" s="152"/>
      <c r="W1352" s="78"/>
      <c r="X1352" s="78"/>
    </row>
    <row r="1353" spans="1:24" ht="42" customHeight="1">
      <c r="A1353" s="78"/>
      <c r="B1353" s="149"/>
      <c r="C1353" s="149"/>
      <c r="D1353" s="78"/>
      <c r="E1353" s="78"/>
      <c r="F1353" s="78"/>
      <c r="G1353" s="150"/>
      <c r="H1353" s="78"/>
      <c r="I1353" s="151"/>
      <c r="J1353" s="78"/>
      <c r="K1353" s="78"/>
      <c r="L1353" s="78"/>
      <c r="M1353" s="153"/>
      <c r="N1353" s="78"/>
      <c r="O1353" s="78"/>
      <c r="P1353" s="153"/>
      <c r="Q1353" s="78"/>
      <c r="R1353" s="78"/>
      <c r="S1353" s="153"/>
      <c r="T1353" s="78"/>
      <c r="U1353" s="78"/>
      <c r="V1353" s="152"/>
      <c r="W1353" s="78"/>
      <c r="X1353" s="78"/>
    </row>
    <row r="1354" spans="1:24" ht="42" customHeight="1">
      <c r="A1354" s="78"/>
      <c r="B1354" s="149"/>
      <c r="C1354" s="149"/>
      <c r="D1354" s="78"/>
      <c r="E1354" s="78"/>
      <c r="F1354" s="78"/>
      <c r="G1354" s="150"/>
      <c r="H1354" s="78"/>
      <c r="I1354" s="151"/>
      <c r="J1354" s="78"/>
      <c r="K1354" s="78"/>
      <c r="L1354" s="78"/>
      <c r="M1354" s="153"/>
      <c r="N1354" s="78"/>
      <c r="O1354" s="78"/>
      <c r="P1354" s="153"/>
      <c r="Q1354" s="78"/>
      <c r="R1354" s="78"/>
      <c r="S1354" s="153"/>
      <c r="T1354" s="78"/>
      <c r="U1354" s="78"/>
      <c r="V1354" s="152"/>
      <c r="W1354" s="78"/>
      <c r="X1354" s="78"/>
    </row>
    <row r="1355" spans="1:24" ht="42" customHeight="1">
      <c r="A1355" s="78"/>
      <c r="B1355" s="149"/>
      <c r="C1355" s="149"/>
      <c r="D1355" s="78"/>
      <c r="E1355" s="78"/>
      <c r="F1355" s="78"/>
      <c r="G1355" s="150"/>
      <c r="H1355" s="78"/>
      <c r="I1355" s="151"/>
      <c r="J1355" s="78"/>
      <c r="K1355" s="78"/>
      <c r="L1355" s="78"/>
      <c r="M1355" s="153"/>
      <c r="N1355" s="78"/>
      <c r="O1355" s="78"/>
      <c r="P1355" s="153"/>
      <c r="Q1355" s="78"/>
      <c r="R1355" s="78"/>
      <c r="S1355" s="153"/>
      <c r="T1355" s="78"/>
      <c r="U1355" s="78"/>
      <c r="V1355" s="152"/>
      <c r="W1355" s="78"/>
      <c r="X1355" s="78"/>
    </row>
    <row r="1356" spans="1:24" ht="42" customHeight="1">
      <c r="A1356" s="78"/>
      <c r="B1356" s="149"/>
      <c r="C1356" s="149"/>
      <c r="D1356" s="78"/>
      <c r="E1356" s="78"/>
      <c r="F1356" s="78"/>
      <c r="G1356" s="150"/>
      <c r="H1356" s="78"/>
      <c r="I1356" s="151"/>
      <c r="J1356" s="78"/>
      <c r="K1356" s="78"/>
      <c r="L1356" s="78"/>
      <c r="M1356" s="153"/>
      <c r="N1356" s="78"/>
      <c r="O1356" s="78"/>
      <c r="P1356" s="153"/>
      <c r="Q1356" s="78"/>
      <c r="R1356" s="78"/>
      <c r="S1356" s="153"/>
      <c r="T1356" s="78"/>
      <c r="U1356" s="78"/>
      <c r="V1356" s="152"/>
      <c r="W1356" s="78"/>
      <c r="X1356" s="78"/>
    </row>
    <row r="1357" spans="1:24" ht="42" customHeight="1">
      <c r="A1357" s="78"/>
      <c r="B1357" s="149"/>
      <c r="C1357" s="149"/>
      <c r="D1357" s="78"/>
      <c r="E1357" s="78"/>
      <c r="F1357" s="78"/>
      <c r="G1357" s="150"/>
      <c r="H1357" s="78"/>
      <c r="I1357" s="151"/>
      <c r="J1357" s="78"/>
      <c r="K1357" s="78"/>
      <c r="L1357" s="78"/>
      <c r="M1357" s="153"/>
      <c r="N1357" s="78"/>
      <c r="O1357" s="78"/>
      <c r="P1357" s="153"/>
      <c r="Q1357" s="78"/>
      <c r="R1357" s="78"/>
      <c r="S1357" s="153"/>
      <c r="T1357" s="78"/>
      <c r="U1357" s="78"/>
      <c r="V1357" s="152"/>
      <c r="W1357" s="78"/>
      <c r="X1357" s="78"/>
    </row>
    <row r="1358" spans="1:24" ht="42" customHeight="1">
      <c r="A1358" s="78"/>
      <c r="B1358" s="149"/>
      <c r="C1358" s="149"/>
      <c r="D1358" s="78"/>
      <c r="E1358" s="78"/>
      <c r="F1358" s="78"/>
      <c r="G1358" s="150"/>
      <c r="H1358" s="78"/>
      <c r="I1358" s="151"/>
      <c r="J1358" s="78"/>
      <c r="K1358" s="78"/>
      <c r="L1358" s="78"/>
      <c r="M1358" s="153"/>
      <c r="N1358" s="78"/>
      <c r="O1358" s="78"/>
      <c r="P1358" s="153"/>
      <c r="Q1358" s="78"/>
      <c r="R1358" s="78"/>
      <c r="S1358" s="153"/>
      <c r="T1358" s="78"/>
      <c r="U1358" s="78"/>
      <c r="V1358" s="152"/>
      <c r="W1358" s="78"/>
      <c r="X1358" s="78"/>
    </row>
    <row r="1359" spans="1:24" ht="42" customHeight="1">
      <c r="A1359" s="78"/>
      <c r="B1359" s="149"/>
      <c r="C1359" s="149"/>
      <c r="D1359" s="78"/>
      <c r="E1359" s="78"/>
      <c r="F1359" s="78"/>
      <c r="G1359" s="150"/>
      <c r="H1359" s="78"/>
      <c r="I1359" s="151"/>
      <c r="J1359" s="78"/>
      <c r="K1359" s="78"/>
      <c r="L1359" s="78"/>
      <c r="M1359" s="153"/>
      <c r="N1359" s="78"/>
      <c r="O1359" s="78"/>
      <c r="P1359" s="153"/>
      <c r="Q1359" s="78"/>
      <c r="R1359" s="78"/>
      <c r="S1359" s="153"/>
      <c r="T1359" s="78"/>
      <c r="U1359" s="78"/>
      <c r="V1359" s="152"/>
      <c r="W1359" s="78"/>
      <c r="X1359" s="78"/>
    </row>
    <row r="1360" spans="1:24" ht="42" customHeight="1">
      <c r="A1360" s="78"/>
      <c r="B1360" s="149"/>
      <c r="C1360" s="149"/>
      <c r="D1360" s="78"/>
      <c r="E1360" s="78"/>
      <c r="F1360" s="78"/>
      <c r="G1360" s="150"/>
      <c r="H1360" s="78"/>
      <c r="I1360" s="151"/>
      <c r="J1360" s="78"/>
      <c r="K1360" s="78"/>
      <c r="L1360" s="78"/>
      <c r="M1360" s="153"/>
      <c r="N1360" s="78"/>
      <c r="O1360" s="78"/>
      <c r="P1360" s="153"/>
      <c r="Q1360" s="78"/>
      <c r="R1360" s="78"/>
      <c r="S1360" s="153"/>
      <c r="T1360" s="78"/>
      <c r="U1360" s="78"/>
      <c r="V1360" s="152"/>
      <c r="W1360" s="78"/>
      <c r="X1360" s="78"/>
    </row>
    <row r="1361" spans="1:24" ht="42" customHeight="1">
      <c r="A1361" s="78"/>
      <c r="B1361" s="149"/>
      <c r="C1361" s="149"/>
      <c r="D1361" s="78"/>
      <c r="E1361" s="78"/>
      <c r="F1361" s="78"/>
      <c r="G1361" s="150"/>
      <c r="H1361" s="78"/>
      <c r="I1361" s="151"/>
      <c r="J1361" s="78"/>
      <c r="K1361" s="78"/>
      <c r="L1361" s="78"/>
      <c r="M1361" s="153"/>
      <c r="N1361" s="78"/>
      <c r="O1361" s="78"/>
      <c r="P1361" s="153"/>
      <c r="Q1361" s="78"/>
      <c r="R1361" s="78"/>
      <c r="S1361" s="153"/>
      <c r="T1361" s="78"/>
      <c r="U1361" s="78"/>
      <c r="V1361" s="152"/>
      <c r="W1361" s="78"/>
      <c r="X1361" s="78"/>
    </row>
    <row r="1362" spans="1:24" ht="42" customHeight="1">
      <c r="A1362" s="78"/>
      <c r="B1362" s="149"/>
      <c r="C1362" s="149"/>
      <c r="D1362" s="78"/>
      <c r="E1362" s="78"/>
      <c r="F1362" s="78"/>
      <c r="G1362" s="150"/>
      <c r="H1362" s="78"/>
      <c r="I1362" s="151"/>
      <c r="J1362" s="78"/>
      <c r="K1362" s="78"/>
      <c r="L1362" s="78"/>
      <c r="M1362" s="153"/>
      <c r="N1362" s="78"/>
      <c r="O1362" s="78"/>
      <c r="P1362" s="153"/>
      <c r="Q1362" s="78"/>
      <c r="R1362" s="78"/>
      <c r="S1362" s="153"/>
      <c r="T1362" s="78"/>
      <c r="U1362" s="78"/>
      <c r="V1362" s="152"/>
      <c r="W1362" s="78"/>
      <c r="X1362" s="78"/>
    </row>
    <row r="1363" spans="1:24" ht="42" customHeight="1">
      <c r="A1363" s="78"/>
      <c r="B1363" s="149"/>
      <c r="C1363" s="149"/>
      <c r="D1363" s="78"/>
      <c r="E1363" s="78"/>
      <c r="F1363" s="78"/>
      <c r="G1363" s="150"/>
      <c r="H1363" s="78"/>
      <c r="I1363" s="151"/>
      <c r="J1363" s="78"/>
      <c r="K1363" s="78"/>
      <c r="L1363" s="78"/>
      <c r="M1363" s="153"/>
      <c r="N1363" s="78"/>
      <c r="O1363" s="78"/>
      <c r="P1363" s="153"/>
      <c r="Q1363" s="78"/>
      <c r="R1363" s="78"/>
      <c r="S1363" s="153"/>
      <c r="T1363" s="78"/>
      <c r="U1363" s="78"/>
      <c r="V1363" s="152"/>
      <c r="W1363" s="78"/>
      <c r="X1363" s="78"/>
    </row>
    <row r="1364" spans="1:24" ht="42" customHeight="1">
      <c r="A1364" s="78"/>
      <c r="B1364" s="149"/>
      <c r="C1364" s="149"/>
      <c r="D1364" s="78"/>
      <c r="E1364" s="78"/>
      <c r="F1364" s="78"/>
      <c r="G1364" s="150"/>
      <c r="H1364" s="78"/>
      <c r="I1364" s="151"/>
      <c r="J1364" s="78"/>
      <c r="K1364" s="78"/>
      <c r="L1364" s="78"/>
      <c r="M1364" s="153"/>
      <c r="N1364" s="78"/>
      <c r="O1364" s="78"/>
      <c r="P1364" s="153"/>
      <c r="Q1364" s="78"/>
      <c r="R1364" s="78"/>
      <c r="S1364" s="153"/>
      <c r="T1364" s="78"/>
      <c r="U1364" s="78"/>
      <c r="V1364" s="152"/>
      <c r="W1364" s="78"/>
      <c r="X1364" s="78"/>
    </row>
    <row r="1365" spans="1:24" ht="42" customHeight="1">
      <c r="A1365" s="78"/>
      <c r="B1365" s="149"/>
      <c r="C1365" s="149"/>
      <c r="D1365" s="78"/>
      <c r="E1365" s="78"/>
      <c r="F1365" s="78"/>
      <c r="G1365" s="150"/>
      <c r="H1365" s="78"/>
      <c r="I1365" s="151"/>
      <c r="J1365" s="78"/>
      <c r="K1365" s="78"/>
      <c r="L1365" s="78"/>
      <c r="M1365" s="153"/>
      <c r="N1365" s="78"/>
      <c r="O1365" s="78"/>
      <c r="P1365" s="153"/>
      <c r="Q1365" s="78"/>
      <c r="R1365" s="78"/>
      <c r="S1365" s="153"/>
      <c r="T1365" s="78"/>
      <c r="U1365" s="78"/>
      <c r="V1365" s="152"/>
      <c r="W1365" s="78"/>
      <c r="X1365" s="78"/>
    </row>
    <row r="1366" spans="1:24" ht="42" customHeight="1">
      <c r="A1366" s="78"/>
      <c r="B1366" s="149"/>
      <c r="C1366" s="149"/>
      <c r="D1366" s="78"/>
      <c r="E1366" s="78"/>
      <c r="F1366" s="78"/>
      <c r="G1366" s="150"/>
      <c r="H1366" s="78"/>
      <c r="I1366" s="151"/>
      <c r="J1366" s="78"/>
      <c r="K1366" s="78"/>
      <c r="L1366" s="78"/>
      <c r="M1366" s="153"/>
      <c r="N1366" s="78"/>
      <c r="O1366" s="78"/>
      <c r="P1366" s="153"/>
      <c r="Q1366" s="78"/>
      <c r="R1366" s="78"/>
      <c r="S1366" s="153"/>
      <c r="T1366" s="78"/>
      <c r="U1366" s="78"/>
      <c r="V1366" s="152"/>
      <c r="W1366" s="78"/>
      <c r="X1366" s="78"/>
    </row>
    <row r="1367" spans="1:24" ht="42" customHeight="1">
      <c r="A1367" s="78"/>
      <c r="B1367" s="149"/>
      <c r="C1367" s="149"/>
      <c r="D1367" s="78"/>
      <c r="E1367" s="78"/>
      <c r="F1367" s="78"/>
      <c r="G1367" s="150"/>
      <c r="H1367" s="78"/>
      <c r="I1367" s="151"/>
      <c r="J1367" s="78"/>
      <c r="K1367" s="78"/>
      <c r="L1367" s="78"/>
      <c r="M1367" s="153"/>
      <c r="N1367" s="78"/>
      <c r="O1367" s="78"/>
      <c r="P1367" s="153"/>
      <c r="Q1367" s="78"/>
      <c r="R1367" s="78"/>
      <c r="S1367" s="153"/>
      <c r="T1367" s="78"/>
      <c r="U1367" s="78"/>
      <c r="V1367" s="152"/>
      <c r="W1367" s="78"/>
      <c r="X1367" s="78"/>
    </row>
    <row r="1368" spans="1:24" ht="42" customHeight="1">
      <c r="A1368" s="78"/>
      <c r="B1368" s="149"/>
      <c r="C1368" s="149"/>
      <c r="D1368" s="78"/>
      <c r="E1368" s="78"/>
      <c r="F1368" s="78"/>
      <c r="G1368" s="150"/>
      <c r="H1368" s="78"/>
      <c r="I1368" s="151"/>
      <c r="J1368" s="78"/>
      <c r="K1368" s="78"/>
      <c r="L1368" s="78"/>
      <c r="M1368" s="153"/>
      <c r="N1368" s="78"/>
      <c r="O1368" s="78"/>
      <c r="P1368" s="153"/>
      <c r="Q1368" s="78"/>
      <c r="R1368" s="78"/>
      <c r="S1368" s="153"/>
      <c r="T1368" s="78"/>
      <c r="U1368" s="78"/>
      <c r="V1368" s="152"/>
      <c r="W1368" s="78"/>
      <c r="X1368" s="78"/>
    </row>
    <row r="1369" spans="1:24" ht="42" customHeight="1">
      <c r="A1369" s="78"/>
      <c r="B1369" s="149"/>
      <c r="C1369" s="149"/>
      <c r="D1369" s="78"/>
      <c r="E1369" s="78"/>
      <c r="F1369" s="78"/>
      <c r="G1369" s="150"/>
      <c r="H1369" s="78"/>
      <c r="I1369" s="151"/>
      <c r="J1369" s="78"/>
      <c r="K1369" s="78"/>
      <c r="L1369" s="78"/>
      <c r="M1369" s="153"/>
      <c r="N1369" s="78"/>
      <c r="O1369" s="78"/>
      <c r="P1369" s="153"/>
      <c r="Q1369" s="78"/>
      <c r="R1369" s="78"/>
      <c r="S1369" s="153"/>
      <c r="T1369" s="78"/>
      <c r="U1369" s="78"/>
      <c r="V1369" s="152"/>
      <c r="W1369" s="78"/>
      <c r="X1369" s="78"/>
    </row>
    <row r="1370" spans="1:24" ht="42" customHeight="1">
      <c r="A1370" s="78"/>
      <c r="B1370" s="149"/>
      <c r="C1370" s="149"/>
      <c r="D1370" s="78"/>
      <c r="E1370" s="78"/>
      <c r="F1370" s="78"/>
      <c r="G1370" s="150"/>
      <c r="H1370" s="78"/>
      <c r="I1370" s="151"/>
      <c r="J1370" s="78"/>
      <c r="K1370" s="78"/>
      <c r="L1370" s="78"/>
      <c r="M1370" s="153"/>
      <c r="N1370" s="78"/>
      <c r="O1370" s="78"/>
      <c r="P1370" s="153"/>
      <c r="Q1370" s="78"/>
      <c r="R1370" s="78"/>
      <c r="S1370" s="153"/>
      <c r="T1370" s="78"/>
      <c r="U1370" s="78"/>
      <c r="V1370" s="152"/>
      <c r="W1370" s="78"/>
      <c r="X1370" s="78"/>
    </row>
    <row r="1371" spans="1:24" ht="42" customHeight="1">
      <c r="A1371" s="78"/>
      <c r="B1371" s="149"/>
      <c r="C1371" s="149"/>
      <c r="D1371" s="78"/>
      <c r="E1371" s="78"/>
      <c r="F1371" s="78"/>
      <c r="G1371" s="150"/>
      <c r="H1371" s="78"/>
      <c r="I1371" s="151"/>
      <c r="J1371" s="78"/>
      <c r="K1371" s="78"/>
      <c r="L1371" s="78"/>
      <c r="M1371" s="153"/>
      <c r="N1371" s="78"/>
      <c r="O1371" s="78"/>
      <c r="P1371" s="153"/>
      <c r="Q1371" s="78"/>
      <c r="R1371" s="78"/>
      <c r="S1371" s="153"/>
      <c r="T1371" s="78"/>
      <c r="U1371" s="78"/>
      <c r="V1371" s="152"/>
      <c r="W1371" s="78"/>
      <c r="X1371" s="78"/>
    </row>
    <row r="1372" spans="1:24" ht="42" customHeight="1">
      <c r="A1372" s="78"/>
      <c r="B1372" s="149"/>
      <c r="C1372" s="149"/>
      <c r="D1372" s="78"/>
      <c r="E1372" s="78"/>
      <c r="F1372" s="78"/>
      <c r="G1372" s="150"/>
      <c r="H1372" s="78"/>
      <c r="I1372" s="151"/>
      <c r="J1372" s="78"/>
      <c r="K1372" s="78"/>
      <c r="L1372" s="78"/>
      <c r="M1372" s="153"/>
      <c r="N1372" s="78"/>
      <c r="O1372" s="78"/>
      <c r="P1372" s="153"/>
      <c r="Q1372" s="78"/>
      <c r="R1372" s="78"/>
      <c r="S1372" s="153"/>
      <c r="T1372" s="78"/>
      <c r="U1372" s="78"/>
      <c r="V1372" s="152"/>
      <c r="W1372" s="78"/>
      <c r="X1372" s="78"/>
    </row>
    <row r="1373" spans="1:24" ht="42" customHeight="1">
      <c r="A1373" s="78"/>
      <c r="B1373" s="149"/>
      <c r="C1373" s="149"/>
      <c r="D1373" s="78"/>
      <c r="E1373" s="78"/>
      <c r="F1373" s="78"/>
      <c r="G1373" s="150"/>
      <c r="H1373" s="78"/>
      <c r="I1373" s="151"/>
      <c r="J1373" s="78"/>
      <c r="K1373" s="78"/>
      <c r="L1373" s="78"/>
      <c r="M1373" s="153"/>
      <c r="N1373" s="78"/>
      <c r="O1373" s="78"/>
      <c r="P1373" s="153"/>
      <c r="Q1373" s="78"/>
      <c r="R1373" s="78"/>
      <c r="S1373" s="153"/>
      <c r="T1373" s="78"/>
      <c r="U1373" s="78"/>
      <c r="V1373" s="152"/>
      <c r="W1373" s="78"/>
      <c r="X1373" s="78"/>
    </row>
    <row r="1374" spans="1:24" ht="42" customHeight="1">
      <c r="A1374" s="78"/>
      <c r="B1374" s="149"/>
      <c r="C1374" s="149"/>
      <c r="D1374" s="78"/>
      <c r="E1374" s="78"/>
      <c r="F1374" s="78"/>
      <c r="G1374" s="150"/>
      <c r="H1374" s="78"/>
      <c r="I1374" s="151"/>
      <c r="J1374" s="78"/>
      <c r="K1374" s="78"/>
      <c r="L1374" s="78"/>
      <c r="M1374" s="153"/>
      <c r="N1374" s="78"/>
      <c r="O1374" s="78"/>
      <c r="P1374" s="153"/>
      <c r="Q1374" s="78"/>
      <c r="R1374" s="78"/>
      <c r="S1374" s="153"/>
      <c r="T1374" s="78"/>
      <c r="U1374" s="78"/>
      <c r="V1374" s="152"/>
      <c r="W1374" s="78"/>
      <c r="X1374" s="78"/>
    </row>
    <row r="1375" spans="1:24" ht="42" customHeight="1">
      <c r="A1375" s="78"/>
      <c r="B1375" s="149"/>
      <c r="C1375" s="149"/>
      <c r="D1375" s="78"/>
      <c r="E1375" s="78"/>
      <c r="F1375" s="78"/>
      <c r="G1375" s="150"/>
      <c r="H1375" s="78"/>
      <c r="I1375" s="151"/>
      <c r="J1375" s="78"/>
      <c r="K1375" s="78"/>
      <c r="L1375" s="78"/>
      <c r="M1375" s="153"/>
      <c r="N1375" s="78"/>
      <c r="O1375" s="78"/>
      <c r="P1375" s="153"/>
      <c r="Q1375" s="78"/>
      <c r="R1375" s="78"/>
      <c r="S1375" s="153"/>
      <c r="T1375" s="78"/>
      <c r="U1375" s="78"/>
      <c r="V1375" s="152"/>
      <c r="W1375" s="78"/>
      <c r="X1375" s="78"/>
    </row>
    <row r="1376" spans="1:24" ht="42" customHeight="1">
      <c r="A1376" s="78"/>
      <c r="B1376" s="149"/>
      <c r="C1376" s="149"/>
      <c r="D1376" s="78"/>
      <c r="E1376" s="78"/>
      <c r="F1376" s="78"/>
      <c r="G1376" s="150"/>
      <c r="H1376" s="78"/>
      <c r="I1376" s="151"/>
      <c r="J1376" s="78"/>
      <c r="K1376" s="78"/>
      <c r="L1376" s="78"/>
      <c r="M1376" s="153"/>
      <c r="N1376" s="78"/>
      <c r="O1376" s="78"/>
      <c r="P1376" s="153"/>
      <c r="Q1376" s="78"/>
      <c r="R1376" s="78"/>
      <c r="S1376" s="153"/>
      <c r="T1376" s="78"/>
      <c r="U1376" s="78"/>
      <c r="V1376" s="152"/>
      <c r="W1376" s="78"/>
      <c r="X1376" s="78"/>
    </row>
    <row r="1377" spans="1:24" ht="42" customHeight="1">
      <c r="A1377" s="78"/>
      <c r="B1377" s="149"/>
      <c r="C1377" s="149"/>
      <c r="D1377" s="78"/>
      <c r="E1377" s="78"/>
      <c r="F1377" s="78"/>
      <c r="G1377" s="150"/>
      <c r="H1377" s="78"/>
      <c r="I1377" s="151"/>
      <c r="J1377" s="78"/>
      <c r="K1377" s="78"/>
      <c r="L1377" s="78"/>
      <c r="M1377" s="153"/>
      <c r="N1377" s="78"/>
      <c r="O1377" s="78"/>
      <c r="P1377" s="153"/>
      <c r="Q1377" s="78"/>
      <c r="R1377" s="78"/>
      <c r="S1377" s="153"/>
      <c r="T1377" s="78"/>
      <c r="U1377" s="78"/>
      <c r="V1377" s="152"/>
      <c r="W1377" s="78"/>
      <c r="X1377" s="78"/>
    </row>
    <row r="1378" spans="1:24" ht="42" customHeight="1">
      <c r="A1378" s="78"/>
      <c r="B1378" s="149"/>
      <c r="C1378" s="149"/>
      <c r="D1378" s="78"/>
      <c r="E1378" s="78"/>
      <c r="F1378" s="78"/>
      <c r="G1378" s="150"/>
      <c r="H1378" s="78"/>
      <c r="I1378" s="151"/>
      <c r="J1378" s="78"/>
      <c r="K1378" s="78"/>
      <c r="L1378" s="78"/>
      <c r="M1378" s="153"/>
      <c r="N1378" s="78"/>
      <c r="O1378" s="78"/>
      <c r="P1378" s="153"/>
      <c r="Q1378" s="78"/>
      <c r="R1378" s="78"/>
      <c r="S1378" s="153"/>
      <c r="T1378" s="78"/>
      <c r="U1378" s="78"/>
      <c r="V1378" s="152"/>
      <c r="W1378" s="78"/>
      <c r="X1378" s="78"/>
    </row>
    <row r="1379" spans="1:24" ht="42" customHeight="1">
      <c r="A1379" s="78"/>
      <c r="B1379" s="149"/>
      <c r="C1379" s="149"/>
      <c r="D1379" s="78"/>
      <c r="E1379" s="78"/>
      <c r="F1379" s="78"/>
      <c r="G1379" s="150"/>
      <c r="H1379" s="78"/>
      <c r="I1379" s="151"/>
      <c r="J1379" s="78"/>
      <c r="K1379" s="78"/>
      <c r="L1379" s="78"/>
      <c r="M1379" s="153"/>
      <c r="N1379" s="78"/>
      <c r="O1379" s="78"/>
      <c r="P1379" s="153"/>
      <c r="Q1379" s="78"/>
      <c r="R1379" s="78"/>
      <c r="S1379" s="153"/>
      <c r="T1379" s="78"/>
      <c r="U1379" s="78"/>
      <c r="V1379" s="152"/>
      <c r="W1379" s="78"/>
      <c r="X1379" s="78"/>
    </row>
    <row r="1380" spans="1:24" ht="42" customHeight="1">
      <c r="A1380" s="78"/>
      <c r="B1380" s="149"/>
      <c r="C1380" s="149"/>
      <c r="D1380" s="78"/>
      <c r="E1380" s="78"/>
      <c r="F1380" s="78"/>
      <c r="G1380" s="150"/>
      <c r="H1380" s="78"/>
      <c r="I1380" s="151"/>
      <c r="J1380" s="78"/>
      <c r="K1380" s="78"/>
      <c r="L1380" s="78"/>
      <c r="M1380" s="153"/>
      <c r="N1380" s="78"/>
      <c r="O1380" s="78"/>
      <c r="P1380" s="153"/>
      <c r="Q1380" s="78"/>
      <c r="R1380" s="78"/>
      <c r="S1380" s="153"/>
      <c r="T1380" s="78"/>
      <c r="U1380" s="78"/>
      <c r="V1380" s="152"/>
      <c r="W1380" s="78"/>
      <c r="X1380" s="78"/>
    </row>
    <row r="1381" spans="1:24" ht="42" customHeight="1">
      <c r="A1381" s="78"/>
      <c r="B1381" s="149"/>
      <c r="C1381" s="149"/>
      <c r="D1381" s="78"/>
      <c r="E1381" s="78"/>
      <c r="F1381" s="78"/>
      <c r="G1381" s="150"/>
      <c r="H1381" s="78"/>
      <c r="I1381" s="151"/>
      <c r="J1381" s="78"/>
      <c r="K1381" s="78"/>
      <c r="L1381" s="78"/>
      <c r="M1381" s="153"/>
      <c r="N1381" s="78"/>
      <c r="O1381" s="78"/>
      <c r="P1381" s="153"/>
      <c r="Q1381" s="78"/>
      <c r="R1381" s="78"/>
      <c r="S1381" s="153"/>
      <c r="T1381" s="78"/>
      <c r="U1381" s="78"/>
      <c r="V1381" s="152"/>
      <c r="W1381" s="78"/>
      <c r="X1381" s="78"/>
    </row>
    <row r="1382" spans="1:24" ht="42" customHeight="1">
      <c r="A1382" s="78"/>
      <c r="B1382" s="149"/>
      <c r="C1382" s="149"/>
      <c r="D1382" s="78"/>
      <c r="E1382" s="78"/>
      <c r="F1382" s="78"/>
      <c r="G1382" s="150"/>
      <c r="H1382" s="78"/>
      <c r="I1382" s="151"/>
      <c r="J1382" s="78"/>
      <c r="K1382" s="78"/>
      <c r="L1382" s="78"/>
      <c r="M1382" s="153"/>
      <c r="N1382" s="78"/>
      <c r="O1382" s="78"/>
      <c r="P1382" s="153"/>
      <c r="Q1382" s="78"/>
      <c r="R1382" s="78"/>
      <c r="S1382" s="153"/>
      <c r="T1382" s="78"/>
      <c r="U1382" s="78"/>
      <c r="V1382" s="152"/>
      <c r="W1382" s="78"/>
      <c r="X1382" s="78"/>
    </row>
    <row r="1383" spans="1:24" ht="42" customHeight="1">
      <c r="A1383" s="78"/>
      <c r="B1383" s="149"/>
      <c r="C1383" s="149"/>
      <c r="D1383" s="78"/>
      <c r="E1383" s="78"/>
      <c r="F1383" s="78"/>
      <c r="G1383" s="150"/>
      <c r="H1383" s="78"/>
      <c r="I1383" s="151"/>
      <c r="J1383" s="78"/>
      <c r="K1383" s="78"/>
      <c r="L1383" s="78"/>
      <c r="M1383" s="153"/>
      <c r="N1383" s="78"/>
      <c r="O1383" s="78"/>
      <c r="P1383" s="153"/>
      <c r="Q1383" s="78"/>
      <c r="R1383" s="78"/>
      <c r="S1383" s="153"/>
      <c r="T1383" s="78"/>
      <c r="U1383" s="78"/>
      <c r="V1383" s="152"/>
      <c r="W1383" s="78"/>
      <c r="X1383" s="78"/>
    </row>
    <row r="1384" spans="1:24" ht="42" customHeight="1">
      <c r="A1384" s="78"/>
      <c r="B1384" s="149"/>
      <c r="C1384" s="149"/>
      <c r="D1384" s="78"/>
      <c r="E1384" s="78"/>
      <c r="F1384" s="78"/>
      <c r="G1384" s="150"/>
      <c r="H1384" s="78"/>
      <c r="I1384" s="151"/>
      <c r="J1384" s="78"/>
      <c r="K1384" s="78"/>
      <c r="L1384" s="78"/>
      <c r="M1384" s="153"/>
      <c r="N1384" s="78"/>
      <c r="O1384" s="78"/>
      <c r="P1384" s="153"/>
      <c r="Q1384" s="78"/>
      <c r="R1384" s="78"/>
      <c r="S1384" s="153"/>
      <c r="T1384" s="78"/>
      <c r="U1384" s="78"/>
      <c r="V1384" s="152"/>
      <c r="W1384" s="78"/>
      <c r="X1384" s="78"/>
    </row>
    <row r="1385" spans="1:24" ht="42" customHeight="1">
      <c r="A1385" s="78"/>
      <c r="B1385" s="149"/>
      <c r="C1385" s="149"/>
      <c r="D1385" s="78"/>
      <c r="E1385" s="78"/>
      <c r="F1385" s="78"/>
      <c r="G1385" s="150"/>
      <c r="H1385" s="78"/>
      <c r="I1385" s="151"/>
      <c r="J1385" s="78"/>
      <c r="K1385" s="78"/>
      <c r="L1385" s="78"/>
      <c r="M1385" s="153"/>
      <c r="N1385" s="78"/>
      <c r="O1385" s="78"/>
      <c r="P1385" s="153"/>
      <c r="Q1385" s="78"/>
      <c r="R1385" s="78"/>
      <c r="S1385" s="153"/>
      <c r="T1385" s="78"/>
      <c r="U1385" s="78"/>
      <c r="V1385" s="152"/>
      <c r="W1385" s="78"/>
      <c r="X1385" s="78"/>
    </row>
    <row r="1386" spans="1:24" ht="42" customHeight="1">
      <c r="A1386" s="78"/>
      <c r="B1386" s="149"/>
      <c r="C1386" s="149"/>
      <c r="D1386" s="78"/>
      <c r="E1386" s="78"/>
      <c r="F1386" s="78"/>
      <c r="G1386" s="150"/>
      <c r="H1386" s="78"/>
      <c r="I1386" s="151"/>
      <c r="J1386" s="78"/>
      <c r="K1386" s="78"/>
      <c r="L1386" s="78"/>
      <c r="M1386" s="153"/>
      <c r="N1386" s="78"/>
      <c r="O1386" s="78"/>
      <c r="P1386" s="153"/>
      <c r="Q1386" s="78"/>
      <c r="R1386" s="78"/>
      <c r="S1386" s="153"/>
      <c r="T1386" s="78"/>
      <c r="U1386" s="78"/>
      <c r="V1386" s="152"/>
      <c r="W1386" s="78"/>
      <c r="X1386" s="78"/>
    </row>
    <row r="1387" spans="1:24" ht="42" customHeight="1">
      <c r="A1387" s="78"/>
      <c r="B1387" s="149"/>
      <c r="C1387" s="149"/>
      <c r="D1387" s="78"/>
      <c r="E1387" s="78"/>
      <c r="F1387" s="78"/>
      <c r="G1387" s="150"/>
      <c r="H1387" s="78"/>
      <c r="I1387" s="151"/>
      <c r="J1387" s="78"/>
      <c r="K1387" s="78"/>
      <c r="L1387" s="78"/>
      <c r="M1387" s="153"/>
      <c r="N1387" s="78"/>
      <c r="O1387" s="78"/>
      <c r="P1387" s="153"/>
      <c r="Q1387" s="78"/>
      <c r="R1387" s="78"/>
      <c r="S1387" s="153"/>
      <c r="T1387" s="78"/>
      <c r="U1387" s="78"/>
      <c r="V1387" s="152"/>
      <c r="W1387" s="78"/>
      <c r="X1387" s="78"/>
    </row>
    <row r="1388" spans="1:24" ht="42" customHeight="1">
      <c r="A1388" s="78"/>
      <c r="B1388" s="149"/>
      <c r="C1388" s="149"/>
      <c r="D1388" s="78"/>
      <c r="E1388" s="78"/>
      <c r="F1388" s="78"/>
      <c r="G1388" s="150"/>
      <c r="H1388" s="78"/>
      <c r="I1388" s="151"/>
      <c r="J1388" s="78"/>
      <c r="K1388" s="78"/>
      <c r="L1388" s="78"/>
      <c r="M1388" s="153"/>
      <c r="N1388" s="78"/>
      <c r="O1388" s="78"/>
      <c r="P1388" s="153"/>
      <c r="Q1388" s="78"/>
      <c r="R1388" s="78"/>
      <c r="S1388" s="153"/>
      <c r="T1388" s="78"/>
      <c r="U1388" s="78"/>
      <c r="V1388" s="152"/>
      <c r="W1388" s="78"/>
      <c r="X1388" s="78"/>
    </row>
    <row r="1389" spans="1:24" ht="42" customHeight="1">
      <c r="A1389" s="78"/>
      <c r="B1389" s="149"/>
      <c r="C1389" s="149"/>
      <c r="D1389" s="78"/>
      <c r="E1389" s="78"/>
      <c r="F1389" s="78"/>
      <c r="G1389" s="150"/>
      <c r="H1389" s="78"/>
      <c r="I1389" s="151"/>
      <c r="J1389" s="78"/>
      <c r="K1389" s="78"/>
      <c r="L1389" s="78"/>
      <c r="M1389" s="153"/>
      <c r="N1389" s="78"/>
      <c r="O1389" s="78"/>
      <c r="P1389" s="153"/>
      <c r="Q1389" s="78"/>
      <c r="R1389" s="78"/>
      <c r="S1389" s="153"/>
      <c r="T1389" s="78"/>
      <c r="U1389" s="78"/>
      <c r="V1389" s="152"/>
      <c r="W1389" s="78"/>
      <c r="X1389" s="78"/>
    </row>
    <row r="1390" spans="1:24" ht="42" customHeight="1">
      <c r="A1390" s="78"/>
      <c r="B1390" s="149"/>
      <c r="C1390" s="149"/>
      <c r="D1390" s="78"/>
      <c r="E1390" s="78"/>
      <c r="F1390" s="78"/>
      <c r="G1390" s="150"/>
      <c r="H1390" s="78"/>
      <c r="I1390" s="151"/>
      <c r="J1390" s="78"/>
      <c r="K1390" s="78"/>
      <c r="L1390" s="78"/>
      <c r="M1390" s="153"/>
      <c r="N1390" s="78"/>
      <c r="O1390" s="78"/>
      <c r="P1390" s="153"/>
      <c r="Q1390" s="78"/>
      <c r="R1390" s="78"/>
      <c r="S1390" s="153"/>
      <c r="T1390" s="78"/>
      <c r="U1390" s="78"/>
      <c r="V1390" s="152"/>
      <c r="W1390" s="78"/>
      <c r="X1390" s="78"/>
    </row>
    <row r="1391" spans="1:24" ht="42" customHeight="1">
      <c r="A1391" s="78"/>
      <c r="B1391" s="149"/>
      <c r="C1391" s="149"/>
      <c r="D1391" s="78"/>
      <c r="E1391" s="78"/>
      <c r="F1391" s="78"/>
      <c r="G1391" s="150"/>
      <c r="H1391" s="78"/>
      <c r="I1391" s="151"/>
      <c r="J1391" s="78"/>
      <c r="K1391" s="78"/>
      <c r="L1391" s="78"/>
      <c r="M1391" s="153"/>
      <c r="N1391" s="78"/>
      <c r="O1391" s="78"/>
      <c r="P1391" s="153"/>
      <c r="Q1391" s="78"/>
      <c r="R1391" s="78"/>
      <c r="S1391" s="153"/>
      <c r="T1391" s="78"/>
      <c r="U1391" s="78"/>
      <c r="V1391" s="152"/>
      <c r="W1391" s="78"/>
      <c r="X1391" s="78"/>
    </row>
    <row r="1392" spans="1:24" ht="42" customHeight="1">
      <c r="A1392" s="78"/>
      <c r="B1392" s="149"/>
      <c r="C1392" s="149"/>
      <c r="D1392" s="78"/>
      <c r="E1392" s="78"/>
      <c r="F1392" s="78"/>
      <c r="G1392" s="150"/>
      <c r="H1392" s="78"/>
      <c r="I1392" s="151"/>
      <c r="J1392" s="78"/>
      <c r="K1392" s="78"/>
      <c r="L1392" s="78"/>
      <c r="M1392" s="153"/>
      <c r="N1392" s="78"/>
      <c r="O1392" s="78"/>
      <c r="P1392" s="153"/>
      <c r="Q1392" s="78"/>
      <c r="R1392" s="78"/>
      <c r="S1392" s="153"/>
      <c r="T1392" s="78"/>
      <c r="U1392" s="78"/>
      <c r="V1392" s="152"/>
      <c r="W1392" s="78"/>
      <c r="X1392" s="78"/>
    </row>
    <row r="1393" spans="1:24" ht="42" customHeight="1">
      <c r="A1393" s="78"/>
      <c r="B1393" s="149"/>
      <c r="C1393" s="149"/>
      <c r="D1393" s="78"/>
      <c r="E1393" s="78"/>
      <c r="F1393" s="78"/>
      <c r="G1393" s="150"/>
      <c r="H1393" s="78"/>
      <c r="I1393" s="151"/>
      <c r="J1393" s="78"/>
      <c r="K1393" s="78"/>
      <c r="L1393" s="78"/>
      <c r="M1393" s="153"/>
      <c r="N1393" s="78"/>
      <c r="O1393" s="78"/>
      <c r="P1393" s="153"/>
      <c r="Q1393" s="78"/>
      <c r="R1393" s="78"/>
      <c r="S1393" s="153"/>
      <c r="T1393" s="78"/>
      <c r="U1393" s="78"/>
      <c r="V1393" s="152"/>
      <c r="W1393" s="78"/>
      <c r="X1393" s="78"/>
    </row>
    <row r="1394" spans="1:24" ht="42" customHeight="1">
      <c r="A1394" s="78"/>
      <c r="B1394" s="149"/>
      <c r="C1394" s="149"/>
      <c r="D1394" s="78"/>
      <c r="E1394" s="78"/>
      <c r="F1394" s="78"/>
      <c r="G1394" s="150"/>
      <c r="H1394" s="78"/>
      <c r="I1394" s="151"/>
      <c r="J1394" s="78"/>
      <c r="K1394" s="78"/>
      <c r="L1394" s="78"/>
      <c r="M1394" s="153"/>
      <c r="N1394" s="78"/>
      <c r="O1394" s="78"/>
      <c r="P1394" s="153"/>
      <c r="Q1394" s="78"/>
      <c r="R1394" s="78"/>
      <c r="S1394" s="153"/>
      <c r="T1394" s="78"/>
      <c r="U1394" s="78"/>
      <c r="V1394" s="152"/>
      <c r="W1394" s="78"/>
      <c r="X1394" s="78"/>
    </row>
    <row r="1395" spans="1:24" ht="42" customHeight="1">
      <c r="A1395" s="78"/>
      <c r="B1395" s="149"/>
      <c r="C1395" s="149"/>
      <c r="D1395" s="78"/>
      <c r="E1395" s="78"/>
      <c r="F1395" s="78"/>
      <c r="G1395" s="150"/>
      <c r="H1395" s="78"/>
      <c r="I1395" s="151"/>
      <c r="J1395" s="78"/>
      <c r="K1395" s="78"/>
      <c r="L1395" s="78"/>
      <c r="M1395" s="153"/>
      <c r="N1395" s="78"/>
      <c r="O1395" s="78"/>
      <c r="P1395" s="153"/>
      <c r="Q1395" s="78"/>
      <c r="R1395" s="78"/>
      <c r="S1395" s="153"/>
      <c r="T1395" s="78"/>
      <c r="U1395" s="78"/>
      <c r="V1395" s="152"/>
      <c r="W1395" s="78"/>
      <c r="X1395" s="78"/>
    </row>
    <row r="1396" spans="1:24" ht="42" customHeight="1">
      <c r="A1396" s="78"/>
      <c r="B1396" s="149"/>
      <c r="C1396" s="149"/>
      <c r="D1396" s="78"/>
      <c r="E1396" s="78"/>
      <c r="F1396" s="78"/>
      <c r="G1396" s="150"/>
      <c r="H1396" s="78"/>
      <c r="I1396" s="151"/>
      <c r="J1396" s="78"/>
      <c r="K1396" s="78"/>
      <c r="L1396" s="78"/>
      <c r="M1396" s="153"/>
      <c r="N1396" s="78"/>
      <c r="O1396" s="78"/>
      <c r="P1396" s="153"/>
      <c r="Q1396" s="78"/>
      <c r="R1396" s="78"/>
      <c r="S1396" s="153"/>
      <c r="T1396" s="78"/>
      <c r="U1396" s="78"/>
      <c r="V1396" s="152"/>
      <c r="W1396" s="78"/>
      <c r="X1396" s="78"/>
    </row>
    <row r="1397" spans="1:24" ht="42" customHeight="1">
      <c r="A1397" s="78"/>
      <c r="B1397" s="149"/>
      <c r="C1397" s="149"/>
      <c r="D1397" s="78"/>
      <c r="E1397" s="78"/>
      <c r="F1397" s="78"/>
      <c r="G1397" s="150"/>
      <c r="H1397" s="78"/>
      <c r="I1397" s="151"/>
      <c r="J1397" s="78"/>
      <c r="K1397" s="78"/>
      <c r="L1397" s="78"/>
      <c r="M1397" s="153"/>
      <c r="N1397" s="78"/>
      <c r="O1397" s="78"/>
      <c r="P1397" s="153"/>
      <c r="Q1397" s="78"/>
      <c r="R1397" s="78"/>
      <c r="S1397" s="153"/>
      <c r="T1397" s="78"/>
      <c r="U1397" s="78"/>
      <c r="V1397" s="152"/>
      <c r="W1397" s="78"/>
      <c r="X1397" s="78"/>
    </row>
    <row r="1398" spans="1:24" ht="42" customHeight="1">
      <c r="A1398" s="78"/>
      <c r="B1398" s="149"/>
      <c r="C1398" s="149"/>
      <c r="D1398" s="78"/>
      <c r="E1398" s="78"/>
      <c r="F1398" s="78"/>
      <c r="G1398" s="150"/>
      <c r="H1398" s="78"/>
      <c r="I1398" s="151"/>
      <c r="J1398" s="78"/>
      <c r="K1398" s="78"/>
      <c r="L1398" s="78"/>
      <c r="M1398" s="153"/>
      <c r="N1398" s="78"/>
      <c r="O1398" s="78"/>
      <c r="P1398" s="153"/>
      <c r="Q1398" s="78"/>
      <c r="R1398" s="78"/>
      <c r="S1398" s="153"/>
      <c r="T1398" s="78"/>
      <c r="U1398" s="78"/>
      <c r="V1398" s="152"/>
      <c r="W1398" s="78"/>
      <c r="X1398" s="78"/>
    </row>
    <row r="1399" spans="1:24" ht="42" customHeight="1">
      <c r="A1399" s="78"/>
      <c r="B1399" s="149"/>
      <c r="C1399" s="149"/>
      <c r="D1399" s="78"/>
      <c r="E1399" s="78"/>
      <c r="F1399" s="78"/>
      <c r="G1399" s="150"/>
      <c r="H1399" s="78"/>
      <c r="I1399" s="151"/>
      <c r="J1399" s="78"/>
      <c r="K1399" s="78"/>
      <c r="L1399" s="78"/>
      <c r="M1399" s="153"/>
      <c r="N1399" s="78"/>
      <c r="O1399" s="78"/>
      <c r="P1399" s="153"/>
      <c r="Q1399" s="78"/>
      <c r="R1399" s="78"/>
      <c r="S1399" s="153"/>
      <c r="T1399" s="78"/>
      <c r="U1399" s="78"/>
      <c r="V1399" s="152"/>
      <c r="W1399" s="78"/>
      <c r="X1399" s="78"/>
    </row>
    <row r="1400" spans="1:24" ht="42" customHeight="1">
      <c r="A1400" s="78"/>
      <c r="B1400" s="149"/>
      <c r="C1400" s="149"/>
      <c r="D1400" s="78"/>
      <c r="E1400" s="78"/>
      <c r="F1400" s="78"/>
      <c r="G1400" s="150"/>
      <c r="H1400" s="78"/>
      <c r="I1400" s="151"/>
      <c r="J1400" s="78"/>
      <c r="K1400" s="78"/>
      <c r="L1400" s="78"/>
      <c r="M1400" s="153"/>
      <c r="N1400" s="78"/>
      <c r="O1400" s="78"/>
      <c r="P1400" s="153"/>
      <c r="Q1400" s="78"/>
      <c r="R1400" s="78"/>
      <c r="S1400" s="153"/>
      <c r="T1400" s="78"/>
      <c r="U1400" s="78"/>
      <c r="V1400" s="152"/>
      <c r="W1400" s="78"/>
      <c r="X1400" s="78"/>
    </row>
    <row r="1401" spans="1:24" ht="42" customHeight="1">
      <c r="A1401" s="78"/>
      <c r="B1401" s="149"/>
      <c r="C1401" s="149"/>
      <c r="D1401" s="78"/>
      <c r="E1401" s="78"/>
      <c r="F1401" s="78"/>
      <c r="G1401" s="150"/>
      <c r="H1401" s="78"/>
      <c r="I1401" s="151"/>
      <c r="J1401" s="78"/>
      <c r="K1401" s="78"/>
      <c r="L1401" s="78"/>
      <c r="M1401" s="153"/>
      <c r="N1401" s="78"/>
      <c r="O1401" s="78"/>
      <c r="P1401" s="153"/>
      <c r="Q1401" s="78"/>
      <c r="R1401" s="78"/>
      <c r="S1401" s="153"/>
      <c r="T1401" s="78"/>
      <c r="U1401" s="78"/>
      <c r="V1401" s="152"/>
      <c r="W1401" s="78"/>
      <c r="X1401" s="78"/>
    </row>
    <row r="1402" spans="1:24" ht="42" customHeight="1">
      <c r="A1402" s="78"/>
      <c r="B1402" s="149"/>
      <c r="C1402" s="149"/>
      <c r="D1402" s="78"/>
      <c r="E1402" s="78"/>
      <c r="F1402" s="78"/>
      <c r="G1402" s="150"/>
      <c r="H1402" s="78"/>
      <c r="I1402" s="151"/>
      <c r="J1402" s="78"/>
      <c r="K1402" s="78"/>
      <c r="L1402" s="78"/>
      <c r="M1402" s="153"/>
      <c r="N1402" s="78"/>
      <c r="O1402" s="78"/>
      <c r="P1402" s="153"/>
      <c r="Q1402" s="78"/>
      <c r="R1402" s="78"/>
      <c r="S1402" s="153"/>
      <c r="T1402" s="78"/>
      <c r="U1402" s="78"/>
      <c r="V1402" s="152"/>
      <c r="W1402" s="78"/>
      <c r="X1402" s="78"/>
    </row>
    <row r="1403" spans="1:24" ht="42" customHeight="1">
      <c r="A1403" s="78"/>
      <c r="B1403" s="149"/>
      <c r="C1403" s="149"/>
      <c r="D1403" s="78"/>
      <c r="E1403" s="78"/>
      <c r="F1403" s="78"/>
      <c r="G1403" s="150"/>
      <c r="H1403" s="78"/>
      <c r="I1403" s="151"/>
      <c r="J1403" s="78"/>
      <c r="K1403" s="78"/>
      <c r="L1403" s="78"/>
      <c r="M1403" s="153"/>
      <c r="N1403" s="78"/>
      <c r="O1403" s="78"/>
      <c r="P1403" s="153"/>
      <c r="Q1403" s="78"/>
      <c r="R1403" s="78"/>
      <c r="S1403" s="153"/>
      <c r="T1403" s="78"/>
      <c r="U1403" s="78"/>
      <c r="V1403" s="152"/>
      <c r="W1403" s="78"/>
      <c r="X1403" s="78"/>
    </row>
    <row r="1404" spans="1:24" ht="42" customHeight="1">
      <c r="A1404" s="78"/>
      <c r="B1404" s="149"/>
      <c r="C1404" s="149"/>
      <c r="D1404" s="78"/>
      <c r="E1404" s="78"/>
      <c r="F1404" s="78"/>
      <c r="G1404" s="150"/>
      <c r="H1404" s="78"/>
      <c r="I1404" s="151"/>
      <c r="J1404" s="78"/>
      <c r="K1404" s="78"/>
      <c r="L1404" s="78"/>
      <c r="M1404" s="153"/>
      <c r="N1404" s="78"/>
      <c r="O1404" s="78"/>
      <c r="P1404" s="153"/>
      <c r="Q1404" s="78"/>
      <c r="R1404" s="78"/>
      <c r="S1404" s="153"/>
      <c r="T1404" s="78"/>
      <c r="U1404" s="78"/>
      <c r="V1404" s="152"/>
      <c r="W1404" s="78"/>
      <c r="X1404" s="78"/>
    </row>
    <row r="1405" spans="1:24" ht="42" customHeight="1">
      <c r="A1405" s="78"/>
      <c r="B1405" s="149"/>
      <c r="C1405" s="149"/>
      <c r="D1405" s="78"/>
      <c r="E1405" s="78"/>
      <c r="F1405" s="78"/>
      <c r="G1405" s="150"/>
      <c r="H1405" s="78"/>
      <c r="I1405" s="151"/>
      <c r="J1405" s="78"/>
      <c r="K1405" s="78"/>
      <c r="L1405" s="78"/>
      <c r="M1405" s="153"/>
      <c r="N1405" s="78"/>
      <c r="O1405" s="78"/>
      <c r="P1405" s="153"/>
      <c r="Q1405" s="78"/>
      <c r="R1405" s="78"/>
      <c r="S1405" s="153"/>
      <c r="T1405" s="78"/>
      <c r="U1405" s="78"/>
      <c r="V1405" s="152"/>
      <c r="W1405" s="78"/>
      <c r="X1405" s="78"/>
    </row>
    <row r="1406" spans="1:24" ht="42" customHeight="1">
      <c r="A1406" s="78"/>
      <c r="B1406" s="149"/>
      <c r="C1406" s="149"/>
      <c r="D1406" s="78"/>
      <c r="E1406" s="78"/>
      <c r="F1406" s="78"/>
      <c r="G1406" s="150"/>
      <c r="H1406" s="78"/>
      <c r="I1406" s="151"/>
      <c r="J1406" s="78"/>
      <c r="K1406" s="78"/>
      <c r="L1406" s="78"/>
      <c r="M1406" s="153"/>
      <c r="N1406" s="78"/>
      <c r="O1406" s="78"/>
      <c r="P1406" s="153"/>
      <c r="Q1406" s="78"/>
      <c r="R1406" s="78"/>
      <c r="S1406" s="153"/>
      <c r="T1406" s="78"/>
      <c r="U1406" s="78"/>
      <c r="V1406" s="152"/>
      <c r="W1406" s="78"/>
      <c r="X1406" s="78"/>
    </row>
    <row r="1407" spans="1:24" ht="42" customHeight="1">
      <c r="A1407" s="78"/>
      <c r="B1407" s="149"/>
      <c r="C1407" s="149"/>
      <c r="D1407" s="78"/>
      <c r="E1407" s="78"/>
      <c r="F1407" s="78"/>
      <c r="G1407" s="150"/>
      <c r="H1407" s="78"/>
      <c r="I1407" s="151"/>
      <c r="J1407" s="78"/>
      <c r="K1407" s="78"/>
      <c r="L1407" s="78"/>
      <c r="M1407" s="153"/>
      <c r="N1407" s="78"/>
      <c r="O1407" s="78"/>
      <c r="P1407" s="153"/>
      <c r="Q1407" s="78"/>
      <c r="R1407" s="78"/>
      <c r="S1407" s="153"/>
      <c r="T1407" s="78"/>
      <c r="U1407" s="78"/>
      <c r="V1407" s="152"/>
      <c r="W1407" s="78"/>
      <c r="X1407" s="78"/>
    </row>
    <row r="1408" spans="1:24" ht="42" customHeight="1">
      <c r="A1408" s="78"/>
      <c r="B1408" s="149"/>
      <c r="C1408" s="149"/>
      <c r="D1408" s="78"/>
      <c r="E1408" s="78"/>
      <c r="F1408" s="78"/>
      <c r="G1408" s="150"/>
      <c r="H1408" s="78"/>
      <c r="I1408" s="151"/>
      <c r="J1408" s="78"/>
      <c r="K1408" s="78"/>
      <c r="L1408" s="78"/>
      <c r="M1408" s="153"/>
      <c r="N1408" s="78"/>
      <c r="O1408" s="78"/>
      <c r="P1408" s="153"/>
      <c r="Q1408" s="78"/>
      <c r="R1408" s="78"/>
      <c r="S1408" s="153"/>
      <c r="T1408" s="78"/>
      <c r="U1408" s="78"/>
      <c r="V1408" s="152"/>
      <c r="W1408" s="78"/>
      <c r="X1408" s="78"/>
    </row>
    <row r="1409" spans="1:24" ht="42" customHeight="1">
      <c r="A1409" s="78"/>
      <c r="B1409" s="149"/>
      <c r="C1409" s="149"/>
      <c r="D1409" s="78"/>
      <c r="E1409" s="78"/>
      <c r="F1409" s="78"/>
      <c r="G1409" s="150"/>
      <c r="H1409" s="78"/>
      <c r="I1409" s="151"/>
      <c r="J1409" s="78"/>
      <c r="K1409" s="78"/>
      <c r="L1409" s="78"/>
      <c r="M1409" s="153"/>
      <c r="N1409" s="78"/>
      <c r="O1409" s="78"/>
      <c r="P1409" s="153"/>
      <c r="Q1409" s="78"/>
      <c r="R1409" s="78"/>
      <c r="S1409" s="153"/>
      <c r="T1409" s="78"/>
      <c r="U1409" s="78"/>
      <c r="V1409" s="152"/>
      <c r="W1409" s="78"/>
      <c r="X1409" s="78"/>
    </row>
    <row r="1410" spans="1:24" ht="42" customHeight="1">
      <c r="A1410" s="78"/>
      <c r="B1410" s="149"/>
      <c r="C1410" s="149"/>
      <c r="D1410" s="78"/>
      <c r="E1410" s="78"/>
      <c r="F1410" s="78"/>
      <c r="G1410" s="150"/>
      <c r="H1410" s="78"/>
      <c r="I1410" s="151"/>
      <c r="J1410" s="78"/>
      <c r="K1410" s="78"/>
      <c r="L1410" s="78"/>
      <c r="M1410" s="153"/>
      <c r="N1410" s="78"/>
      <c r="O1410" s="78"/>
      <c r="P1410" s="153"/>
      <c r="Q1410" s="78"/>
      <c r="R1410" s="78"/>
      <c r="S1410" s="153"/>
      <c r="T1410" s="78"/>
      <c r="U1410" s="78"/>
      <c r="V1410" s="152"/>
      <c r="W1410" s="78"/>
      <c r="X1410" s="78"/>
    </row>
    <row r="1411" spans="1:24" ht="42" customHeight="1">
      <c r="A1411" s="78"/>
      <c r="B1411" s="149"/>
      <c r="C1411" s="149"/>
      <c r="D1411" s="78"/>
      <c r="E1411" s="78"/>
      <c r="F1411" s="78"/>
      <c r="G1411" s="150"/>
      <c r="H1411" s="78"/>
      <c r="I1411" s="151"/>
      <c r="J1411" s="78"/>
      <c r="K1411" s="78"/>
      <c r="L1411" s="78"/>
      <c r="M1411" s="153"/>
      <c r="N1411" s="78"/>
      <c r="O1411" s="78"/>
      <c r="P1411" s="153"/>
      <c r="Q1411" s="78"/>
      <c r="R1411" s="78"/>
      <c r="S1411" s="153"/>
      <c r="T1411" s="78"/>
      <c r="U1411" s="78"/>
      <c r="V1411" s="152"/>
      <c r="W1411" s="78"/>
      <c r="X1411" s="78"/>
    </row>
    <row r="1412" spans="1:24" ht="42" customHeight="1">
      <c r="A1412" s="78"/>
      <c r="B1412" s="149"/>
      <c r="C1412" s="149"/>
      <c r="D1412" s="78"/>
      <c r="E1412" s="78"/>
      <c r="F1412" s="78"/>
      <c r="G1412" s="150"/>
      <c r="H1412" s="78"/>
      <c r="I1412" s="151"/>
      <c r="J1412" s="78"/>
      <c r="K1412" s="78"/>
      <c r="L1412" s="78"/>
      <c r="M1412" s="153"/>
      <c r="N1412" s="78"/>
      <c r="O1412" s="78"/>
      <c r="P1412" s="153"/>
      <c r="Q1412" s="78"/>
      <c r="R1412" s="78"/>
      <c r="S1412" s="153"/>
      <c r="T1412" s="78"/>
      <c r="U1412" s="78"/>
      <c r="V1412" s="152"/>
      <c r="W1412" s="78"/>
      <c r="X1412" s="78"/>
    </row>
    <row r="1413" spans="1:24" ht="42" customHeight="1">
      <c r="A1413" s="78"/>
      <c r="B1413" s="149"/>
      <c r="C1413" s="149"/>
      <c r="D1413" s="78"/>
      <c r="E1413" s="78"/>
      <c r="F1413" s="78"/>
      <c r="G1413" s="150"/>
      <c r="H1413" s="78"/>
      <c r="I1413" s="151"/>
      <c r="J1413" s="78"/>
      <c r="K1413" s="78"/>
      <c r="L1413" s="78"/>
      <c r="M1413" s="153"/>
      <c r="N1413" s="78"/>
      <c r="O1413" s="78"/>
      <c r="P1413" s="153"/>
      <c r="Q1413" s="78"/>
      <c r="R1413" s="78"/>
      <c r="S1413" s="153"/>
      <c r="T1413" s="78"/>
      <c r="U1413" s="78"/>
      <c r="V1413" s="152"/>
      <c r="W1413" s="78"/>
      <c r="X1413" s="78"/>
    </row>
    <row r="1414" spans="1:24" ht="42" customHeight="1">
      <c r="A1414" s="78"/>
      <c r="B1414" s="149"/>
      <c r="C1414" s="149"/>
      <c r="D1414" s="78"/>
      <c r="E1414" s="78"/>
      <c r="F1414" s="78"/>
      <c r="G1414" s="150"/>
      <c r="H1414" s="78"/>
      <c r="I1414" s="151"/>
      <c r="J1414" s="78"/>
      <c r="K1414" s="78"/>
      <c r="L1414" s="78"/>
      <c r="M1414" s="153"/>
      <c r="N1414" s="78"/>
      <c r="O1414" s="78"/>
      <c r="P1414" s="153"/>
      <c r="Q1414" s="78"/>
      <c r="R1414" s="78"/>
      <c r="S1414" s="153"/>
      <c r="T1414" s="78"/>
      <c r="U1414" s="78"/>
      <c r="V1414" s="152"/>
      <c r="W1414" s="78"/>
      <c r="X1414" s="78"/>
    </row>
    <row r="1415" spans="1:24" ht="42" customHeight="1">
      <c r="A1415" s="78"/>
      <c r="B1415" s="149"/>
      <c r="C1415" s="149"/>
      <c r="D1415" s="78"/>
      <c r="E1415" s="78"/>
      <c r="F1415" s="78"/>
      <c r="G1415" s="150"/>
      <c r="H1415" s="78"/>
      <c r="I1415" s="151"/>
      <c r="J1415" s="78"/>
      <c r="K1415" s="78"/>
      <c r="L1415" s="78"/>
      <c r="M1415" s="153"/>
      <c r="N1415" s="78"/>
      <c r="O1415" s="78"/>
      <c r="P1415" s="153"/>
      <c r="Q1415" s="78"/>
      <c r="R1415" s="78"/>
      <c r="S1415" s="153"/>
      <c r="T1415" s="78"/>
      <c r="U1415" s="78"/>
      <c r="V1415" s="152"/>
      <c r="W1415" s="78"/>
      <c r="X1415" s="78"/>
    </row>
    <row r="1416" spans="1:24" ht="42" customHeight="1">
      <c r="A1416" s="78"/>
      <c r="B1416" s="149"/>
      <c r="C1416" s="149"/>
      <c r="D1416" s="78"/>
      <c r="E1416" s="78"/>
      <c r="F1416" s="78"/>
      <c r="G1416" s="150"/>
      <c r="H1416" s="78"/>
      <c r="I1416" s="151"/>
      <c r="J1416" s="78"/>
      <c r="K1416" s="78"/>
      <c r="L1416" s="78"/>
      <c r="M1416" s="153"/>
      <c r="N1416" s="78"/>
      <c r="O1416" s="78"/>
      <c r="P1416" s="153"/>
      <c r="Q1416" s="78"/>
      <c r="R1416" s="78"/>
      <c r="S1416" s="153"/>
      <c r="T1416" s="78"/>
      <c r="U1416" s="78"/>
      <c r="V1416" s="152"/>
      <c r="W1416" s="78"/>
      <c r="X1416" s="78"/>
    </row>
    <row r="1417" spans="1:24" ht="42" customHeight="1">
      <c r="A1417" s="78"/>
      <c r="B1417" s="149"/>
      <c r="C1417" s="149"/>
      <c r="D1417" s="78"/>
      <c r="E1417" s="78"/>
      <c r="F1417" s="78"/>
      <c r="G1417" s="150"/>
      <c r="H1417" s="78"/>
      <c r="I1417" s="151"/>
      <c r="J1417" s="78"/>
      <c r="K1417" s="78"/>
      <c r="L1417" s="78"/>
      <c r="M1417" s="153"/>
      <c r="N1417" s="78"/>
      <c r="O1417" s="78"/>
      <c r="P1417" s="153"/>
      <c r="Q1417" s="78"/>
      <c r="R1417" s="78"/>
      <c r="S1417" s="153"/>
      <c r="T1417" s="78"/>
      <c r="U1417" s="78"/>
      <c r="V1417" s="152"/>
      <c r="W1417" s="78"/>
      <c r="X1417" s="78"/>
    </row>
    <row r="1418" spans="1:24" ht="42" customHeight="1">
      <c r="A1418" s="78"/>
      <c r="B1418" s="149"/>
      <c r="C1418" s="149"/>
      <c r="D1418" s="78"/>
      <c r="E1418" s="78"/>
      <c r="F1418" s="78"/>
      <c r="G1418" s="150"/>
      <c r="H1418" s="78"/>
      <c r="I1418" s="151"/>
      <c r="J1418" s="78"/>
      <c r="K1418" s="78"/>
      <c r="L1418" s="78"/>
      <c r="M1418" s="153"/>
      <c r="N1418" s="78"/>
      <c r="O1418" s="78"/>
      <c r="P1418" s="153"/>
      <c r="Q1418" s="78"/>
      <c r="R1418" s="78"/>
      <c r="S1418" s="153"/>
      <c r="T1418" s="78"/>
      <c r="U1418" s="78"/>
      <c r="V1418" s="152"/>
      <c r="W1418" s="78"/>
      <c r="X1418" s="78"/>
    </row>
    <row r="1419" spans="1:24" ht="42" customHeight="1">
      <c r="A1419" s="78"/>
      <c r="B1419" s="149"/>
      <c r="C1419" s="149"/>
      <c r="D1419" s="78"/>
      <c r="E1419" s="78"/>
      <c r="F1419" s="78"/>
      <c r="G1419" s="150"/>
      <c r="H1419" s="78"/>
      <c r="I1419" s="151"/>
      <c r="J1419" s="78"/>
      <c r="K1419" s="78"/>
      <c r="L1419" s="78"/>
      <c r="M1419" s="153"/>
      <c r="N1419" s="78"/>
      <c r="O1419" s="78"/>
      <c r="P1419" s="153"/>
      <c r="Q1419" s="78"/>
      <c r="R1419" s="78"/>
      <c r="S1419" s="153"/>
      <c r="T1419" s="78"/>
      <c r="U1419" s="78"/>
      <c r="V1419" s="152"/>
      <c r="W1419" s="78"/>
      <c r="X1419" s="78"/>
    </row>
    <row r="1420" spans="1:24" ht="42" customHeight="1">
      <c r="A1420" s="78"/>
      <c r="B1420" s="149"/>
      <c r="C1420" s="149"/>
      <c r="D1420" s="78"/>
      <c r="E1420" s="78"/>
      <c r="F1420" s="78"/>
      <c r="G1420" s="150"/>
      <c r="H1420" s="78"/>
      <c r="I1420" s="151"/>
      <c r="J1420" s="78"/>
      <c r="K1420" s="78"/>
      <c r="L1420" s="78"/>
      <c r="M1420" s="153"/>
      <c r="N1420" s="78"/>
      <c r="O1420" s="78"/>
      <c r="P1420" s="153"/>
      <c r="Q1420" s="78"/>
      <c r="R1420" s="78"/>
      <c r="S1420" s="153"/>
      <c r="T1420" s="78"/>
      <c r="U1420" s="78"/>
      <c r="V1420" s="152"/>
      <c r="W1420" s="78"/>
      <c r="X1420" s="78"/>
    </row>
    <row r="1421" spans="1:24" ht="42" customHeight="1">
      <c r="A1421" s="78"/>
      <c r="B1421" s="149"/>
      <c r="C1421" s="149"/>
      <c r="D1421" s="78"/>
      <c r="E1421" s="78"/>
      <c r="F1421" s="78"/>
      <c r="G1421" s="150"/>
      <c r="H1421" s="78"/>
      <c r="I1421" s="151"/>
      <c r="J1421" s="78"/>
      <c r="K1421" s="78"/>
      <c r="L1421" s="78"/>
      <c r="M1421" s="153"/>
      <c r="N1421" s="78"/>
      <c r="O1421" s="78"/>
      <c r="P1421" s="153"/>
      <c r="Q1421" s="78"/>
      <c r="R1421" s="78"/>
      <c r="S1421" s="153"/>
      <c r="T1421" s="78"/>
      <c r="U1421" s="78"/>
      <c r="V1421" s="152"/>
      <c r="W1421" s="78"/>
      <c r="X1421" s="78"/>
    </row>
    <row r="1422" spans="1:24" ht="42" customHeight="1">
      <c r="A1422" s="78"/>
      <c r="B1422" s="149"/>
      <c r="C1422" s="149"/>
      <c r="D1422" s="78"/>
      <c r="E1422" s="78"/>
      <c r="F1422" s="78"/>
      <c r="G1422" s="150"/>
      <c r="H1422" s="78"/>
      <c r="I1422" s="151"/>
      <c r="J1422" s="78"/>
      <c r="K1422" s="78"/>
      <c r="L1422" s="78"/>
      <c r="M1422" s="153"/>
      <c r="N1422" s="78"/>
      <c r="O1422" s="78"/>
      <c r="P1422" s="153"/>
      <c r="Q1422" s="78"/>
      <c r="R1422" s="78"/>
      <c r="S1422" s="153"/>
      <c r="T1422" s="78"/>
      <c r="U1422" s="78"/>
      <c r="V1422" s="152"/>
      <c r="W1422" s="78"/>
      <c r="X1422" s="78"/>
    </row>
    <row r="1423" spans="1:24" ht="42" customHeight="1">
      <c r="A1423" s="78"/>
      <c r="B1423" s="149"/>
      <c r="C1423" s="149"/>
      <c r="D1423" s="78"/>
      <c r="E1423" s="78"/>
      <c r="F1423" s="78"/>
      <c r="G1423" s="150"/>
      <c r="H1423" s="78"/>
      <c r="I1423" s="151"/>
      <c r="J1423" s="78"/>
      <c r="K1423" s="78"/>
      <c r="L1423" s="78"/>
      <c r="M1423" s="153"/>
      <c r="N1423" s="78"/>
      <c r="O1423" s="78"/>
      <c r="P1423" s="153"/>
      <c r="Q1423" s="78"/>
      <c r="R1423" s="78"/>
      <c r="S1423" s="153"/>
      <c r="T1423" s="78"/>
      <c r="U1423" s="78"/>
      <c r="V1423" s="152"/>
      <c r="W1423" s="78"/>
      <c r="X1423" s="78"/>
    </row>
    <row r="1424" spans="1:24" ht="42" customHeight="1">
      <c r="A1424" s="78"/>
      <c r="B1424" s="149"/>
      <c r="C1424" s="149"/>
      <c r="D1424" s="78"/>
      <c r="E1424" s="78"/>
      <c r="F1424" s="78"/>
      <c r="G1424" s="150"/>
      <c r="H1424" s="78"/>
      <c r="I1424" s="151"/>
      <c r="J1424" s="78"/>
      <c r="K1424" s="78"/>
      <c r="L1424" s="78"/>
      <c r="M1424" s="153"/>
      <c r="N1424" s="78"/>
      <c r="O1424" s="78"/>
      <c r="P1424" s="153"/>
      <c r="Q1424" s="78"/>
      <c r="R1424" s="78"/>
      <c r="S1424" s="153"/>
      <c r="T1424" s="78"/>
      <c r="U1424" s="78"/>
      <c r="V1424" s="152"/>
      <c r="W1424" s="78"/>
      <c r="X1424" s="78"/>
    </row>
    <row r="1425" spans="1:24" ht="42" customHeight="1">
      <c r="A1425" s="78"/>
      <c r="B1425" s="149"/>
      <c r="C1425" s="149"/>
      <c r="D1425" s="78"/>
      <c r="E1425" s="78"/>
      <c r="F1425" s="78"/>
      <c r="G1425" s="150"/>
      <c r="H1425" s="78"/>
      <c r="I1425" s="151"/>
      <c r="J1425" s="78"/>
      <c r="K1425" s="78"/>
      <c r="L1425" s="78"/>
      <c r="M1425" s="153"/>
      <c r="N1425" s="78"/>
      <c r="O1425" s="78"/>
      <c r="P1425" s="153"/>
      <c r="Q1425" s="78"/>
      <c r="R1425" s="78"/>
      <c r="S1425" s="153"/>
      <c r="T1425" s="78"/>
      <c r="U1425" s="78"/>
      <c r="V1425" s="152"/>
      <c r="W1425" s="78"/>
      <c r="X1425" s="78"/>
    </row>
    <row r="1426" spans="1:24" ht="42" customHeight="1">
      <c r="A1426" s="78"/>
      <c r="B1426" s="149"/>
      <c r="C1426" s="149"/>
      <c r="D1426" s="78"/>
      <c r="E1426" s="78"/>
      <c r="F1426" s="78"/>
      <c r="G1426" s="150"/>
      <c r="H1426" s="78"/>
      <c r="I1426" s="151"/>
      <c r="J1426" s="78"/>
      <c r="K1426" s="78"/>
      <c r="L1426" s="78"/>
      <c r="M1426" s="153"/>
      <c r="N1426" s="78"/>
      <c r="O1426" s="78"/>
      <c r="P1426" s="153"/>
      <c r="Q1426" s="78"/>
      <c r="R1426" s="78"/>
      <c r="S1426" s="153"/>
      <c r="T1426" s="78"/>
      <c r="U1426" s="78"/>
      <c r="V1426" s="152"/>
      <c r="W1426" s="78"/>
      <c r="X1426" s="78"/>
    </row>
    <row r="1427" spans="1:24" ht="42" customHeight="1">
      <c r="A1427" s="78"/>
      <c r="B1427" s="149"/>
      <c r="C1427" s="149"/>
      <c r="D1427" s="78"/>
      <c r="E1427" s="78"/>
      <c r="F1427" s="78"/>
      <c r="G1427" s="150"/>
      <c r="H1427" s="78"/>
      <c r="I1427" s="151"/>
      <c r="J1427" s="78"/>
      <c r="K1427" s="78"/>
      <c r="L1427" s="78"/>
      <c r="M1427" s="153"/>
      <c r="N1427" s="78"/>
      <c r="O1427" s="78"/>
      <c r="P1427" s="153"/>
      <c r="Q1427" s="78"/>
      <c r="R1427" s="78"/>
      <c r="S1427" s="153"/>
      <c r="T1427" s="78"/>
      <c r="U1427" s="78"/>
      <c r="V1427" s="152"/>
      <c r="W1427" s="78"/>
      <c r="X1427" s="78"/>
    </row>
    <row r="1428" spans="1:24" ht="42" customHeight="1">
      <c r="A1428" s="78"/>
      <c r="B1428" s="149"/>
      <c r="C1428" s="149"/>
      <c r="D1428" s="78"/>
      <c r="E1428" s="78"/>
      <c r="F1428" s="78"/>
      <c r="G1428" s="150"/>
      <c r="H1428" s="78"/>
      <c r="I1428" s="151"/>
      <c r="J1428" s="78"/>
      <c r="K1428" s="78"/>
      <c r="L1428" s="78"/>
      <c r="M1428" s="153"/>
      <c r="N1428" s="78"/>
      <c r="O1428" s="78"/>
      <c r="P1428" s="153"/>
      <c r="Q1428" s="78"/>
      <c r="R1428" s="78"/>
      <c r="S1428" s="153"/>
      <c r="T1428" s="78"/>
      <c r="U1428" s="78"/>
      <c r="V1428" s="152"/>
      <c r="W1428" s="78"/>
      <c r="X1428" s="78"/>
    </row>
    <row r="1429" spans="1:24" ht="42" customHeight="1">
      <c r="A1429" s="78"/>
      <c r="B1429" s="149"/>
      <c r="C1429" s="149"/>
      <c r="D1429" s="78"/>
      <c r="E1429" s="78"/>
      <c r="F1429" s="78"/>
      <c r="G1429" s="150"/>
      <c r="H1429" s="78"/>
      <c r="I1429" s="151"/>
      <c r="J1429" s="78"/>
      <c r="K1429" s="78"/>
      <c r="L1429" s="78"/>
      <c r="M1429" s="153"/>
      <c r="N1429" s="78"/>
      <c r="O1429" s="78"/>
      <c r="P1429" s="153"/>
      <c r="Q1429" s="78"/>
      <c r="R1429" s="78"/>
      <c r="S1429" s="153"/>
      <c r="T1429" s="78"/>
      <c r="U1429" s="78"/>
      <c r="V1429" s="152"/>
      <c r="W1429" s="78"/>
      <c r="X1429" s="78"/>
    </row>
    <row r="1430" spans="1:24" ht="42" customHeight="1">
      <c r="A1430" s="78"/>
      <c r="B1430" s="149"/>
      <c r="C1430" s="149"/>
      <c r="D1430" s="78"/>
      <c r="E1430" s="78"/>
      <c r="F1430" s="78"/>
      <c r="G1430" s="150"/>
      <c r="H1430" s="78"/>
      <c r="I1430" s="151"/>
      <c r="J1430" s="78"/>
      <c r="K1430" s="78"/>
      <c r="L1430" s="78"/>
      <c r="M1430" s="153"/>
      <c r="N1430" s="78"/>
      <c r="O1430" s="78"/>
      <c r="P1430" s="153"/>
      <c r="Q1430" s="78"/>
      <c r="R1430" s="78"/>
      <c r="S1430" s="153"/>
      <c r="T1430" s="78"/>
      <c r="U1430" s="78"/>
      <c r="V1430" s="152"/>
      <c r="W1430" s="78"/>
      <c r="X1430" s="78"/>
    </row>
    <row r="1431" spans="1:24" ht="42" customHeight="1">
      <c r="A1431" s="78"/>
      <c r="B1431" s="149"/>
      <c r="C1431" s="149"/>
      <c r="D1431" s="78"/>
      <c r="E1431" s="78"/>
      <c r="F1431" s="78"/>
      <c r="G1431" s="150"/>
      <c r="H1431" s="78"/>
      <c r="I1431" s="151"/>
      <c r="J1431" s="78"/>
      <c r="K1431" s="78"/>
      <c r="L1431" s="78"/>
      <c r="M1431" s="153"/>
      <c r="N1431" s="78"/>
      <c r="O1431" s="78"/>
      <c r="P1431" s="153"/>
      <c r="Q1431" s="78"/>
      <c r="R1431" s="78"/>
      <c r="S1431" s="153"/>
      <c r="T1431" s="78"/>
      <c r="U1431" s="78"/>
      <c r="V1431" s="152"/>
      <c r="W1431" s="78"/>
      <c r="X1431" s="78"/>
    </row>
    <row r="1432" spans="1:24" ht="42" customHeight="1">
      <c r="A1432" s="78"/>
      <c r="B1432" s="149"/>
      <c r="C1432" s="149"/>
      <c r="D1432" s="78"/>
      <c r="E1432" s="78"/>
      <c r="F1432" s="78"/>
      <c r="G1432" s="150"/>
      <c r="H1432" s="78"/>
      <c r="I1432" s="151"/>
      <c r="J1432" s="78"/>
      <c r="K1432" s="78"/>
      <c r="L1432" s="78"/>
      <c r="M1432" s="153"/>
      <c r="N1432" s="78"/>
      <c r="O1432" s="78"/>
      <c r="P1432" s="153"/>
      <c r="Q1432" s="78"/>
      <c r="R1432" s="78"/>
      <c r="S1432" s="153"/>
      <c r="T1432" s="78"/>
      <c r="U1432" s="78"/>
      <c r="V1432" s="152"/>
      <c r="W1432" s="78"/>
      <c r="X1432" s="78"/>
    </row>
    <row r="1433" spans="1:24" ht="42" customHeight="1">
      <c r="A1433" s="78"/>
      <c r="B1433" s="149"/>
      <c r="C1433" s="149"/>
      <c r="D1433" s="78"/>
      <c r="E1433" s="78"/>
      <c r="F1433" s="78"/>
      <c r="G1433" s="150"/>
      <c r="H1433" s="78"/>
      <c r="I1433" s="151"/>
      <c r="J1433" s="78"/>
      <c r="K1433" s="78"/>
      <c r="L1433" s="78"/>
      <c r="M1433" s="153"/>
      <c r="N1433" s="78"/>
      <c r="O1433" s="78"/>
      <c r="P1433" s="153"/>
      <c r="Q1433" s="78"/>
      <c r="R1433" s="78"/>
      <c r="S1433" s="153"/>
      <c r="T1433" s="78"/>
      <c r="U1433" s="78"/>
      <c r="V1433" s="152"/>
      <c r="W1433" s="78"/>
      <c r="X1433" s="78"/>
    </row>
    <row r="1434" spans="1:24" ht="42" customHeight="1">
      <c r="A1434" s="78"/>
      <c r="B1434" s="149"/>
      <c r="C1434" s="149"/>
      <c r="D1434" s="78"/>
      <c r="E1434" s="78"/>
      <c r="F1434" s="78"/>
      <c r="G1434" s="150"/>
      <c r="H1434" s="78"/>
      <c r="I1434" s="151"/>
      <c r="J1434" s="78"/>
      <c r="K1434" s="78"/>
      <c r="L1434" s="78"/>
      <c r="M1434" s="153"/>
      <c r="N1434" s="78"/>
      <c r="O1434" s="78"/>
      <c r="P1434" s="153"/>
      <c r="Q1434" s="78"/>
      <c r="R1434" s="78"/>
      <c r="S1434" s="153"/>
      <c r="T1434" s="78"/>
      <c r="U1434" s="78"/>
      <c r="V1434" s="152"/>
      <c r="W1434" s="78"/>
      <c r="X1434" s="78"/>
    </row>
    <row r="1435" spans="1:24" ht="42" customHeight="1">
      <c r="A1435" s="78"/>
      <c r="B1435" s="149"/>
      <c r="C1435" s="149"/>
      <c r="D1435" s="78"/>
      <c r="E1435" s="78"/>
      <c r="F1435" s="78"/>
      <c r="G1435" s="150"/>
      <c r="H1435" s="78"/>
      <c r="I1435" s="151"/>
      <c r="J1435" s="78"/>
      <c r="K1435" s="78"/>
      <c r="L1435" s="78"/>
      <c r="M1435" s="153"/>
      <c r="N1435" s="78"/>
      <c r="O1435" s="78"/>
      <c r="P1435" s="153"/>
      <c r="Q1435" s="78"/>
      <c r="R1435" s="78"/>
      <c r="S1435" s="153"/>
      <c r="T1435" s="78"/>
      <c r="U1435" s="78"/>
      <c r="V1435" s="152"/>
      <c r="W1435" s="78"/>
      <c r="X1435" s="78"/>
    </row>
    <row r="1436" spans="1:24" ht="42" customHeight="1">
      <c r="A1436" s="78"/>
      <c r="B1436" s="149"/>
      <c r="C1436" s="149"/>
      <c r="D1436" s="78"/>
      <c r="E1436" s="78"/>
      <c r="F1436" s="78"/>
      <c r="G1436" s="150"/>
      <c r="H1436" s="78"/>
      <c r="I1436" s="151"/>
      <c r="J1436" s="78"/>
      <c r="K1436" s="78"/>
      <c r="L1436" s="78"/>
      <c r="M1436" s="153"/>
      <c r="N1436" s="78"/>
      <c r="O1436" s="78"/>
      <c r="P1436" s="153"/>
      <c r="Q1436" s="78"/>
      <c r="R1436" s="78"/>
      <c r="S1436" s="153"/>
      <c r="T1436" s="78"/>
      <c r="U1436" s="78"/>
      <c r="V1436" s="152"/>
      <c r="W1436" s="78"/>
      <c r="X1436" s="78"/>
    </row>
    <row r="1437" spans="1:24" ht="42" customHeight="1">
      <c r="A1437" s="78"/>
      <c r="B1437" s="149"/>
      <c r="C1437" s="149"/>
      <c r="D1437" s="78"/>
      <c r="E1437" s="78"/>
      <c r="F1437" s="78"/>
      <c r="G1437" s="150"/>
      <c r="H1437" s="78"/>
      <c r="I1437" s="151"/>
      <c r="J1437" s="78"/>
      <c r="K1437" s="78"/>
      <c r="L1437" s="78"/>
      <c r="M1437" s="153"/>
      <c r="N1437" s="78"/>
      <c r="O1437" s="78"/>
      <c r="P1437" s="153"/>
      <c r="Q1437" s="78"/>
      <c r="R1437" s="78"/>
      <c r="S1437" s="153"/>
      <c r="T1437" s="78"/>
      <c r="U1437" s="78"/>
      <c r="V1437" s="152"/>
      <c r="W1437" s="78"/>
      <c r="X1437" s="78"/>
    </row>
    <row r="1438" spans="1:24" ht="42" customHeight="1">
      <c r="A1438" s="78"/>
      <c r="B1438" s="149"/>
      <c r="C1438" s="149"/>
      <c r="D1438" s="78"/>
      <c r="E1438" s="78"/>
      <c r="F1438" s="78"/>
      <c r="G1438" s="150"/>
      <c r="H1438" s="78"/>
      <c r="I1438" s="151"/>
      <c r="J1438" s="78"/>
      <c r="K1438" s="78"/>
      <c r="L1438" s="78"/>
      <c r="M1438" s="153"/>
      <c r="N1438" s="78"/>
      <c r="O1438" s="78"/>
      <c r="P1438" s="153"/>
      <c r="Q1438" s="78"/>
      <c r="R1438" s="78"/>
      <c r="S1438" s="153"/>
      <c r="T1438" s="78"/>
      <c r="U1438" s="78"/>
      <c r="V1438" s="152"/>
      <c r="W1438" s="78"/>
      <c r="X1438" s="78"/>
    </row>
    <row r="1439" spans="1:24" ht="42" customHeight="1">
      <c r="A1439" s="78"/>
      <c r="B1439" s="149"/>
      <c r="C1439" s="149"/>
      <c r="D1439" s="78"/>
      <c r="E1439" s="78"/>
      <c r="F1439" s="78"/>
      <c r="G1439" s="150"/>
      <c r="H1439" s="78"/>
      <c r="I1439" s="151"/>
      <c r="J1439" s="78"/>
      <c r="K1439" s="78"/>
      <c r="L1439" s="78"/>
      <c r="M1439" s="153"/>
      <c r="N1439" s="78"/>
      <c r="O1439" s="78"/>
      <c r="P1439" s="153"/>
      <c r="Q1439" s="78"/>
      <c r="R1439" s="78"/>
      <c r="S1439" s="153"/>
      <c r="T1439" s="78"/>
      <c r="U1439" s="78"/>
      <c r="V1439" s="152"/>
      <c r="W1439" s="78"/>
      <c r="X1439" s="78"/>
    </row>
    <row r="1440" spans="1:24" ht="42" customHeight="1">
      <c r="A1440" s="78"/>
      <c r="B1440" s="149"/>
      <c r="C1440" s="149"/>
      <c r="D1440" s="78"/>
      <c r="E1440" s="78"/>
      <c r="F1440" s="78"/>
      <c r="G1440" s="150"/>
      <c r="H1440" s="78"/>
      <c r="I1440" s="151"/>
      <c r="J1440" s="78"/>
      <c r="K1440" s="78"/>
      <c r="L1440" s="78"/>
      <c r="M1440" s="153"/>
      <c r="N1440" s="78"/>
      <c r="O1440" s="78"/>
      <c r="P1440" s="153"/>
      <c r="Q1440" s="78"/>
      <c r="R1440" s="78"/>
      <c r="S1440" s="153"/>
      <c r="T1440" s="78"/>
      <c r="U1440" s="78"/>
      <c r="V1440" s="152"/>
      <c r="W1440" s="78"/>
      <c r="X1440" s="78"/>
    </row>
    <row r="1441" spans="1:24" ht="42" customHeight="1">
      <c r="A1441" s="78"/>
      <c r="B1441" s="149"/>
      <c r="C1441" s="149"/>
      <c r="D1441" s="78"/>
      <c r="E1441" s="78"/>
      <c r="F1441" s="78"/>
      <c r="G1441" s="150"/>
      <c r="H1441" s="78"/>
      <c r="I1441" s="151"/>
      <c r="J1441" s="78"/>
      <c r="K1441" s="78"/>
      <c r="L1441" s="78"/>
      <c r="M1441" s="153"/>
      <c r="N1441" s="78"/>
      <c r="O1441" s="78"/>
      <c r="P1441" s="153"/>
      <c r="Q1441" s="78"/>
      <c r="R1441" s="78"/>
      <c r="S1441" s="153"/>
      <c r="T1441" s="78"/>
      <c r="U1441" s="78"/>
      <c r="V1441" s="152"/>
      <c r="W1441" s="78"/>
      <c r="X1441" s="78"/>
    </row>
    <row r="1442" spans="1:24" ht="42" customHeight="1">
      <c r="A1442" s="78"/>
      <c r="B1442" s="149"/>
      <c r="C1442" s="149"/>
      <c r="D1442" s="78"/>
      <c r="E1442" s="78"/>
      <c r="F1442" s="78"/>
      <c r="G1442" s="150"/>
      <c r="H1442" s="78"/>
      <c r="I1442" s="151"/>
      <c r="J1442" s="78"/>
      <c r="K1442" s="78"/>
      <c r="L1442" s="78"/>
      <c r="M1442" s="153"/>
      <c r="N1442" s="78"/>
      <c r="O1442" s="78"/>
      <c r="P1442" s="153"/>
      <c r="Q1442" s="78"/>
      <c r="R1442" s="78"/>
      <c r="S1442" s="153"/>
      <c r="T1442" s="78"/>
      <c r="U1442" s="78"/>
      <c r="V1442" s="152"/>
      <c r="W1442" s="78"/>
      <c r="X1442" s="78"/>
    </row>
    <row r="1443" spans="1:24" ht="42" customHeight="1">
      <c r="A1443" s="78"/>
      <c r="B1443" s="149"/>
      <c r="C1443" s="149"/>
      <c r="D1443" s="78"/>
      <c r="E1443" s="78"/>
      <c r="F1443" s="78"/>
      <c r="G1443" s="150"/>
      <c r="H1443" s="78"/>
      <c r="I1443" s="151"/>
      <c r="J1443" s="78"/>
      <c r="K1443" s="78"/>
      <c r="L1443" s="78"/>
      <c r="M1443" s="153"/>
      <c r="N1443" s="78"/>
      <c r="O1443" s="78"/>
      <c r="P1443" s="153"/>
      <c r="Q1443" s="78"/>
      <c r="R1443" s="78"/>
      <c r="S1443" s="153"/>
      <c r="T1443" s="78"/>
      <c r="U1443" s="78"/>
      <c r="V1443" s="152"/>
      <c r="W1443" s="78"/>
      <c r="X1443" s="78"/>
    </row>
    <row r="1444" spans="1:24" ht="42" customHeight="1">
      <c r="A1444" s="78"/>
      <c r="B1444" s="149"/>
      <c r="C1444" s="149"/>
      <c r="D1444" s="78"/>
      <c r="E1444" s="78"/>
      <c r="F1444" s="78"/>
      <c r="G1444" s="150"/>
      <c r="H1444" s="78"/>
      <c r="I1444" s="151"/>
      <c r="J1444" s="78"/>
      <c r="K1444" s="78"/>
      <c r="L1444" s="78"/>
      <c r="M1444" s="153"/>
      <c r="N1444" s="78"/>
      <c r="O1444" s="78"/>
      <c r="P1444" s="153"/>
      <c r="Q1444" s="78"/>
      <c r="R1444" s="78"/>
      <c r="S1444" s="153"/>
      <c r="T1444" s="78"/>
      <c r="U1444" s="78"/>
      <c r="V1444" s="152"/>
      <c r="W1444" s="78"/>
      <c r="X1444" s="78"/>
    </row>
    <row r="1445" spans="1:24" ht="42" customHeight="1">
      <c r="A1445" s="78"/>
      <c r="B1445" s="149"/>
      <c r="C1445" s="149"/>
      <c r="D1445" s="78"/>
      <c r="E1445" s="78"/>
      <c r="F1445" s="78"/>
      <c r="G1445" s="150"/>
      <c r="H1445" s="78"/>
      <c r="I1445" s="151"/>
      <c r="J1445" s="78"/>
      <c r="K1445" s="78"/>
      <c r="L1445" s="78"/>
      <c r="M1445" s="153"/>
      <c r="N1445" s="78"/>
      <c r="O1445" s="78"/>
      <c r="P1445" s="153"/>
      <c r="Q1445" s="78"/>
      <c r="R1445" s="78"/>
      <c r="S1445" s="153"/>
      <c r="T1445" s="78"/>
      <c r="U1445" s="78"/>
      <c r="V1445" s="152"/>
      <c r="W1445" s="78"/>
      <c r="X1445" s="78"/>
    </row>
    <row r="1446" spans="1:24" ht="42" customHeight="1">
      <c r="A1446" s="78"/>
      <c r="B1446" s="149"/>
      <c r="C1446" s="149"/>
      <c r="D1446" s="78"/>
      <c r="E1446" s="78"/>
      <c r="F1446" s="78"/>
      <c r="G1446" s="150"/>
      <c r="H1446" s="78"/>
      <c r="I1446" s="151"/>
      <c r="J1446" s="78"/>
      <c r="K1446" s="78"/>
      <c r="L1446" s="78"/>
      <c r="M1446" s="153"/>
      <c r="N1446" s="78"/>
      <c r="O1446" s="78"/>
      <c r="P1446" s="153"/>
      <c r="Q1446" s="78"/>
      <c r="R1446" s="78"/>
      <c r="S1446" s="153"/>
      <c r="T1446" s="78"/>
      <c r="U1446" s="78"/>
      <c r="V1446" s="152"/>
      <c r="W1446" s="78"/>
      <c r="X1446" s="78"/>
    </row>
    <row r="1447" spans="1:24" ht="42" customHeight="1">
      <c r="A1447" s="78"/>
      <c r="B1447" s="149"/>
      <c r="C1447" s="149"/>
      <c r="D1447" s="78"/>
      <c r="E1447" s="78"/>
      <c r="F1447" s="78"/>
      <c r="G1447" s="150"/>
      <c r="H1447" s="78"/>
      <c r="I1447" s="151"/>
      <c r="J1447" s="78"/>
      <c r="K1447" s="78"/>
      <c r="L1447" s="78"/>
      <c r="M1447" s="153"/>
      <c r="N1447" s="78"/>
      <c r="O1447" s="78"/>
      <c r="P1447" s="153"/>
      <c r="Q1447" s="78"/>
      <c r="R1447" s="78"/>
      <c r="S1447" s="153"/>
      <c r="T1447" s="78"/>
      <c r="U1447" s="78"/>
      <c r="V1447" s="152"/>
      <c r="W1447" s="78"/>
      <c r="X1447" s="78"/>
    </row>
    <row r="1448" spans="1:24" ht="42" customHeight="1">
      <c r="A1448" s="78"/>
      <c r="B1448" s="149"/>
      <c r="C1448" s="149"/>
      <c r="D1448" s="78"/>
      <c r="E1448" s="78"/>
      <c r="F1448" s="78"/>
      <c r="G1448" s="150"/>
      <c r="H1448" s="78"/>
      <c r="I1448" s="151"/>
      <c r="J1448" s="78"/>
      <c r="K1448" s="78"/>
      <c r="L1448" s="78"/>
      <c r="M1448" s="153"/>
      <c r="N1448" s="78"/>
      <c r="O1448" s="78"/>
      <c r="P1448" s="153"/>
      <c r="Q1448" s="78"/>
      <c r="R1448" s="78"/>
      <c r="S1448" s="153"/>
      <c r="T1448" s="78"/>
      <c r="U1448" s="78"/>
      <c r="V1448" s="152"/>
      <c r="W1448" s="78"/>
      <c r="X1448" s="78"/>
    </row>
    <row r="1449" spans="1:24" ht="42" customHeight="1">
      <c r="A1449" s="78"/>
      <c r="B1449" s="149"/>
      <c r="C1449" s="149"/>
      <c r="D1449" s="78"/>
      <c r="E1449" s="78"/>
      <c r="F1449" s="78"/>
      <c r="G1449" s="150"/>
      <c r="H1449" s="78"/>
      <c r="I1449" s="151"/>
      <c r="J1449" s="78"/>
      <c r="K1449" s="78"/>
      <c r="L1449" s="78"/>
      <c r="M1449" s="153"/>
      <c r="N1449" s="78"/>
      <c r="O1449" s="78"/>
      <c r="P1449" s="153"/>
      <c r="Q1449" s="78"/>
      <c r="R1449" s="78"/>
      <c r="S1449" s="153"/>
      <c r="T1449" s="78"/>
      <c r="U1449" s="78"/>
      <c r="V1449" s="152"/>
      <c r="W1449" s="78"/>
      <c r="X1449" s="78"/>
    </row>
    <row r="1450" spans="1:24" ht="42" customHeight="1">
      <c r="A1450" s="78"/>
      <c r="B1450" s="149"/>
      <c r="C1450" s="149"/>
      <c r="D1450" s="78"/>
      <c r="E1450" s="78"/>
      <c r="F1450" s="78"/>
      <c r="G1450" s="150"/>
      <c r="H1450" s="78"/>
      <c r="I1450" s="151"/>
      <c r="J1450" s="78"/>
      <c r="K1450" s="78"/>
      <c r="L1450" s="78"/>
      <c r="M1450" s="153"/>
      <c r="N1450" s="78"/>
      <c r="O1450" s="78"/>
      <c r="P1450" s="153"/>
      <c r="Q1450" s="78"/>
      <c r="R1450" s="78"/>
      <c r="S1450" s="153"/>
      <c r="T1450" s="78"/>
      <c r="U1450" s="78"/>
      <c r="V1450" s="152"/>
      <c r="W1450" s="78"/>
      <c r="X1450" s="78"/>
    </row>
    <row r="1451" spans="1:24" ht="42" customHeight="1">
      <c r="A1451" s="78"/>
      <c r="B1451" s="149"/>
      <c r="C1451" s="149"/>
      <c r="D1451" s="78"/>
      <c r="E1451" s="78"/>
      <c r="F1451" s="78"/>
      <c r="G1451" s="150"/>
      <c r="H1451" s="78"/>
      <c r="I1451" s="151"/>
      <c r="J1451" s="78"/>
      <c r="K1451" s="78"/>
      <c r="L1451" s="78"/>
      <c r="M1451" s="153"/>
      <c r="N1451" s="78"/>
      <c r="O1451" s="78"/>
      <c r="P1451" s="153"/>
      <c r="Q1451" s="78"/>
      <c r="R1451" s="78"/>
      <c r="S1451" s="153"/>
      <c r="T1451" s="78"/>
      <c r="U1451" s="78"/>
      <c r="V1451" s="152"/>
      <c r="W1451" s="78"/>
      <c r="X1451" s="78"/>
    </row>
    <row r="1452" spans="1:24" ht="42" customHeight="1">
      <c r="A1452" s="78"/>
      <c r="B1452" s="149"/>
      <c r="C1452" s="149"/>
      <c r="D1452" s="78"/>
      <c r="E1452" s="78"/>
      <c r="F1452" s="78"/>
      <c r="G1452" s="150"/>
      <c r="H1452" s="78"/>
      <c r="I1452" s="151"/>
      <c r="J1452" s="78"/>
      <c r="K1452" s="78"/>
      <c r="L1452" s="78"/>
      <c r="M1452" s="153"/>
      <c r="N1452" s="78"/>
      <c r="O1452" s="78"/>
      <c r="P1452" s="153"/>
      <c r="Q1452" s="78"/>
      <c r="R1452" s="78"/>
      <c r="S1452" s="153"/>
      <c r="T1452" s="78"/>
      <c r="U1452" s="78"/>
      <c r="V1452" s="152"/>
      <c r="W1452" s="78"/>
      <c r="X1452" s="78"/>
    </row>
    <row r="1453" spans="1:24" ht="42" customHeight="1">
      <c r="A1453" s="78"/>
      <c r="B1453" s="149"/>
      <c r="C1453" s="149"/>
      <c r="D1453" s="78"/>
      <c r="E1453" s="78"/>
      <c r="F1453" s="78"/>
      <c r="G1453" s="150"/>
      <c r="H1453" s="78"/>
      <c r="I1453" s="151"/>
      <c r="J1453" s="78"/>
      <c r="K1453" s="78"/>
      <c r="L1453" s="78"/>
      <c r="M1453" s="153"/>
      <c r="N1453" s="78"/>
      <c r="O1453" s="78"/>
      <c r="P1453" s="153"/>
      <c r="Q1453" s="78"/>
      <c r="R1453" s="78"/>
      <c r="S1453" s="153"/>
      <c r="T1453" s="78"/>
      <c r="U1453" s="78"/>
      <c r="V1453" s="152"/>
      <c r="W1453" s="78"/>
      <c r="X1453" s="78"/>
    </row>
    <row r="1454" spans="1:24" ht="42" customHeight="1">
      <c r="A1454" s="78"/>
      <c r="B1454" s="149"/>
      <c r="C1454" s="149"/>
      <c r="D1454" s="78"/>
      <c r="E1454" s="78"/>
      <c r="F1454" s="78"/>
      <c r="G1454" s="150"/>
      <c r="H1454" s="78"/>
      <c r="I1454" s="151"/>
      <c r="J1454" s="78"/>
      <c r="K1454" s="78"/>
      <c r="L1454" s="78"/>
      <c r="M1454" s="153"/>
      <c r="N1454" s="78"/>
      <c r="O1454" s="78"/>
      <c r="P1454" s="153"/>
      <c r="Q1454" s="78"/>
      <c r="R1454" s="78"/>
      <c r="S1454" s="153"/>
      <c r="T1454" s="78"/>
      <c r="U1454" s="78"/>
      <c r="V1454" s="152"/>
      <c r="W1454" s="78"/>
      <c r="X1454" s="78"/>
    </row>
    <row r="1455" spans="1:24" ht="42" customHeight="1">
      <c r="A1455" s="78"/>
      <c r="B1455" s="149"/>
      <c r="C1455" s="149"/>
      <c r="D1455" s="78"/>
      <c r="E1455" s="78"/>
      <c r="F1455" s="78"/>
      <c r="G1455" s="150"/>
      <c r="H1455" s="78"/>
      <c r="I1455" s="151"/>
      <c r="J1455" s="78"/>
      <c r="K1455" s="78"/>
      <c r="L1455" s="78"/>
      <c r="M1455" s="153"/>
      <c r="N1455" s="78"/>
      <c r="O1455" s="78"/>
      <c r="P1455" s="153"/>
      <c r="Q1455" s="78"/>
      <c r="R1455" s="78"/>
      <c r="S1455" s="153"/>
      <c r="T1455" s="78"/>
      <c r="U1455" s="78"/>
      <c r="V1455" s="152"/>
      <c r="W1455" s="78"/>
      <c r="X1455" s="78"/>
    </row>
    <row r="1456" spans="1:24" ht="42" customHeight="1">
      <c r="A1456" s="78"/>
      <c r="B1456" s="149"/>
      <c r="C1456" s="149"/>
      <c r="D1456" s="78"/>
      <c r="E1456" s="78"/>
      <c r="F1456" s="78"/>
      <c r="G1456" s="150"/>
      <c r="H1456" s="78"/>
      <c r="I1456" s="151"/>
      <c r="J1456" s="78"/>
      <c r="K1456" s="78"/>
      <c r="L1456" s="78"/>
      <c r="M1456" s="153"/>
      <c r="N1456" s="78"/>
      <c r="O1456" s="78"/>
      <c r="P1456" s="153"/>
      <c r="Q1456" s="78"/>
      <c r="R1456" s="78"/>
      <c r="S1456" s="153"/>
      <c r="T1456" s="78"/>
      <c r="U1456" s="78"/>
      <c r="V1456" s="152"/>
      <c r="W1456" s="78"/>
      <c r="X1456" s="78"/>
    </row>
    <row r="1457" spans="1:24" ht="42" customHeight="1">
      <c r="A1457" s="78"/>
      <c r="B1457" s="149"/>
      <c r="C1457" s="149"/>
      <c r="D1457" s="78"/>
      <c r="E1457" s="78"/>
      <c r="F1457" s="78"/>
      <c r="G1457" s="150"/>
      <c r="H1457" s="78"/>
      <c r="I1457" s="151"/>
      <c r="J1457" s="78"/>
      <c r="K1457" s="78"/>
      <c r="L1457" s="78"/>
      <c r="M1457" s="153"/>
      <c r="N1457" s="78"/>
      <c r="O1457" s="78"/>
      <c r="P1457" s="153"/>
      <c r="Q1457" s="78"/>
      <c r="R1457" s="78"/>
      <c r="S1457" s="153"/>
      <c r="T1457" s="78"/>
      <c r="U1457" s="78"/>
      <c r="V1457" s="152"/>
      <c r="W1457" s="78"/>
      <c r="X1457" s="78"/>
    </row>
    <row r="1458" spans="1:24" ht="42" customHeight="1">
      <c r="A1458" s="78"/>
      <c r="B1458" s="149"/>
      <c r="C1458" s="149"/>
      <c r="D1458" s="78"/>
      <c r="E1458" s="78"/>
      <c r="F1458" s="78"/>
      <c r="G1458" s="150"/>
      <c r="H1458" s="78"/>
      <c r="I1458" s="151"/>
      <c r="J1458" s="78"/>
      <c r="K1458" s="78"/>
      <c r="L1458" s="78"/>
      <c r="M1458" s="153"/>
      <c r="N1458" s="78"/>
      <c r="O1458" s="78"/>
      <c r="P1458" s="153"/>
      <c r="Q1458" s="78"/>
      <c r="R1458" s="78"/>
      <c r="S1458" s="153"/>
      <c r="T1458" s="78"/>
      <c r="U1458" s="78"/>
      <c r="V1458" s="152"/>
      <c r="W1458" s="78"/>
      <c r="X1458" s="78"/>
    </row>
    <row r="1459" spans="1:24" ht="42" customHeight="1">
      <c r="A1459" s="78"/>
      <c r="B1459" s="149"/>
      <c r="C1459" s="149"/>
      <c r="D1459" s="78"/>
      <c r="E1459" s="78"/>
      <c r="F1459" s="78"/>
      <c r="G1459" s="150"/>
      <c r="H1459" s="78"/>
      <c r="I1459" s="151"/>
      <c r="J1459" s="78"/>
      <c r="K1459" s="78"/>
      <c r="L1459" s="78"/>
      <c r="M1459" s="153"/>
      <c r="N1459" s="78"/>
      <c r="O1459" s="78"/>
      <c r="P1459" s="153"/>
      <c r="Q1459" s="78"/>
      <c r="R1459" s="78"/>
      <c r="S1459" s="153"/>
      <c r="T1459" s="78"/>
      <c r="U1459" s="78"/>
      <c r="V1459" s="152"/>
      <c r="W1459" s="78"/>
      <c r="X1459" s="78"/>
    </row>
    <row r="1460" spans="1:24" ht="42" customHeight="1">
      <c r="A1460" s="78"/>
      <c r="B1460" s="149"/>
      <c r="C1460" s="149"/>
      <c r="D1460" s="78"/>
      <c r="E1460" s="78"/>
      <c r="F1460" s="78"/>
      <c r="G1460" s="150"/>
      <c r="H1460" s="78"/>
      <c r="I1460" s="151"/>
      <c r="J1460" s="78"/>
      <c r="K1460" s="78"/>
      <c r="L1460" s="78"/>
      <c r="M1460" s="153"/>
      <c r="N1460" s="78"/>
      <c r="O1460" s="78"/>
      <c r="P1460" s="153"/>
      <c r="Q1460" s="78"/>
      <c r="R1460" s="78"/>
      <c r="S1460" s="153"/>
      <c r="T1460" s="78"/>
      <c r="U1460" s="78"/>
      <c r="V1460" s="152"/>
      <c r="W1460" s="78"/>
      <c r="X1460" s="78"/>
    </row>
    <row r="1461" spans="1:24" ht="42" customHeight="1">
      <c r="A1461" s="78"/>
      <c r="B1461" s="149"/>
      <c r="C1461" s="149"/>
      <c r="D1461" s="78"/>
      <c r="E1461" s="78"/>
      <c r="F1461" s="78"/>
      <c r="G1461" s="150"/>
      <c r="H1461" s="78"/>
      <c r="I1461" s="151"/>
      <c r="J1461" s="78"/>
      <c r="K1461" s="78"/>
      <c r="L1461" s="78"/>
      <c r="M1461" s="153"/>
      <c r="N1461" s="78"/>
      <c r="O1461" s="78"/>
      <c r="P1461" s="153"/>
      <c r="Q1461" s="78"/>
      <c r="R1461" s="78"/>
      <c r="S1461" s="153"/>
      <c r="T1461" s="78"/>
      <c r="U1461" s="78"/>
      <c r="V1461" s="152"/>
      <c r="W1461" s="78"/>
      <c r="X1461" s="78"/>
    </row>
    <row r="1462" spans="1:24" ht="42" customHeight="1">
      <c r="A1462" s="78"/>
      <c r="B1462" s="149"/>
      <c r="C1462" s="149"/>
      <c r="D1462" s="78"/>
      <c r="E1462" s="78"/>
      <c r="F1462" s="78"/>
      <c r="G1462" s="150"/>
      <c r="H1462" s="78"/>
      <c r="I1462" s="151"/>
      <c r="J1462" s="78"/>
      <c r="K1462" s="78"/>
      <c r="L1462" s="78"/>
      <c r="M1462" s="153"/>
      <c r="N1462" s="78"/>
      <c r="O1462" s="78"/>
      <c r="P1462" s="153"/>
      <c r="Q1462" s="78"/>
      <c r="R1462" s="78"/>
      <c r="S1462" s="153"/>
      <c r="T1462" s="78"/>
      <c r="U1462" s="78"/>
      <c r="V1462" s="152"/>
      <c r="W1462" s="78"/>
      <c r="X1462" s="78"/>
    </row>
    <row r="1463" spans="1:24" ht="42" customHeight="1">
      <c r="A1463" s="78"/>
      <c r="B1463" s="149"/>
      <c r="C1463" s="149"/>
      <c r="D1463" s="78"/>
      <c r="E1463" s="78"/>
      <c r="F1463" s="78"/>
      <c r="G1463" s="150"/>
      <c r="H1463" s="78"/>
      <c r="I1463" s="151"/>
      <c r="J1463" s="78"/>
      <c r="K1463" s="78"/>
      <c r="L1463" s="78"/>
      <c r="M1463" s="153"/>
      <c r="N1463" s="78"/>
      <c r="O1463" s="78"/>
      <c r="P1463" s="153"/>
      <c r="Q1463" s="78"/>
      <c r="R1463" s="78"/>
      <c r="S1463" s="153"/>
      <c r="T1463" s="78"/>
      <c r="U1463" s="78"/>
      <c r="V1463" s="152"/>
      <c r="W1463" s="78"/>
      <c r="X1463" s="78"/>
    </row>
    <row r="1464" spans="1:24" ht="42" customHeight="1">
      <c r="A1464" s="78"/>
      <c r="B1464" s="149"/>
      <c r="C1464" s="149"/>
      <c r="D1464" s="78"/>
      <c r="E1464" s="78"/>
      <c r="F1464" s="78"/>
      <c r="G1464" s="150"/>
      <c r="H1464" s="78"/>
      <c r="I1464" s="151"/>
      <c r="J1464" s="78"/>
      <c r="K1464" s="78"/>
      <c r="L1464" s="78"/>
      <c r="M1464" s="153"/>
      <c r="N1464" s="78"/>
      <c r="O1464" s="78"/>
      <c r="P1464" s="153"/>
      <c r="Q1464" s="78"/>
      <c r="R1464" s="78"/>
      <c r="S1464" s="153"/>
      <c r="T1464" s="78"/>
      <c r="U1464" s="78"/>
      <c r="V1464" s="152"/>
      <c r="W1464" s="78"/>
      <c r="X1464" s="78"/>
    </row>
    <row r="1465" spans="1:24" ht="42" customHeight="1">
      <c r="A1465" s="78"/>
      <c r="B1465" s="149"/>
      <c r="C1465" s="149"/>
      <c r="D1465" s="78"/>
      <c r="E1465" s="78"/>
      <c r="F1465" s="78"/>
      <c r="G1465" s="150"/>
      <c r="H1465" s="78"/>
      <c r="I1465" s="151"/>
      <c r="J1465" s="78"/>
      <c r="K1465" s="78"/>
      <c r="L1465" s="78"/>
      <c r="M1465" s="153"/>
      <c r="N1465" s="78"/>
      <c r="O1465" s="78"/>
      <c r="P1465" s="153"/>
      <c r="Q1465" s="78"/>
      <c r="R1465" s="78"/>
      <c r="S1465" s="153"/>
      <c r="T1465" s="78"/>
      <c r="U1465" s="78"/>
      <c r="V1465" s="152"/>
      <c r="W1465" s="78"/>
      <c r="X1465" s="78"/>
    </row>
    <row r="1466" spans="1:24" ht="42" customHeight="1">
      <c r="A1466" s="78"/>
      <c r="B1466" s="149"/>
      <c r="C1466" s="149"/>
      <c r="D1466" s="78"/>
      <c r="E1466" s="78"/>
      <c r="F1466" s="78"/>
      <c r="G1466" s="150"/>
      <c r="H1466" s="78"/>
      <c r="I1466" s="151"/>
      <c r="J1466" s="78"/>
      <c r="K1466" s="78"/>
      <c r="L1466" s="78"/>
      <c r="M1466" s="153"/>
      <c r="N1466" s="78"/>
      <c r="O1466" s="78"/>
      <c r="P1466" s="153"/>
      <c r="Q1466" s="78"/>
      <c r="R1466" s="78"/>
      <c r="S1466" s="153"/>
      <c r="T1466" s="78"/>
      <c r="U1466" s="78"/>
      <c r="V1466" s="152"/>
      <c r="W1466" s="78"/>
      <c r="X1466" s="78"/>
    </row>
    <row r="1467" spans="1:24" ht="42" customHeight="1">
      <c r="A1467" s="78"/>
      <c r="B1467" s="149"/>
      <c r="C1467" s="149"/>
      <c r="D1467" s="78"/>
      <c r="E1467" s="78"/>
      <c r="F1467" s="78"/>
      <c r="G1467" s="150"/>
      <c r="H1467" s="78"/>
      <c r="I1467" s="151"/>
      <c r="J1467" s="78"/>
      <c r="K1467" s="78"/>
      <c r="L1467" s="78"/>
      <c r="M1467" s="153"/>
      <c r="N1467" s="78"/>
      <c r="O1467" s="78"/>
      <c r="P1467" s="153"/>
      <c r="Q1467" s="78"/>
      <c r="R1467" s="78"/>
      <c r="S1467" s="153"/>
      <c r="T1467" s="78"/>
      <c r="U1467" s="78"/>
      <c r="V1467" s="152"/>
      <c r="W1467" s="78"/>
      <c r="X1467" s="78"/>
    </row>
    <row r="1468" spans="1:24" ht="42" customHeight="1">
      <c r="A1468" s="78"/>
      <c r="B1468" s="149"/>
      <c r="C1468" s="149"/>
      <c r="D1468" s="78"/>
      <c r="E1468" s="78"/>
      <c r="F1468" s="78"/>
      <c r="G1468" s="150"/>
      <c r="H1468" s="78"/>
      <c r="I1468" s="151"/>
      <c r="J1468" s="78"/>
      <c r="K1468" s="78"/>
      <c r="L1468" s="78"/>
      <c r="M1468" s="153"/>
      <c r="N1468" s="78"/>
      <c r="O1468" s="78"/>
      <c r="P1468" s="153"/>
      <c r="Q1468" s="78"/>
      <c r="R1468" s="78"/>
      <c r="S1468" s="153"/>
      <c r="T1468" s="78"/>
      <c r="U1468" s="78"/>
      <c r="V1468" s="152"/>
      <c r="W1468" s="78"/>
      <c r="X1468" s="78"/>
    </row>
    <row r="1469" spans="1:24" ht="42" customHeight="1">
      <c r="A1469" s="78"/>
      <c r="B1469" s="149"/>
      <c r="C1469" s="149"/>
      <c r="D1469" s="78"/>
      <c r="E1469" s="78"/>
      <c r="F1469" s="78"/>
      <c r="G1469" s="150"/>
      <c r="H1469" s="78"/>
      <c r="I1469" s="151"/>
      <c r="J1469" s="78"/>
      <c r="K1469" s="78"/>
      <c r="L1469" s="78"/>
      <c r="M1469" s="153"/>
      <c r="N1469" s="78"/>
      <c r="O1469" s="78"/>
      <c r="P1469" s="153"/>
      <c r="Q1469" s="78"/>
      <c r="R1469" s="78"/>
      <c r="S1469" s="153"/>
      <c r="T1469" s="78"/>
      <c r="U1469" s="78"/>
      <c r="V1469" s="152"/>
      <c r="W1469" s="78"/>
      <c r="X1469" s="78"/>
    </row>
    <row r="1470" spans="1:24" ht="42" customHeight="1">
      <c r="A1470" s="78"/>
      <c r="B1470" s="149"/>
      <c r="C1470" s="149"/>
      <c r="D1470" s="78"/>
      <c r="E1470" s="78"/>
      <c r="F1470" s="78"/>
      <c r="G1470" s="150"/>
      <c r="H1470" s="78"/>
      <c r="I1470" s="151"/>
      <c r="J1470" s="78"/>
      <c r="K1470" s="78"/>
      <c r="L1470" s="78"/>
      <c r="M1470" s="153"/>
      <c r="N1470" s="78"/>
      <c r="O1470" s="78"/>
      <c r="P1470" s="153"/>
      <c r="Q1470" s="78"/>
      <c r="R1470" s="78"/>
      <c r="S1470" s="153"/>
      <c r="T1470" s="78"/>
      <c r="U1470" s="78"/>
      <c r="V1470" s="152"/>
      <c r="W1470" s="78"/>
      <c r="X1470" s="78"/>
    </row>
    <row r="1471" spans="1:24" ht="42" customHeight="1">
      <c r="A1471" s="78"/>
      <c r="B1471" s="149"/>
      <c r="C1471" s="149"/>
      <c r="D1471" s="78"/>
      <c r="E1471" s="78"/>
      <c r="F1471" s="78"/>
      <c r="G1471" s="150"/>
      <c r="H1471" s="78"/>
      <c r="I1471" s="151"/>
      <c r="J1471" s="78"/>
      <c r="K1471" s="78"/>
      <c r="L1471" s="78"/>
      <c r="M1471" s="153"/>
      <c r="N1471" s="78"/>
      <c r="O1471" s="78"/>
      <c r="P1471" s="153"/>
      <c r="Q1471" s="78"/>
      <c r="R1471" s="78"/>
      <c r="S1471" s="153"/>
      <c r="T1471" s="78"/>
      <c r="U1471" s="78"/>
      <c r="V1471" s="152"/>
      <c r="W1471" s="78"/>
      <c r="X1471" s="78"/>
    </row>
    <row r="1472" spans="1:24" ht="42" customHeight="1">
      <c r="A1472" s="78"/>
      <c r="B1472" s="149"/>
      <c r="C1472" s="149"/>
      <c r="D1472" s="78"/>
      <c r="E1472" s="78"/>
      <c r="F1472" s="78"/>
      <c r="G1472" s="150"/>
      <c r="H1472" s="78"/>
      <c r="I1472" s="151"/>
      <c r="J1472" s="78"/>
      <c r="K1472" s="78"/>
      <c r="L1472" s="78"/>
      <c r="M1472" s="153"/>
      <c r="N1472" s="78"/>
      <c r="O1472" s="78"/>
      <c r="P1472" s="153"/>
      <c r="Q1472" s="78"/>
      <c r="R1472" s="78"/>
      <c r="S1472" s="153"/>
      <c r="T1472" s="78"/>
      <c r="U1472" s="78"/>
      <c r="V1472" s="152"/>
      <c r="W1472" s="78"/>
      <c r="X1472" s="78"/>
    </row>
    <row r="1473" spans="1:24" ht="42" customHeight="1">
      <c r="A1473" s="78"/>
      <c r="B1473" s="149"/>
      <c r="C1473" s="149"/>
      <c r="D1473" s="78"/>
      <c r="E1473" s="78"/>
      <c r="F1473" s="78"/>
      <c r="G1473" s="150"/>
      <c r="H1473" s="78"/>
      <c r="I1473" s="151"/>
      <c r="J1473" s="78"/>
      <c r="K1473" s="78"/>
      <c r="L1473" s="78"/>
      <c r="M1473" s="153"/>
      <c r="N1473" s="78"/>
      <c r="O1473" s="78"/>
      <c r="P1473" s="153"/>
      <c r="Q1473" s="78"/>
      <c r="R1473" s="78"/>
      <c r="S1473" s="153"/>
      <c r="T1473" s="78"/>
      <c r="U1473" s="78"/>
      <c r="V1473" s="152"/>
      <c r="W1473" s="78"/>
      <c r="X1473" s="78"/>
    </row>
    <row r="1474" spans="1:24" ht="42" customHeight="1">
      <c r="A1474" s="78"/>
      <c r="B1474" s="149"/>
      <c r="C1474" s="149"/>
      <c r="D1474" s="78"/>
      <c r="E1474" s="78"/>
      <c r="F1474" s="78"/>
      <c r="G1474" s="150"/>
      <c r="H1474" s="78"/>
      <c r="I1474" s="151"/>
      <c r="J1474" s="78"/>
      <c r="K1474" s="78"/>
      <c r="L1474" s="78"/>
      <c r="M1474" s="153"/>
      <c r="N1474" s="78"/>
      <c r="O1474" s="78"/>
      <c r="P1474" s="153"/>
      <c r="Q1474" s="78"/>
      <c r="R1474" s="78"/>
      <c r="S1474" s="153"/>
      <c r="T1474" s="78"/>
      <c r="U1474" s="78"/>
      <c r="V1474" s="152"/>
      <c r="W1474" s="78"/>
      <c r="X1474" s="78"/>
    </row>
    <row r="1475" spans="1:24" ht="42" customHeight="1">
      <c r="A1475" s="78"/>
      <c r="B1475" s="149"/>
      <c r="C1475" s="149"/>
      <c r="D1475" s="78"/>
      <c r="E1475" s="78"/>
      <c r="F1475" s="78"/>
      <c r="G1475" s="150"/>
      <c r="H1475" s="78"/>
      <c r="I1475" s="151"/>
      <c r="J1475" s="78"/>
      <c r="K1475" s="78"/>
      <c r="L1475" s="78"/>
      <c r="M1475" s="153"/>
      <c r="N1475" s="78"/>
      <c r="O1475" s="78"/>
      <c r="P1475" s="153"/>
      <c r="Q1475" s="78"/>
      <c r="R1475" s="78"/>
      <c r="S1475" s="153"/>
      <c r="T1475" s="78"/>
      <c r="U1475" s="78"/>
      <c r="V1475" s="152"/>
      <c r="W1475" s="78"/>
      <c r="X1475" s="78"/>
    </row>
    <row r="1476" spans="1:24" ht="42" customHeight="1">
      <c r="A1476" s="78"/>
      <c r="B1476" s="149"/>
      <c r="C1476" s="149"/>
      <c r="D1476" s="78"/>
      <c r="E1476" s="78"/>
      <c r="F1476" s="78"/>
      <c r="G1476" s="150"/>
      <c r="H1476" s="78"/>
      <c r="I1476" s="151"/>
      <c r="J1476" s="78"/>
      <c r="K1476" s="78"/>
      <c r="L1476" s="78"/>
      <c r="M1476" s="153"/>
      <c r="N1476" s="78"/>
      <c r="O1476" s="78"/>
      <c r="P1476" s="153"/>
      <c r="Q1476" s="78"/>
      <c r="R1476" s="78"/>
      <c r="S1476" s="153"/>
      <c r="T1476" s="78"/>
      <c r="U1476" s="78"/>
      <c r="V1476" s="152"/>
      <c r="W1476" s="78"/>
      <c r="X1476" s="78"/>
    </row>
    <row r="1477" spans="1:24" ht="42" customHeight="1">
      <c r="A1477" s="78"/>
      <c r="B1477" s="149"/>
      <c r="C1477" s="149"/>
      <c r="D1477" s="78"/>
      <c r="E1477" s="78"/>
      <c r="F1477" s="78"/>
      <c r="G1477" s="150"/>
      <c r="H1477" s="78"/>
      <c r="I1477" s="151"/>
      <c r="J1477" s="78"/>
      <c r="K1477" s="78"/>
      <c r="L1477" s="78"/>
      <c r="M1477" s="153"/>
      <c r="N1477" s="78"/>
      <c r="O1477" s="78"/>
      <c r="P1477" s="153"/>
      <c r="Q1477" s="78"/>
      <c r="R1477" s="78"/>
      <c r="S1477" s="153"/>
      <c r="T1477" s="78"/>
      <c r="U1477" s="78"/>
      <c r="V1477" s="152"/>
      <c r="W1477" s="78"/>
      <c r="X1477" s="78"/>
    </row>
    <row r="1478" spans="1:24" ht="42" customHeight="1">
      <c r="A1478" s="78"/>
      <c r="B1478" s="149"/>
      <c r="C1478" s="149"/>
      <c r="D1478" s="78"/>
      <c r="E1478" s="78"/>
      <c r="F1478" s="78"/>
      <c r="G1478" s="150"/>
      <c r="H1478" s="78"/>
      <c r="I1478" s="151"/>
      <c r="J1478" s="78"/>
      <c r="K1478" s="78"/>
      <c r="L1478" s="78"/>
      <c r="M1478" s="153"/>
      <c r="N1478" s="78"/>
      <c r="O1478" s="78"/>
      <c r="P1478" s="153"/>
      <c r="Q1478" s="78"/>
      <c r="R1478" s="78"/>
      <c r="S1478" s="153"/>
      <c r="T1478" s="78"/>
      <c r="U1478" s="78"/>
      <c r="V1478" s="152"/>
      <c r="W1478" s="78"/>
      <c r="X1478" s="78"/>
    </row>
    <row r="1479" spans="1:24" ht="42" customHeight="1">
      <c r="A1479" s="78"/>
      <c r="B1479" s="149"/>
      <c r="C1479" s="149"/>
      <c r="D1479" s="78"/>
      <c r="E1479" s="78"/>
      <c r="F1479" s="78"/>
      <c r="G1479" s="150"/>
      <c r="H1479" s="78"/>
      <c r="I1479" s="151"/>
      <c r="J1479" s="78"/>
      <c r="K1479" s="78"/>
      <c r="L1479" s="78"/>
      <c r="M1479" s="153"/>
      <c r="N1479" s="78"/>
      <c r="O1479" s="78"/>
      <c r="P1479" s="153"/>
      <c r="Q1479" s="78"/>
      <c r="R1479" s="78"/>
      <c r="S1479" s="153"/>
      <c r="T1479" s="78"/>
      <c r="U1479" s="78"/>
      <c r="V1479" s="152"/>
      <c r="W1479" s="78"/>
      <c r="X1479" s="78"/>
    </row>
    <row r="1480" spans="1:24" ht="42" customHeight="1">
      <c r="A1480" s="78"/>
      <c r="B1480" s="149"/>
      <c r="C1480" s="149"/>
      <c r="D1480" s="78"/>
      <c r="E1480" s="78"/>
      <c r="F1480" s="78"/>
      <c r="G1480" s="150"/>
      <c r="H1480" s="78"/>
      <c r="I1480" s="151"/>
      <c r="J1480" s="78"/>
      <c r="K1480" s="78"/>
      <c r="L1480" s="78"/>
      <c r="M1480" s="153"/>
      <c r="N1480" s="78"/>
      <c r="O1480" s="78"/>
      <c r="P1480" s="153"/>
      <c r="Q1480" s="78"/>
      <c r="R1480" s="78"/>
      <c r="S1480" s="153"/>
      <c r="T1480" s="78"/>
      <c r="U1480" s="78"/>
      <c r="V1480" s="152"/>
      <c r="W1480" s="78"/>
      <c r="X1480" s="78"/>
    </row>
    <row r="1481" spans="1:24" ht="42" customHeight="1">
      <c r="A1481" s="78"/>
      <c r="B1481" s="149"/>
      <c r="C1481" s="149"/>
      <c r="D1481" s="78"/>
      <c r="E1481" s="78"/>
      <c r="F1481" s="78"/>
      <c r="G1481" s="150"/>
      <c r="H1481" s="78"/>
      <c r="I1481" s="151"/>
      <c r="J1481" s="78"/>
      <c r="K1481" s="78"/>
      <c r="L1481" s="78"/>
      <c r="M1481" s="153"/>
      <c r="N1481" s="78"/>
      <c r="O1481" s="78"/>
      <c r="P1481" s="153"/>
      <c r="Q1481" s="78"/>
      <c r="R1481" s="78"/>
      <c r="S1481" s="153"/>
      <c r="T1481" s="78"/>
      <c r="U1481" s="78"/>
      <c r="V1481" s="152"/>
      <c r="W1481" s="78"/>
      <c r="X1481" s="78"/>
    </row>
    <row r="1482" spans="1:24" ht="42" customHeight="1">
      <c r="A1482" s="78"/>
      <c r="B1482" s="149"/>
      <c r="C1482" s="149"/>
      <c r="D1482" s="78"/>
      <c r="E1482" s="78"/>
      <c r="F1482" s="78"/>
      <c r="G1482" s="150"/>
      <c r="H1482" s="78"/>
      <c r="I1482" s="151"/>
      <c r="J1482" s="78"/>
      <c r="K1482" s="78"/>
      <c r="L1482" s="78"/>
      <c r="M1482" s="153"/>
      <c r="N1482" s="78"/>
      <c r="O1482" s="78"/>
      <c r="P1482" s="153"/>
      <c r="Q1482" s="78"/>
      <c r="R1482" s="78"/>
      <c r="S1482" s="153"/>
      <c r="T1482" s="78"/>
      <c r="U1482" s="78"/>
      <c r="V1482" s="152"/>
      <c r="W1482" s="78"/>
      <c r="X1482" s="78"/>
    </row>
    <row r="1483" spans="1:24" ht="42" customHeight="1">
      <c r="A1483" s="78"/>
      <c r="B1483" s="149"/>
      <c r="C1483" s="149"/>
      <c r="D1483" s="78"/>
      <c r="E1483" s="78"/>
      <c r="F1483" s="78"/>
      <c r="G1483" s="150"/>
      <c r="H1483" s="78"/>
      <c r="I1483" s="151"/>
      <c r="J1483" s="78"/>
      <c r="K1483" s="78"/>
      <c r="L1483" s="78"/>
      <c r="M1483" s="153"/>
      <c r="N1483" s="78"/>
      <c r="O1483" s="78"/>
      <c r="P1483" s="153"/>
      <c r="Q1483" s="78"/>
      <c r="R1483" s="78"/>
      <c r="S1483" s="153"/>
      <c r="T1483" s="78"/>
      <c r="U1483" s="78"/>
      <c r="V1483" s="152"/>
      <c r="W1483" s="78"/>
      <c r="X1483" s="78"/>
    </row>
    <row r="1484" spans="1:24" ht="42" customHeight="1">
      <c r="A1484" s="78"/>
      <c r="B1484" s="149"/>
      <c r="C1484" s="149"/>
      <c r="D1484" s="78"/>
      <c r="E1484" s="78"/>
      <c r="F1484" s="78"/>
      <c r="G1484" s="150"/>
      <c r="H1484" s="78"/>
      <c r="I1484" s="151"/>
      <c r="J1484" s="78"/>
      <c r="K1484" s="78"/>
      <c r="L1484" s="78"/>
      <c r="M1484" s="153"/>
      <c r="N1484" s="78"/>
      <c r="O1484" s="78"/>
      <c r="P1484" s="153"/>
      <c r="Q1484" s="78"/>
      <c r="R1484" s="78"/>
      <c r="S1484" s="153"/>
      <c r="T1484" s="78"/>
      <c r="U1484" s="78"/>
      <c r="V1484" s="152"/>
      <c r="W1484" s="78"/>
      <c r="X1484" s="78"/>
    </row>
    <row r="1485" spans="1:24" ht="42" customHeight="1">
      <c r="A1485" s="78"/>
      <c r="B1485" s="149"/>
      <c r="C1485" s="149"/>
      <c r="D1485" s="78"/>
      <c r="E1485" s="78"/>
      <c r="F1485" s="78"/>
      <c r="G1485" s="150"/>
      <c r="H1485" s="78"/>
      <c r="I1485" s="151"/>
      <c r="J1485" s="78"/>
      <c r="K1485" s="78"/>
      <c r="L1485" s="78"/>
      <c r="M1485" s="153"/>
      <c r="N1485" s="78"/>
      <c r="O1485" s="78"/>
      <c r="P1485" s="153"/>
      <c r="Q1485" s="78"/>
      <c r="R1485" s="78"/>
      <c r="S1485" s="153"/>
      <c r="T1485" s="78"/>
      <c r="U1485" s="78"/>
      <c r="V1485" s="152"/>
      <c r="W1485" s="78"/>
      <c r="X1485" s="78"/>
    </row>
    <row r="1486" spans="1:24" ht="42" customHeight="1">
      <c r="A1486" s="78"/>
      <c r="B1486" s="149"/>
      <c r="C1486" s="149"/>
      <c r="D1486" s="78"/>
      <c r="E1486" s="78"/>
      <c r="F1486" s="78"/>
      <c r="G1486" s="150"/>
      <c r="H1486" s="78"/>
      <c r="I1486" s="151"/>
      <c r="J1486" s="78"/>
      <c r="K1486" s="78"/>
      <c r="L1486" s="78"/>
      <c r="M1486" s="153"/>
      <c r="N1486" s="78"/>
      <c r="O1486" s="78"/>
      <c r="P1486" s="153"/>
      <c r="Q1486" s="78"/>
      <c r="R1486" s="78"/>
      <c r="S1486" s="153"/>
      <c r="T1486" s="78"/>
      <c r="U1486" s="78"/>
      <c r="V1486" s="152"/>
      <c r="W1486" s="78"/>
      <c r="X1486" s="78"/>
    </row>
    <row r="1487" spans="1:24" ht="42" customHeight="1">
      <c r="A1487" s="78"/>
      <c r="B1487" s="149"/>
      <c r="C1487" s="149"/>
      <c r="D1487" s="78"/>
      <c r="E1487" s="78"/>
      <c r="F1487" s="78"/>
      <c r="G1487" s="150"/>
      <c r="H1487" s="78"/>
      <c r="I1487" s="151"/>
      <c r="J1487" s="78"/>
      <c r="K1487" s="78"/>
      <c r="L1487" s="78"/>
      <c r="M1487" s="153"/>
      <c r="N1487" s="78"/>
      <c r="O1487" s="78"/>
      <c r="P1487" s="153"/>
      <c r="Q1487" s="78"/>
      <c r="R1487" s="78"/>
      <c r="S1487" s="153"/>
      <c r="T1487" s="78"/>
      <c r="U1487" s="78"/>
      <c r="V1487" s="152"/>
      <c r="W1487" s="78"/>
      <c r="X1487" s="78"/>
    </row>
    <row r="1488" spans="1:24" ht="42" customHeight="1">
      <c r="A1488" s="78"/>
      <c r="B1488" s="149"/>
      <c r="C1488" s="149"/>
      <c r="D1488" s="78"/>
      <c r="E1488" s="78"/>
      <c r="F1488" s="78"/>
      <c r="G1488" s="150"/>
      <c r="H1488" s="78"/>
      <c r="I1488" s="151"/>
      <c r="J1488" s="78"/>
      <c r="K1488" s="78"/>
      <c r="L1488" s="78"/>
      <c r="M1488" s="153"/>
      <c r="N1488" s="78"/>
      <c r="O1488" s="78"/>
      <c r="P1488" s="153"/>
      <c r="Q1488" s="78"/>
      <c r="R1488" s="78"/>
      <c r="S1488" s="153"/>
      <c r="T1488" s="78"/>
      <c r="U1488" s="78"/>
      <c r="V1488" s="152"/>
      <c r="W1488" s="78"/>
      <c r="X1488" s="78"/>
    </row>
    <row r="1489" spans="1:24" ht="42" customHeight="1">
      <c r="A1489" s="78"/>
      <c r="B1489" s="149"/>
      <c r="C1489" s="149"/>
      <c r="D1489" s="78"/>
      <c r="E1489" s="78"/>
      <c r="F1489" s="78"/>
      <c r="G1489" s="150"/>
      <c r="H1489" s="78"/>
      <c r="I1489" s="151"/>
      <c r="J1489" s="78"/>
      <c r="K1489" s="78"/>
      <c r="L1489" s="78"/>
      <c r="M1489" s="153"/>
      <c r="N1489" s="78"/>
      <c r="O1489" s="78"/>
      <c r="P1489" s="153"/>
      <c r="Q1489" s="78"/>
      <c r="R1489" s="78"/>
      <c r="S1489" s="153"/>
      <c r="T1489" s="78"/>
      <c r="U1489" s="78"/>
      <c r="V1489" s="152"/>
      <c r="W1489" s="78"/>
      <c r="X1489" s="78"/>
    </row>
    <row r="1490" spans="1:24" ht="42" customHeight="1">
      <c r="A1490" s="78"/>
      <c r="B1490" s="149"/>
      <c r="C1490" s="149"/>
      <c r="D1490" s="78"/>
      <c r="E1490" s="78"/>
      <c r="F1490" s="78"/>
      <c r="G1490" s="150"/>
      <c r="H1490" s="78"/>
      <c r="I1490" s="151"/>
      <c r="J1490" s="78"/>
      <c r="K1490" s="78"/>
      <c r="L1490" s="78"/>
      <c r="M1490" s="153"/>
      <c r="N1490" s="78"/>
      <c r="O1490" s="78"/>
      <c r="P1490" s="153"/>
      <c r="Q1490" s="78"/>
      <c r="R1490" s="78"/>
      <c r="S1490" s="153"/>
      <c r="T1490" s="78"/>
      <c r="U1490" s="78"/>
      <c r="V1490" s="152"/>
      <c r="W1490" s="78"/>
      <c r="X1490" s="78"/>
    </row>
    <row r="1491" spans="1:24" ht="42" customHeight="1">
      <c r="A1491" s="78"/>
      <c r="B1491" s="149"/>
      <c r="C1491" s="149"/>
      <c r="D1491" s="78"/>
      <c r="E1491" s="78"/>
      <c r="F1491" s="78"/>
      <c r="G1491" s="150"/>
      <c r="H1491" s="78"/>
      <c r="I1491" s="151"/>
      <c r="J1491" s="78"/>
      <c r="K1491" s="78"/>
      <c r="L1491" s="78"/>
      <c r="M1491" s="153"/>
      <c r="N1491" s="78"/>
      <c r="O1491" s="78"/>
      <c r="P1491" s="153"/>
      <c r="Q1491" s="78"/>
      <c r="R1491" s="78"/>
      <c r="S1491" s="153"/>
      <c r="T1491" s="78"/>
      <c r="U1491" s="78"/>
      <c r="V1491" s="152"/>
      <c r="W1491" s="78"/>
      <c r="X1491" s="78"/>
    </row>
    <row r="1492" spans="1:24" ht="42" customHeight="1">
      <c r="A1492" s="78"/>
      <c r="B1492" s="149"/>
      <c r="C1492" s="149"/>
      <c r="D1492" s="78"/>
      <c r="E1492" s="78"/>
      <c r="F1492" s="78"/>
      <c r="G1492" s="150"/>
      <c r="H1492" s="78"/>
      <c r="I1492" s="151"/>
      <c r="J1492" s="78"/>
      <c r="K1492" s="78"/>
      <c r="L1492" s="78"/>
      <c r="M1492" s="153"/>
      <c r="N1492" s="78"/>
      <c r="O1492" s="78"/>
      <c r="P1492" s="153"/>
      <c r="Q1492" s="78"/>
      <c r="R1492" s="78"/>
      <c r="S1492" s="153"/>
      <c r="T1492" s="78"/>
      <c r="U1492" s="78"/>
      <c r="V1492" s="152"/>
      <c r="W1492" s="78"/>
      <c r="X1492" s="78"/>
    </row>
    <row r="1493" spans="1:24" ht="42" customHeight="1">
      <c r="A1493" s="78"/>
      <c r="B1493" s="149"/>
      <c r="C1493" s="149"/>
      <c r="D1493" s="78"/>
      <c r="E1493" s="78"/>
      <c r="F1493" s="78"/>
      <c r="G1493" s="150"/>
      <c r="H1493" s="78"/>
      <c r="I1493" s="151"/>
      <c r="J1493" s="78"/>
      <c r="K1493" s="78"/>
      <c r="L1493" s="78"/>
      <c r="M1493" s="153"/>
      <c r="N1493" s="78"/>
      <c r="O1493" s="78"/>
      <c r="P1493" s="153"/>
      <c r="Q1493" s="78"/>
      <c r="R1493" s="78"/>
      <c r="S1493" s="153"/>
      <c r="T1493" s="78"/>
      <c r="U1493" s="78"/>
      <c r="V1493" s="152"/>
      <c r="W1493" s="78"/>
      <c r="X1493" s="78"/>
    </row>
    <row r="1494" spans="1:24" ht="42" customHeight="1">
      <c r="A1494" s="78"/>
      <c r="B1494" s="149"/>
      <c r="C1494" s="149"/>
      <c r="D1494" s="78"/>
      <c r="E1494" s="78"/>
      <c r="F1494" s="78"/>
      <c r="G1494" s="150"/>
      <c r="H1494" s="78"/>
      <c r="I1494" s="151"/>
      <c r="J1494" s="78"/>
      <c r="K1494" s="78"/>
      <c r="L1494" s="78"/>
      <c r="M1494" s="153"/>
      <c r="N1494" s="78"/>
      <c r="O1494" s="78"/>
      <c r="P1494" s="153"/>
      <c r="Q1494" s="78"/>
      <c r="R1494" s="78"/>
      <c r="S1494" s="153"/>
      <c r="T1494" s="78"/>
      <c r="U1494" s="78"/>
      <c r="V1494" s="152"/>
      <c r="W1494" s="78"/>
      <c r="X1494" s="78"/>
    </row>
    <row r="1495" spans="1:24" ht="42" customHeight="1">
      <c r="A1495" s="78"/>
      <c r="B1495" s="149"/>
      <c r="C1495" s="149"/>
      <c r="D1495" s="78"/>
      <c r="E1495" s="78"/>
      <c r="F1495" s="78"/>
      <c r="G1495" s="150"/>
      <c r="H1495" s="78"/>
      <c r="I1495" s="151"/>
      <c r="J1495" s="78"/>
      <c r="K1495" s="78"/>
      <c r="L1495" s="78"/>
      <c r="M1495" s="153"/>
      <c r="N1495" s="78"/>
      <c r="O1495" s="78"/>
      <c r="P1495" s="153"/>
      <c r="Q1495" s="78"/>
      <c r="R1495" s="78"/>
      <c r="S1495" s="153"/>
      <c r="T1495" s="78"/>
      <c r="U1495" s="78"/>
      <c r="V1495" s="152"/>
      <c r="W1495" s="78"/>
      <c r="X1495" s="78"/>
    </row>
    <row r="1496" spans="1:24" ht="42" customHeight="1">
      <c r="A1496" s="78"/>
      <c r="B1496" s="149"/>
      <c r="C1496" s="149"/>
      <c r="D1496" s="78"/>
      <c r="E1496" s="78"/>
      <c r="F1496" s="78"/>
      <c r="G1496" s="150"/>
      <c r="H1496" s="78"/>
      <c r="I1496" s="151"/>
      <c r="J1496" s="78"/>
      <c r="K1496" s="78"/>
      <c r="L1496" s="78"/>
      <c r="M1496" s="153"/>
      <c r="N1496" s="78"/>
      <c r="O1496" s="78"/>
      <c r="P1496" s="153"/>
      <c r="Q1496" s="78"/>
      <c r="R1496" s="78"/>
      <c r="S1496" s="153"/>
      <c r="T1496" s="78"/>
      <c r="U1496" s="78"/>
      <c r="V1496" s="152"/>
      <c r="W1496" s="78"/>
      <c r="X1496" s="78"/>
    </row>
    <row r="1497" spans="1:24" ht="42" customHeight="1">
      <c r="A1497" s="78"/>
      <c r="B1497" s="149"/>
      <c r="C1497" s="149"/>
      <c r="D1497" s="78"/>
      <c r="E1497" s="78"/>
      <c r="F1497" s="78"/>
      <c r="G1497" s="150"/>
      <c r="H1497" s="78"/>
      <c r="I1497" s="151"/>
      <c r="J1497" s="78"/>
      <c r="K1497" s="78"/>
      <c r="L1497" s="78"/>
      <c r="M1497" s="153"/>
      <c r="N1497" s="78"/>
      <c r="O1497" s="78"/>
      <c r="P1497" s="153"/>
      <c r="Q1497" s="78"/>
      <c r="R1497" s="78"/>
      <c r="S1497" s="153"/>
      <c r="T1497" s="78"/>
      <c r="U1497" s="78"/>
      <c r="V1497" s="152"/>
      <c r="W1497" s="78"/>
      <c r="X1497" s="78"/>
    </row>
    <row r="1498" spans="1:24" ht="42" customHeight="1">
      <c r="A1498" s="78"/>
      <c r="B1498" s="149"/>
      <c r="C1498" s="149"/>
      <c r="D1498" s="78"/>
      <c r="E1498" s="78"/>
      <c r="F1498" s="78"/>
      <c r="G1498" s="150"/>
      <c r="H1498" s="78"/>
      <c r="I1498" s="151"/>
      <c r="J1498" s="78"/>
      <c r="K1498" s="78"/>
      <c r="L1498" s="78"/>
      <c r="M1498" s="153"/>
      <c r="N1498" s="78"/>
      <c r="O1498" s="78"/>
      <c r="P1498" s="153"/>
      <c r="Q1498" s="78"/>
      <c r="R1498" s="78"/>
      <c r="S1498" s="153"/>
      <c r="T1498" s="78"/>
      <c r="U1498" s="78"/>
      <c r="V1498" s="152"/>
      <c r="W1498" s="78"/>
      <c r="X1498" s="78"/>
    </row>
    <row r="1499" spans="1:24" ht="42" customHeight="1">
      <c r="A1499" s="78"/>
      <c r="B1499" s="149"/>
      <c r="C1499" s="149"/>
      <c r="D1499" s="78"/>
      <c r="E1499" s="78"/>
      <c r="F1499" s="78"/>
      <c r="G1499" s="150"/>
      <c r="H1499" s="78"/>
      <c r="I1499" s="151"/>
      <c r="J1499" s="78"/>
      <c r="K1499" s="78"/>
      <c r="L1499" s="78"/>
      <c r="M1499" s="153"/>
      <c r="N1499" s="78"/>
      <c r="O1499" s="78"/>
      <c r="P1499" s="153"/>
      <c r="Q1499" s="78"/>
      <c r="R1499" s="78"/>
      <c r="S1499" s="153"/>
      <c r="T1499" s="78"/>
      <c r="U1499" s="78"/>
      <c r="V1499" s="152"/>
      <c r="W1499" s="78"/>
      <c r="X1499" s="78"/>
    </row>
    <row r="1500" spans="1:24" ht="42" customHeight="1">
      <c r="A1500" s="78"/>
      <c r="B1500" s="149"/>
      <c r="C1500" s="149"/>
      <c r="D1500" s="78"/>
      <c r="E1500" s="78"/>
      <c r="F1500" s="78"/>
      <c r="G1500" s="150"/>
      <c r="H1500" s="78"/>
      <c r="I1500" s="151"/>
      <c r="J1500" s="78"/>
      <c r="K1500" s="78"/>
      <c r="L1500" s="78"/>
      <c r="M1500" s="153"/>
      <c r="N1500" s="78"/>
      <c r="O1500" s="78"/>
      <c r="P1500" s="153"/>
      <c r="Q1500" s="78"/>
      <c r="R1500" s="78"/>
      <c r="S1500" s="153"/>
      <c r="T1500" s="78"/>
      <c r="U1500" s="78"/>
      <c r="V1500" s="152"/>
      <c r="W1500" s="78"/>
      <c r="X1500" s="78"/>
    </row>
    <row r="1501" spans="1:24" ht="42" customHeight="1">
      <c r="A1501" s="78"/>
      <c r="B1501" s="149"/>
      <c r="C1501" s="149"/>
      <c r="D1501" s="78"/>
      <c r="E1501" s="78"/>
      <c r="F1501" s="78"/>
      <c r="G1501" s="150"/>
      <c r="H1501" s="78"/>
      <c r="I1501" s="151"/>
      <c r="J1501" s="78"/>
      <c r="K1501" s="78"/>
      <c r="L1501" s="78"/>
      <c r="M1501" s="153"/>
      <c r="N1501" s="78"/>
      <c r="O1501" s="78"/>
      <c r="P1501" s="153"/>
      <c r="Q1501" s="78"/>
      <c r="R1501" s="78"/>
      <c r="S1501" s="153"/>
      <c r="T1501" s="78"/>
      <c r="U1501" s="78"/>
      <c r="V1501" s="152"/>
      <c r="W1501" s="78"/>
      <c r="X1501" s="78"/>
    </row>
    <row r="1502" spans="1:24" ht="42" customHeight="1">
      <c r="A1502" s="78"/>
      <c r="B1502" s="149"/>
      <c r="C1502" s="149"/>
      <c r="D1502" s="78"/>
      <c r="E1502" s="78"/>
      <c r="F1502" s="78"/>
      <c r="G1502" s="150"/>
      <c r="H1502" s="78"/>
      <c r="I1502" s="151"/>
      <c r="J1502" s="78"/>
      <c r="K1502" s="78"/>
      <c r="L1502" s="78"/>
      <c r="M1502" s="153"/>
      <c r="N1502" s="78"/>
      <c r="O1502" s="78"/>
      <c r="P1502" s="153"/>
      <c r="Q1502" s="78"/>
      <c r="R1502" s="78"/>
      <c r="S1502" s="153"/>
      <c r="T1502" s="78"/>
      <c r="U1502" s="78"/>
      <c r="V1502" s="152"/>
      <c r="W1502" s="78"/>
      <c r="X1502" s="78"/>
    </row>
    <row r="1503" spans="1:24" ht="42" customHeight="1">
      <c r="A1503" s="78"/>
      <c r="B1503" s="149"/>
      <c r="C1503" s="149"/>
      <c r="D1503" s="78"/>
      <c r="E1503" s="78"/>
      <c r="F1503" s="78"/>
      <c r="G1503" s="150"/>
      <c r="H1503" s="78"/>
      <c r="I1503" s="151"/>
      <c r="J1503" s="78"/>
      <c r="K1503" s="78"/>
      <c r="L1503" s="78"/>
      <c r="M1503" s="153"/>
      <c r="N1503" s="78"/>
      <c r="O1503" s="78"/>
      <c r="P1503" s="153"/>
      <c r="Q1503" s="78"/>
      <c r="R1503" s="78"/>
      <c r="S1503" s="153"/>
      <c r="T1503" s="78"/>
      <c r="U1503" s="78"/>
      <c r="V1503" s="152"/>
      <c r="W1503" s="78"/>
      <c r="X1503" s="78"/>
    </row>
    <row r="1504" spans="1:24" ht="42" customHeight="1">
      <c r="A1504" s="78"/>
      <c r="B1504" s="149"/>
      <c r="C1504" s="149"/>
      <c r="D1504" s="78"/>
      <c r="E1504" s="78"/>
      <c r="F1504" s="78"/>
      <c r="G1504" s="150"/>
      <c r="H1504" s="78"/>
      <c r="I1504" s="151"/>
      <c r="J1504" s="78"/>
      <c r="K1504" s="78"/>
      <c r="L1504" s="78"/>
      <c r="M1504" s="153"/>
      <c r="N1504" s="78"/>
      <c r="O1504" s="78"/>
      <c r="P1504" s="153"/>
      <c r="Q1504" s="78"/>
      <c r="R1504" s="78"/>
      <c r="S1504" s="153"/>
      <c r="T1504" s="78"/>
      <c r="U1504" s="78"/>
      <c r="V1504" s="152"/>
      <c r="W1504" s="78"/>
      <c r="X1504" s="78"/>
    </row>
    <row r="1505" spans="1:24" ht="42" customHeight="1">
      <c r="A1505" s="78"/>
      <c r="B1505" s="149"/>
      <c r="C1505" s="149"/>
      <c r="D1505" s="78"/>
      <c r="E1505" s="78"/>
      <c r="F1505" s="78"/>
      <c r="G1505" s="150"/>
      <c r="H1505" s="78"/>
      <c r="I1505" s="151"/>
      <c r="J1505" s="78"/>
      <c r="K1505" s="78"/>
      <c r="L1505" s="78"/>
      <c r="M1505" s="153"/>
      <c r="N1505" s="78"/>
      <c r="O1505" s="78"/>
      <c r="P1505" s="153"/>
      <c r="Q1505" s="78"/>
      <c r="R1505" s="78"/>
      <c r="S1505" s="153"/>
      <c r="T1505" s="78"/>
      <c r="U1505" s="78"/>
      <c r="V1505" s="152"/>
      <c r="W1505" s="78"/>
      <c r="X1505" s="78"/>
    </row>
    <row r="1506" spans="1:24" ht="42" customHeight="1">
      <c r="A1506" s="78"/>
      <c r="B1506" s="149"/>
      <c r="C1506" s="149"/>
      <c r="D1506" s="78"/>
      <c r="E1506" s="78"/>
      <c r="F1506" s="78"/>
      <c r="G1506" s="150"/>
      <c r="H1506" s="78"/>
      <c r="I1506" s="151"/>
      <c r="J1506" s="78"/>
      <c r="K1506" s="78"/>
      <c r="L1506" s="78"/>
      <c r="M1506" s="153"/>
      <c r="N1506" s="78"/>
      <c r="O1506" s="78"/>
      <c r="P1506" s="153"/>
      <c r="Q1506" s="78"/>
      <c r="R1506" s="78"/>
      <c r="S1506" s="153"/>
      <c r="T1506" s="78"/>
      <c r="U1506" s="78"/>
      <c r="V1506" s="152"/>
      <c r="W1506" s="78"/>
      <c r="X1506" s="78"/>
    </row>
    <row r="1507" spans="1:24" ht="42" customHeight="1">
      <c r="A1507" s="78"/>
      <c r="B1507" s="149"/>
      <c r="C1507" s="149"/>
      <c r="D1507" s="78"/>
      <c r="E1507" s="78"/>
      <c r="F1507" s="78"/>
      <c r="G1507" s="150"/>
      <c r="H1507" s="78"/>
      <c r="I1507" s="151"/>
      <c r="J1507" s="78"/>
      <c r="K1507" s="78"/>
      <c r="L1507" s="78"/>
      <c r="M1507" s="153"/>
      <c r="N1507" s="78"/>
      <c r="O1507" s="78"/>
      <c r="P1507" s="153"/>
      <c r="Q1507" s="78"/>
      <c r="R1507" s="78"/>
      <c r="S1507" s="153"/>
      <c r="T1507" s="78"/>
      <c r="U1507" s="78"/>
      <c r="V1507" s="152"/>
      <c r="W1507" s="78"/>
      <c r="X1507" s="78"/>
    </row>
    <row r="1508" spans="1:24" ht="42" customHeight="1">
      <c r="A1508" s="78"/>
      <c r="B1508" s="149"/>
      <c r="C1508" s="149"/>
      <c r="D1508" s="78"/>
      <c r="E1508" s="78"/>
      <c r="F1508" s="78"/>
      <c r="G1508" s="150"/>
      <c r="H1508" s="78"/>
      <c r="I1508" s="151"/>
      <c r="J1508" s="78"/>
      <c r="K1508" s="78"/>
      <c r="L1508" s="78"/>
      <c r="M1508" s="153"/>
      <c r="N1508" s="78"/>
      <c r="O1508" s="78"/>
      <c r="P1508" s="153"/>
      <c r="Q1508" s="78"/>
      <c r="R1508" s="78"/>
      <c r="S1508" s="153"/>
      <c r="T1508" s="78"/>
      <c r="U1508" s="78"/>
      <c r="V1508" s="152"/>
      <c r="W1508" s="78"/>
      <c r="X1508" s="78"/>
    </row>
    <row r="1509" spans="1:24" ht="42" customHeight="1">
      <c r="A1509" s="78"/>
      <c r="B1509" s="149"/>
      <c r="C1509" s="149"/>
      <c r="D1509" s="78"/>
      <c r="E1509" s="78"/>
      <c r="F1509" s="78"/>
      <c r="G1509" s="150"/>
      <c r="H1509" s="78"/>
      <c r="I1509" s="151"/>
      <c r="J1509" s="78"/>
      <c r="K1509" s="78"/>
      <c r="L1509" s="78"/>
      <c r="M1509" s="153"/>
      <c r="N1509" s="78"/>
      <c r="O1509" s="78"/>
      <c r="P1509" s="153"/>
      <c r="Q1509" s="78"/>
      <c r="R1509" s="78"/>
      <c r="S1509" s="153"/>
      <c r="T1509" s="78"/>
      <c r="U1509" s="78"/>
      <c r="V1509" s="152"/>
      <c r="W1509" s="78"/>
      <c r="X1509" s="78"/>
    </row>
    <row r="1510" spans="1:24" ht="42" customHeight="1">
      <c r="A1510" s="78"/>
      <c r="B1510" s="149"/>
      <c r="C1510" s="149"/>
      <c r="D1510" s="78"/>
      <c r="E1510" s="78"/>
      <c r="F1510" s="78"/>
      <c r="G1510" s="150"/>
      <c r="H1510" s="78"/>
      <c r="I1510" s="151"/>
      <c r="J1510" s="78"/>
      <c r="K1510" s="78"/>
      <c r="L1510" s="78"/>
      <c r="M1510" s="153"/>
      <c r="N1510" s="78"/>
      <c r="O1510" s="78"/>
      <c r="P1510" s="153"/>
      <c r="Q1510" s="78"/>
      <c r="R1510" s="78"/>
      <c r="S1510" s="153"/>
      <c r="T1510" s="78"/>
      <c r="U1510" s="78"/>
      <c r="V1510" s="152"/>
      <c r="W1510" s="78"/>
      <c r="X1510" s="78"/>
    </row>
    <row r="1511" spans="1:24" ht="42" customHeight="1">
      <c r="A1511" s="78"/>
      <c r="B1511" s="149"/>
      <c r="C1511" s="149"/>
      <c r="D1511" s="78"/>
      <c r="E1511" s="78"/>
      <c r="F1511" s="78"/>
      <c r="G1511" s="150"/>
      <c r="H1511" s="78"/>
      <c r="I1511" s="151"/>
      <c r="J1511" s="78"/>
      <c r="K1511" s="78"/>
      <c r="L1511" s="78"/>
      <c r="M1511" s="153"/>
      <c r="N1511" s="78"/>
      <c r="O1511" s="78"/>
      <c r="P1511" s="153"/>
      <c r="Q1511" s="78"/>
      <c r="R1511" s="78"/>
      <c r="S1511" s="153"/>
      <c r="T1511" s="78"/>
      <c r="U1511" s="78"/>
      <c r="V1511" s="152"/>
      <c r="W1511" s="78"/>
      <c r="X1511" s="78"/>
    </row>
    <row r="1512" spans="1:24" ht="42" customHeight="1">
      <c r="A1512" s="78"/>
      <c r="B1512" s="149"/>
      <c r="C1512" s="149"/>
      <c r="D1512" s="78"/>
      <c r="E1512" s="78"/>
      <c r="F1512" s="78"/>
      <c r="G1512" s="150"/>
      <c r="H1512" s="78"/>
      <c r="I1512" s="151"/>
      <c r="J1512" s="78"/>
      <c r="K1512" s="78"/>
      <c r="L1512" s="78"/>
      <c r="M1512" s="153"/>
      <c r="N1512" s="78"/>
      <c r="O1512" s="78"/>
      <c r="P1512" s="153"/>
      <c r="Q1512" s="78"/>
      <c r="R1512" s="78"/>
      <c r="S1512" s="153"/>
      <c r="T1512" s="78"/>
      <c r="U1512" s="78"/>
      <c r="V1512" s="152"/>
      <c r="W1512" s="78"/>
      <c r="X1512" s="78"/>
    </row>
    <row r="1513" spans="1:24" ht="42" customHeight="1">
      <c r="A1513" s="78"/>
      <c r="B1513" s="149"/>
      <c r="C1513" s="149"/>
      <c r="D1513" s="78"/>
      <c r="E1513" s="78"/>
      <c r="F1513" s="78"/>
      <c r="G1513" s="150"/>
      <c r="H1513" s="78"/>
      <c r="I1513" s="151"/>
      <c r="J1513" s="78"/>
      <c r="K1513" s="78"/>
      <c r="L1513" s="78"/>
      <c r="M1513" s="153"/>
      <c r="N1513" s="78"/>
      <c r="O1513" s="78"/>
      <c r="P1513" s="153"/>
      <c r="Q1513" s="78"/>
      <c r="R1513" s="78"/>
      <c r="S1513" s="153"/>
      <c r="T1513" s="78"/>
      <c r="U1513" s="78"/>
      <c r="V1513" s="152"/>
      <c r="W1513" s="78"/>
      <c r="X1513" s="78"/>
    </row>
    <row r="1514" spans="1:24" ht="42" customHeight="1">
      <c r="A1514" s="78"/>
      <c r="B1514" s="149"/>
      <c r="C1514" s="149"/>
      <c r="D1514" s="78"/>
      <c r="E1514" s="78"/>
      <c r="F1514" s="78"/>
      <c r="G1514" s="150"/>
      <c r="H1514" s="78"/>
      <c r="I1514" s="151"/>
      <c r="J1514" s="78"/>
      <c r="K1514" s="78"/>
      <c r="L1514" s="78"/>
      <c r="M1514" s="153"/>
      <c r="N1514" s="78"/>
      <c r="O1514" s="78"/>
      <c r="P1514" s="153"/>
      <c r="Q1514" s="78"/>
      <c r="R1514" s="78"/>
      <c r="S1514" s="153"/>
      <c r="T1514" s="78"/>
      <c r="U1514" s="78"/>
      <c r="V1514" s="152"/>
      <c r="W1514" s="78"/>
      <c r="X1514" s="78"/>
    </row>
    <row r="1515" spans="1:24" ht="42" customHeight="1">
      <c r="A1515" s="78"/>
      <c r="B1515" s="149"/>
      <c r="C1515" s="149"/>
      <c r="D1515" s="78"/>
      <c r="E1515" s="78"/>
      <c r="F1515" s="78"/>
      <c r="G1515" s="150"/>
      <c r="H1515" s="78"/>
      <c r="I1515" s="151"/>
      <c r="J1515" s="78"/>
      <c r="K1515" s="78"/>
      <c r="L1515" s="78"/>
      <c r="M1515" s="153"/>
      <c r="N1515" s="78"/>
      <c r="O1515" s="78"/>
      <c r="P1515" s="153"/>
      <c r="Q1515" s="78"/>
      <c r="R1515" s="78"/>
      <c r="S1515" s="153"/>
      <c r="T1515" s="78"/>
      <c r="U1515" s="78"/>
      <c r="V1515" s="152"/>
      <c r="W1515" s="78"/>
      <c r="X1515" s="78"/>
    </row>
    <row r="1516" spans="1:24" ht="42" customHeight="1">
      <c r="A1516" s="78"/>
      <c r="B1516" s="149"/>
      <c r="C1516" s="149"/>
      <c r="D1516" s="78"/>
      <c r="E1516" s="78"/>
      <c r="F1516" s="78"/>
      <c r="G1516" s="150"/>
      <c r="H1516" s="78"/>
      <c r="I1516" s="151"/>
      <c r="J1516" s="78"/>
      <c r="K1516" s="78"/>
      <c r="L1516" s="78"/>
      <c r="M1516" s="153"/>
      <c r="N1516" s="78"/>
      <c r="O1516" s="78"/>
      <c r="P1516" s="153"/>
      <c r="Q1516" s="78"/>
      <c r="R1516" s="78"/>
      <c r="S1516" s="153"/>
      <c r="T1516" s="78"/>
      <c r="U1516" s="78"/>
      <c r="V1516" s="152"/>
      <c r="W1516" s="78"/>
      <c r="X1516" s="78"/>
    </row>
    <row r="1517" spans="1:24" ht="42" customHeight="1">
      <c r="A1517" s="78"/>
      <c r="B1517" s="149"/>
      <c r="C1517" s="149"/>
      <c r="D1517" s="78"/>
      <c r="E1517" s="78"/>
      <c r="F1517" s="78"/>
      <c r="G1517" s="150"/>
      <c r="H1517" s="78"/>
      <c r="I1517" s="151"/>
      <c r="J1517" s="78"/>
      <c r="K1517" s="78"/>
      <c r="L1517" s="78"/>
      <c r="M1517" s="153"/>
      <c r="N1517" s="78"/>
      <c r="O1517" s="78"/>
      <c r="P1517" s="153"/>
      <c r="Q1517" s="78"/>
      <c r="R1517" s="78"/>
      <c r="S1517" s="153"/>
      <c r="T1517" s="78"/>
      <c r="U1517" s="78"/>
      <c r="V1517" s="152"/>
      <c r="W1517" s="78"/>
      <c r="X1517" s="78"/>
    </row>
    <row r="1518" spans="1:24" ht="42" customHeight="1">
      <c r="A1518" s="78"/>
      <c r="B1518" s="149"/>
      <c r="C1518" s="149"/>
      <c r="D1518" s="78"/>
      <c r="E1518" s="78"/>
      <c r="F1518" s="78"/>
      <c r="G1518" s="150"/>
      <c r="H1518" s="78"/>
      <c r="I1518" s="151"/>
      <c r="J1518" s="78"/>
      <c r="K1518" s="78"/>
      <c r="L1518" s="78"/>
      <c r="M1518" s="153"/>
      <c r="N1518" s="78"/>
      <c r="O1518" s="78"/>
      <c r="P1518" s="153"/>
      <c r="Q1518" s="78"/>
      <c r="R1518" s="78"/>
      <c r="S1518" s="153"/>
      <c r="T1518" s="78"/>
      <c r="U1518" s="78"/>
      <c r="V1518" s="152"/>
      <c r="W1518" s="78"/>
      <c r="X1518" s="78"/>
    </row>
    <row r="1519" spans="1:24" ht="42" customHeight="1">
      <c r="A1519" s="78"/>
      <c r="B1519" s="149"/>
      <c r="C1519" s="149"/>
      <c r="D1519" s="78"/>
      <c r="E1519" s="78"/>
      <c r="F1519" s="78"/>
      <c r="G1519" s="150"/>
      <c r="H1519" s="78"/>
      <c r="I1519" s="151"/>
      <c r="J1519" s="78"/>
      <c r="K1519" s="78"/>
      <c r="L1519" s="78"/>
      <c r="M1519" s="153"/>
      <c r="N1519" s="78"/>
      <c r="O1519" s="78"/>
      <c r="P1519" s="153"/>
      <c r="Q1519" s="78"/>
      <c r="R1519" s="78"/>
      <c r="S1519" s="153"/>
      <c r="T1519" s="78"/>
      <c r="U1519" s="78"/>
      <c r="V1519" s="152"/>
      <c r="W1519" s="78"/>
      <c r="X1519" s="78"/>
    </row>
    <row r="1520" spans="1:24" ht="42" customHeight="1">
      <c r="A1520" s="78"/>
      <c r="B1520" s="149"/>
      <c r="C1520" s="149"/>
      <c r="D1520" s="78"/>
      <c r="E1520" s="78"/>
      <c r="F1520" s="78"/>
      <c r="G1520" s="150"/>
      <c r="H1520" s="78"/>
      <c r="I1520" s="151"/>
      <c r="J1520" s="78"/>
      <c r="K1520" s="78"/>
      <c r="L1520" s="78"/>
      <c r="M1520" s="153"/>
      <c r="N1520" s="78"/>
      <c r="O1520" s="78"/>
      <c r="P1520" s="153"/>
      <c r="Q1520" s="78"/>
      <c r="R1520" s="78"/>
      <c r="S1520" s="153"/>
      <c r="T1520" s="78"/>
      <c r="U1520" s="78"/>
      <c r="V1520" s="152"/>
      <c r="W1520" s="78"/>
      <c r="X1520" s="78"/>
    </row>
    <row r="1521" spans="1:24" ht="42" customHeight="1">
      <c r="A1521" s="78"/>
      <c r="B1521" s="149"/>
      <c r="C1521" s="149"/>
      <c r="D1521" s="78"/>
      <c r="E1521" s="78"/>
      <c r="F1521" s="78"/>
      <c r="G1521" s="150"/>
      <c r="H1521" s="78"/>
      <c r="I1521" s="151"/>
      <c r="J1521" s="78"/>
      <c r="K1521" s="78"/>
      <c r="L1521" s="78"/>
      <c r="M1521" s="153"/>
      <c r="N1521" s="78"/>
      <c r="O1521" s="78"/>
      <c r="P1521" s="153"/>
      <c r="Q1521" s="78"/>
      <c r="R1521" s="78"/>
      <c r="S1521" s="153"/>
      <c r="T1521" s="78"/>
      <c r="U1521" s="78"/>
      <c r="V1521" s="152"/>
      <c r="W1521" s="78"/>
      <c r="X1521" s="78"/>
    </row>
    <row r="1522" spans="1:24" ht="42" customHeight="1">
      <c r="A1522" s="78"/>
      <c r="B1522" s="149"/>
      <c r="C1522" s="149"/>
      <c r="D1522" s="78"/>
      <c r="E1522" s="78"/>
      <c r="F1522" s="78"/>
      <c r="G1522" s="150"/>
      <c r="H1522" s="78"/>
      <c r="I1522" s="151"/>
      <c r="J1522" s="78"/>
      <c r="K1522" s="78"/>
      <c r="L1522" s="78"/>
      <c r="M1522" s="153"/>
      <c r="N1522" s="78"/>
      <c r="O1522" s="78"/>
      <c r="P1522" s="153"/>
      <c r="Q1522" s="78"/>
      <c r="R1522" s="78"/>
      <c r="S1522" s="153"/>
      <c r="T1522" s="78"/>
      <c r="U1522" s="78"/>
      <c r="V1522" s="152"/>
      <c r="W1522" s="78"/>
      <c r="X1522" s="78"/>
    </row>
    <row r="1523" spans="1:24" ht="42" customHeight="1">
      <c r="A1523" s="78"/>
      <c r="B1523" s="149"/>
      <c r="C1523" s="149"/>
      <c r="D1523" s="78"/>
      <c r="E1523" s="78"/>
      <c r="F1523" s="78"/>
      <c r="G1523" s="150"/>
      <c r="H1523" s="78"/>
      <c r="I1523" s="151"/>
      <c r="J1523" s="78"/>
      <c r="K1523" s="78"/>
      <c r="L1523" s="78"/>
      <c r="M1523" s="153"/>
      <c r="N1523" s="78"/>
      <c r="O1523" s="78"/>
      <c r="P1523" s="153"/>
      <c r="Q1523" s="78"/>
      <c r="R1523" s="78"/>
      <c r="S1523" s="153"/>
      <c r="T1523" s="78"/>
      <c r="U1523" s="78"/>
      <c r="V1523" s="152"/>
      <c r="W1523" s="78"/>
      <c r="X1523" s="78"/>
    </row>
    <row r="1524" spans="1:24" ht="42" customHeight="1">
      <c r="A1524" s="78"/>
      <c r="B1524" s="149"/>
      <c r="C1524" s="149"/>
      <c r="D1524" s="78"/>
      <c r="E1524" s="78"/>
      <c r="F1524" s="78"/>
      <c r="G1524" s="150"/>
      <c r="H1524" s="78"/>
      <c r="I1524" s="151"/>
      <c r="J1524" s="78"/>
      <c r="K1524" s="78"/>
      <c r="L1524" s="78"/>
      <c r="M1524" s="153"/>
      <c r="N1524" s="78"/>
      <c r="O1524" s="78"/>
      <c r="P1524" s="153"/>
      <c r="Q1524" s="78"/>
      <c r="R1524" s="78"/>
      <c r="S1524" s="153"/>
      <c r="T1524" s="78"/>
      <c r="U1524" s="78"/>
      <c r="V1524" s="152"/>
      <c r="W1524" s="78"/>
      <c r="X1524" s="78"/>
    </row>
    <row r="1525" spans="1:24" ht="42" customHeight="1">
      <c r="A1525" s="78"/>
      <c r="B1525" s="149"/>
      <c r="C1525" s="149"/>
      <c r="D1525" s="78"/>
      <c r="E1525" s="78"/>
      <c r="F1525" s="78"/>
      <c r="G1525" s="150"/>
      <c r="H1525" s="78"/>
      <c r="I1525" s="151"/>
      <c r="J1525" s="78"/>
      <c r="K1525" s="78"/>
      <c r="L1525" s="78"/>
      <c r="M1525" s="153"/>
      <c r="N1525" s="78"/>
      <c r="O1525" s="78"/>
      <c r="P1525" s="153"/>
      <c r="Q1525" s="78"/>
      <c r="R1525" s="78"/>
      <c r="S1525" s="153"/>
      <c r="T1525" s="78"/>
      <c r="U1525" s="78"/>
      <c r="V1525" s="152"/>
      <c r="W1525" s="78"/>
      <c r="X1525" s="78"/>
    </row>
    <row r="1526" spans="1:24" ht="42" customHeight="1">
      <c r="A1526" s="78"/>
      <c r="B1526" s="149"/>
      <c r="C1526" s="149"/>
      <c r="D1526" s="78"/>
      <c r="E1526" s="78"/>
      <c r="F1526" s="78"/>
      <c r="G1526" s="150"/>
      <c r="H1526" s="78"/>
      <c r="I1526" s="151"/>
      <c r="J1526" s="78"/>
      <c r="K1526" s="78"/>
      <c r="L1526" s="78"/>
      <c r="M1526" s="153"/>
      <c r="N1526" s="78"/>
      <c r="O1526" s="78"/>
      <c r="P1526" s="153"/>
      <c r="Q1526" s="78"/>
      <c r="R1526" s="78"/>
      <c r="S1526" s="153"/>
      <c r="T1526" s="78"/>
      <c r="U1526" s="78"/>
      <c r="V1526" s="152"/>
      <c r="W1526" s="78"/>
      <c r="X1526" s="78"/>
    </row>
    <row r="1527" spans="1:24" ht="42" customHeight="1">
      <c r="A1527" s="78"/>
      <c r="B1527" s="149"/>
      <c r="C1527" s="149"/>
      <c r="D1527" s="78"/>
      <c r="E1527" s="78"/>
      <c r="F1527" s="78"/>
      <c r="G1527" s="150"/>
      <c r="H1527" s="78"/>
      <c r="I1527" s="151"/>
      <c r="J1527" s="78"/>
      <c r="K1527" s="78"/>
      <c r="L1527" s="78"/>
      <c r="M1527" s="153"/>
      <c r="N1527" s="78"/>
      <c r="O1527" s="78"/>
      <c r="P1527" s="153"/>
      <c r="Q1527" s="78"/>
      <c r="R1527" s="78"/>
      <c r="S1527" s="153"/>
      <c r="T1527" s="78"/>
      <c r="U1527" s="78"/>
      <c r="V1527" s="152"/>
      <c r="W1527" s="78"/>
      <c r="X1527" s="78"/>
    </row>
    <row r="1528" spans="1:24" ht="42" customHeight="1">
      <c r="A1528" s="78"/>
      <c r="B1528" s="149"/>
      <c r="C1528" s="149"/>
      <c r="D1528" s="78"/>
      <c r="E1528" s="78"/>
      <c r="F1528" s="78"/>
      <c r="G1528" s="150"/>
      <c r="H1528" s="78"/>
      <c r="I1528" s="151"/>
      <c r="J1528" s="78"/>
      <c r="K1528" s="78"/>
      <c r="L1528" s="78"/>
      <c r="M1528" s="153"/>
      <c r="N1528" s="78"/>
      <c r="O1528" s="78"/>
      <c r="P1528" s="153"/>
      <c r="Q1528" s="78"/>
      <c r="R1528" s="78"/>
      <c r="S1528" s="153"/>
      <c r="T1528" s="78"/>
      <c r="U1528" s="78"/>
      <c r="V1528" s="152"/>
      <c r="W1528" s="78"/>
      <c r="X1528" s="78"/>
    </row>
    <row r="1529" spans="1:24" ht="42" customHeight="1">
      <c r="A1529" s="78"/>
      <c r="B1529" s="149"/>
      <c r="C1529" s="149"/>
      <c r="D1529" s="78"/>
      <c r="E1529" s="78"/>
      <c r="F1529" s="78"/>
      <c r="G1529" s="150"/>
      <c r="H1529" s="78"/>
      <c r="I1529" s="151"/>
      <c r="J1529" s="78"/>
      <c r="K1529" s="78"/>
      <c r="L1529" s="78"/>
      <c r="M1529" s="153"/>
      <c r="N1529" s="78"/>
      <c r="O1529" s="78"/>
      <c r="P1529" s="153"/>
      <c r="Q1529" s="78"/>
      <c r="R1529" s="78"/>
      <c r="S1529" s="153"/>
      <c r="T1529" s="78"/>
      <c r="U1529" s="78"/>
      <c r="V1529" s="152"/>
      <c r="W1529" s="78"/>
      <c r="X1529" s="78"/>
    </row>
    <row r="1530" spans="1:24" ht="42" customHeight="1">
      <c r="A1530" s="78"/>
      <c r="B1530" s="149"/>
      <c r="C1530" s="149"/>
      <c r="D1530" s="78"/>
      <c r="E1530" s="78"/>
      <c r="F1530" s="78"/>
      <c r="G1530" s="150"/>
      <c r="H1530" s="78"/>
      <c r="I1530" s="151"/>
      <c r="J1530" s="78"/>
      <c r="K1530" s="78"/>
      <c r="L1530" s="78"/>
      <c r="M1530" s="153"/>
      <c r="N1530" s="78"/>
      <c r="O1530" s="78"/>
      <c r="P1530" s="153"/>
      <c r="Q1530" s="78"/>
      <c r="R1530" s="78"/>
      <c r="S1530" s="153"/>
      <c r="T1530" s="78"/>
      <c r="U1530" s="78"/>
      <c r="V1530" s="152"/>
      <c r="W1530" s="78"/>
      <c r="X1530" s="78"/>
    </row>
    <row r="1531" spans="1:24" ht="42" customHeight="1">
      <c r="A1531" s="78"/>
      <c r="B1531" s="149"/>
      <c r="C1531" s="149"/>
      <c r="D1531" s="78"/>
      <c r="E1531" s="78"/>
      <c r="F1531" s="78"/>
      <c r="G1531" s="150"/>
      <c r="H1531" s="78"/>
      <c r="I1531" s="151"/>
      <c r="J1531" s="78"/>
      <c r="K1531" s="78"/>
      <c r="L1531" s="78"/>
      <c r="M1531" s="153"/>
      <c r="N1531" s="78"/>
      <c r="O1531" s="78"/>
      <c r="P1531" s="153"/>
      <c r="Q1531" s="78"/>
      <c r="R1531" s="78"/>
      <c r="S1531" s="153"/>
      <c r="T1531" s="78"/>
      <c r="U1531" s="78"/>
      <c r="V1531" s="152"/>
      <c r="W1531" s="78"/>
      <c r="X1531" s="78"/>
    </row>
    <row r="1532" spans="1:24" ht="42" customHeight="1">
      <c r="A1532" s="78"/>
      <c r="B1532" s="149"/>
      <c r="C1532" s="149"/>
      <c r="D1532" s="78"/>
      <c r="E1532" s="78"/>
      <c r="F1532" s="78"/>
      <c r="G1532" s="150"/>
      <c r="H1532" s="78"/>
      <c r="I1532" s="151"/>
      <c r="J1532" s="78"/>
      <c r="K1532" s="78"/>
      <c r="L1532" s="78"/>
      <c r="M1532" s="153"/>
      <c r="N1532" s="78"/>
      <c r="O1532" s="78"/>
      <c r="P1532" s="153"/>
      <c r="Q1532" s="78"/>
      <c r="R1532" s="78"/>
      <c r="S1532" s="153"/>
      <c r="T1532" s="78"/>
      <c r="U1532" s="78"/>
      <c r="V1532" s="152"/>
      <c r="W1532" s="78"/>
      <c r="X1532" s="78"/>
    </row>
    <row r="1533" spans="1:24" ht="42" customHeight="1">
      <c r="A1533" s="78"/>
      <c r="B1533" s="149"/>
      <c r="C1533" s="149"/>
      <c r="D1533" s="78"/>
      <c r="E1533" s="78"/>
      <c r="F1533" s="78"/>
      <c r="G1533" s="150"/>
      <c r="H1533" s="78"/>
      <c r="I1533" s="151"/>
      <c r="J1533" s="78"/>
      <c r="K1533" s="78"/>
      <c r="L1533" s="78"/>
      <c r="M1533" s="153"/>
      <c r="N1533" s="78"/>
      <c r="O1533" s="78"/>
      <c r="P1533" s="153"/>
      <c r="Q1533" s="78"/>
      <c r="R1533" s="78"/>
      <c r="S1533" s="153"/>
      <c r="T1533" s="78"/>
      <c r="U1533" s="78"/>
      <c r="V1533" s="152"/>
      <c r="W1533" s="78"/>
      <c r="X1533" s="78"/>
    </row>
    <row r="1534" spans="1:24" ht="42" customHeight="1">
      <c r="A1534" s="78"/>
      <c r="B1534" s="149"/>
      <c r="C1534" s="149"/>
      <c r="D1534" s="78"/>
      <c r="E1534" s="78"/>
      <c r="F1534" s="78"/>
      <c r="G1534" s="150"/>
      <c r="H1534" s="78"/>
      <c r="I1534" s="151"/>
      <c r="J1534" s="78"/>
      <c r="K1534" s="78"/>
      <c r="L1534" s="78"/>
      <c r="M1534" s="153"/>
      <c r="N1534" s="78"/>
      <c r="O1534" s="78"/>
      <c r="P1534" s="153"/>
      <c r="Q1534" s="78"/>
      <c r="R1534" s="78"/>
      <c r="S1534" s="153"/>
      <c r="T1534" s="78"/>
      <c r="U1534" s="78"/>
      <c r="V1534" s="152"/>
      <c r="W1534" s="78"/>
      <c r="X1534" s="78"/>
    </row>
    <row r="1535" spans="1:24" ht="42" customHeight="1">
      <c r="A1535" s="78"/>
      <c r="B1535" s="149"/>
      <c r="C1535" s="149"/>
      <c r="D1535" s="78"/>
      <c r="E1535" s="78"/>
      <c r="F1535" s="78"/>
      <c r="G1535" s="150"/>
      <c r="H1535" s="78"/>
      <c r="I1535" s="151"/>
      <c r="J1535" s="78"/>
      <c r="K1535" s="78"/>
      <c r="L1535" s="78"/>
      <c r="M1535" s="153"/>
      <c r="N1535" s="78"/>
      <c r="O1535" s="78"/>
      <c r="P1535" s="153"/>
      <c r="Q1535" s="78"/>
      <c r="R1535" s="78"/>
      <c r="S1535" s="153"/>
      <c r="T1535" s="78"/>
      <c r="U1535" s="78"/>
      <c r="V1535" s="152"/>
      <c r="W1535" s="78"/>
      <c r="X1535" s="78"/>
    </row>
    <row r="1536" spans="1:24" ht="42" customHeight="1">
      <c r="A1536" s="78"/>
      <c r="B1536" s="149"/>
      <c r="C1536" s="149"/>
      <c r="D1536" s="78"/>
      <c r="E1536" s="78"/>
      <c r="F1536" s="78"/>
      <c r="G1536" s="150"/>
      <c r="H1536" s="78"/>
      <c r="I1536" s="151"/>
      <c r="J1536" s="78"/>
      <c r="K1536" s="78"/>
      <c r="L1536" s="78"/>
      <c r="M1536" s="153"/>
      <c r="N1536" s="78"/>
      <c r="O1536" s="78"/>
      <c r="P1536" s="153"/>
      <c r="Q1536" s="78"/>
      <c r="R1536" s="78"/>
      <c r="S1536" s="153"/>
      <c r="T1536" s="78"/>
      <c r="U1536" s="78"/>
      <c r="V1536" s="152"/>
      <c r="W1536" s="78"/>
      <c r="X1536" s="78"/>
    </row>
    <row r="1537" spans="1:24" ht="42" customHeight="1">
      <c r="A1537" s="78"/>
      <c r="B1537" s="149"/>
      <c r="C1537" s="149"/>
      <c r="D1537" s="78"/>
      <c r="E1537" s="78"/>
      <c r="F1537" s="78"/>
      <c r="G1537" s="150"/>
      <c r="H1537" s="78"/>
      <c r="I1537" s="151"/>
      <c r="J1537" s="78"/>
      <c r="K1537" s="78"/>
      <c r="L1537" s="78"/>
      <c r="M1537" s="153"/>
      <c r="N1537" s="78"/>
      <c r="O1537" s="78"/>
      <c r="P1537" s="153"/>
      <c r="Q1537" s="78"/>
      <c r="R1537" s="78"/>
      <c r="S1537" s="153"/>
      <c r="T1537" s="78"/>
      <c r="U1537" s="78"/>
      <c r="V1537" s="152"/>
      <c r="W1537" s="78"/>
      <c r="X1537" s="78"/>
    </row>
    <row r="1538" spans="1:24" ht="42" customHeight="1">
      <c r="A1538" s="78"/>
      <c r="B1538" s="149"/>
      <c r="C1538" s="149"/>
      <c r="D1538" s="78"/>
      <c r="E1538" s="78"/>
      <c r="F1538" s="78"/>
      <c r="G1538" s="150"/>
      <c r="H1538" s="78"/>
      <c r="I1538" s="151"/>
      <c r="J1538" s="78"/>
      <c r="K1538" s="78"/>
      <c r="L1538" s="78"/>
      <c r="M1538" s="153"/>
      <c r="N1538" s="78"/>
      <c r="O1538" s="78"/>
      <c r="P1538" s="153"/>
      <c r="Q1538" s="78"/>
      <c r="R1538" s="78"/>
      <c r="S1538" s="153"/>
      <c r="T1538" s="78"/>
      <c r="U1538" s="78"/>
      <c r="V1538" s="152"/>
      <c r="W1538" s="78"/>
      <c r="X1538" s="78"/>
    </row>
    <row r="1539" spans="1:24" ht="42" customHeight="1">
      <c r="A1539" s="78"/>
      <c r="B1539" s="149"/>
      <c r="C1539" s="149"/>
      <c r="D1539" s="78"/>
      <c r="E1539" s="78"/>
      <c r="F1539" s="78"/>
      <c r="G1539" s="150"/>
      <c r="H1539" s="78"/>
      <c r="I1539" s="151"/>
      <c r="J1539" s="78"/>
      <c r="K1539" s="78"/>
      <c r="L1539" s="78"/>
      <c r="M1539" s="153"/>
      <c r="N1539" s="78"/>
      <c r="O1539" s="78"/>
      <c r="P1539" s="153"/>
      <c r="Q1539" s="78"/>
      <c r="R1539" s="78"/>
      <c r="S1539" s="153"/>
      <c r="T1539" s="78"/>
      <c r="U1539" s="78"/>
      <c r="V1539" s="152"/>
      <c r="W1539" s="78"/>
      <c r="X1539" s="78"/>
    </row>
    <row r="1540" spans="1:24" ht="42" customHeight="1">
      <c r="A1540" s="78"/>
      <c r="B1540" s="149"/>
      <c r="C1540" s="149"/>
      <c r="D1540" s="78"/>
      <c r="E1540" s="78"/>
      <c r="F1540" s="78"/>
      <c r="G1540" s="150"/>
      <c r="H1540" s="78"/>
      <c r="I1540" s="151"/>
      <c r="J1540" s="78"/>
      <c r="K1540" s="78"/>
      <c r="L1540" s="78"/>
      <c r="M1540" s="153"/>
      <c r="N1540" s="78"/>
      <c r="O1540" s="78"/>
      <c r="P1540" s="153"/>
      <c r="Q1540" s="78"/>
      <c r="R1540" s="78"/>
      <c r="S1540" s="153"/>
      <c r="T1540" s="78"/>
      <c r="U1540" s="78"/>
      <c r="V1540" s="152"/>
      <c r="W1540" s="78"/>
      <c r="X1540" s="78"/>
    </row>
    <row r="1541" spans="1:24" ht="42" customHeight="1">
      <c r="A1541" s="78"/>
      <c r="B1541" s="149"/>
      <c r="C1541" s="149"/>
      <c r="D1541" s="78"/>
      <c r="E1541" s="78"/>
      <c r="F1541" s="78"/>
      <c r="G1541" s="150"/>
      <c r="H1541" s="78"/>
      <c r="I1541" s="151"/>
      <c r="J1541" s="78"/>
      <c r="K1541" s="78"/>
      <c r="L1541" s="78"/>
      <c r="M1541" s="153"/>
      <c r="N1541" s="78"/>
      <c r="O1541" s="78"/>
      <c r="P1541" s="153"/>
      <c r="Q1541" s="78"/>
      <c r="R1541" s="78"/>
      <c r="S1541" s="153"/>
      <c r="T1541" s="78"/>
      <c r="U1541" s="78"/>
      <c r="V1541" s="152"/>
      <c r="W1541" s="78"/>
      <c r="X1541" s="78"/>
    </row>
    <row r="1542" spans="1:24" ht="42" customHeight="1">
      <c r="A1542" s="78"/>
      <c r="B1542" s="149"/>
      <c r="C1542" s="149"/>
      <c r="D1542" s="78"/>
      <c r="E1542" s="78"/>
      <c r="F1542" s="78"/>
      <c r="G1542" s="150"/>
      <c r="H1542" s="78"/>
      <c r="I1542" s="151"/>
      <c r="J1542" s="78"/>
      <c r="K1542" s="78"/>
      <c r="L1542" s="78"/>
      <c r="M1542" s="153"/>
      <c r="N1542" s="78"/>
      <c r="O1542" s="78"/>
      <c r="P1542" s="153"/>
      <c r="Q1542" s="78"/>
      <c r="R1542" s="78"/>
      <c r="S1542" s="153"/>
      <c r="T1542" s="78"/>
      <c r="U1542" s="78"/>
      <c r="V1542" s="152"/>
      <c r="W1542" s="78"/>
      <c r="X1542" s="78"/>
    </row>
    <row r="1543" spans="1:24" ht="42" customHeight="1">
      <c r="A1543" s="78"/>
      <c r="B1543" s="149"/>
      <c r="C1543" s="149"/>
      <c r="D1543" s="78"/>
      <c r="E1543" s="78"/>
      <c r="F1543" s="78"/>
      <c r="G1543" s="150"/>
      <c r="H1543" s="78"/>
      <c r="I1543" s="151"/>
      <c r="J1543" s="78"/>
      <c r="K1543" s="78"/>
      <c r="L1543" s="78"/>
      <c r="M1543" s="153"/>
      <c r="N1543" s="78"/>
      <c r="O1543" s="78"/>
      <c r="P1543" s="153"/>
      <c r="Q1543" s="78"/>
      <c r="R1543" s="78"/>
      <c r="S1543" s="153"/>
      <c r="T1543" s="78"/>
      <c r="U1543" s="78"/>
      <c r="V1543" s="152"/>
      <c r="W1543" s="78"/>
      <c r="X1543" s="78"/>
    </row>
    <row r="1544" spans="1:24" ht="42" customHeight="1">
      <c r="A1544" s="78"/>
      <c r="B1544" s="149"/>
      <c r="C1544" s="149"/>
      <c r="D1544" s="78"/>
      <c r="E1544" s="78"/>
      <c r="F1544" s="78"/>
      <c r="G1544" s="150"/>
      <c r="H1544" s="78"/>
      <c r="I1544" s="151"/>
      <c r="J1544" s="78"/>
      <c r="K1544" s="78"/>
      <c r="L1544" s="78"/>
      <c r="M1544" s="153"/>
      <c r="N1544" s="78"/>
      <c r="O1544" s="78"/>
      <c r="P1544" s="153"/>
      <c r="Q1544" s="78"/>
      <c r="R1544" s="78"/>
      <c r="S1544" s="153"/>
      <c r="T1544" s="78"/>
      <c r="U1544" s="78"/>
      <c r="V1544" s="152"/>
      <c r="W1544" s="78"/>
      <c r="X1544" s="78"/>
    </row>
    <row r="1545" spans="1:24" ht="42" customHeight="1">
      <c r="A1545" s="78"/>
      <c r="B1545" s="149"/>
      <c r="C1545" s="149"/>
      <c r="D1545" s="78"/>
      <c r="E1545" s="78"/>
      <c r="F1545" s="78"/>
      <c r="G1545" s="150"/>
      <c r="H1545" s="78"/>
      <c r="I1545" s="151"/>
      <c r="J1545" s="78"/>
      <c r="K1545" s="78"/>
      <c r="L1545" s="78"/>
      <c r="M1545" s="153"/>
      <c r="N1545" s="78"/>
      <c r="O1545" s="78"/>
      <c r="P1545" s="153"/>
      <c r="Q1545" s="78"/>
      <c r="R1545" s="78"/>
      <c r="S1545" s="153"/>
      <c r="T1545" s="78"/>
      <c r="U1545" s="78"/>
      <c r="V1545" s="152"/>
      <c r="W1545" s="78"/>
      <c r="X1545" s="78"/>
    </row>
    <row r="1546" spans="1:24" ht="42" customHeight="1">
      <c r="A1546" s="78"/>
      <c r="B1546" s="149"/>
      <c r="C1546" s="149"/>
      <c r="D1546" s="78"/>
      <c r="E1546" s="78"/>
      <c r="F1546" s="78"/>
      <c r="G1546" s="150"/>
      <c r="H1546" s="78"/>
      <c r="I1546" s="151"/>
      <c r="J1546" s="78"/>
      <c r="K1546" s="78"/>
      <c r="L1546" s="78"/>
      <c r="M1546" s="153"/>
      <c r="N1546" s="78"/>
      <c r="O1546" s="78"/>
      <c r="P1546" s="153"/>
      <c r="Q1546" s="78"/>
      <c r="R1546" s="78"/>
      <c r="S1546" s="153"/>
      <c r="T1546" s="78"/>
      <c r="U1546" s="78"/>
      <c r="V1546" s="152"/>
      <c r="W1546" s="78"/>
      <c r="X1546" s="78"/>
    </row>
    <row r="1547" spans="1:24" ht="42" customHeight="1">
      <c r="A1547" s="78"/>
      <c r="B1547" s="149"/>
      <c r="C1547" s="149"/>
      <c r="D1547" s="78"/>
      <c r="E1547" s="78"/>
      <c r="F1547" s="78"/>
      <c r="G1547" s="150"/>
      <c r="H1547" s="78"/>
      <c r="I1547" s="151"/>
      <c r="J1547" s="78"/>
      <c r="K1547" s="78"/>
      <c r="L1547" s="78"/>
      <c r="M1547" s="153"/>
      <c r="N1547" s="78"/>
      <c r="O1547" s="78"/>
      <c r="P1547" s="153"/>
      <c r="Q1547" s="78"/>
      <c r="R1547" s="78"/>
      <c r="S1547" s="153"/>
      <c r="T1547" s="78"/>
      <c r="U1547" s="78"/>
      <c r="V1547" s="152"/>
      <c r="W1547" s="78"/>
      <c r="X1547" s="78"/>
    </row>
    <row r="1548" spans="1:24" ht="42" customHeight="1">
      <c r="A1548" s="78"/>
      <c r="B1548" s="149"/>
      <c r="C1548" s="149"/>
      <c r="D1548" s="78"/>
      <c r="E1548" s="78"/>
      <c r="F1548" s="78"/>
      <c r="G1548" s="150"/>
      <c r="H1548" s="78"/>
      <c r="I1548" s="151"/>
      <c r="J1548" s="78"/>
      <c r="K1548" s="78"/>
      <c r="L1548" s="78"/>
      <c r="M1548" s="153"/>
      <c r="N1548" s="78"/>
      <c r="O1548" s="78"/>
      <c r="P1548" s="153"/>
      <c r="Q1548" s="78"/>
      <c r="R1548" s="78"/>
      <c r="S1548" s="153"/>
      <c r="T1548" s="78"/>
      <c r="U1548" s="78"/>
      <c r="V1548" s="152"/>
      <c r="W1548" s="78"/>
      <c r="X1548" s="78"/>
    </row>
    <row r="1549" spans="1:24" ht="42" customHeight="1">
      <c r="A1549" s="78"/>
      <c r="B1549" s="149"/>
      <c r="C1549" s="149"/>
      <c r="D1549" s="78"/>
      <c r="E1549" s="78"/>
      <c r="F1549" s="78"/>
      <c r="G1549" s="150"/>
      <c r="H1549" s="78"/>
      <c r="I1549" s="151"/>
      <c r="J1549" s="78"/>
      <c r="K1549" s="78"/>
      <c r="L1549" s="78"/>
      <c r="M1549" s="153"/>
      <c r="N1549" s="78"/>
      <c r="O1549" s="78"/>
      <c r="P1549" s="153"/>
      <c r="Q1549" s="78"/>
      <c r="R1549" s="78"/>
      <c r="S1549" s="153"/>
      <c r="T1549" s="78"/>
      <c r="U1549" s="78"/>
      <c r="V1549" s="152"/>
      <c r="W1549" s="78"/>
      <c r="X1549" s="78"/>
    </row>
    <row r="1550" spans="1:24" ht="42" customHeight="1">
      <c r="A1550" s="78"/>
      <c r="B1550" s="149"/>
      <c r="C1550" s="149"/>
      <c r="D1550" s="78"/>
      <c r="E1550" s="78"/>
      <c r="F1550" s="78"/>
      <c r="G1550" s="150"/>
      <c r="H1550" s="78"/>
      <c r="I1550" s="151"/>
      <c r="J1550" s="78"/>
      <c r="K1550" s="78"/>
      <c r="L1550" s="78"/>
      <c r="M1550" s="153"/>
      <c r="N1550" s="78"/>
      <c r="O1550" s="78"/>
      <c r="P1550" s="153"/>
      <c r="Q1550" s="78"/>
      <c r="R1550" s="78"/>
      <c r="S1550" s="153"/>
      <c r="T1550" s="78"/>
      <c r="U1550" s="78"/>
      <c r="V1550" s="152"/>
      <c r="W1550" s="78"/>
      <c r="X1550" s="78"/>
    </row>
    <row r="1551" spans="1:24" ht="42" customHeight="1">
      <c r="A1551" s="78"/>
      <c r="B1551" s="149"/>
      <c r="C1551" s="149"/>
      <c r="D1551" s="78"/>
      <c r="E1551" s="78"/>
      <c r="F1551" s="78"/>
      <c r="G1551" s="150"/>
      <c r="H1551" s="78"/>
      <c r="I1551" s="151"/>
      <c r="J1551" s="78"/>
      <c r="K1551" s="78"/>
      <c r="L1551" s="78"/>
      <c r="M1551" s="153"/>
      <c r="N1551" s="78"/>
      <c r="O1551" s="78"/>
      <c r="P1551" s="153"/>
      <c r="Q1551" s="78"/>
      <c r="R1551" s="78"/>
      <c r="S1551" s="153"/>
      <c r="T1551" s="78"/>
      <c r="U1551" s="78"/>
      <c r="V1551" s="152"/>
      <c r="W1551" s="78"/>
      <c r="X1551" s="78"/>
    </row>
    <row r="1552" spans="1:24" ht="42" customHeight="1">
      <c r="A1552" s="78"/>
      <c r="B1552" s="149"/>
      <c r="C1552" s="149"/>
      <c r="D1552" s="78"/>
      <c r="E1552" s="78"/>
      <c r="F1552" s="78"/>
      <c r="G1552" s="150"/>
      <c r="H1552" s="78"/>
      <c r="I1552" s="151"/>
      <c r="J1552" s="78"/>
      <c r="K1552" s="78"/>
      <c r="L1552" s="78"/>
      <c r="M1552" s="153"/>
      <c r="N1552" s="78"/>
      <c r="O1552" s="78"/>
      <c r="P1552" s="153"/>
      <c r="Q1552" s="78"/>
      <c r="R1552" s="78"/>
      <c r="S1552" s="153"/>
      <c r="T1552" s="78"/>
      <c r="U1552" s="78"/>
      <c r="V1552" s="152"/>
      <c r="W1552" s="78"/>
      <c r="X1552" s="78"/>
    </row>
    <row r="1553" spans="1:24" ht="42" customHeight="1">
      <c r="A1553" s="78"/>
      <c r="B1553" s="149"/>
      <c r="C1553" s="149"/>
      <c r="D1553" s="78"/>
      <c r="E1553" s="78"/>
      <c r="F1553" s="78"/>
      <c r="G1553" s="150"/>
      <c r="H1553" s="78"/>
      <c r="I1553" s="151"/>
      <c r="J1553" s="78"/>
      <c r="K1553" s="78"/>
      <c r="L1553" s="78"/>
      <c r="M1553" s="153"/>
      <c r="N1553" s="78"/>
      <c r="O1553" s="78"/>
      <c r="P1553" s="153"/>
      <c r="Q1553" s="78"/>
      <c r="R1553" s="78"/>
      <c r="S1553" s="153"/>
      <c r="T1553" s="78"/>
      <c r="U1553" s="78"/>
      <c r="V1553" s="152"/>
      <c r="W1553" s="78"/>
      <c r="X1553" s="78"/>
    </row>
    <row r="1554" spans="1:24" ht="42" customHeight="1">
      <c r="A1554" s="78"/>
      <c r="B1554" s="149"/>
      <c r="C1554" s="149"/>
      <c r="D1554" s="78"/>
      <c r="E1554" s="78"/>
      <c r="F1554" s="78"/>
      <c r="G1554" s="150"/>
      <c r="H1554" s="78"/>
      <c r="I1554" s="151"/>
      <c r="J1554" s="78"/>
      <c r="K1554" s="78"/>
      <c r="L1554" s="78"/>
      <c r="M1554" s="153"/>
      <c r="N1554" s="78"/>
      <c r="O1554" s="78"/>
      <c r="P1554" s="153"/>
      <c r="Q1554" s="78"/>
      <c r="R1554" s="78"/>
      <c r="S1554" s="153"/>
      <c r="T1554" s="78"/>
      <c r="U1554" s="78"/>
      <c r="V1554" s="152"/>
      <c r="W1554" s="78"/>
      <c r="X1554" s="78"/>
    </row>
    <row r="1555" spans="1:24" ht="42" customHeight="1">
      <c r="A1555" s="78"/>
      <c r="B1555" s="149"/>
      <c r="C1555" s="149"/>
      <c r="D1555" s="78"/>
      <c r="E1555" s="78"/>
      <c r="F1555" s="78"/>
      <c r="G1555" s="150"/>
      <c r="H1555" s="78"/>
      <c r="I1555" s="151"/>
      <c r="J1555" s="78"/>
      <c r="K1555" s="78"/>
      <c r="L1555" s="78"/>
      <c r="M1555" s="153"/>
      <c r="N1555" s="78"/>
      <c r="O1555" s="78"/>
      <c r="P1555" s="153"/>
      <c r="Q1555" s="78"/>
      <c r="R1555" s="78"/>
      <c r="S1555" s="153"/>
      <c r="T1555" s="78"/>
      <c r="U1555" s="78"/>
      <c r="V1555" s="152"/>
      <c r="W1555" s="78"/>
      <c r="X1555" s="78"/>
    </row>
    <row r="1556" spans="1:24" ht="42" customHeight="1">
      <c r="A1556" s="78"/>
      <c r="B1556" s="149"/>
      <c r="C1556" s="149"/>
      <c r="D1556" s="78"/>
      <c r="E1556" s="78"/>
      <c r="F1556" s="78"/>
      <c r="G1556" s="150"/>
      <c r="H1556" s="78"/>
      <c r="I1556" s="151"/>
      <c r="J1556" s="78"/>
      <c r="K1556" s="78"/>
      <c r="L1556" s="78"/>
      <c r="M1556" s="153"/>
      <c r="N1556" s="78"/>
      <c r="O1556" s="78"/>
      <c r="P1556" s="153"/>
      <c r="Q1556" s="78"/>
      <c r="R1556" s="78"/>
      <c r="S1556" s="153"/>
      <c r="T1556" s="78"/>
      <c r="U1556" s="78"/>
      <c r="V1556" s="152"/>
      <c r="W1556" s="78"/>
      <c r="X1556" s="78"/>
    </row>
    <row r="1557" spans="1:24" ht="42" customHeight="1">
      <c r="A1557" s="78"/>
      <c r="B1557" s="149"/>
      <c r="C1557" s="149"/>
      <c r="D1557" s="78"/>
      <c r="E1557" s="78"/>
      <c r="F1557" s="78"/>
      <c r="G1557" s="150"/>
      <c r="H1557" s="78"/>
      <c r="I1557" s="151"/>
      <c r="J1557" s="78"/>
      <c r="K1557" s="78"/>
      <c r="L1557" s="78"/>
      <c r="M1557" s="153"/>
      <c r="N1557" s="78"/>
      <c r="O1557" s="78"/>
      <c r="P1557" s="153"/>
      <c r="Q1557" s="78"/>
      <c r="R1557" s="78"/>
      <c r="S1557" s="153"/>
      <c r="T1557" s="78"/>
      <c r="U1557" s="78"/>
      <c r="V1557" s="152"/>
      <c r="W1557" s="78"/>
      <c r="X1557" s="78"/>
    </row>
    <row r="1558" spans="1:24" ht="42" customHeight="1">
      <c r="A1558" s="78"/>
      <c r="B1558" s="149"/>
      <c r="C1558" s="149"/>
      <c r="D1558" s="78"/>
      <c r="E1558" s="78"/>
      <c r="F1558" s="78"/>
      <c r="G1558" s="150"/>
      <c r="H1558" s="78"/>
      <c r="I1558" s="151"/>
      <c r="J1558" s="78"/>
      <c r="K1558" s="78"/>
      <c r="L1558" s="78"/>
      <c r="M1558" s="153"/>
      <c r="N1558" s="78"/>
      <c r="O1558" s="78"/>
      <c r="P1558" s="153"/>
      <c r="Q1558" s="78"/>
      <c r="R1558" s="78"/>
      <c r="S1558" s="153"/>
      <c r="T1558" s="78"/>
      <c r="U1558" s="78"/>
      <c r="V1558" s="152"/>
      <c r="W1558" s="78"/>
      <c r="X1558" s="78"/>
    </row>
    <row r="1559" spans="1:24" ht="42" customHeight="1">
      <c r="A1559" s="78"/>
      <c r="B1559" s="149"/>
      <c r="C1559" s="149"/>
      <c r="D1559" s="78"/>
      <c r="E1559" s="78"/>
      <c r="F1559" s="78"/>
      <c r="G1559" s="150"/>
      <c r="H1559" s="78"/>
      <c r="I1559" s="151"/>
      <c r="J1559" s="78"/>
      <c r="K1559" s="78"/>
      <c r="L1559" s="78"/>
      <c r="M1559" s="153"/>
      <c r="N1559" s="78"/>
      <c r="O1559" s="78"/>
      <c r="P1559" s="153"/>
      <c r="Q1559" s="78"/>
      <c r="R1559" s="78"/>
      <c r="S1559" s="153"/>
      <c r="T1559" s="78"/>
      <c r="U1559" s="78"/>
      <c r="V1559" s="152"/>
      <c r="W1559" s="78"/>
      <c r="X1559" s="78"/>
    </row>
    <row r="1560" spans="1:24" ht="42" customHeight="1">
      <c r="A1560" s="78"/>
      <c r="B1560" s="149"/>
      <c r="C1560" s="149"/>
      <c r="D1560" s="78"/>
      <c r="E1560" s="78"/>
      <c r="F1560" s="78"/>
      <c r="G1560" s="150"/>
      <c r="H1560" s="78"/>
      <c r="I1560" s="151"/>
      <c r="J1560" s="78"/>
      <c r="K1560" s="78"/>
      <c r="L1560" s="78"/>
      <c r="M1560" s="153"/>
      <c r="N1560" s="78"/>
      <c r="O1560" s="78"/>
      <c r="P1560" s="153"/>
      <c r="Q1560" s="78"/>
      <c r="R1560" s="78"/>
      <c r="S1560" s="153"/>
      <c r="T1560" s="78"/>
      <c r="U1560" s="78"/>
      <c r="V1560" s="152"/>
      <c r="W1560" s="78"/>
      <c r="X1560" s="78"/>
    </row>
    <row r="1561" spans="1:24" ht="42" customHeight="1">
      <c r="A1561" s="78"/>
      <c r="B1561" s="149"/>
      <c r="C1561" s="149"/>
      <c r="D1561" s="78"/>
      <c r="E1561" s="78"/>
      <c r="F1561" s="78"/>
      <c r="G1561" s="150"/>
      <c r="H1561" s="78"/>
      <c r="I1561" s="151"/>
      <c r="J1561" s="78"/>
      <c r="K1561" s="78"/>
      <c r="L1561" s="78"/>
      <c r="M1561" s="153"/>
      <c r="N1561" s="78"/>
      <c r="O1561" s="78"/>
      <c r="P1561" s="153"/>
      <c r="Q1561" s="78"/>
      <c r="R1561" s="78"/>
      <c r="S1561" s="153"/>
      <c r="T1561" s="78"/>
      <c r="U1561" s="78"/>
      <c r="V1561" s="152"/>
      <c r="W1561" s="78"/>
      <c r="X1561" s="78"/>
    </row>
    <row r="1562" spans="1:24" ht="42" customHeight="1">
      <c r="A1562" s="78"/>
      <c r="B1562" s="149"/>
      <c r="C1562" s="149"/>
      <c r="D1562" s="78"/>
      <c r="E1562" s="78"/>
      <c r="F1562" s="78"/>
      <c r="G1562" s="150"/>
      <c r="H1562" s="78"/>
      <c r="I1562" s="151"/>
      <c r="J1562" s="78"/>
      <c r="K1562" s="78"/>
      <c r="L1562" s="78"/>
      <c r="M1562" s="153"/>
      <c r="N1562" s="78"/>
      <c r="O1562" s="78"/>
      <c r="P1562" s="153"/>
      <c r="Q1562" s="78"/>
      <c r="R1562" s="78"/>
      <c r="S1562" s="153"/>
      <c r="T1562" s="78"/>
      <c r="U1562" s="78"/>
      <c r="V1562" s="152"/>
      <c r="W1562" s="78"/>
      <c r="X1562" s="78"/>
    </row>
    <row r="1563" spans="1:24" ht="42" customHeight="1">
      <c r="A1563" s="78"/>
      <c r="B1563" s="149"/>
      <c r="C1563" s="149"/>
      <c r="D1563" s="78"/>
      <c r="E1563" s="78"/>
      <c r="F1563" s="78"/>
      <c r="G1563" s="150"/>
      <c r="H1563" s="78"/>
      <c r="I1563" s="151"/>
      <c r="J1563" s="78"/>
      <c r="K1563" s="78"/>
      <c r="L1563" s="78"/>
      <c r="M1563" s="153"/>
      <c r="N1563" s="78"/>
      <c r="O1563" s="78"/>
      <c r="P1563" s="153"/>
      <c r="Q1563" s="78"/>
      <c r="R1563" s="78"/>
      <c r="S1563" s="153"/>
      <c r="T1563" s="78"/>
      <c r="U1563" s="78"/>
      <c r="V1563" s="152"/>
      <c r="W1563" s="78"/>
      <c r="X1563" s="78"/>
    </row>
    <row r="1564" spans="1:24" ht="42" customHeight="1">
      <c r="A1564" s="78"/>
      <c r="B1564" s="149"/>
      <c r="C1564" s="149"/>
      <c r="D1564" s="78"/>
      <c r="E1564" s="78"/>
      <c r="F1564" s="78"/>
      <c r="G1564" s="150"/>
      <c r="H1564" s="78"/>
      <c r="I1564" s="151"/>
      <c r="J1564" s="78"/>
      <c r="K1564" s="78"/>
      <c r="L1564" s="78"/>
      <c r="M1564" s="153"/>
      <c r="N1564" s="78"/>
      <c r="O1564" s="78"/>
      <c r="P1564" s="153"/>
      <c r="Q1564" s="78"/>
      <c r="R1564" s="78"/>
      <c r="S1564" s="153"/>
      <c r="T1564" s="78"/>
      <c r="U1564" s="78"/>
      <c r="V1564" s="152"/>
      <c r="W1564" s="78"/>
      <c r="X1564" s="78"/>
    </row>
    <row r="1565" spans="1:24" ht="42" customHeight="1">
      <c r="A1565" s="78"/>
      <c r="B1565" s="149"/>
      <c r="C1565" s="149"/>
      <c r="D1565" s="78"/>
      <c r="E1565" s="78"/>
      <c r="F1565" s="78"/>
      <c r="G1565" s="150"/>
      <c r="H1565" s="78"/>
      <c r="I1565" s="151"/>
      <c r="J1565" s="78"/>
      <c r="K1565" s="78"/>
      <c r="L1565" s="78"/>
      <c r="M1565" s="153"/>
      <c r="N1565" s="78"/>
      <c r="O1565" s="78"/>
      <c r="P1565" s="153"/>
      <c r="Q1565" s="78"/>
      <c r="R1565" s="78"/>
      <c r="S1565" s="153"/>
      <c r="T1565" s="78"/>
      <c r="U1565" s="78"/>
      <c r="V1565" s="152"/>
      <c r="W1565" s="78"/>
      <c r="X1565" s="78"/>
    </row>
    <row r="1566" spans="1:24" ht="42" customHeight="1">
      <c r="A1566" s="78"/>
      <c r="B1566" s="149"/>
      <c r="C1566" s="149"/>
      <c r="D1566" s="78"/>
      <c r="E1566" s="78"/>
      <c r="F1566" s="78"/>
      <c r="G1566" s="150"/>
      <c r="H1566" s="78"/>
      <c r="I1566" s="151"/>
      <c r="J1566" s="78"/>
      <c r="K1566" s="78"/>
      <c r="L1566" s="78"/>
      <c r="M1566" s="153"/>
      <c r="N1566" s="78"/>
      <c r="O1566" s="78"/>
      <c r="P1566" s="153"/>
      <c r="Q1566" s="78"/>
      <c r="R1566" s="78"/>
      <c r="S1566" s="153"/>
      <c r="T1566" s="78"/>
      <c r="U1566" s="78"/>
      <c r="V1566" s="152"/>
      <c r="W1566" s="78"/>
      <c r="X1566" s="78"/>
    </row>
    <row r="1567" spans="1:24" ht="42" customHeight="1">
      <c r="A1567" s="78"/>
      <c r="B1567" s="149"/>
      <c r="C1567" s="149"/>
      <c r="D1567" s="78"/>
      <c r="E1567" s="78"/>
      <c r="F1567" s="78"/>
      <c r="G1567" s="150"/>
      <c r="H1567" s="78"/>
      <c r="I1567" s="151"/>
      <c r="J1567" s="78"/>
      <c r="K1567" s="78"/>
      <c r="L1567" s="78"/>
      <c r="M1567" s="153"/>
      <c r="N1567" s="78"/>
      <c r="O1567" s="78"/>
      <c r="P1567" s="153"/>
      <c r="Q1567" s="78"/>
      <c r="R1567" s="78"/>
      <c r="S1567" s="153"/>
      <c r="T1567" s="78"/>
      <c r="U1567" s="78"/>
      <c r="V1567" s="152"/>
      <c r="W1567" s="78"/>
      <c r="X1567" s="78"/>
    </row>
    <row r="1568" spans="1:24" ht="42" customHeight="1">
      <c r="A1568" s="78"/>
      <c r="B1568" s="149"/>
      <c r="C1568" s="149"/>
      <c r="D1568" s="78"/>
      <c r="E1568" s="78"/>
      <c r="F1568" s="78"/>
      <c r="G1568" s="150"/>
      <c r="H1568" s="78"/>
      <c r="I1568" s="151"/>
      <c r="J1568" s="78"/>
      <c r="K1568" s="78"/>
      <c r="L1568" s="78"/>
      <c r="M1568" s="153"/>
      <c r="N1568" s="78"/>
      <c r="O1568" s="78"/>
      <c r="P1568" s="153"/>
      <c r="Q1568" s="78"/>
      <c r="R1568" s="78"/>
      <c r="S1568" s="153"/>
      <c r="T1568" s="78"/>
      <c r="U1568" s="78"/>
      <c r="V1568" s="152"/>
      <c r="W1568" s="78"/>
      <c r="X1568" s="78"/>
    </row>
    <row r="1569" spans="1:24" ht="42" customHeight="1">
      <c r="A1569" s="78"/>
      <c r="B1569" s="149"/>
      <c r="C1569" s="149"/>
      <c r="D1569" s="78"/>
      <c r="E1569" s="78"/>
      <c r="F1569" s="78"/>
      <c r="G1569" s="150"/>
      <c r="H1569" s="78"/>
      <c r="I1569" s="151"/>
      <c r="J1569" s="78"/>
      <c r="K1569" s="78"/>
      <c r="L1569" s="78"/>
      <c r="M1569" s="153"/>
      <c r="N1569" s="78"/>
      <c r="O1569" s="78"/>
      <c r="P1569" s="153"/>
      <c r="Q1569" s="78"/>
      <c r="R1569" s="78"/>
      <c r="S1569" s="153"/>
      <c r="T1569" s="78"/>
      <c r="U1569" s="78"/>
      <c r="V1569" s="152"/>
      <c r="W1569" s="78"/>
      <c r="X1569" s="78"/>
    </row>
    <row r="1570" spans="1:24" ht="42" customHeight="1">
      <c r="A1570" s="78"/>
      <c r="B1570" s="149"/>
      <c r="C1570" s="149"/>
      <c r="D1570" s="78"/>
      <c r="E1570" s="78"/>
      <c r="F1570" s="78"/>
      <c r="G1570" s="150"/>
      <c r="H1570" s="78"/>
      <c r="I1570" s="151"/>
      <c r="J1570" s="78"/>
      <c r="K1570" s="78"/>
      <c r="L1570" s="78"/>
      <c r="M1570" s="153"/>
      <c r="N1570" s="78"/>
      <c r="O1570" s="78"/>
      <c r="P1570" s="153"/>
      <c r="Q1570" s="78"/>
      <c r="R1570" s="78"/>
      <c r="S1570" s="153"/>
      <c r="T1570" s="78"/>
      <c r="U1570" s="78"/>
      <c r="V1570" s="152"/>
      <c r="W1570" s="78"/>
      <c r="X1570" s="78"/>
    </row>
    <row r="1571" spans="1:24" ht="42" customHeight="1">
      <c r="A1571" s="78"/>
      <c r="B1571" s="149"/>
      <c r="C1571" s="149"/>
      <c r="D1571" s="78"/>
      <c r="E1571" s="78"/>
      <c r="F1571" s="78"/>
      <c r="G1571" s="150"/>
      <c r="H1571" s="78"/>
      <c r="I1571" s="151"/>
      <c r="J1571" s="78"/>
      <c r="K1571" s="78"/>
      <c r="L1571" s="78"/>
      <c r="M1571" s="153"/>
      <c r="N1571" s="78"/>
      <c r="O1571" s="78"/>
      <c r="P1571" s="153"/>
      <c r="Q1571" s="78"/>
      <c r="R1571" s="78"/>
      <c r="S1571" s="153"/>
      <c r="T1571" s="78"/>
      <c r="U1571" s="78"/>
      <c r="V1571" s="152"/>
      <c r="W1571" s="78"/>
      <c r="X1571" s="78"/>
    </row>
    <row r="1572" spans="1:24" ht="42" customHeight="1">
      <c r="A1572" s="78"/>
      <c r="B1572" s="149"/>
      <c r="C1572" s="149"/>
      <c r="D1572" s="78"/>
      <c r="E1572" s="78"/>
      <c r="F1572" s="78"/>
      <c r="G1572" s="150"/>
      <c r="H1572" s="78"/>
      <c r="I1572" s="151"/>
      <c r="J1572" s="78"/>
      <c r="K1572" s="78"/>
      <c r="L1572" s="78"/>
      <c r="M1572" s="153"/>
      <c r="N1572" s="78"/>
      <c r="O1572" s="78"/>
      <c r="P1572" s="153"/>
      <c r="Q1572" s="78"/>
      <c r="R1572" s="78"/>
      <c r="S1572" s="153"/>
      <c r="T1572" s="78"/>
      <c r="U1572" s="78"/>
      <c r="V1572" s="152"/>
      <c r="W1572" s="78"/>
      <c r="X1572" s="78"/>
    </row>
    <row r="1573" spans="1:24" ht="42" customHeight="1">
      <c r="A1573" s="78"/>
      <c r="B1573" s="149"/>
      <c r="C1573" s="149"/>
      <c r="D1573" s="78"/>
      <c r="E1573" s="78"/>
      <c r="F1573" s="78"/>
      <c r="G1573" s="150"/>
      <c r="H1573" s="78"/>
      <c r="I1573" s="151"/>
      <c r="J1573" s="78"/>
      <c r="K1573" s="78"/>
      <c r="L1573" s="78"/>
      <c r="M1573" s="153"/>
      <c r="N1573" s="78"/>
      <c r="O1573" s="78"/>
      <c r="P1573" s="153"/>
      <c r="Q1573" s="78"/>
      <c r="R1573" s="78"/>
      <c r="S1573" s="153"/>
      <c r="T1573" s="78"/>
      <c r="U1573" s="78"/>
      <c r="V1573" s="152"/>
      <c r="W1573" s="78"/>
      <c r="X1573" s="78"/>
    </row>
    <row r="1574" spans="1:24" ht="42" customHeight="1">
      <c r="A1574" s="78"/>
      <c r="B1574" s="149"/>
      <c r="C1574" s="149"/>
      <c r="D1574" s="78"/>
      <c r="E1574" s="78"/>
      <c r="F1574" s="78"/>
      <c r="G1574" s="150"/>
      <c r="H1574" s="78"/>
      <c r="I1574" s="151"/>
      <c r="J1574" s="78"/>
      <c r="K1574" s="78"/>
      <c r="L1574" s="78"/>
      <c r="M1574" s="153"/>
      <c r="N1574" s="78"/>
      <c r="O1574" s="78"/>
      <c r="P1574" s="153"/>
      <c r="Q1574" s="78"/>
      <c r="R1574" s="78"/>
      <c r="S1574" s="153"/>
      <c r="T1574" s="78"/>
      <c r="U1574" s="78"/>
      <c r="V1574" s="152"/>
      <c r="W1574" s="78"/>
      <c r="X1574" s="78"/>
    </row>
    <row r="1575" spans="1:24" ht="42" customHeight="1">
      <c r="A1575" s="78"/>
      <c r="B1575" s="149"/>
      <c r="C1575" s="149"/>
      <c r="D1575" s="78"/>
      <c r="E1575" s="78"/>
      <c r="F1575" s="78"/>
      <c r="G1575" s="150"/>
      <c r="H1575" s="78"/>
      <c r="I1575" s="151"/>
      <c r="J1575" s="78"/>
      <c r="K1575" s="78"/>
      <c r="L1575" s="78"/>
      <c r="M1575" s="153"/>
      <c r="N1575" s="78"/>
      <c r="O1575" s="78"/>
      <c r="P1575" s="153"/>
      <c r="Q1575" s="78"/>
      <c r="R1575" s="78"/>
      <c r="S1575" s="153"/>
      <c r="T1575" s="78"/>
      <c r="U1575" s="78"/>
      <c r="V1575" s="152"/>
      <c r="W1575" s="78"/>
      <c r="X1575" s="78"/>
    </row>
    <row r="1576" spans="1:24" ht="42" customHeight="1">
      <c r="A1576" s="78"/>
      <c r="B1576" s="149"/>
      <c r="C1576" s="149"/>
      <c r="D1576" s="78"/>
      <c r="E1576" s="78"/>
      <c r="F1576" s="78"/>
      <c r="G1576" s="150"/>
      <c r="H1576" s="78"/>
      <c r="I1576" s="151"/>
      <c r="J1576" s="78"/>
      <c r="K1576" s="78"/>
      <c r="L1576" s="78"/>
      <c r="M1576" s="153"/>
      <c r="N1576" s="78"/>
      <c r="O1576" s="78"/>
      <c r="P1576" s="153"/>
      <c r="Q1576" s="78"/>
      <c r="R1576" s="78"/>
      <c r="S1576" s="153"/>
      <c r="T1576" s="78"/>
      <c r="U1576" s="78"/>
      <c r="V1576" s="152"/>
      <c r="W1576" s="78"/>
      <c r="X1576" s="78"/>
    </row>
    <row r="1577" spans="1:24" ht="42" customHeight="1">
      <c r="A1577" s="78"/>
      <c r="B1577" s="149"/>
      <c r="C1577" s="149"/>
      <c r="D1577" s="78"/>
      <c r="E1577" s="78"/>
      <c r="F1577" s="78"/>
      <c r="G1577" s="150"/>
      <c r="H1577" s="78"/>
      <c r="I1577" s="151"/>
      <c r="J1577" s="78"/>
      <c r="K1577" s="78"/>
      <c r="L1577" s="78"/>
      <c r="M1577" s="153"/>
      <c r="N1577" s="78"/>
      <c r="O1577" s="78"/>
      <c r="P1577" s="153"/>
      <c r="Q1577" s="78"/>
      <c r="R1577" s="78"/>
      <c r="S1577" s="153"/>
      <c r="T1577" s="78"/>
      <c r="U1577" s="78"/>
      <c r="V1577" s="152"/>
      <c r="W1577" s="78"/>
      <c r="X1577" s="78"/>
    </row>
    <row r="1578" spans="1:24" ht="42" customHeight="1">
      <c r="A1578" s="78"/>
      <c r="B1578" s="149"/>
      <c r="C1578" s="149"/>
      <c r="D1578" s="78"/>
      <c r="E1578" s="78"/>
      <c r="F1578" s="78"/>
      <c r="G1578" s="150"/>
      <c r="H1578" s="78"/>
      <c r="I1578" s="151"/>
      <c r="J1578" s="78"/>
      <c r="K1578" s="78"/>
      <c r="L1578" s="78"/>
      <c r="M1578" s="153"/>
      <c r="N1578" s="78"/>
      <c r="O1578" s="78"/>
      <c r="P1578" s="153"/>
      <c r="Q1578" s="78"/>
      <c r="R1578" s="78"/>
      <c r="S1578" s="153"/>
      <c r="T1578" s="78"/>
      <c r="U1578" s="78"/>
      <c r="V1578" s="152"/>
      <c r="W1578" s="78"/>
      <c r="X1578" s="78"/>
    </row>
    <row r="1579" spans="1:24" ht="42" customHeight="1">
      <c r="A1579" s="78"/>
      <c r="B1579" s="149"/>
      <c r="C1579" s="149"/>
      <c r="D1579" s="78"/>
      <c r="E1579" s="78"/>
      <c r="F1579" s="78"/>
      <c r="G1579" s="150"/>
      <c r="H1579" s="78"/>
      <c r="I1579" s="151"/>
      <c r="J1579" s="78"/>
      <c r="K1579" s="78"/>
      <c r="L1579" s="78"/>
      <c r="M1579" s="153"/>
      <c r="N1579" s="78"/>
      <c r="O1579" s="78"/>
      <c r="P1579" s="153"/>
      <c r="Q1579" s="78"/>
      <c r="R1579" s="78"/>
      <c r="S1579" s="153"/>
      <c r="T1579" s="78"/>
      <c r="U1579" s="78"/>
      <c r="V1579" s="152"/>
      <c r="W1579" s="78"/>
      <c r="X1579" s="78"/>
    </row>
    <row r="1580" spans="1:24" ht="42" customHeight="1">
      <c r="A1580" s="78"/>
      <c r="B1580" s="149"/>
      <c r="C1580" s="149"/>
      <c r="D1580" s="78"/>
      <c r="E1580" s="78"/>
      <c r="F1580" s="78"/>
      <c r="G1580" s="150"/>
      <c r="H1580" s="78"/>
      <c r="I1580" s="151"/>
      <c r="J1580" s="78"/>
      <c r="K1580" s="78"/>
      <c r="L1580" s="78"/>
      <c r="M1580" s="153"/>
      <c r="N1580" s="78"/>
      <c r="O1580" s="78"/>
      <c r="P1580" s="153"/>
      <c r="Q1580" s="78"/>
      <c r="R1580" s="78"/>
      <c r="S1580" s="153"/>
      <c r="T1580" s="78"/>
      <c r="U1580" s="78"/>
      <c r="V1580" s="152"/>
      <c r="W1580" s="78"/>
      <c r="X1580" s="78"/>
    </row>
    <row r="1581" spans="1:24" ht="42" customHeight="1">
      <c r="A1581" s="78"/>
      <c r="B1581" s="149"/>
      <c r="C1581" s="149"/>
      <c r="D1581" s="78"/>
      <c r="E1581" s="78"/>
      <c r="F1581" s="78"/>
      <c r="G1581" s="150"/>
      <c r="H1581" s="78"/>
      <c r="I1581" s="151"/>
      <c r="J1581" s="78"/>
      <c r="K1581" s="78"/>
      <c r="L1581" s="78"/>
      <c r="M1581" s="153"/>
      <c r="N1581" s="78"/>
      <c r="O1581" s="78"/>
      <c r="P1581" s="153"/>
      <c r="Q1581" s="78"/>
      <c r="R1581" s="78"/>
      <c r="S1581" s="153"/>
      <c r="T1581" s="78"/>
      <c r="U1581" s="78"/>
      <c r="V1581" s="152"/>
      <c r="W1581" s="78"/>
      <c r="X1581" s="78"/>
    </row>
    <row r="1582" spans="1:24" ht="42" customHeight="1">
      <c r="A1582" s="78"/>
      <c r="B1582" s="149"/>
      <c r="C1582" s="149"/>
      <c r="D1582" s="78"/>
      <c r="E1582" s="78"/>
      <c r="F1582" s="78"/>
      <c r="G1582" s="150"/>
      <c r="H1582" s="78"/>
      <c r="I1582" s="151"/>
      <c r="J1582" s="78"/>
      <c r="K1582" s="78"/>
      <c r="L1582" s="78"/>
      <c r="M1582" s="153"/>
      <c r="N1582" s="78"/>
      <c r="O1582" s="78"/>
      <c r="P1582" s="153"/>
      <c r="Q1582" s="78"/>
      <c r="R1582" s="78"/>
      <c r="S1582" s="153"/>
      <c r="T1582" s="78"/>
      <c r="U1582" s="78"/>
      <c r="V1582" s="152"/>
      <c r="W1582" s="78"/>
      <c r="X1582" s="78"/>
    </row>
    <row r="1583" spans="1:24" ht="42" customHeight="1">
      <c r="A1583" s="78"/>
      <c r="B1583" s="149"/>
      <c r="C1583" s="149"/>
      <c r="D1583" s="78"/>
      <c r="E1583" s="78"/>
      <c r="F1583" s="78"/>
      <c r="G1583" s="150"/>
      <c r="H1583" s="78"/>
      <c r="I1583" s="151"/>
      <c r="J1583" s="78"/>
      <c r="K1583" s="78"/>
      <c r="L1583" s="78"/>
      <c r="M1583" s="153"/>
      <c r="N1583" s="78"/>
      <c r="O1583" s="78"/>
      <c r="P1583" s="153"/>
      <c r="Q1583" s="78"/>
      <c r="R1583" s="78"/>
      <c r="S1583" s="153"/>
      <c r="T1583" s="78"/>
      <c r="U1583" s="78"/>
      <c r="V1583" s="152"/>
      <c r="W1583" s="78"/>
      <c r="X1583" s="78"/>
    </row>
    <row r="1584" spans="1:24" ht="42" customHeight="1">
      <c r="A1584" s="78"/>
      <c r="B1584" s="149"/>
      <c r="C1584" s="149"/>
      <c r="D1584" s="78"/>
      <c r="E1584" s="78"/>
      <c r="F1584" s="78"/>
      <c r="G1584" s="150"/>
      <c r="H1584" s="78"/>
      <c r="I1584" s="151"/>
      <c r="J1584" s="78"/>
      <c r="K1584" s="78"/>
      <c r="L1584" s="78"/>
      <c r="M1584" s="153"/>
      <c r="N1584" s="78"/>
      <c r="O1584" s="78"/>
      <c r="P1584" s="153"/>
      <c r="Q1584" s="78"/>
      <c r="R1584" s="78"/>
      <c r="S1584" s="153"/>
      <c r="T1584" s="78"/>
      <c r="U1584" s="78"/>
      <c r="V1584" s="152"/>
      <c r="W1584" s="78"/>
      <c r="X1584" s="78"/>
    </row>
    <row r="1585" spans="1:24" ht="42" customHeight="1">
      <c r="A1585" s="78"/>
      <c r="B1585" s="149"/>
      <c r="C1585" s="149"/>
      <c r="D1585" s="78"/>
      <c r="E1585" s="78"/>
      <c r="F1585" s="78"/>
      <c r="G1585" s="150"/>
      <c r="H1585" s="78"/>
      <c r="I1585" s="151"/>
      <c r="J1585" s="78"/>
      <c r="K1585" s="78"/>
      <c r="L1585" s="78"/>
      <c r="M1585" s="153"/>
      <c r="N1585" s="78"/>
      <c r="O1585" s="78"/>
      <c r="P1585" s="153"/>
      <c r="Q1585" s="78"/>
      <c r="R1585" s="78"/>
      <c r="S1585" s="153"/>
      <c r="T1585" s="78"/>
      <c r="U1585" s="78"/>
      <c r="V1585" s="152"/>
      <c r="W1585" s="78"/>
      <c r="X1585" s="78"/>
    </row>
    <row r="1586" spans="1:24" ht="42" customHeight="1">
      <c r="A1586" s="78"/>
      <c r="B1586" s="149"/>
      <c r="C1586" s="149"/>
      <c r="D1586" s="78"/>
      <c r="E1586" s="78"/>
      <c r="F1586" s="78"/>
      <c r="G1586" s="150"/>
      <c r="H1586" s="78"/>
      <c r="I1586" s="151"/>
      <c r="J1586" s="78"/>
      <c r="K1586" s="78"/>
      <c r="L1586" s="78"/>
      <c r="M1586" s="153"/>
      <c r="N1586" s="78"/>
      <c r="O1586" s="78"/>
      <c r="P1586" s="153"/>
      <c r="Q1586" s="78"/>
      <c r="R1586" s="78"/>
      <c r="S1586" s="153"/>
      <c r="T1586" s="78"/>
      <c r="U1586" s="78"/>
      <c r="V1586" s="152"/>
      <c r="W1586" s="78"/>
      <c r="X1586" s="78"/>
    </row>
    <row r="1587" spans="1:24" ht="42" customHeight="1">
      <c r="A1587" s="78"/>
      <c r="B1587" s="149"/>
      <c r="C1587" s="149"/>
      <c r="D1587" s="78"/>
      <c r="E1587" s="78"/>
      <c r="F1587" s="78"/>
      <c r="G1587" s="150"/>
      <c r="H1587" s="78"/>
      <c r="I1587" s="151"/>
      <c r="J1587" s="78"/>
      <c r="K1587" s="78"/>
      <c r="L1587" s="78"/>
      <c r="M1587" s="153"/>
      <c r="N1587" s="78"/>
      <c r="O1587" s="78"/>
      <c r="P1587" s="153"/>
      <c r="Q1587" s="78"/>
      <c r="R1587" s="78"/>
      <c r="S1587" s="153"/>
      <c r="T1587" s="78"/>
      <c r="U1587" s="78"/>
      <c r="V1587" s="152"/>
      <c r="W1587" s="78"/>
      <c r="X1587" s="78"/>
    </row>
    <row r="1588" spans="1:24" ht="42" customHeight="1">
      <c r="A1588" s="78"/>
      <c r="B1588" s="149"/>
      <c r="C1588" s="149"/>
      <c r="D1588" s="78"/>
      <c r="E1588" s="78"/>
      <c r="F1588" s="78"/>
      <c r="G1588" s="150"/>
      <c r="H1588" s="78"/>
      <c r="I1588" s="151"/>
      <c r="J1588" s="78"/>
      <c r="K1588" s="78"/>
      <c r="L1588" s="78"/>
      <c r="M1588" s="153"/>
      <c r="N1588" s="78"/>
      <c r="O1588" s="78"/>
      <c r="P1588" s="153"/>
      <c r="Q1588" s="78"/>
      <c r="R1588" s="78"/>
      <c r="S1588" s="153"/>
      <c r="T1588" s="78"/>
      <c r="U1588" s="78"/>
      <c r="V1588" s="152"/>
      <c r="W1588" s="78"/>
      <c r="X1588" s="78"/>
    </row>
    <row r="1589" spans="1:24" ht="42" customHeight="1">
      <c r="A1589" s="78"/>
      <c r="B1589" s="149"/>
      <c r="C1589" s="149"/>
      <c r="D1589" s="78"/>
      <c r="E1589" s="78"/>
      <c r="F1589" s="78"/>
      <c r="G1589" s="150"/>
      <c r="H1589" s="78"/>
      <c r="I1589" s="151"/>
      <c r="J1589" s="78"/>
      <c r="K1589" s="78"/>
      <c r="L1589" s="78"/>
      <c r="M1589" s="153"/>
      <c r="N1589" s="78"/>
      <c r="O1589" s="78"/>
      <c r="P1589" s="153"/>
      <c r="Q1589" s="78"/>
      <c r="R1589" s="78"/>
      <c r="S1589" s="153"/>
      <c r="T1589" s="78"/>
      <c r="U1589" s="78"/>
      <c r="V1589" s="152"/>
      <c r="W1589" s="78"/>
      <c r="X1589" s="78"/>
    </row>
    <row r="1590" spans="1:24" ht="42" customHeight="1">
      <c r="A1590" s="78"/>
      <c r="B1590" s="149"/>
      <c r="C1590" s="149"/>
      <c r="D1590" s="78"/>
      <c r="E1590" s="78"/>
      <c r="F1590" s="78"/>
      <c r="G1590" s="150"/>
      <c r="H1590" s="78"/>
      <c r="I1590" s="151"/>
      <c r="J1590" s="78"/>
      <c r="K1590" s="78"/>
      <c r="L1590" s="78"/>
      <c r="M1590" s="153"/>
      <c r="N1590" s="78"/>
      <c r="O1590" s="78"/>
      <c r="P1590" s="153"/>
      <c r="Q1590" s="78"/>
      <c r="R1590" s="78"/>
      <c r="S1590" s="153"/>
      <c r="T1590" s="78"/>
      <c r="U1590" s="78"/>
      <c r="V1590" s="152"/>
      <c r="W1590" s="78"/>
      <c r="X1590" s="78"/>
    </row>
    <row r="1591" spans="1:24" ht="42" customHeight="1">
      <c r="A1591" s="78"/>
      <c r="B1591" s="149"/>
      <c r="C1591" s="149"/>
      <c r="D1591" s="78"/>
      <c r="E1591" s="78"/>
      <c r="F1591" s="78"/>
      <c r="G1591" s="150"/>
      <c r="H1591" s="78"/>
      <c r="I1591" s="151"/>
      <c r="J1591" s="78"/>
      <c r="K1591" s="78"/>
      <c r="L1591" s="78"/>
      <c r="M1591" s="153"/>
      <c r="N1591" s="78"/>
      <c r="O1591" s="78"/>
      <c r="P1591" s="153"/>
      <c r="Q1591" s="78"/>
      <c r="R1591" s="78"/>
      <c r="S1591" s="153"/>
      <c r="T1591" s="78"/>
      <c r="U1591" s="78"/>
      <c r="V1591" s="152"/>
      <c r="W1591" s="78"/>
      <c r="X1591" s="78"/>
    </row>
    <row r="1592" spans="1:24" ht="42" customHeight="1">
      <c r="A1592" s="78"/>
      <c r="B1592" s="149"/>
      <c r="C1592" s="149"/>
      <c r="D1592" s="78"/>
      <c r="E1592" s="78"/>
      <c r="F1592" s="78"/>
      <c r="G1592" s="150"/>
      <c r="H1592" s="78"/>
      <c r="I1592" s="151"/>
      <c r="J1592" s="78"/>
      <c r="K1592" s="78"/>
      <c r="L1592" s="78"/>
      <c r="M1592" s="153"/>
      <c r="N1592" s="78"/>
      <c r="O1592" s="78"/>
      <c r="P1592" s="153"/>
      <c r="Q1592" s="78"/>
      <c r="R1592" s="78"/>
      <c r="S1592" s="153"/>
      <c r="T1592" s="78"/>
      <c r="U1592" s="78"/>
      <c r="V1592" s="152"/>
      <c r="W1592" s="78"/>
      <c r="X1592" s="78"/>
    </row>
    <row r="1593" spans="1:24" ht="42" customHeight="1">
      <c r="A1593" s="78"/>
      <c r="B1593" s="149"/>
      <c r="C1593" s="149"/>
      <c r="D1593" s="78"/>
      <c r="E1593" s="78"/>
      <c r="F1593" s="78"/>
      <c r="G1593" s="150"/>
      <c r="H1593" s="78"/>
      <c r="I1593" s="151"/>
      <c r="J1593" s="78"/>
      <c r="K1593" s="78"/>
      <c r="L1593" s="78"/>
      <c r="M1593" s="153"/>
      <c r="N1593" s="78"/>
      <c r="O1593" s="78"/>
      <c r="P1593" s="153"/>
      <c r="Q1593" s="78"/>
      <c r="R1593" s="78"/>
      <c r="S1593" s="153"/>
      <c r="T1593" s="78"/>
      <c r="U1593" s="78"/>
      <c r="V1593" s="152"/>
      <c r="W1593" s="78"/>
      <c r="X1593" s="78"/>
    </row>
    <row r="1594" spans="1:24" ht="42" customHeight="1">
      <c r="A1594" s="78"/>
      <c r="B1594" s="149"/>
      <c r="C1594" s="149"/>
      <c r="D1594" s="78"/>
      <c r="E1594" s="78"/>
      <c r="F1594" s="78"/>
      <c r="G1594" s="150"/>
      <c r="H1594" s="78"/>
      <c r="I1594" s="151"/>
      <c r="J1594" s="78"/>
      <c r="K1594" s="78"/>
      <c r="L1594" s="78"/>
      <c r="M1594" s="153"/>
      <c r="N1594" s="78"/>
      <c r="O1594" s="78"/>
      <c r="P1594" s="153"/>
      <c r="Q1594" s="78"/>
      <c r="R1594" s="78"/>
      <c r="S1594" s="153"/>
      <c r="T1594" s="78"/>
      <c r="U1594" s="78"/>
      <c r="V1594" s="152"/>
      <c r="W1594" s="78"/>
      <c r="X1594" s="78"/>
    </row>
    <row r="1595" spans="1:24" ht="42" customHeight="1">
      <c r="A1595" s="78"/>
      <c r="B1595" s="149"/>
      <c r="C1595" s="149"/>
      <c r="D1595" s="78"/>
      <c r="E1595" s="78"/>
      <c r="F1595" s="78"/>
      <c r="G1595" s="150"/>
      <c r="H1595" s="78"/>
      <c r="I1595" s="151"/>
      <c r="J1595" s="78"/>
      <c r="K1595" s="78"/>
      <c r="L1595" s="78"/>
      <c r="M1595" s="153"/>
      <c r="N1595" s="78"/>
      <c r="O1595" s="78"/>
      <c r="P1595" s="153"/>
      <c r="Q1595" s="78"/>
      <c r="R1595" s="78"/>
      <c r="S1595" s="153"/>
      <c r="T1595" s="78"/>
      <c r="U1595" s="78"/>
      <c r="V1595" s="152"/>
      <c r="W1595" s="78"/>
      <c r="X1595" s="78"/>
    </row>
    <row r="1596" spans="1:24" ht="42" customHeight="1">
      <c r="A1596" s="78"/>
      <c r="B1596" s="149"/>
      <c r="C1596" s="149"/>
      <c r="D1596" s="78"/>
      <c r="E1596" s="78"/>
      <c r="F1596" s="78"/>
      <c r="G1596" s="150"/>
      <c r="H1596" s="78"/>
      <c r="I1596" s="151"/>
      <c r="J1596" s="78"/>
      <c r="K1596" s="78"/>
      <c r="L1596" s="78"/>
      <c r="M1596" s="153"/>
      <c r="N1596" s="78"/>
      <c r="O1596" s="78"/>
      <c r="P1596" s="153"/>
      <c r="Q1596" s="78"/>
      <c r="R1596" s="78"/>
      <c r="S1596" s="153"/>
      <c r="T1596" s="78"/>
      <c r="U1596" s="78"/>
      <c r="V1596" s="152"/>
      <c r="W1596" s="78"/>
      <c r="X1596" s="78"/>
    </row>
    <row r="1597" spans="1:24" ht="42" customHeight="1">
      <c r="A1597" s="78"/>
      <c r="B1597" s="149"/>
      <c r="C1597" s="149"/>
      <c r="D1597" s="78"/>
      <c r="E1597" s="78"/>
      <c r="F1597" s="78"/>
      <c r="G1597" s="150"/>
      <c r="H1597" s="78"/>
      <c r="I1597" s="151"/>
      <c r="J1597" s="78"/>
      <c r="K1597" s="78"/>
      <c r="L1597" s="78"/>
      <c r="M1597" s="153"/>
      <c r="N1597" s="78"/>
      <c r="O1597" s="78"/>
      <c r="P1597" s="153"/>
      <c r="Q1597" s="78"/>
      <c r="R1597" s="78"/>
      <c r="S1597" s="153"/>
      <c r="T1597" s="78"/>
      <c r="U1597" s="78"/>
      <c r="V1597" s="152"/>
      <c r="W1597" s="78"/>
      <c r="X1597" s="78"/>
    </row>
    <row r="1598" spans="1:24" ht="42" customHeight="1">
      <c r="A1598" s="78"/>
      <c r="B1598" s="149"/>
      <c r="C1598" s="149"/>
      <c r="D1598" s="78"/>
      <c r="E1598" s="78"/>
      <c r="F1598" s="78"/>
      <c r="G1598" s="150"/>
      <c r="H1598" s="78"/>
      <c r="I1598" s="151"/>
      <c r="J1598" s="78"/>
      <c r="K1598" s="78"/>
      <c r="L1598" s="78"/>
      <c r="M1598" s="153"/>
      <c r="N1598" s="78"/>
      <c r="O1598" s="78"/>
      <c r="P1598" s="153"/>
      <c r="Q1598" s="78"/>
      <c r="R1598" s="78"/>
      <c r="S1598" s="153"/>
      <c r="T1598" s="78"/>
      <c r="U1598" s="78"/>
      <c r="V1598" s="152"/>
      <c r="W1598" s="78"/>
      <c r="X1598" s="78"/>
    </row>
    <row r="1599" spans="1:24" ht="42" customHeight="1">
      <c r="A1599" s="78"/>
      <c r="B1599" s="149"/>
      <c r="C1599" s="149"/>
      <c r="D1599" s="78"/>
      <c r="E1599" s="78"/>
      <c r="F1599" s="78"/>
      <c r="G1599" s="150"/>
      <c r="H1599" s="78"/>
      <c r="I1599" s="151"/>
      <c r="J1599" s="78"/>
      <c r="K1599" s="78"/>
      <c r="L1599" s="78"/>
      <c r="M1599" s="153"/>
      <c r="N1599" s="78"/>
      <c r="O1599" s="78"/>
      <c r="P1599" s="153"/>
      <c r="Q1599" s="78"/>
      <c r="R1599" s="78"/>
      <c r="S1599" s="153"/>
      <c r="T1599" s="78"/>
      <c r="U1599" s="78"/>
      <c r="V1599" s="152"/>
      <c r="W1599" s="78"/>
      <c r="X1599" s="78"/>
    </row>
    <row r="1600" spans="1:24" ht="42" customHeight="1">
      <c r="A1600" s="78"/>
      <c r="B1600" s="149"/>
      <c r="C1600" s="149"/>
      <c r="D1600" s="78"/>
      <c r="E1600" s="78"/>
      <c r="F1600" s="78"/>
      <c r="G1600" s="150"/>
      <c r="H1600" s="78"/>
      <c r="I1600" s="151"/>
      <c r="J1600" s="78"/>
      <c r="K1600" s="78"/>
      <c r="L1600" s="78"/>
      <c r="M1600" s="153"/>
      <c r="N1600" s="78"/>
      <c r="O1600" s="78"/>
      <c r="P1600" s="153"/>
      <c r="Q1600" s="78"/>
      <c r="R1600" s="78"/>
      <c r="S1600" s="153"/>
      <c r="T1600" s="78"/>
      <c r="U1600" s="78"/>
      <c r="V1600" s="152"/>
      <c r="W1600" s="78"/>
      <c r="X1600" s="78"/>
    </row>
    <row r="1601" spans="1:24" ht="42" customHeight="1">
      <c r="A1601" s="78"/>
      <c r="B1601" s="149"/>
      <c r="C1601" s="149"/>
      <c r="D1601" s="78"/>
      <c r="E1601" s="78"/>
      <c r="F1601" s="78"/>
      <c r="G1601" s="150"/>
      <c r="H1601" s="78"/>
      <c r="I1601" s="151"/>
      <c r="J1601" s="78"/>
      <c r="K1601" s="78"/>
      <c r="L1601" s="78"/>
      <c r="M1601" s="153"/>
      <c r="N1601" s="78"/>
      <c r="O1601" s="78"/>
      <c r="P1601" s="153"/>
      <c r="Q1601" s="78"/>
      <c r="R1601" s="78"/>
      <c r="S1601" s="153"/>
      <c r="T1601" s="78"/>
      <c r="U1601" s="78"/>
      <c r="V1601" s="152"/>
      <c r="W1601" s="78"/>
      <c r="X1601" s="78"/>
    </row>
    <row r="1602" spans="1:24" ht="42" customHeight="1">
      <c r="A1602" s="78"/>
      <c r="B1602" s="149"/>
      <c r="C1602" s="149"/>
      <c r="D1602" s="78"/>
      <c r="E1602" s="78"/>
      <c r="F1602" s="78"/>
      <c r="G1602" s="150"/>
      <c r="H1602" s="78"/>
      <c r="I1602" s="151"/>
      <c r="J1602" s="78"/>
      <c r="K1602" s="78"/>
      <c r="L1602" s="78"/>
      <c r="M1602" s="153"/>
      <c r="N1602" s="78"/>
      <c r="O1602" s="78"/>
      <c r="P1602" s="153"/>
      <c r="Q1602" s="78"/>
      <c r="R1602" s="78"/>
      <c r="S1602" s="153"/>
      <c r="T1602" s="78"/>
      <c r="U1602" s="78"/>
      <c r="V1602" s="152"/>
      <c r="W1602" s="78"/>
      <c r="X1602" s="78"/>
    </row>
    <row r="1603" spans="1:24" ht="42" customHeight="1">
      <c r="A1603" s="78"/>
      <c r="B1603" s="149"/>
      <c r="C1603" s="149"/>
      <c r="D1603" s="78"/>
      <c r="E1603" s="78"/>
      <c r="F1603" s="78"/>
      <c r="G1603" s="150"/>
      <c r="H1603" s="78"/>
      <c r="I1603" s="151"/>
      <c r="J1603" s="78"/>
      <c r="K1603" s="78"/>
      <c r="L1603" s="78"/>
      <c r="M1603" s="153"/>
      <c r="N1603" s="78"/>
      <c r="O1603" s="78"/>
      <c r="P1603" s="153"/>
      <c r="Q1603" s="78"/>
      <c r="R1603" s="78"/>
      <c r="S1603" s="153"/>
      <c r="T1603" s="78"/>
      <c r="U1603" s="78"/>
      <c r="V1603" s="152"/>
      <c r="W1603" s="78"/>
      <c r="X1603" s="78"/>
    </row>
    <row r="1604" spans="1:24" ht="42" customHeight="1">
      <c r="A1604" s="78"/>
      <c r="B1604" s="149"/>
      <c r="C1604" s="149"/>
      <c r="D1604" s="78"/>
      <c r="E1604" s="78"/>
      <c r="F1604" s="78"/>
      <c r="G1604" s="150"/>
      <c r="H1604" s="78"/>
      <c r="I1604" s="151"/>
      <c r="J1604" s="78"/>
      <c r="K1604" s="78"/>
      <c r="L1604" s="78"/>
      <c r="M1604" s="153"/>
      <c r="N1604" s="78"/>
      <c r="O1604" s="78"/>
      <c r="P1604" s="153"/>
      <c r="Q1604" s="78"/>
      <c r="R1604" s="78"/>
      <c r="S1604" s="153"/>
      <c r="T1604" s="78"/>
      <c r="U1604" s="78"/>
      <c r="V1604" s="152"/>
      <c r="W1604" s="78"/>
      <c r="X1604" s="78"/>
    </row>
    <row r="1605" spans="1:24" ht="42" customHeight="1">
      <c r="A1605" s="78"/>
      <c r="B1605" s="149"/>
      <c r="C1605" s="149"/>
      <c r="D1605" s="78"/>
      <c r="E1605" s="78"/>
      <c r="F1605" s="78"/>
      <c r="G1605" s="150"/>
      <c r="H1605" s="78"/>
      <c r="I1605" s="151"/>
      <c r="J1605" s="78"/>
      <c r="K1605" s="78"/>
      <c r="L1605" s="78"/>
      <c r="M1605" s="153"/>
      <c r="N1605" s="78"/>
      <c r="O1605" s="78"/>
      <c r="P1605" s="153"/>
      <c r="Q1605" s="78"/>
      <c r="R1605" s="78"/>
      <c r="S1605" s="153"/>
      <c r="T1605" s="78"/>
      <c r="U1605" s="78"/>
      <c r="V1605" s="152"/>
      <c r="W1605" s="78"/>
      <c r="X1605" s="78"/>
    </row>
    <row r="1606" spans="1:24" ht="42" customHeight="1">
      <c r="A1606" s="78"/>
      <c r="B1606" s="149"/>
      <c r="C1606" s="149"/>
      <c r="D1606" s="78"/>
      <c r="E1606" s="78"/>
      <c r="F1606" s="78"/>
      <c r="G1606" s="150"/>
      <c r="H1606" s="78"/>
      <c r="I1606" s="151"/>
      <c r="J1606" s="78"/>
      <c r="K1606" s="78"/>
      <c r="L1606" s="78"/>
      <c r="M1606" s="153"/>
      <c r="N1606" s="78"/>
      <c r="O1606" s="78"/>
      <c r="P1606" s="153"/>
      <c r="Q1606" s="78"/>
      <c r="R1606" s="78"/>
      <c r="S1606" s="153"/>
      <c r="T1606" s="78"/>
      <c r="U1606" s="78"/>
      <c r="V1606" s="152"/>
      <c r="W1606" s="78"/>
      <c r="X1606" s="78"/>
    </row>
    <row r="1607" spans="1:24" ht="42" customHeight="1">
      <c r="A1607" s="78"/>
      <c r="B1607" s="149"/>
      <c r="C1607" s="149"/>
      <c r="D1607" s="78"/>
      <c r="E1607" s="78"/>
      <c r="F1607" s="78"/>
      <c r="G1607" s="150"/>
      <c r="H1607" s="78"/>
      <c r="I1607" s="151"/>
      <c r="J1607" s="78"/>
      <c r="K1607" s="78"/>
      <c r="L1607" s="78"/>
      <c r="M1607" s="153"/>
      <c r="N1607" s="78"/>
      <c r="O1607" s="78"/>
      <c r="P1607" s="153"/>
      <c r="Q1607" s="78"/>
      <c r="R1607" s="78"/>
      <c r="S1607" s="153"/>
      <c r="T1607" s="78"/>
      <c r="U1607" s="78"/>
      <c r="V1607" s="152"/>
      <c r="W1607" s="78"/>
      <c r="X1607" s="78"/>
    </row>
    <row r="1608" spans="1:24" ht="42" customHeight="1">
      <c r="A1608" s="78"/>
      <c r="B1608" s="149"/>
      <c r="C1608" s="149"/>
      <c r="D1608" s="78"/>
      <c r="E1608" s="78"/>
      <c r="F1608" s="78"/>
      <c r="G1608" s="150"/>
      <c r="H1608" s="78"/>
      <c r="I1608" s="151"/>
      <c r="J1608" s="78"/>
      <c r="K1608" s="78"/>
      <c r="L1608" s="78"/>
      <c r="M1608" s="153"/>
      <c r="N1608" s="78"/>
      <c r="O1608" s="78"/>
      <c r="P1608" s="153"/>
      <c r="Q1608" s="78"/>
      <c r="R1608" s="78"/>
      <c r="S1608" s="153"/>
      <c r="T1608" s="78"/>
      <c r="U1608" s="78"/>
      <c r="V1608" s="152"/>
      <c r="W1608" s="78"/>
      <c r="X1608" s="78"/>
    </row>
    <row r="1609" spans="1:24" ht="42" customHeight="1">
      <c r="A1609" s="78"/>
      <c r="B1609" s="149"/>
      <c r="C1609" s="149"/>
      <c r="D1609" s="78"/>
      <c r="E1609" s="78"/>
      <c r="F1609" s="78"/>
      <c r="G1609" s="150"/>
      <c r="H1609" s="78"/>
      <c r="I1609" s="151"/>
      <c r="J1609" s="78"/>
      <c r="K1609" s="78"/>
      <c r="L1609" s="78"/>
      <c r="M1609" s="153"/>
      <c r="N1609" s="78"/>
      <c r="O1609" s="78"/>
      <c r="P1609" s="153"/>
      <c r="Q1609" s="78"/>
      <c r="R1609" s="78"/>
      <c r="S1609" s="153"/>
      <c r="T1609" s="78"/>
      <c r="U1609" s="78"/>
      <c r="V1609" s="152"/>
      <c r="W1609" s="78"/>
      <c r="X1609" s="78"/>
    </row>
    <row r="1610" spans="1:24" ht="42" customHeight="1">
      <c r="A1610" s="78"/>
      <c r="B1610" s="149"/>
      <c r="C1610" s="149"/>
      <c r="D1610" s="78"/>
      <c r="E1610" s="78"/>
      <c r="F1610" s="78"/>
      <c r="G1610" s="150"/>
      <c r="H1610" s="78"/>
      <c r="I1610" s="151"/>
      <c r="J1610" s="78"/>
      <c r="K1610" s="78"/>
      <c r="L1610" s="78"/>
      <c r="M1610" s="153"/>
      <c r="N1610" s="78"/>
      <c r="O1610" s="78"/>
      <c r="P1610" s="153"/>
      <c r="Q1610" s="78"/>
      <c r="R1610" s="78"/>
      <c r="S1610" s="153"/>
      <c r="T1610" s="78"/>
      <c r="U1610" s="78"/>
      <c r="V1610" s="152"/>
      <c r="W1610" s="78"/>
      <c r="X1610" s="78"/>
    </row>
    <row r="1611" spans="1:24" ht="42" customHeight="1">
      <c r="A1611" s="78"/>
      <c r="B1611" s="149"/>
      <c r="C1611" s="149"/>
      <c r="D1611" s="78"/>
      <c r="E1611" s="78"/>
      <c r="F1611" s="78"/>
      <c r="G1611" s="150"/>
      <c r="H1611" s="78"/>
      <c r="I1611" s="151"/>
      <c r="J1611" s="78"/>
      <c r="K1611" s="78"/>
      <c r="L1611" s="78"/>
      <c r="M1611" s="153"/>
      <c r="N1611" s="78"/>
      <c r="O1611" s="78"/>
      <c r="P1611" s="153"/>
      <c r="Q1611" s="78"/>
      <c r="R1611" s="78"/>
      <c r="S1611" s="153"/>
      <c r="T1611" s="78"/>
      <c r="U1611" s="78"/>
      <c r="V1611" s="152"/>
      <c r="W1611" s="78"/>
      <c r="X1611" s="78"/>
    </row>
    <row r="1612" spans="1:24" ht="42" customHeight="1">
      <c r="A1612" s="78"/>
      <c r="B1612" s="149"/>
      <c r="C1612" s="149"/>
      <c r="D1612" s="78"/>
      <c r="E1612" s="78"/>
      <c r="F1612" s="78"/>
      <c r="G1612" s="150"/>
      <c r="H1612" s="78"/>
      <c r="I1612" s="151"/>
      <c r="J1612" s="78"/>
      <c r="K1612" s="78"/>
      <c r="L1612" s="78"/>
      <c r="M1612" s="153"/>
      <c r="N1612" s="78"/>
      <c r="O1612" s="78"/>
      <c r="P1612" s="153"/>
      <c r="Q1612" s="78"/>
      <c r="R1612" s="78"/>
      <c r="S1612" s="153"/>
      <c r="T1612" s="78"/>
      <c r="U1612" s="78"/>
      <c r="V1612" s="152"/>
      <c r="W1612" s="78"/>
      <c r="X1612" s="78"/>
    </row>
    <row r="1613" spans="1:24" ht="42" customHeight="1">
      <c r="A1613" s="78"/>
      <c r="B1613" s="149"/>
      <c r="C1613" s="149"/>
      <c r="D1613" s="78"/>
      <c r="E1613" s="78"/>
      <c r="F1613" s="78"/>
      <c r="G1613" s="150"/>
      <c r="H1613" s="78"/>
      <c r="I1613" s="151"/>
      <c r="J1613" s="78"/>
      <c r="K1613" s="78"/>
      <c r="L1613" s="78"/>
      <c r="M1613" s="153"/>
      <c r="N1613" s="78"/>
      <c r="O1613" s="78"/>
      <c r="P1613" s="153"/>
      <c r="Q1613" s="78"/>
      <c r="R1613" s="78"/>
      <c r="S1613" s="153"/>
      <c r="T1613" s="78"/>
      <c r="U1613" s="78"/>
      <c r="V1613" s="152"/>
      <c r="W1613" s="78"/>
      <c r="X1613" s="78"/>
    </row>
    <row r="1614" spans="1:24" ht="42" customHeight="1">
      <c r="A1614" s="78"/>
      <c r="B1614" s="149"/>
      <c r="C1614" s="149"/>
      <c r="D1614" s="78"/>
      <c r="E1614" s="78"/>
      <c r="F1614" s="78"/>
      <c r="G1614" s="150"/>
      <c r="H1614" s="78"/>
      <c r="I1614" s="151"/>
      <c r="J1614" s="78"/>
      <c r="K1614" s="78"/>
      <c r="L1614" s="78"/>
      <c r="M1614" s="153"/>
      <c r="N1614" s="78"/>
      <c r="O1614" s="78"/>
      <c r="P1614" s="153"/>
      <c r="Q1614" s="78"/>
      <c r="R1614" s="78"/>
      <c r="S1614" s="153"/>
      <c r="T1614" s="78"/>
      <c r="U1614" s="78"/>
      <c r="V1614" s="152"/>
      <c r="W1614" s="78"/>
      <c r="X1614" s="78"/>
    </row>
    <row r="1615" spans="1:24" ht="42" customHeight="1">
      <c r="A1615" s="78"/>
      <c r="B1615" s="149"/>
      <c r="C1615" s="149"/>
      <c r="D1615" s="78"/>
      <c r="E1615" s="78"/>
      <c r="F1615" s="78"/>
      <c r="G1615" s="150"/>
      <c r="H1615" s="78"/>
      <c r="I1615" s="151"/>
      <c r="J1615" s="78"/>
      <c r="K1615" s="78"/>
      <c r="L1615" s="78"/>
      <c r="M1615" s="153"/>
      <c r="N1615" s="78"/>
      <c r="O1615" s="78"/>
      <c r="P1615" s="153"/>
      <c r="Q1615" s="78"/>
      <c r="R1615" s="78"/>
      <c r="S1615" s="153"/>
      <c r="T1615" s="78"/>
      <c r="U1615" s="78"/>
      <c r="V1615" s="152"/>
      <c r="W1615" s="78"/>
      <c r="X1615" s="78"/>
    </row>
    <row r="1616" spans="1:24" ht="42" customHeight="1">
      <c r="A1616" s="78"/>
      <c r="B1616" s="149"/>
      <c r="C1616" s="149"/>
      <c r="D1616" s="78"/>
      <c r="E1616" s="78"/>
      <c r="F1616" s="78"/>
      <c r="G1616" s="150"/>
      <c r="H1616" s="78"/>
      <c r="I1616" s="151"/>
      <c r="J1616" s="78"/>
      <c r="K1616" s="78"/>
      <c r="L1616" s="78"/>
      <c r="M1616" s="153"/>
      <c r="N1616" s="78"/>
      <c r="O1616" s="78"/>
      <c r="P1616" s="153"/>
      <c r="Q1616" s="78"/>
      <c r="R1616" s="78"/>
      <c r="S1616" s="153"/>
      <c r="T1616" s="78"/>
      <c r="U1616" s="78"/>
      <c r="V1616" s="152"/>
      <c r="W1616" s="78"/>
      <c r="X1616" s="78"/>
    </row>
    <row r="1617" spans="1:24" ht="42" customHeight="1">
      <c r="A1617" s="78"/>
      <c r="B1617" s="149"/>
      <c r="C1617" s="149"/>
      <c r="D1617" s="78"/>
      <c r="E1617" s="78"/>
      <c r="F1617" s="78"/>
      <c r="G1617" s="150"/>
      <c r="H1617" s="78"/>
      <c r="I1617" s="151"/>
      <c r="J1617" s="78"/>
      <c r="K1617" s="78"/>
      <c r="L1617" s="78"/>
      <c r="M1617" s="153"/>
      <c r="N1617" s="78"/>
      <c r="O1617" s="78"/>
      <c r="P1617" s="153"/>
      <c r="Q1617" s="78"/>
      <c r="R1617" s="78"/>
      <c r="S1617" s="153"/>
      <c r="T1617" s="78"/>
      <c r="U1617" s="78"/>
      <c r="V1617" s="152"/>
      <c r="W1617" s="78"/>
      <c r="X1617" s="78"/>
    </row>
    <row r="1618" spans="1:24" ht="42" customHeight="1">
      <c r="A1618" s="78"/>
      <c r="B1618" s="149"/>
      <c r="C1618" s="149"/>
      <c r="D1618" s="78"/>
      <c r="E1618" s="78"/>
      <c r="F1618" s="78"/>
      <c r="G1618" s="150"/>
      <c r="H1618" s="78"/>
      <c r="I1618" s="151"/>
      <c r="J1618" s="78"/>
      <c r="K1618" s="78"/>
      <c r="L1618" s="78"/>
      <c r="M1618" s="153"/>
      <c r="N1618" s="78"/>
      <c r="O1618" s="78"/>
      <c r="P1618" s="153"/>
      <c r="Q1618" s="78"/>
      <c r="R1618" s="78"/>
      <c r="S1618" s="153"/>
      <c r="T1618" s="78"/>
      <c r="U1618" s="78"/>
      <c r="V1618" s="152"/>
      <c r="W1618" s="78"/>
      <c r="X1618" s="78"/>
    </row>
    <row r="1619" spans="1:24" ht="42" customHeight="1">
      <c r="A1619" s="78"/>
      <c r="B1619" s="149"/>
      <c r="C1619" s="149"/>
      <c r="D1619" s="78"/>
      <c r="E1619" s="78"/>
      <c r="F1619" s="78"/>
      <c r="G1619" s="150"/>
      <c r="H1619" s="78"/>
      <c r="I1619" s="151"/>
      <c r="J1619" s="78"/>
      <c r="K1619" s="78"/>
      <c r="L1619" s="78"/>
      <c r="M1619" s="153"/>
      <c r="N1619" s="78"/>
      <c r="O1619" s="78"/>
      <c r="P1619" s="153"/>
      <c r="Q1619" s="78"/>
      <c r="R1619" s="78"/>
      <c r="S1619" s="153"/>
      <c r="T1619" s="78"/>
      <c r="U1619" s="78"/>
      <c r="V1619" s="152"/>
      <c r="W1619" s="78"/>
      <c r="X1619" s="78"/>
    </row>
    <row r="1620" spans="1:24" ht="42" customHeight="1">
      <c r="A1620" s="78"/>
      <c r="B1620" s="149"/>
      <c r="C1620" s="149"/>
      <c r="D1620" s="78"/>
      <c r="E1620" s="78"/>
      <c r="F1620" s="78"/>
      <c r="G1620" s="150"/>
      <c r="H1620" s="78"/>
      <c r="I1620" s="151"/>
      <c r="J1620" s="78"/>
      <c r="K1620" s="78"/>
      <c r="L1620" s="78"/>
      <c r="M1620" s="153"/>
      <c r="N1620" s="78"/>
      <c r="O1620" s="78"/>
      <c r="P1620" s="153"/>
      <c r="Q1620" s="78"/>
      <c r="R1620" s="78"/>
      <c r="S1620" s="153"/>
      <c r="T1620" s="78"/>
      <c r="U1620" s="78"/>
      <c r="V1620" s="152"/>
      <c r="W1620" s="78"/>
      <c r="X1620" s="78"/>
    </row>
    <row r="1621" spans="1:24" ht="42" customHeight="1">
      <c r="A1621" s="78"/>
      <c r="B1621" s="149"/>
      <c r="C1621" s="149"/>
      <c r="D1621" s="78"/>
      <c r="E1621" s="78"/>
      <c r="F1621" s="78"/>
      <c r="G1621" s="150"/>
      <c r="H1621" s="78"/>
      <c r="I1621" s="151"/>
      <c r="J1621" s="78"/>
      <c r="K1621" s="78"/>
      <c r="L1621" s="78"/>
      <c r="M1621" s="153"/>
      <c r="N1621" s="78"/>
      <c r="O1621" s="78"/>
      <c r="P1621" s="153"/>
      <c r="Q1621" s="78"/>
      <c r="R1621" s="78"/>
      <c r="S1621" s="153"/>
      <c r="T1621" s="78"/>
      <c r="U1621" s="78"/>
      <c r="V1621" s="152"/>
      <c r="W1621" s="78"/>
      <c r="X1621" s="78"/>
    </row>
    <row r="1622" spans="1:24" ht="42" customHeight="1">
      <c r="A1622" s="78"/>
      <c r="B1622" s="149"/>
      <c r="C1622" s="149"/>
      <c r="D1622" s="78"/>
      <c r="E1622" s="78"/>
      <c r="F1622" s="78"/>
      <c r="G1622" s="150"/>
      <c r="H1622" s="78"/>
      <c r="I1622" s="151"/>
      <c r="J1622" s="78"/>
      <c r="K1622" s="78"/>
      <c r="L1622" s="78"/>
      <c r="M1622" s="153"/>
      <c r="N1622" s="78"/>
      <c r="O1622" s="78"/>
      <c r="P1622" s="153"/>
      <c r="Q1622" s="78"/>
      <c r="R1622" s="78"/>
      <c r="S1622" s="153"/>
      <c r="T1622" s="78"/>
      <c r="U1622" s="78"/>
      <c r="V1622" s="152"/>
      <c r="W1622" s="78"/>
      <c r="X1622" s="78"/>
    </row>
    <row r="1623" spans="1:24" ht="42" customHeight="1">
      <c r="A1623" s="78"/>
      <c r="B1623" s="149"/>
      <c r="C1623" s="149"/>
      <c r="D1623" s="78"/>
      <c r="E1623" s="78"/>
      <c r="F1623" s="78"/>
      <c r="G1623" s="150"/>
      <c r="H1623" s="78"/>
      <c r="I1623" s="151"/>
      <c r="J1623" s="78"/>
      <c r="K1623" s="78"/>
      <c r="L1623" s="78"/>
      <c r="M1623" s="153"/>
      <c r="N1623" s="78"/>
      <c r="O1623" s="78"/>
      <c r="P1623" s="153"/>
      <c r="Q1623" s="78"/>
      <c r="R1623" s="78"/>
      <c r="S1623" s="153"/>
      <c r="T1623" s="78"/>
      <c r="U1623" s="78"/>
      <c r="V1623" s="152"/>
      <c r="W1623" s="78"/>
      <c r="X1623" s="78"/>
    </row>
    <row r="1624" spans="1:24" ht="42" customHeight="1">
      <c r="A1624" s="78"/>
      <c r="B1624" s="149"/>
      <c r="C1624" s="149"/>
      <c r="D1624" s="78"/>
      <c r="E1624" s="78"/>
      <c r="F1624" s="78"/>
      <c r="G1624" s="150"/>
      <c r="H1624" s="78"/>
      <c r="I1624" s="151"/>
      <c r="J1624" s="78"/>
      <c r="K1624" s="78"/>
      <c r="L1624" s="78"/>
      <c r="M1624" s="153"/>
      <c r="N1624" s="78"/>
      <c r="O1624" s="78"/>
      <c r="P1624" s="153"/>
      <c r="Q1624" s="78"/>
      <c r="R1624" s="78"/>
      <c r="S1624" s="153"/>
      <c r="T1624" s="78"/>
      <c r="U1624" s="78"/>
      <c r="V1624" s="152"/>
      <c r="W1624" s="78"/>
      <c r="X1624" s="78"/>
    </row>
    <row r="1625" spans="1:24" ht="42" customHeight="1">
      <c r="A1625" s="78"/>
      <c r="B1625" s="149"/>
      <c r="C1625" s="149"/>
      <c r="D1625" s="78"/>
      <c r="E1625" s="78"/>
      <c r="F1625" s="78"/>
      <c r="G1625" s="150"/>
      <c r="H1625" s="78"/>
      <c r="I1625" s="151"/>
      <c r="J1625" s="78"/>
      <c r="K1625" s="78"/>
      <c r="L1625" s="78"/>
      <c r="M1625" s="153"/>
      <c r="N1625" s="78"/>
      <c r="O1625" s="78"/>
      <c r="P1625" s="153"/>
      <c r="Q1625" s="78"/>
      <c r="R1625" s="78"/>
      <c r="S1625" s="153"/>
      <c r="T1625" s="78"/>
      <c r="U1625" s="78"/>
      <c r="V1625" s="152"/>
      <c r="W1625" s="78"/>
      <c r="X1625" s="78"/>
    </row>
    <row r="1626" spans="1:24" ht="42" customHeight="1">
      <c r="A1626" s="78"/>
      <c r="B1626" s="149"/>
      <c r="C1626" s="149"/>
      <c r="D1626" s="78"/>
      <c r="E1626" s="78"/>
      <c r="F1626" s="78"/>
      <c r="G1626" s="150"/>
      <c r="H1626" s="78"/>
      <c r="I1626" s="151"/>
      <c r="J1626" s="78"/>
      <c r="K1626" s="78"/>
      <c r="L1626" s="78"/>
      <c r="M1626" s="153"/>
      <c r="N1626" s="78"/>
      <c r="O1626" s="78"/>
      <c r="P1626" s="153"/>
      <c r="Q1626" s="78"/>
      <c r="R1626" s="78"/>
      <c r="S1626" s="153"/>
      <c r="T1626" s="78"/>
      <c r="U1626" s="78"/>
      <c r="V1626" s="152"/>
      <c r="W1626" s="78"/>
      <c r="X1626" s="78"/>
    </row>
    <row r="1627" spans="1:24" ht="42" customHeight="1">
      <c r="A1627" s="78"/>
      <c r="B1627" s="149"/>
      <c r="C1627" s="149"/>
      <c r="D1627" s="78"/>
      <c r="E1627" s="78"/>
      <c r="F1627" s="78"/>
      <c r="G1627" s="150"/>
      <c r="H1627" s="78"/>
      <c r="I1627" s="151"/>
      <c r="J1627" s="78"/>
      <c r="K1627" s="78"/>
      <c r="L1627" s="78"/>
      <c r="M1627" s="153"/>
      <c r="N1627" s="78"/>
      <c r="O1627" s="78"/>
      <c r="P1627" s="153"/>
      <c r="Q1627" s="78"/>
      <c r="R1627" s="78"/>
      <c r="S1627" s="153"/>
      <c r="T1627" s="78"/>
      <c r="U1627" s="78"/>
      <c r="V1627" s="152"/>
      <c r="W1627" s="78"/>
      <c r="X1627" s="78"/>
    </row>
    <row r="1628" spans="1:24" ht="42" customHeight="1">
      <c r="A1628" s="78"/>
      <c r="B1628" s="149"/>
      <c r="C1628" s="149"/>
      <c r="D1628" s="78"/>
      <c r="E1628" s="78"/>
      <c r="F1628" s="78"/>
      <c r="G1628" s="150"/>
      <c r="H1628" s="78"/>
      <c r="I1628" s="151"/>
      <c r="J1628" s="78"/>
      <c r="K1628" s="78"/>
      <c r="L1628" s="78"/>
      <c r="M1628" s="153"/>
      <c r="N1628" s="78"/>
      <c r="O1628" s="78"/>
      <c r="P1628" s="153"/>
      <c r="Q1628" s="78"/>
      <c r="R1628" s="78"/>
      <c r="S1628" s="153"/>
      <c r="T1628" s="78"/>
      <c r="U1628" s="78"/>
      <c r="V1628" s="152"/>
      <c r="W1628" s="78"/>
      <c r="X1628" s="78"/>
    </row>
    <row r="1629" spans="1:24" ht="42" customHeight="1">
      <c r="A1629" s="78"/>
      <c r="B1629" s="149"/>
      <c r="C1629" s="149"/>
      <c r="D1629" s="78"/>
      <c r="E1629" s="78"/>
      <c r="F1629" s="78"/>
      <c r="G1629" s="150"/>
      <c r="H1629" s="78"/>
      <c r="I1629" s="151"/>
      <c r="J1629" s="78"/>
      <c r="K1629" s="78"/>
      <c r="L1629" s="78"/>
      <c r="M1629" s="153"/>
      <c r="N1629" s="78"/>
      <c r="O1629" s="78"/>
      <c r="P1629" s="153"/>
      <c r="Q1629" s="78"/>
      <c r="R1629" s="78"/>
      <c r="S1629" s="153"/>
      <c r="T1629" s="78"/>
      <c r="U1629" s="78"/>
      <c r="V1629" s="152"/>
      <c r="W1629" s="78"/>
      <c r="X1629" s="78"/>
    </row>
    <row r="1630" spans="1:24" ht="42" customHeight="1">
      <c r="A1630" s="78"/>
      <c r="B1630" s="149"/>
      <c r="C1630" s="149"/>
      <c r="D1630" s="78"/>
      <c r="E1630" s="78"/>
      <c r="F1630" s="78"/>
      <c r="G1630" s="150"/>
      <c r="H1630" s="78"/>
      <c r="I1630" s="151"/>
      <c r="J1630" s="78"/>
      <c r="K1630" s="78"/>
      <c r="L1630" s="78"/>
      <c r="M1630" s="153"/>
      <c r="N1630" s="78"/>
      <c r="O1630" s="78"/>
      <c r="P1630" s="153"/>
      <c r="Q1630" s="78"/>
      <c r="R1630" s="78"/>
      <c r="S1630" s="153"/>
      <c r="T1630" s="78"/>
      <c r="U1630" s="78"/>
      <c r="V1630" s="152"/>
      <c r="W1630" s="78"/>
      <c r="X1630" s="78"/>
    </row>
    <row r="1631" spans="1:24" ht="42" customHeight="1">
      <c r="A1631" s="78"/>
      <c r="B1631" s="149"/>
      <c r="C1631" s="149"/>
      <c r="D1631" s="78"/>
      <c r="E1631" s="78"/>
      <c r="F1631" s="78"/>
      <c r="G1631" s="150"/>
      <c r="H1631" s="78"/>
      <c r="I1631" s="151"/>
      <c r="J1631" s="78"/>
      <c r="K1631" s="78"/>
      <c r="L1631" s="78"/>
      <c r="M1631" s="153"/>
      <c r="N1631" s="78"/>
      <c r="O1631" s="78"/>
      <c r="P1631" s="153"/>
      <c r="Q1631" s="78"/>
      <c r="R1631" s="78"/>
      <c r="S1631" s="153"/>
      <c r="T1631" s="78"/>
      <c r="U1631" s="78"/>
      <c r="V1631" s="152"/>
      <c r="W1631" s="78"/>
      <c r="X1631" s="78"/>
    </row>
    <row r="1632" spans="1:24" ht="42" customHeight="1">
      <c r="A1632" s="78"/>
      <c r="B1632" s="149"/>
      <c r="C1632" s="149"/>
      <c r="D1632" s="78"/>
      <c r="E1632" s="78"/>
      <c r="F1632" s="78"/>
      <c r="G1632" s="150"/>
      <c r="H1632" s="78"/>
      <c r="I1632" s="151"/>
      <c r="J1632" s="78"/>
      <c r="K1632" s="78"/>
      <c r="L1632" s="78"/>
      <c r="M1632" s="153"/>
      <c r="N1632" s="78"/>
      <c r="O1632" s="78"/>
      <c r="P1632" s="153"/>
      <c r="Q1632" s="78"/>
      <c r="R1632" s="78"/>
      <c r="S1632" s="153"/>
      <c r="T1632" s="78"/>
      <c r="U1632" s="78"/>
      <c r="V1632" s="152"/>
      <c r="W1632" s="78"/>
      <c r="X1632" s="78"/>
    </row>
    <row r="1633" spans="1:24" ht="42" customHeight="1">
      <c r="A1633" s="78"/>
      <c r="B1633" s="149"/>
      <c r="C1633" s="149"/>
      <c r="D1633" s="78"/>
      <c r="E1633" s="78"/>
      <c r="F1633" s="78"/>
      <c r="G1633" s="150"/>
      <c r="H1633" s="78"/>
      <c r="I1633" s="151"/>
      <c r="J1633" s="78"/>
      <c r="K1633" s="78"/>
      <c r="L1633" s="78"/>
      <c r="M1633" s="153"/>
      <c r="N1633" s="78"/>
      <c r="O1633" s="78"/>
      <c r="P1633" s="153"/>
      <c r="Q1633" s="78"/>
      <c r="R1633" s="78"/>
      <c r="S1633" s="153"/>
      <c r="T1633" s="78"/>
      <c r="U1633" s="78"/>
      <c r="V1633" s="152"/>
      <c r="W1633" s="78"/>
      <c r="X1633" s="78"/>
    </row>
    <row r="1634" spans="1:24" ht="42" customHeight="1">
      <c r="A1634" s="78"/>
      <c r="B1634" s="149"/>
      <c r="C1634" s="149"/>
      <c r="D1634" s="78"/>
      <c r="E1634" s="78"/>
      <c r="F1634" s="78"/>
      <c r="G1634" s="150"/>
      <c r="H1634" s="78"/>
      <c r="I1634" s="151"/>
      <c r="J1634" s="78"/>
      <c r="K1634" s="78"/>
      <c r="L1634" s="78"/>
      <c r="M1634" s="153"/>
      <c r="N1634" s="78"/>
      <c r="O1634" s="78"/>
      <c r="P1634" s="153"/>
      <c r="Q1634" s="78"/>
      <c r="R1634" s="78"/>
      <c r="S1634" s="153"/>
      <c r="T1634" s="78"/>
      <c r="U1634" s="78"/>
      <c r="V1634" s="152"/>
      <c r="W1634" s="78"/>
      <c r="X1634" s="78"/>
    </row>
    <row r="1635" spans="1:24" ht="42" customHeight="1">
      <c r="A1635" s="78"/>
      <c r="B1635" s="149"/>
      <c r="C1635" s="149"/>
      <c r="D1635" s="78"/>
      <c r="E1635" s="78"/>
      <c r="F1635" s="78"/>
      <c r="G1635" s="150"/>
      <c r="H1635" s="78"/>
      <c r="I1635" s="151"/>
      <c r="J1635" s="78"/>
      <c r="K1635" s="78"/>
      <c r="L1635" s="78"/>
      <c r="M1635" s="153"/>
      <c r="N1635" s="78"/>
      <c r="O1635" s="78"/>
      <c r="P1635" s="153"/>
      <c r="Q1635" s="78"/>
      <c r="R1635" s="78"/>
      <c r="S1635" s="153"/>
      <c r="T1635" s="78"/>
      <c r="U1635" s="78"/>
      <c r="V1635" s="152"/>
      <c r="W1635" s="78"/>
      <c r="X1635" s="78"/>
    </row>
    <row r="1636" spans="1:24" ht="42" customHeight="1">
      <c r="A1636" s="78"/>
      <c r="B1636" s="149"/>
      <c r="C1636" s="149"/>
      <c r="D1636" s="78"/>
      <c r="E1636" s="78"/>
      <c r="F1636" s="78"/>
      <c r="G1636" s="150"/>
      <c r="H1636" s="78"/>
      <c r="I1636" s="151"/>
      <c r="J1636" s="78"/>
      <c r="K1636" s="78"/>
      <c r="L1636" s="78"/>
      <c r="M1636" s="153"/>
      <c r="N1636" s="78"/>
      <c r="O1636" s="78"/>
      <c r="P1636" s="153"/>
      <c r="Q1636" s="78"/>
      <c r="R1636" s="78"/>
      <c r="S1636" s="153"/>
      <c r="T1636" s="78"/>
      <c r="U1636" s="78"/>
      <c r="V1636" s="152"/>
      <c r="W1636" s="78"/>
      <c r="X1636" s="78"/>
    </row>
    <row r="1637" spans="1:24" ht="42" customHeight="1">
      <c r="A1637" s="78"/>
      <c r="B1637" s="149"/>
      <c r="C1637" s="149"/>
      <c r="D1637" s="78"/>
      <c r="E1637" s="78"/>
      <c r="F1637" s="78"/>
      <c r="G1637" s="150"/>
      <c r="H1637" s="78"/>
      <c r="I1637" s="151"/>
      <c r="J1637" s="78"/>
      <c r="K1637" s="78"/>
      <c r="L1637" s="78"/>
      <c r="M1637" s="153"/>
      <c r="N1637" s="78"/>
      <c r="O1637" s="78"/>
      <c r="P1637" s="153"/>
      <c r="Q1637" s="78"/>
      <c r="R1637" s="78"/>
      <c r="S1637" s="153"/>
      <c r="T1637" s="78"/>
      <c r="U1637" s="78"/>
      <c r="V1637" s="152"/>
      <c r="W1637" s="78"/>
      <c r="X1637" s="78"/>
    </row>
    <row r="1638" spans="1:24" ht="42" customHeight="1">
      <c r="A1638" s="78"/>
      <c r="B1638" s="149"/>
      <c r="C1638" s="149"/>
      <c r="D1638" s="78"/>
      <c r="E1638" s="78"/>
      <c r="F1638" s="78"/>
      <c r="G1638" s="150"/>
      <c r="H1638" s="78"/>
      <c r="I1638" s="151"/>
      <c r="J1638" s="78"/>
      <c r="K1638" s="78"/>
      <c r="L1638" s="78"/>
      <c r="M1638" s="153"/>
      <c r="N1638" s="78"/>
      <c r="O1638" s="78"/>
      <c r="P1638" s="153"/>
      <c r="Q1638" s="78"/>
      <c r="R1638" s="78"/>
      <c r="S1638" s="153"/>
      <c r="T1638" s="78"/>
      <c r="U1638" s="78"/>
      <c r="V1638" s="152"/>
      <c r="W1638" s="78"/>
      <c r="X1638" s="78"/>
    </row>
    <row r="1639" spans="1:24" ht="42" customHeight="1">
      <c r="A1639" s="78"/>
      <c r="B1639" s="149"/>
      <c r="C1639" s="149"/>
      <c r="D1639" s="78"/>
      <c r="E1639" s="78"/>
      <c r="F1639" s="78"/>
      <c r="G1639" s="150"/>
      <c r="H1639" s="78"/>
      <c r="I1639" s="151"/>
      <c r="J1639" s="78"/>
      <c r="K1639" s="78"/>
      <c r="L1639" s="78"/>
      <c r="M1639" s="153"/>
      <c r="N1639" s="78"/>
      <c r="O1639" s="78"/>
      <c r="P1639" s="153"/>
      <c r="Q1639" s="78"/>
      <c r="R1639" s="78"/>
      <c r="S1639" s="153"/>
      <c r="T1639" s="78"/>
      <c r="U1639" s="78"/>
      <c r="V1639" s="152"/>
      <c r="W1639" s="78"/>
      <c r="X1639" s="78"/>
    </row>
    <row r="1640" spans="1:24" ht="42" customHeight="1">
      <c r="A1640" s="78"/>
      <c r="B1640" s="149"/>
      <c r="C1640" s="149"/>
      <c r="D1640" s="78"/>
      <c r="E1640" s="78"/>
      <c r="F1640" s="78"/>
      <c r="G1640" s="150"/>
      <c r="H1640" s="78"/>
      <c r="I1640" s="151"/>
      <c r="J1640" s="78"/>
      <c r="K1640" s="78"/>
      <c r="L1640" s="78"/>
      <c r="M1640" s="153"/>
      <c r="N1640" s="78"/>
      <c r="O1640" s="78"/>
      <c r="P1640" s="153"/>
      <c r="Q1640" s="78"/>
      <c r="R1640" s="78"/>
      <c r="S1640" s="153"/>
      <c r="T1640" s="78"/>
      <c r="U1640" s="78"/>
      <c r="V1640" s="152"/>
      <c r="W1640" s="78"/>
      <c r="X1640" s="78"/>
    </row>
    <row r="1641" spans="1:24" ht="42" customHeight="1">
      <c r="A1641" s="78"/>
      <c r="B1641" s="149"/>
      <c r="C1641" s="149"/>
      <c r="D1641" s="78"/>
      <c r="E1641" s="78"/>
      <c r="F1641" s="78"/>
      <c r="G1641" s="150"/>
      <c r="H1641" s="78"/>
      <c r="I1641" s="151"/>
      <c r="J1641" s="78"/>
      <c r="K1641" s="78"/>
      <c r="L1641" s="78"/>
      <c r="M1641" s="153"/>
      <c r="N1641" s="78"/>
      <c r="O1641" s="78"/>
      <c r="P1641" s="153"/>
      <c r="Q1641" s="78"/>
      <c r="R1641" s="78"/>
      <c r="S1641" s="153"/>
      <c r="T1641" s="78"/>
      <c r="U1641" s="78"/>
      <c r="V1641" s="152"/>
      <c r="W1641" s="78"/>
      <c r="X1641" s="78"/>
    </row>
    <row r="1642" spans="1:24" ht="42" customHeight="1">
      <c r="A1642" s="78"/>
      <c r="B1642" s="149"/>
      <c r="C1642" s="149"/>
      <c r="D1642" s="78"/>
      <c r="E1642" s="78"/>
      <c r="F1642" s="78"/>
      <c r="G1642" s="150"/>
      <c r="H1642" s="78"/>
      <c r="I1642" s="151"/>
      <c r="J1642" s="78"/>
      <c r="K1642" s="78"/>
      <c r="L1642" s="78"/>
      <c r="M1642" s="153"/>
      <c r="N1642" s="78"/>
      <c r="O1642" s="78"/>
      <c r="P1642" s="153"/>
      <c r="Q1642" s="78"/>
      <c r="R1642" s="78"/>
      <c r="S1642" s="153"/>
      <c r="T1642" s="78"/>
      <c r="U1642" s="78"/>
      <c r="V1642" s="152"/>
      <c r="W1642" s="78"/>
      <c r="X1642" s="78"/>
    </row>
    <row r="1643" spans="1:24" ht="42" customHeight="1">
      <c r="A1643" s="78"/>
      <c r="B1643" s="149"/>
      <c r="C1643" s="149"/>
      <c r="D1643" s="78"/>
      <c r="E1643" s="78"/>
      <c r="F1643" s="78"/>
      <c r="G1643" s="150"/>
      <c r="H1643" s="78"/>
      <c r="I1643" s="151"/>
      <c r="J1643" s="78"/>
      <c r="K1643" s="78"/>
      <c r="L1643" s="78"/>
      <c r="M1643" s="153"/>
      <c r="N1643" s="78"/>
      <c r="O1643" s="78"/>
      <c r="P1643" s="153"/>
      <c r="Q1643" s="78"/>
      <c r="R1643" s="78"/>
      <c r="S1643" s="153"/>
      <c r="T1643" s="78"/>
      <c r="U1643" s="78"/>
      <c r="V1643" s="152"/>
      <c r="W1643" s="78"/>
      <c r="X1643" s="78"/>
    </row>
    <row r="1644" spans="1:24" ht="42" customHeight="1">
      <c r="A1644" s="78"/>
      <c r="B1644" s="149"/>
      <c r="C1644" s="149"/>
      <c r="D1644" s="78"/>
      <c r="E1644" s="78"/>
      <c r="F1644" s="78"/>
      <c r="G1644" s="150"/>
      <c r="H1644" s="78"/>
      <c r="I1644" s="151"/>
      <c r="J1644" s="78"/>
      <c r="K1644" s="78"/>
      <c r="L1644" s="78"/>
      <c r="M1644" s="153"/>
      <c r="N1644" s="78"/>
      <c r="O1644" s="78"/>
      <c r="P1644" s="153"/>
      <c r="Q1644" s="78"/>
      <c r="R1644" s="78"/>
      <c r="S1644" s="153"/>
      <c r="T1644" s="78"/>
      <c r="U1644" s="78"/>
      <c r="V1644" s="152"/>
      <c r="W1644" s="78"/>
      <c r="X1644" s="78"/>
    </row>
    <row r="1645" spans="1:24" ht="42" customHeight="1">
      <c r="A1645" s="78"/>
      <c r="B1645" s="149"/>
      <c r="C1645" s="149"/>
      <c r="D1645" s="78"/>
      <c r="E1645" s="78"/>
      <c r="F1645" s="78"/>
      <c r="G1645" s="150"/>
      <c r="H1645" s="78"/>
      <c r="I1645" s="151"/>
      <c r="J1645" s="78"/>
      <c r="K1645" s="78"/>
      <c r="L1645" s="78"/>
      <c r="M1645" s="153"/>
      <c r="N1645" s="78"/>
      <c r="O1645" s="78"/>
      <c r="P1645" s="153"/>
      <c r="Q1645" s="78"/>
      <c r="R1645" s="78"/>
      <c r="S1645" s="153"/>
      <c r="T1645" s="78"/>
      <c r="U1645" s="78"/>
      <c r="V1645" s="152"/>
      <c r="W1645" s="78"/>
      <c r="X1645" s="78"/>
    </row>
    <row r="1646" spans="1:24" ht="42" customHeight="1">
      <c r="A1646" s="78"/>
      <c r="B1646" s="149"/>
      <c r="C1646" s="149"/>
      <c r="D1646" s="78"/>
      <c r="E1646" s="78"/>
      <c r="F1646" s="78"/>
      <c r="G1646" s="150"/>
      <c r="H1646" s="78"/>
      <c r="I1646" s="151"/>
      <c r="J1646" s="78"/>
      <c r="K1646" s="78"/>
      <c r="L1646" s="78"/>
      <c r="M1646" s="153"/>
      <c r="N1646" s="78"/>
      <c r="O1646" s="78"/>
      <c r="P1646" s="153"/>
      <c r="Q1646" s="78"/>
      <c r="R1646" s="78"/>
      <c r="S1646" s="153"/>
      <c r="T1646" s="78"/>
      <c r="U1646" s="78"/>
      <c r="V1646" s="152"/>
      <c r="W1646" s="78"/>
      <c r="X1646" s="78"/>
    </row>
    <row r="1647" spans="1:24" ht="42" customHeight="1">
      <c r="A1647" s="78"/>
      <c r="B1647" s="149"/>
      <c r="C1647" s="149"/>
      <c r="D1647" s="78"/>
      <c r="E1647" s="78"/>
      <c r="F1647" s="78"/>
      <c r="G1647" s="150"/>
      <c r="H1647" s="78"/>
      <c r="I1647" s="151"/>
      <c r="J1647" s="78"/>
      <c r="K1647" s="78"/>
      <c r="L1647" s="78"/>
      <c r="M1647" s="153"/>
      <c r="N1647" s="78"/>
      <c r="O1647" s="78"/>
      <c r="P1647" s="153"/>
      <c r="Q1647" s="78"/>
      <c r="R1647" s="78"/>
      <c r="S1647" s="153"/>
      <c r="T1647" s="78"/>
      <c r="U1647" s="78"/>
      <c r="V1647" s="152"/>
      <c r="W1647" s="78"/>
      <c r="X1647" s="78"/>
    </row>
    <row r="1648" spans="1:24" ht="42" customHeight="1">
      <c r="A1648" s="78"/>
      <c r="B1648" s="149"/>
      <c r="C1648" s="149"/>
      <c r="D1648" s="78"/>
      <c r="E1648" s="78"/>
      <c r="F1648" s="78"/>
      <c r="G1648" s="150"/>
      <c r="H1648" s="78"/>
      <c r="I1648" s="151"/>
      <c r="J1648" s="78"/>
      <c r="K1648" s="78"/>
      <c r="L1648" s="78"/>
      <c r="M1648" s="153"/>
      <c r="N1648" s="78"/>
      <c r="O1648" s="78"/>
      <c r="P1648" s="153"/>
      <c r="Q1648" s="78"/>
      <c r="R1648" s="78"/>
      <c r="S1648" s="153"/>
      <c r="T1648" s="78"/>
      <c r="U1648" s="78"/>
      <c r="V1648" s="152"/>
      <c r="W1648" s="78"/>
      <c r="X1648" s="78"/>
    </row>
    <row r="1649" spans="1:24" ht="42" customHeight="1">
      <c r="A1649" s="78"/>
      <c r="B1649" s="149"/>
      <c r="C1649" s="149"/>
      <c r="D1649" s="78"/>
      <c r="E1649" s="78"/>
      <c r="F1649" s="78"/>
      <c r="G1649" s="150"/>
      <c r="H1649" s="78"/>
      <c r="I1649" s="151"/>
      <c r="J1649" s="78"/>
      <c r="K1649" s="78"/>
      <c r="L1649" s="78"/>
      <c r="M1649" s="153"/>
      <c r="N1649" s="78"/>
      <c r="O1649" s="78"/>
      <c r="P1649" s="153"/>
      <c r="Q1649" s="78"/>
      <c r="R1649" s="78"/>
      <c r="S1649" s="153"/>
      <c r="T1649" s="78"/>
      <c r="U1649" s="78"/>
      <c r="V1649" s="152"/>
      <c r="W1649" s="78"/>
      <c r="X1649" s="78"/>
    </row>
    <row r="1650" spans="1:24" ht="42" customHeight="1">
      <c r="A1650" s="78"/>
      <c r="B1650" s="149"/>
      <c r="C1650" s="149"/>
      <c r="D1650" s="78"/>
      <c r="E1650" s="78"/>
      <c r="F1650" s="78"/>
      <c r="G1650" s="150"/>
      <c r="H1650" s="78"/>
      <c r="I1650" s="151"/>
      <c r="J1650" s="78"/>
      <c r="K1650" s="78"/>
      <c r="L1650" s="78"/>
      <c r="M1650" s="153"/>
      <c r="N1650" s="78"/>
      <c r="O1650" s="78"/>
      <c r="P1650" s="153"/>
      <c r="Q1650" s="78"/>
      <c r="R1650" s="78"/>
      <c r="S1650" s="153"/>
      <c r="T1650" s="78"/>
      <c r="U1650" s="78"/>
      <c r="V1650" s="152"/>
      <c r="W1650" s="78"/>
      <c r="X1650" s="78"/>
    </row>
    <row r="1651" spans="1:24" ht="42" customHeight="1">
      <c r="A1651" s="78"/>
      <c r="B1651" s="149"/>
      <c r="C1651" s="149"/>
      <c r="D1651" s="78"/>
      <c r="E1651" s="78"/>
      <c r="F1651" s="78"/>
      <c r="G1651" s="150"/>
      <c r="H1651" s="78"/>
      <c r="I1651" s="151"/>
      <c r="J1651" s="78"/>
      <c r="K1651" s="78"/>
      <c r="L1651" s="78"/>
      <c r="M1651" s="153"/>
      <c r="N1651" s="78"/>
      <c r="O1651" s="78"/>
      <c r="P1651" s="153"/>
      <c r="Q1651" s="78"/>
      <c r="R1651" s="78"/>
      <c r="S1651" s="153"/>
      <c r="T1651" s="78"/>
      <c r="U1651" s="78"/>
      <c r="V1651" s="152"/>
      <c r="W1651" s="78"/>
      <c r="X1651" s="78"/>
    </row>
    <row r="1652" spans="1:24" ht="42" customHeight="1">
      <c r="A1652" s="78"/>
      <c r="B1652" s="149"/>
      <c r="C1652" s="149"/>
      <c r="D1652" s="78"/>
      <c r="E1652" s="78"/>
      <c r="F1652" s="78"/>
      <c r="G1652" s="150"/>
      <c r="H1652" s="78"/>
      <c r="I1652" s="151"/>
      <c r="J1652" s="78"/>
      <c r="K1652" s="78"/>
      <c r="L1652" s="78"/>
      <c r="M1652" s="153"/>
      <c r="N1652" s="78"/>
      <c r="O1652" s="78"/>
      <c r="P1652" s="153"/>
      <c r="Q1652" s="78"/>
      <c r="R1652" s="78"/>
      <c r="S1652" s="153"/>
      <c r="T1652" s="78"/>
      <c r="U1652" s="78"/>
      <c r="V1652" s="152"/>
      <c r="W1652" s="78"/>
      <c r="X1652" s="78"/>
    </row>
    <row r="1653" spans="1:24" ht="42" customHeight="1">
      <c r="A1653" s="78"/>
      <c r="B1653" s="149"/>
      <c r="C1653" s="149"/>
      <c r="D1653" s="78"/>
      <c r="E1653" s="78"/>
      <c r="F1653" s="78"/>
      <c r="G1653" s="150"/>
      <c r="H1653" s="78"/>
      <c r="I1653" s="151"/>
      <c r="J1653" s="78"/>
      <c r="K1653" s="78"/>
      <c r="L1653" s="78"/>
      <c r="M1653" s="153"/>
      <c r="N1653" s="78"/>
      <c r="O1653" s="78"/>
      <c r="P1653" s="153"/>
      <c r="Q1653" s="78"/>
      <c r="R1653" s="78"/>
      <c r="S1653" s="153"/>
      <c r="T1653" s="78"/>
      <c r="U1653" s="78"/>
      <c r="V1653" s="152"/>
      <c r="W1653" s="78"/>
      <c r="X1653" s="78"/>
    </row>
    <row r="1654" spans="1:24" ht="42" customHeight="1">
      <c r="A1654" s="78"/>
      <c r="B1654" s="149"/>
      <c r="C1654" s="149"/>
      <c r="D1654" s="78"/>
      <c r="E1654" s="78"/>
      <c r="F1654" s="78"/>
      <c r="G1654" s="150"/>
      <c r="H1654" s="78"/>
      <c r="I1654" s="151"/>
      <c r="J1654" s="78"/>
      <c r="K1654" s="78"/>
      <c r="L1654" s="78"/>
      <c r="M1654" s="153"/>
      <c r="N1654" s="78"/>
      <c r="O1654" s="78"/>
      <c r="P1654" s="153"/>
      <c r="Q1654" s="78"/>
      <c r="R1654" s="78"/>
      <c r="S1654" s="153"/>
      <c r="T1654" s="78"/>
      <c r="U1654" s="78"/>
      <c r="V1654" s="152"/>
      <c r="W1654" s="78"/>
      <c r="X1654" s="78"/>
    </row>
    <row r="1655" spans="1:24" ht="42" customHeight="1">
      <c r="A1655" s="78"/>
      <c r="B1655" s="149"/>
      <c r="C1655" s="149"/>
      <c r="D1655" s="78"/>
      <c r="E1655" s="78"/>
      <c r="F1655" s="78"/>
      <c r="G1655" s="150"/>
      <c r="H1655" s="78"/>
      <c r="I1655" s="151"/>
      <c r="J1655" s="78"/>
      <c r="K1655" s="78"/>
      <c r="L1655" s="78"/>
      <c r="M1655" s="153"/>
      <c r="N1655" s="78"/>
      <c r="O1655" s="78"/>
      <c r="P1655" s="153"/>
      <c r="Q1655" s="78"/>
      <c r="R1655" s="78"/>
      <c r="S1655" s="153"/>
      <c r="T1655" s="78"/>
      <c r="U1655" s="78"/>
      <c r="V1655" s="152"/>
      <c r="W1655" s="78"/>
      <c r="X1655" s="78"/>
    </row>
    <row r="1656" spans="1:24" ht="42" customHeight="1">
      <c r="A1656" s="78"/>
      <c r="B1656" s="149"/>
      <c r="C1656" s="149"/>
      <c r="D1656" s="78"/>
      <c r="E1656" s="78"/>
      <c r="F1656" s="78"/>
      <c r="G1656" s="150"/>
      <c r="H1656" s="78"/>
      <c r="I1656" s="151"/>
      <c r="J1656" s="78"/>
      <c r="K1656" s="78"/>
      <c r="L1656" s="78"/>
      <c r="M1656" s="153"/>
      <c r="N1656" s="78"/>
      <c r="O1656" s="78"/>
      <c r="P1656" s="153"/>
      <c r="Q1656" s="78"/>
      <c r="R1656" s="78"/>
      <c r="S1656" s="153"/>
      <c r="T1656" s="78"/>
      <c r="U1656" s="78"/>
      <c r="V1656" s="152"/>
      <c r="W1656" s="78"/>
      <c r="X1656" s="78"/>
    </row>
    <row r="1657" spans="1:24" ht="42" customHeight="1">
      <c r="A1657" s="78"/>
      <c r="B1657" s="149"/>
      <c r="C1657" s="149"/>
      <c r="D1657" s="78"/>
      <c r="E1657" s="78"/>
      <c r="F1657" s="78"/>
      <c r="G1657" s="150"/>
      <c r="H1657" s="78"/>
      <c r="I1657" s="151"/>
      <c r="J1657" s="78"/>
      <c r="K1657" s="78"/>
      <c r="L1657" s="78"/>
      <c r="M1657" s="153"/>
      <c r="N1657" s="78"/>
      <c r="O1657" s="78"/>
      <c r="P1657" s="153"/>
      <c r="Q1657" s="78"/>
      <c r="R1657" s="78"/>
      <c r="S1657" s="153"/>
      <c r="T1657" s="78"/>
      <c r="U1657" s="78"/>
      <c r="V1657" s="152"/>
      <c r="W1657" s="78"/>
      <c r="X1657" s="78"/>
    </row>
    <row r="1658" spans="1:24" ht="42" customHeight="1">
      <c r="A1658" s="78"/>
      <c r="B1658" s="149"/>
      <c r="C1658" s="149"/>
      <c r="D1658" s="78"/>
      <c r="E1658" s="78"/>
      <c r="F1658" s="78"/>
      <c r="G1658" s="150"/>
      <c r="H1658" s="78"/>
      <c r="I1658" s="151"/>
      <c r="J1658" s="78"/>
      <c r="K1658" s="78"/>
      <c r="L1658" s="78"/>
      <c r="M1658" s="153"/>
      <c r="N1658" s="78"/>
      <c r="O1658" s="78"/>
      <c r="P1658" s="153"/>
      <c r="Q1658" s="78"/>
      <c r="R1658" s="78"/>
      <c r="S1658" s="153"/>
      <c r="T1658" s="78"/>
      <c r="U1658" s="78"/>
      <c r="V1658" s="152"/>
      <c r="W1658" s="78"/>
      <c r="X1658" s="78"/>
    </row>
    <row r="1659" spans="1:24" ht="42" customHeight="1">
      <c r="A1659" s="78"/>
      <c r="B1659" s="149"/>
      <c r="C1659" s="149"/>
      <c r="D1659" s="78"/>
      <c r="E1659" s="78"/>
      <c r="F1659" s="78"/>
      <c r="G1659" s="150"/>
      <c r="H1659" s="78"/>
      <c r="I1659" s="151"/>
      <c r="J1659" s="78"/>
      <c r="K1659" s="78"/>
      <c r="L1659" s="78"/>
      <c r="M1659" s="153"/>
      <c r="N1659" s="78"/>
      <c r="O1659" s="78"/>
      <c r="P1659" s="153"/>
      <c r="Q1659" s="78"/>
      <c r="R1659" s="78"/>
      <c r="S1659" s="153"/>
      <c r="T1659" s="78"/>
      <c r="U1659" s="78"/>
      <c r="V1659" s="152"/>
      <c r="W1659" s="78"/>
      <c r="X1659" s="78"/>
    </row>
    <row r="1660" spans="1:24" ht="42" customHeight="1">
      <c r="A1660" s="78"/>
      <c r="B1660" s="149"/>
      <c r="C1660" s="149"/>
      <c r="D1660" s="78"/>
      <c r="E1660" s="78"/>
      <c r="F1660" s="78"/>
      <c r="G1660" s="150"/>
      <c r="H1660" s="78"/>
      <c r="I1660" s="151"/>
      <c r="J1660" s="78"/>
      <c r="K1660" s="78"/>
      <c r="L1660" s="78"/>
      <c r="M1660" s="153"/>
      <c r="N1660" s="78"/>
      <c r="O1660" s="78"/>
      <c r="P1660" s="153"/>
      <c r="Q1660" s="78"/>
      <c r="R1660" s="78"/>
      <c r="S1660" s="153"/>
      <c r="T1660" s="78"/>
      <c r="U1660" s="78"/>
      <c r="V1660" s="152"/>
      <c r="W1660" s="78"/>
      <c r="X1660" s="78"/>
    </row>
    <row r="1661" spans="1:24" ht="42" customHeight="1">
      <c r="A1661" s="78"/>
      <c r="B1661" s="149"/>
      <c r="C1661" s="149"/>
      <c r="D1661" s="78"/>
      <c r="E1661" s="78"/>
      <c r="F1661" s="78"/>
      <c r="G1661" s="150"/>
      <c r="H1661" s="78"/>
      <c r="I1661" s="151"/>
      <c r="J1661" s="78"/>
      <c r="K1661" s="78"/>
      <c r="L1661" s="78"/>
      <c r="M1661" s="153"/>
      <c r="N1661" s="78"/>
      <c r="O1661" s="78"/>
      <c r="P1661" s="153"/>
      <c r="Q1661" s="78"/>
      <c r="R1661" s="78"/>
      <c r="S1661" s="153"/>
      <c r="T1661" s="78"/>
      <c r="U1661" s="78"/>
      <c r="V1661" s="152"/>
      <c r="W1661" s="78"/>
      <c r="X1661" s="78"/>
    </row>
    <row r="1662" spans="1:24" ht="42" customHeight="1">
      <c r="A1662" s="78"/>
      <c r="B1662" s="149"/>
      <c r="C1662" s="149"/>
      <c r="D1662" s="78"/>
      <c r="E1662" s="78"/>
      <c r="F1662" s="78"/>
      <c r="G1662" s="150"/>
      <c r="H1662" s="78"/>
      <c r="I1662" s="151"/>
      <c r="J1662" s="78"/>
      <c r="K1662" s="78"/>
      <c r="L1662" s="78"/>
      <c r="M1662" s="153"/>
      <c r="N1662" s="78"/>
      <c r="O1662" s="78"/>
      <c r="P1662" s="153"/>
      <c r="Q1662" s="78"/>
      <c r="R1662" s="78"/>
      <c r="S1662" s="153"/>
      <c r="T1662" s="78"/>
      <c r="U1662" s="78"/>
      <c r="V1662" s="152"/>
      <c r="W1662" s="78"/>
      <c r="X1662" s="78"/>
    </row>
    <row r="1663" spans="1:24" ht="42" customHeight="1">
      <c r="A1663" s="78"/>
      <c r="B1663" s="149"/>
      <c r="C1663" s="149"/>
      <c r="D1663" s="78"/>
      <c r="E1663" s="78"/>
      <c r="F1663" s="78"/>
      <c r="G1663" s="150"/>
      <c r="H1663" s="78"/>
      <c r="I1663" s="151"/>
      <c r="J1663" s="78"/>
      <c r="K1663" s="78"/>
      <c r="L1663" s="78"/>
      <c r="M1663" s="153"/>
      <c r="N1663" s="78"/>
      <c r="O1663" s="78"/>
      <c r="P1663" s="153"/>
      <c r="Q1663" s="78"/>
      <c r="R1663" s="78"/>
      <c r="S1663" s="153"/>
      <c r="T1663" s="78"/>
      <c r="U1663" s="78"/>
      <c r="V1663" s="152"/>
      <c r="W1663" s="78"/>
      <c r="X1663" s="78"/>
    </row>
    <row r="1664" spans="1:24" ht="42" customHeight="1">
      <c r="A1664" s="78"/>
      <c r="B1664" s="149"/>
      <c r="C1664" s="149"/>
      <c r="D1664" s="78"/>
      <c r="E1664" s="78"/>
      <c r="F1664" s="78"/>
      <c r="G1664" s="150"/>
      <c r="H1664" s="78"/>
      <c r="I1664" s="151"/>
      <c r="J1664" s="78"/>
      <c r="K1664" s="78"/>
      <c r="L1664" s="78"/>
      <c r="M1664" s="153"/>
      <c r="N1664" s="78"/>
      <c r="O1664" s="78"/>
      <c r="P1664" s="153"/>
      <c r="Q1664" s="78"/>
      <c r="R1664" s="78"/>
      <c r="S1664" s="153"/>
      <c r="T1664" s="78"/>
      <c r="U1664" s="78"/>
      <c r="V1664" s="152"/>
      <c r="W1664" s="78"/>
      <c r="X1664" s="78"/>
    </row>
    <row r="1665" spans="1:24" ht="42" customHeight="1">
      <c r="A1665" s="78"/>
      <c r="B1665" s="149"/>
      <c r="C1665" s="149"/>
      <c r="D1665" s="78"/>
      <c r="E1665" s="78"/>
      <c r="F1665" s="78"/>
      <c r="G1665" s="150"/>
      <c r="H1665" s="78"/>
      <c r="I1665" s="151"/>
      <c r="J1665" s="78"/>
      <c r="K1665" s="78"/>
      <c r="L1665" s="78"/>
      <c r="M1665" s="153"/>
      <c r="N1665" s="78"/>
      <c r="O1665" s="78"/>
      <c r="P1665" s="153"/>
      <c r="Q1665" s="78"/>
      <c r="R1665" s="78"/>
      <c r="S1665" s="153"/>
      <c r="T1665" s="78"/>
      <c r="U1665" s="78"/>
      <c r="V1665" s="152"/>
      <c r="W1665" s="78"/>
      <c r="X1665" s="78"/>
    </row>
    <row r="1666" spans="1:24" ht="42" customHeight="1">
      <c r="A1666" s="78"/>
      <c r="B1666" s="149"/>
      <c r="C1666" s="149"/>
      <c r="D1666" s="78"/>
      <c r="E1666" s="78"/>
      <c r="F1666" s="78"/>
      <c r="G1666" s="150"/>
      <c r="H1666" s="78"/>
      <c r="I1666" s="151"/>
      <c r="J1666" s="78"/>
      <c r="K1666" s="78"/>
      <c r="L1666" s="78"/>
      <c r="M1666" s="153"/>
      <c r="N1666" s="78"/>
      <c r="O1666" s="78"/>
      <c r="P1666" s="153"/>
      <c r="Q1666" s="78"/>
      <c r="R1666" s="78"/>
      <c r="S1666" s="153"/>
      <c r="T1666" s="78"/>
      <c r="U1666" s="78"/>
      <c r="V1666" s="152"/>
      <c r="W1666" s="78"/>
      <c r="X1666" s="78"/>
    </row>
    <row r="1667" spans="1:24" ht="42" customHeight="1">
      <c r="A1667" s="78"/>
      <c r="B1667" s="149"/>
      <c r="C1667" s="149"/>
      <c r="D1667" s="78"/>
      <c r="E1667" s="78"/>
      <c r="F1667" s="78"/>
      <c r="G1667" s="150"/>
      <c r="H1667" s="78"/>
      <c r="I1667" s="151"/>
      <c r="J1667" s="78"/>
      <c r="K1667" s="78"/>
      <c r="L1667" s="78"/>
      <c r="M1667" s="153"/>
      <c r="N1667" s="78"/>
      <c r="O1667" s="78"/>
      <c r="P1667" s="153"/>
      <c r="Q1667" s="78"/>
      <c r="R1667" s="78"/>
      <c r="S1667" s="153"/>
      <c r="T1667" s="78"/>
      <c r="U1667" s="78"/>
      <c r="V1667" s="152"/>
      <c r="W1667" s="78"/>
      <c r="X1667" s="78"/>
    </row>
    <row r="1668" spans="1:24" ht="42" customHeight="1">
      <c r="A1668" s="78"/>
      <c r="B1668" s="149"/>
      <c r="C1668" s="149"/>
      <c r="D1668" s="78"/>
      <c r="E1668" s="78"/>
      <c r="F1668" s="78"/>
      <c r="G1668" s="150"/>
      <c r="H1668" s="78"/>
      <c r="I1668" s="151"/>
      <c r="J1668" s="78"/>
      <c r="K1668" s="78"/>
      <c r="L1668" s="78"/>
      <c r="M1668" s="153"/>
      <c r="N1668" s="78"/>
      <c r="O1668" s="78"/>
      <c r="P1668" s="153"/>
      <c r="Q1668" s="78"/>
      <c r="R1668" s="78"/>
      <c r="S1668" s="153"/>
      <c r="T1668" s="78"/>
      <c r="U1668" s="78"/>
      <c r="V1668" s="152"/>
      <c r="W1668" s="78"/>
      <c r="X1668" s="78"/>
    </row>
    <row r="1669" spans="1:24" ht="42" customHeight="1">
      <c r="A1669" s="78"/>
      <c r="B1669" s="149"/>
      <c r="C1669" s="149"/>
      <c r="D1669" s="78"/>
      <c r="E1669" s="78"/>
      <c r="F1669" s="78"/>
      <c r="G1669" s="150"/>
      <c r="H1669" s="78"/>
      <c r="I1669" s="151"/>
      <c r="J1669" s="78"/>
      <c r="K1669" s="78"/>
      <c r="L1669" s="78"/>
      <c r="M1669" s="153"/>
      <c r="N1669" s="78"/>
      <c r="O1669" s="78"/>
      <c r="P1669" s="153"/>
      <c r="Q1669" s="78"/>
      <c r="R1669" s="78"/>
      <c r="S1669" s="153"/>
      <c r="T1669" s="78"/>
      <c r="U1669" s="78"/>
      <c r="V1669" s="152"/>
      <c r="W1669" s="78"/>
      <c r="X1669" s="78"/>
    </row>
    <row r="1670" spans="1:24" ht="42" customHeight="1">
      <c r="A1670" s="78"/>
      <c r="B1670" s="149"/>
      <c r="C1670" s="149"/>
      <c r="D1670" s="78"/>
      <c r="E1670" s="78"/>
      <c r="F1670" s="78"/>
      <c r="G1670" s="150"/>
      <c r="H1670" s="78"/>
      <c r="I1670" s="151"/>
      <c r="J1670" s="78"/>
      <c r="K1670" s="78"/>
      <c r="L1670" s="78"/>
      <c r="M1670" s="153"/>
      <c r="N1670" s="78"/>
      <c r="O1670" s="78"/>
      <c r="P1670" s="153"/>
      <c r="Q1670" s="78"/>
      <c r="R1670" s="78"/>
      <c r="S1670" s="153"/>
      <c r="T1670" s="78"/>
      <c r="U1670" s="78"/>
      <c r="V1670" s="152"/>
      <c r="W1670" s="78"/>
      <c r="X1670" s="78"/>
    </row>
    <row r="1671" spans="1:24" ht="42" customHeight="1">
      <c r="A1671" s="78"/>
      <c r="B1671" s="149"/>
      <c r="C1671" s="149"/>
      <c r="D1671" s="78"/>
      <c r="E1671" s="78"/>
      <c r="F1671" s="78"/>
      <c r="G1671" s="150"/>
      <c r="H1671" s="78"/>
      <c r="I1671" s="151"/>
      <c r="J1671" s="78"/>
      <c r="K1671" s="78"/>
      <c r="L1671" s="78"/>
      <c r="M1671" s="153"/>
      <c r="N1671" s="78"/>
      <c r="O1671" s="78"/>
      <c r="P1671" s="153"/>
      <c r="Q1671" s="78"/>
      <c r="R1671" s="78"/>
      <c r="S1671" s="153"/>
      <c r="T1671" s="78"/>
      <c r="U1671" s="78"/>
      <c r="V1671" s="152"/>
      <c r="W1671" s="78"/>
      <c r="X1671" s="78"/>
    </row>
    <row r="1672" spans="1:24" ht="42" customHeight="1">
      <c r="A1672" s="78"/>
      <c r="B1672" s="149"/>
      <c r="C1672" s="149"/>
      <c r="D1672" s="78"/>
      <c r="E1672" s="78"/>
      <c r="F1672" s="78"/>
      <c r="G1672" s="150"/>
      <c r="H1672" s="78"/>
      <c r="I1672" s="151"/>
      <c r="J1672" s="78"/>
      <c r="K1672" s="78"/>
      <c r="L1672" s="78"/>
      <c r="M1672" s="153"/>
      <c r="N1672" s="78"/>
      <c r="O1672" s="78"/>
      <c r="P1672" s="153"/>
      <c r="Q1672" s="78"/>
      <c r="R1672" s="78"/>
      <c r="S1672" s="153"/>
      <c r="T1672" s="78"/>
      <c r="U1672" s="78"/>
      <c r="V1672" s="152"/>
      <c r="W1672" s="78"/>
      <c r="X1672" s="78"/>
    </row>
    <row r="1673" spans="1:24" ht="42" customHeight="1">
      <c r="A1673" s="78"/>
      <c r="B1673" s="149"/>
      <c r="C1673" s="149"/>
      <c r="D1673" s="78"/>
      <c r="E1673" s="78"/>
      <c r="F1673" s="78"/>
      <c r="G1673" s="150"/>
      <c r="H1673" s="78"/>
      <c r="I1673" s="151"/>
      <c r="J1673" s="78"/>
      <c r="K1673" s="78"/>
      <c r="L1673" s="78"/>
      <c r="M1673" s="153"/>
      <c r="N1673" s="78"/>
      <c r="O1673" s="78"/>
      <c r="P1673" s="153"/>
      <c r="Q1673" s="78"/>
      <c r="R1673" s="78"/>
      <c r="S1673" s="153"/>
      <c r="T1673" s="78"/>
      <c r="U1673" s="78"/>
      <c r="V1673" s="152"/>
      <c r="W1673" s="78"/>
      <c r="X1673" s="78"/>
    </row>
    <row r="1674" spans="1:24" ht="42" customHeight="1">
      <c r="A1674" s="78"/>
      <c r="B1674" s="149"/>
      <c r="C1674" s="149"/>
      <c r="D1674" s="78"/>
      <c r="E1674" s="78"/>
      <c r="F1674" s="78"/>
      <c r="G1674" s="150"/>
      <c r="H1674" s="78"/>
      <c r="I1674" s="151"/>
      <c r="J1674" s="78"/>
      <c r="K1674" s="78"/>
      <c r="L1674" s="78"/>
      <c r="M1674" s="153"/>
      <c r="N1674" s="78"/>
      <c r="O1674" s="78"/>
      <c r="P1674" s="153"/>
      <c r="Q1674" s="78"/>
      <c r="R1674" s="78"/>
      <c r="S1674" s="153"/>
      <c r="T1674" s="78"/>
      <c r="U1674" s="78"/>
      <c r="V1674" s="152"/>
      <c r="W1674" s="78"/>
      <c r="X1674" s="78"/>
    </row>
    <row r="1675" spans="1:24" ht="42" customHeight="1">
      <c r="A1675" s="78"/>
      <c r="B1675" s="149"/>
      <c r="C1675" s="149"/>
      <c r="D1675" s="78"/>
      <c r="E1675" s="78"/>
      <c r="F1675" s="78"/>
      <c r="G1675" s="150"/>
      <c r="H1675" s="78"/>
      <c r="I1675" s="151"/>
      <c r="J1675" s="78"/>
      <c r="K1675" s="78"/>
      <c r="L1675" s="78"/>
      <c r="M1675" s="153"/>
      <c r="N1675" s="78"/>
      <c r="O1675" s="78"/>
      <c r="P1675" s="153"/>
      <c r="Q1675" s="78"/>
      <c r="R1675" s="78"/>
      <c r="S1675" s="153"/>
      <c r="T1675" s="78"/>
      <c r="U1675" s="78"/>
      <c r="V1675" s="152"/>
      <c r="W1675" s="78"/>
      <c r="X1675" s="78"/>
    </row>
    <row r="1676" spans="1:24" ht="42" customHeight="1">
      <c r="A1676" s="78"/>
      <c r="B1676" s="149"/>
      <c r="C1676" s="149"/>
      <c r="D1676" s="78"/>
      <c r="E1676" s="78"/>
      <c r="F1676" s="78"/>
      <c r="G1676" s="150"/>
      <c r="H1676" s="78"/>
      <c r="I1676" s="151"/>
      <c r="J1676" s="78"/>
      <c r="K1676" s="78"/>
      <c r="L1676" s="78"/>
      <c r="M1676" s="153"/>
      <c r="N1676" s="78"/>
      <c r="O1676" s="78"/>
      <c r="P1676" s="153"/>
      <c r="Q1676" s="78"/>
      <c r="R1676" s="78"/>
      <c r="S1676" s="153"/>
      <c r="T1676" s="78"/>
      <c r="U1676" s="78"/>
      <c r="V1676" s="152"/>
      <c r="W1676" s="78"/>
      <c r="X1676" s="78"/>
    </row>
    <row r="1677" spans="1:24" ht="42" customHeight="1">
      <c r="A1677" s="78"/>
      <c r="B1677" s="149"/>
      <c r="C1677" s="149"/>
      <c r="D1677" s="78"/>
      <c r="E1677" s="78"/>
      <c r="F1677" s="78"/>
      <c r="G1677" s="150"/>
      <c r="H1677" s="78"/>
      <c r="I1677" s="151"/>
      <c r="J1677" s="78"/>
      <c r="K1677" s="78"/>
      <c r="L1677" s="78"/>
      <c r="M1677" s="153"/>
      <c r="N1677" s="78"/>
      <c r="O1677" s="78"/>
      <c r="P1677" s="153"/>
      <c r="Q1677" s="78"/>
      <c r="R1677" s="78"/>
      <c r="S1677" s="153"/>
      <c r="T1677" s="78"/>
      <c r="U1677" s="78"/>
      <c r="V1677" s="152"/>
      <c r="W1677" s="78"/>
      <c r="X1677" s="78"/>
    </row>
    <row r="1678" spans="1:24" ht="42" customHeight="1">
      <c r="A1678" s="78"/>
      <c r="B1678" s="149"/>
      <c r="C1678" s="149"/>
      <c r="D1678" s="78"/>
      <c r="E1678" s="78"/>
      <c r="F1678" s="78"/>
      <c r="G1678" s="150"/>
      <c r="H1678" s="78"/>
      <c r="I1678" s="151"/>
      <c r="J1678" s="78"/>
      <c r="K1678" s="78"/>
      <c r="L1678" s="78"/>
      <c r="M1678" s="153"/>
      <c r="N1678" s="78"/>
      <c r="O1678" s="78"/>
      <c r="P1678" s="153"/>
      <c r="Q1678" s="78"/>
      <c r="R1678" s="78"/>
      <c r="S1678" s="153"/>
      <c r="T1678" s="78"/>
      <c r="U1678" s="78"/>
      <c r="V1678" s="152"/>
      <c r="W1678" s="78"/>
      <c r="X1678" s="78"/>
    </row>
    <row r="1679" spans="1:24" ht="42" customHeight="1">
      <c r="A1679" s="78"/>
      <c r="B1679" s="149"/>
      <c r="C1679" s="149"/>
      <c r="D1679" s="78"/>
      <c r="E1679" s="78"/>
      <c r="F1679" s="78"/>
      <c r="G1679" s="150"/>
      <c r="H1679" s="78"/>
      <c r="I1679" s="151"/>
      <c r="J1679" s="78"/>
      <c r="K1679" s="78"/>
      <c r="L1679" s="78"/>
      <c r="M1679" s="153"/>
      <c r="N1679" s="78"/>
      <c r="O1679" s="78"/>
      <c r="P1679" s="153"/>
      <c r="Q1679" s="78"/>
      <c r="R1679" s="78"/>
      <c r="S1679" s="153"/>
      <c r="T1679" s="78"/>
      <c r="U1679" s="78"/>
      <c r="V1679" s="152"/>
      <c r="W1679" s="78"/>
      <c r="X1679" s="78"/>
    </row>
    <row r="1680" spans="1:24" ht="42" customHeight="1">
      <c r="A1680" s="78"/>
      <c r="B1680" s="149"/>
      <c r="C1680" s="149"/>
      <c r="D1680" s="78"/>
      <c r="E1680" s="78"/>
      <c r="F1680" s="78"/>
      <c r="G1680" s="150"/>
      <c r="H1680" s="78"/>
      <c r="I1680" s="151"/>
      <c r="J1680" s="78"/>
      <c r="K1680" s="78"/>
      <c r="L1680" s="78"/>
      <c r="M1680" s="153"/>
      <c r="N1680" s="78"/>
      <c r="O1680" s="78"/>
      <c r="P1680" s="153"/>
      <c r="Q1680" s="78"/>
      <c r="R1680" s="78"/>
      <c r="S1680" s="153"/>
      <c r="T1680" s="78"/>
      <c r="U1680" s="78"/>
      <c r="V1680" s="152"/>
      <c r="W1680" s="78"/>
      <c r="X1680" s="78"/>
    </row>
    <row r="1681" spans="1:24" ht="42" customHeight="1">
      <c r="A1681" s="78"/>
      <c r="B1681" s="149"/>
      <c r="C1681" s="149"/>
      <c r="D1681" s="78"/>
      <c r="E1681" s="78"/>
      <c r="F1681" s="78"/>
      <c r="G1681" s="150"/>
      <c r="H1681" s="78"/>
      <c r="I1681" s="151"/>
      <c r="J1681" s="78"/>
      <c r="K1681" s="78"/>
      <c r="L1681" s="78"/>
      <c r="M1681" s="153"/>
      <c r="N1681" s="78"/>
      <c r="O1681" s="78"/>
      <c r="P1681" s="153"/>
      <c r="Q1681" s="78"/>
      <c r="R1681" s="78"/>
      <c r="S1681" s="153"/>
      <c r="T1681" s="78"/>
      <c r="U1681" s="78"/>
      <c r="V1681" s="152"/>
      <c r="W1681" s="78"/>
      <c r="X1681" s="78"/>
    </row>
    <row r="1682" spans="1:24" ht="42" customHeight="1">
      <c r="A1682" s="78"/>
      <c r="B1682" s="149"/>
      <c r="C1682" s="149"/>
      <c r="D1682" s="78"/>
      <c r="E1682" s="78"/>
      <c r="F1682" s="78"/>
      <c r="G1682" s="150"/>
      <c r="H1682" s="78"/>
      <c r="I1682" s="151"/>
      <c r="J1682" s="78"/>
      <c r="K1682" s="78"/>
      <c r="L1682" s="78"/>
      <c r="M1682" s="153"/>
      <c r="N1682" s="78"/>
      <c r="O1682" s="78"/>
      <c r="P1682" s="153"/>
      <c r="Q1682" s="78"/>
      <c r="R1682" s="78"/>
      <c r="S1682" s="153"/>
      <c r="T1682" s="78"/>
      <c r="U1682" s="78"/>
      <c r="V1682" s="152"/>
      <c r="W1682" s="78"/>
      <c r="X1682" s="78"/>
    </row>
    <row r="1683" spans="1:24" ht="42" customHeight="1">
      <c r="A1683" s="78"/>
      <c r="B1683" s="149"/>
      <c r="C1683" s="149"/>
      <c r="D1683" s="78"/>
      <c r="E1683" s="78"/>
      <c r="F1683" s="78"/>
      <c r="G1683" s="150"/>
      <c r="H1683" s="78"/>
      <c r="I1683" s="151"/>
      <c r="J1683" s="78"/>
      <c r="K1683" s="78"/>
      <c r="L1683" s="78"/>
      <c r="M1683" s="153"/>
      <c r="N1683" s="78"/>
      <c r="O1683" s="78"/>
      <c r="P1683" s="153"/>
      <c r="Q1683" s="78"/>
      <c r="R1683" s="78"/>
      <c r="S1683" s="153"/>
      <c r="T1683" s="78"/>
      <c r="U1683" s="78"/>
      <c r="V1683" s="152"/>
      <c r="W1683" s="78"/>
      <c r="X1683" s="78"/>
    </row>
    <row r="1684" spans="1:24" ht="42" customHeight="1">
      <c r="A1684" s="78"/>
      <c r="B1684" s="149"/>
      <c r="C1684" s="149"/>
      <c r="D1684" s="78"/>
      <c r="E1684" s="78"/>
      <c r="F1684" s="78"/>
      <c r="G1684" s="150"/>
      <c r="H1684" s="78"/>
      <c r="I1684" s="151"/>
      <c r="J1684" s="78"/>
      <c r="K1684" s="78"/>
      <c r="L1684" s="78"/>
      <c r="M1684" s="153"/>
      <c r="N1684" s="78"/>
      <c r="O1684" s="78"/>
      <c r="P1684" s="153"/>
      <c r="Q1684" s="78"/>
      <c r="R1684" s="78"/>
      <c r="S1684" s="153"/>
      <c r="T1684" s="78"/>
      <c r="U1684" s="78"/>
      <c r="V1684" s="152"/>
      <c r="W1684" s="78"/>
      <c r="X1684" s="78"/>
    </row>
    <row r="1685" spans="1:24" ht="42" customHeight="1">
      <c r="A1685" s="78"/>
      <c r="B1685" s="149"/>
      <c r="C1685" s="149"/>
      <c r="D1685" s="78"/>
      <c r="E1685" s="78"/>
      <c r="F1685" s="78"/>
      <c r="G1685" s="150"/>
      <c r="H1685" s="78"/>
      <c r="I1685" s="151"/>
      <c r="J1685" s="78"/>
      <c r="K1685" s="78"/>
      <c r="L1685" s="78"/>
      <c r="M1685" s="153"/>
      <c r="N1685" s="78"/>
      <c r="O1685" s="78"/>
      <c r="P1685" s="153"/>
      <c r="Q1685" s="78"/>
      <c r="R1685" s="78"/>
      <c r="S1685" s="153"/>
      <c r="T1685" s="78"/>
      <c r="U1685" s="78"/>
      <c r="V1685" s="152"/>
      <c r="W1685" s="78"/>
      <c r="X1685" s="78"/>
    </row>
    <row r="1686" spans="1:24" ht="42" customHeight="1">
      <c r="A1686" s="78"/>
      <c r="B1686" s="149"/>
      <c r="C1686" s="149"/>
      <c r="D1686" s="78"/>
      <c r="E1686" s="78"/>
      <c r="F1686" s="78"/>
      <c r="G1686" s="150"/>
      <c r="H1686" s="78"/>
      <c r="I1686" s="151"/>
      <c r="J1686" s="78"/>
      <c r="K1686" s="78"/>
      <c r="L1686" s="78"/>
      <c r="M1686" s="153"/>
      <c r="N1686" s="78"/>
      <c r="O1686" s="78"/>
      <c r="P1686" s="153"/>
      <c r="Q1686" s="78"/>
      <c r="R1686" s="78"/>
      <c r="S1686" s="153"/>
      <c r="T1686" s="78"/>
      <c r="U1686" s="78"/>
      <c r="V1686" s="152"/>
      <c r="W1686" s="78"/>
      <c r="X1686" s="78"/>
    </row>
    <row r="1687" spans="1:24" ht="42" customHeight="1">
      <c r="A1687" s="78"/>
      <c r="B1687" s="149"/>
      <c r="C1687" s="149"/>
      <c r="D1687" s="78"/>
      <c r="E1687" s="78"/>
      <c r="F1687" s="78"/>
      <c r="G1687" s="150"/>
      <c r="H1687" s="78"/>
      <c r="I1687" s="151"/>
      <c r="J1687" s="78"/>
      <c r="K1687" s="78"/>
      <c r="L1687" s="78"/>
      <c r="M1687" s="153"/>
      <c r="N1687" s="78"/>
      <c r="O1687" s="78"/>
      <c r="P1687" s="153"/>
      <c r="Q1687" s="78"/>
      <c r="R1687" s="78"/>
      <c r="S1687" s="153"/>
      <c r="T1687" s="78"/>
      <c r="U1687" s="78"/>
      <c r="V1687" s="152"/>
      <c r="W1687" s="78"/>
      <c r="X1687" s="78"/>
    </row>
    <row r="1688" spans="1:24" ht="42" customHeight="1">
      <c r="A1688" s="78"/>
      <c r="B1688" s="149"/>
      <c r="C1688" s="149"/>
      <c r="D1688" s="78"/>
      <c r="E1688" s="78"/>
      <c r="F1688" s="78"/>
      <c r="G1688" s="150"/>
      <c r="H1688" s="78"/>
      <c r="I1688" s="151"/>
      <c r="J1688" s="78"/>
      <c r="K1688" s="78"/>
      <c r="L1688" s="78"/>
      <c r="M1688" s="153"/>
      <c r="N1688" s="78"/>
      <c r="O1688" s="78"/>
      <c r="P1688" s="153"/>
      <c r="Q1688" s="78"/>
      <c r="R1688" s="78"/>
      <c r="S1688" s="153"/>
      <c r="T1688" s="78"/>
      <c r="U1688" s="78"/>
      <c r="V1688" s="152"/>
      <c r="W1688" s="78"/>
      <c r="X1688" s="78"/>
    </row>
    <row r="1689" spans="1:24" ht="42" customHeight="1">
      <c r="A1689" s="78"/>
      <c r="B1689" s="149"/>
      <c r="C1689" s="149"/>
      <c r="D1689" s="78"/>
      <c r="E1689" s="78"/>
      <c r="F1689" s="78"/>
      <c r="G1689" s="150"/>
      <c r="H1689" s="78"/>
      <c r="I1689" s="151"/>
      <c r="J1689" s="78"/>
      <c r="K1689" s="78"/>
      <c r="L1689" s="78"/>
      <c r="M1689" s="153"/>
      <c r="N1689" s="78"/>
      <c r="O1689" s="78"/>
      <c r="P1689" s="153"/>
      <c r="Q1689" s="78"/>
      <c r="R1689" s="78"/>
      <c r="S1689" s="153"/>
      <c r="T1689" s="78"/>
      <c r="U1689" s="78"/>
      <c r="V1689" s="152"/>
      <c r="W1689" s="78"/>
      <c r="X1689" s="78"/>
    </row>
    <row r="1690" spans="1:24" ht="42" customHeight="1">
      <c r="A1690" s="78"/>
      <c r="B1690" s="149"/>
      <c r="C1690" s="149"/>
      <c r="D1690" s="78"/>
      <c r="E1690" s="78"/>
      <c r="F1690" s="78"/>
      <c r="G1690" s="150"/>
      <c r="H1690" s="78"/>
      <c r="I1690" s="151"/>
      <c r="J1690" s="78"/>
      <c r="K1690" s="78"/>
      <c r="L1690" s="78"/>
      <c r="M1690" s="153"/>
      <c r="N1690" s="78"/>
      <c r="O1690" s="78"/>
      <c r="P1690" s="153"/>
      <c r="Q1690" s="78"/>
      <c r="R1690" s="78"/>
      <c r="S1690" s="153"/>
      <c r="T1690" s="78"/>
      <c r="U1690" s="78"/>
      <c r="V1690" s="152"/>
      <c r="W1690" s="78"/>
      <c r="X1690" s="78"/>
    </row>
    <row r="1691" spans="1:24" ht="42" customHeight="1">
      <c r="A1691" s="78"/>
      <c r="B1691" s="149"/>
      <c r="C1691" s="149"/>
      <c r="D1691" s="78"/>
      <c r="E1691" s="78"/>
      <c r="F1691" s="78"/>
      <c r="G1691" s="150"/>
      <c r="H1691" s="78"/>
      <c r="I1691" s="151"/>
      <c r="J1691" s="78"/>
      <c r="K1691" s="78"/>
      <c r="L1691" s="78"/>
      <c r="M1691" s="153"/>
      <c r="N1691" s="78"/>
      <c r="O1691" s="78"/>
      <c r="P1691" s="153"/>
      <c r="Q1691" s="78"/>
      <c r="R1691" s="78"/>
      <c r="S1691" s="153"/>
      <c r="T1691" s="78"/>
      <c r="U1691" s="78"/>
      <c r="V1691" s="152"/>
      <c r="W1691" s="78"/>
      <c r="X1691" s="78"/>
    </row>
    <row r="1692" spans="1:24" ht="42" customHeight="1">
      <c r="A1692" s="78"/>
      <c r="B1692" s="149"/>
      <c r="C1692" s="149"/>
      <c r="D1692" s="78"/>
      <c r="E1692" s="78"/>
      <c r="F1692" s="78"/>
      <c r="G1692" s="150"/>
      <c r="H1692" s="78"/>
      <c r="I1692" s="151"/>
      <c r="J1692" s="78"/>
      <c r="K1692" s="78"/>
      <c r="L1692" s="78"/>
      <c r="M1692" s="153"/>
      <c r="N1692" s="78"/>
      <c r="O1692" s="78"/>
      <c r="P1692" s="153"/>
      <c r="Q1692" s="78"/>
      <c r="R1692" s="78"/>
      <c r="S1692" s="153"/>
      <c r="T1692" s="78"/>
      <c r="U1692" s="78"/>
      <c r="V1692" s="152"/>
      <c r="W1692" s="78"/>
      <c r="X1692" s="78"/>
    </row>
    <row r="1693" spans="1:24" ht="42" customHeight="1">
      <c r="A1693" s="78"/>
      <c r="B1693" s="149"/>
      <c r="C1693" s="149"/>
      <c r="D1693" s="78"/>
      <c r="E1693" s="78"/>
      <c r="F1693" s="78"/>
      <c r="G1693" s="150"/>
      <c r="H1693" s="78"/>
      <c r="I1693" s="151"/>
      <c r="J1693" s="78"/>
      <c r="K1693" s="78"/>
      <c r="L1693" s="78"/>
      <c r="M1693" s="153"/>
      <c r="N1693" s="78"/>
      <c r="O1693" s="78"/>
      <c r="P1693" s="153"/>
      <c r="Q1693" s="78"/>
      <c r="R1693" s="78"/>
      <c r="S1693" s="153"/>
      <c r="T1693" s="78"/>
      <c r="U1693" s="78"/>
      <c r="V1693" s="152"/>
      <c r="W1693" s="78"/>
      <c r="X1693" s="78"/>
    </row>
    <row r="1694" spans="1:24" ht="42" customHeight="1">
      <c r="A1694" s="78"/>
      <c r="B1694" s="149"/>
      <c r="C1694" s="149"/>
      <c r="D1694" s="78"/>
      <c r="E1694" s="78"/>
      <c r="F1694" s="78"/>
      <c r="G1694" s="150"/>
      <c r="H1694" s="78"/>
      <c r="I1694" s="151"/>
      <c r="J1694" s="78"/>
      <c r="K1694" s="78"/>
      <c r="L1694" s="78"/>
      <c r="M1694" s="153"/>
      <c r="N1694" s="78"/>
      <c r="O1694" s="78"/>
      <c r="P1694" s="153"/>
      <c r="Q1694" s="78"/>
      <c r="R1694" s="78"/>
      <c r="S1694" s="153"/>
      <c r="T1694" s="78"/>
      <c r="U1694" s="78"/>
      <c r="V1694" s="152"/>
      <c r="W1694" s="78"/>
      <c r="X1694" s="78"/>
    </row>
    <row r="1695" spans="1:24" ht="42" customHeight="1">
      <c r="A1695" s="78"/>
      <c r="B1695" s="149"/>
      <c r="C1695" s="149"/>
      <c r="D1695" s="78"/>
      <c r="E1695" s="78"/>
      <c r="F1695" s="78"/>
      <c r="G1695" s="150"/>
      <c r="H1695" s="78"/>
      <c r="I1695" s="151"/>
      <c r="J1695" s="78"/>
      <c r="K1695" s="78"/>
      <c r="L1695" s="78"/>
      <c r="M1695" s="153"/>
      <c r="N1695" s="78"/>
      <c r="O1695" s="78"/>
      <c r="P1695" s="153"/>
      <c r="Q1695" s="78"/>
      <c r="R1695" s="78"/>
      <c r="S1695" s="153"/>
      <c r="T1695" s="78"/>
      <c r="U1695" s="78"/>
      <c r="V1695" s="152"/>
      <c r="W1695" s="78"/>
      <c r="X1695" s="78"/>
    </row>
    <row r="1696" spans="1:24" ht="42" customHeight="1">
      <c r="A1696" s="78"/>
      <c r="B1696" s="149"/>
      <c r="C1696" s="149"/>
      <c r="D1696" s="78"/>
      <c r="E1696" s="78"/>
      <c r="F1696" s="78"/>
      <c r="G1696" s="150"/>
      <c r="H1696" s="78"/>
      <c r="I1696" s="151"/>
      <c r="J1696" s="78"/>
      <c r="K1696" s="78"/>
      <c r="L1696" s="78"/>
      <c r="M1696" s="153"/>
      <c r="N1696" s="78"/>
      <c r="O1696" s="78"/>
      <c r="P1696" s="153"/>
      <c r="Q1696" s="78"/>
      <c r="R1696" s="78"/>
      <c r="S1696" s="153"/>
      <c r="T1696" s="78"/>
      <c r="U1696" s="78"/>
      <c r="V1696" s="152"/>
      <c r="W1696" s="78"/>
      <c r="X1696" s="78"/>
    </row>
    <row r="1697" spans="1:24" ht="42" customHeight="1">
      <c r="A1697" s="78"/>
      <c r="B1697" s="149"/>
      <c r="C1697" s="149"/>
      <c r="D1697" s="78"/>
      <c r="E1697" s="78"/>
      <c r="F1697" s="78"/>
      <c r="G1697" s="150"/>
      <c r="H1697" s="78"/>
      <c r="I1697" s="151"/>
      <c r="J1697" s="78"/>
      <c r="K1697" s="78"/>
      <c r="L1697" s="78"/>
      <c r="M1697" s="153"/>
      <c r="N1697" s="78"/>
      <c r="O1697" s="78"/>
      <c r="P1697" s="153"/>
      <c r="Q1697" s="78"/>
      <c r="R1697" s="78"/>
      <c r="S1697" s="153"/>
      <c r="T1697" s="78"/>
      <c r="U1697" s="78"/>
      <c r="V1697" s="152"/>
      <c r="W1697" s="78"/>
      <c r="X1697" s="78"/>
    </row>
    <row r="1698" spans="1:24" ht="42" customHeight="1">
      <c r="A1698" s="78"/>
      <c r="B1698" s="149"/>
      <c r="C1698" s="149"/>
      <c r="D1698" s="78"/>
      <c r="E1698" s="78"/>
      <c r="F1698" s="78"/>
      <c r="G1698" s="150"/>
      <c r="H1698" s="78"/>
      <c r="I1698" s="151"/>
      <c r="J1698" s="78"/>
      <c r="K1698" s="78"/>
      <c r="L1698" s="78"/>
      <c r="M1698" s="153"/>
      <c r="N1698" s="78"/>
      <c r="O1698" s="78"/>
      <c r="P1698" s="153"/>
      <c r="Q1698" s="78"/>
      <c r="R1698" s="78"/>
      <c r="S1698" s="153"/>
      <c r="T1698" s="78"/>
      <c r="U1698" s="78"/>
      <c r="V1698" s="152"/>
      <c r="W1698" s="78"/>
      <c r="X1698" s="78"/>
    </row>
    <row r="1699" spans="1:24" ht="42" customHeight="1">
      <c r="A1699" s="78"/>
      <c r="B1699" s="149"/>
      <c r="C1699" s="149"/>
      <c r="D1699" s="78"/>
      <c r="E1699" s="78"/>
      <c r="F1699" s="78"/>
      <c r="G1699" s="150"/>
      <c r="H1699" s="78"/>
      <c r="I1699" s="151"/>
      <c r="J1699" s="78"/>
      <c r="K1699" s="78"/>
      <c r="L1699" s="78"/>
      <c r="M1699" s="153"/>
      <c r="N1699" s="78"/>
      <c r="O1699" s="78"/>
      <c r="P1699" s="153"/>
      <c r="Q1699" s="78"/>
      <c r="R1699" s="78"/>
      <c r="S1699" s="153"/>
      <c r="T1699" s="78"/>
      <c r="U1699" s="78"/>
      <c r="V1699" s="152"/>
      <c r="W1699" s="78"/>
      <c r="X1699" s="78"/>
    </row>
    <row r="1700" spans="1:24" ht="42" customHeight="1">
      <c r="A1700" s="78"/>
      <c r="B1700" s="149"/>
      <c r="C1700" s="149"/>
      <c r="D1700" s="78"/>
      <c r="E1700" s="78"/>
      <c r="F1700" s="78"/>
      <c r="G1700" s="150"/>
      <c r="H1700" s="78"/>
      <c r="I1700" s="151"/>
      <c r="J1700" s="78"/>
      <c r="K1700" s="78"/>
      <c r="L1700" s="78"/>
      <c r="M1700" s="153"/>
      <c r="N1700" s="78"/>
      <c r="O1700" s="78"/>
      <c r="P1700" s="153"/>
      <c r="Q1700" s="78"/>
      <c r="R1700" s="78"/>
      <c r="S1700" s="153"/>
      <c r="T1700" s="78"/>
      <c r="U1700" s="78"/>
      <c r="V1700" s="152"/>
      <c r="W1700" s="78"/>
      <c r="X1700" s="78"/>
    </row>
    <row r="1701" spans="1:24" ht="42" customHeight="1">
      <c r="A1701" s="78"/>
      <c r="B1701" s="149"/>
      <c r="C1701" s="149"/>
      <c r="D1701" s="78"/>
      <c r="E1701" s="78"/>
      <c r="F1701" s="78"/>
      <c r="G1701" s="150"/>
      <c r="H1701" s="78"/>
      <c r="I1701" s="151"/>
      <c r="J1701" s="78"/>
      <c r="K1701" s="78"/>
      <c r="L1701" s="78"/>
      <c r="M1701" s="153"/>
      <c r="N1701" s="78"/>
      <c r="O1701" s="78"/>
      <c r="P1701" s="153"/>
      <c r="Q1701" s="78"/>
      <c r="R1701" s="78"/>
      <c r="S1701" s="153"/>
      <c r="T1701" s="78"/>
      <c r="U1701" s="78"/>
      <c r="V1701" s="152"/>
      <c r="W1701" s="78"/>
      <c r="X1701" s="78"/>
    </row>
    <row r="1702" spans="1:24" ht="42" customHeight="1">
      <c r="A1702" s="78"/>
      <c r="B1702" s="149"/>
      <c r="C1702" s="149"/>
      <c r="D1702" s="78"/>
      <c r="E1702" s="78"/>
      <c r="F1702" s="78"/>
      <c r="G1702" s="150"/>
      <c r="H1702" s="78"/>
      <c r="I1702" s="151"/>
      <c r="J1702" s="78"/>
      <c r="K1702" s="78"/>
      <c r="L1702" s="78"/>
      <c r="M1702" s="153"/>
      <c r="N1702" s="78"/>
      <c r="O1702" s="78"/>
      <c r="P1702" s="153"/>
      <c r="Q1702" s="78"/>
      <c r="R1702" s="78"/>
      <c r="S1702" s="153"/>
      <c r="T1702" s="78"/>
      <c r="U1702" s="78"/>
      <c r="V1702" s="152"/>
      <c r="W1702" s="78"/>
      <c r="X1702" s="78"/>
    </row>
    <row r="1703" spans="1:24" ht="42" customHeight="1">
      <c r="A1703" s="78"/>
      <c r="B1703" s="149"/>
      <c r="C1703" s="149"/>
      <c r="D1703" s="78"/>
      <c r="E1703" s="78"/>
      <c r="F1703" s="78"/>
      <c r="G1703" s="150"/>
      <c r="H1703" s="78"/>
      <c r="I1703" s="151"/>
      <c r="J1703" s="78"/>
      <c r="K1703" s="78"/>
      <c r="L1703" s="78"/>
      <c r="M1703" s="153"/>
      <c r="N1703" s="78"/>
      <c r="O1703" s="78"/>
      <c r="P1703" s="153"/>
      <c r="Q1703" s="78"/>
      <c r="R1703" s="78"/>
      <c r="S1703" s="153"/>
      <c r="T1703" s="78"/>
      <c r="U1703" s="78"/>
      <c r="V1703" s="152"/>
      <c r="W1703" s="78"/>
      <c r="X1703" s="78"/>
    </row>
    <row r="1704" spans="1:24" ht="42" customHeight="1">
      <c r="A1704" s="78"/>
      <c r="B1704" s="149"/>
      <c r="C1704" s="149"/>
      <c r="D1704" s="78"/>
      <c r="E1704" s="78"/>
      <c r="F1704" s="78"/>
      <c r="G1704" s="150"/>
      <c r="H1704" s="78"/>
      <c r="I1704" s="151"/>
      <c r="J1704" s="78"/>
      <c r="K1704" s="78"/>
      <c r="L1704" s="78"/>
      <c r="M1704" s="153"/>
      <c r="N1704" s="78"/>
      <c r="O1704" s="78"/>
      <c r="P1704" s="153"/>
      <c r="Q1704" s="78"/>
      <c r="R1704" s="78"/>
      <c r="S1704" s="153"/>
      <c r="T1704" s="78"/>
      <c r="U1704" s="78"/>
      <c r="V1704" s="152"/>
      <c r="W1704" s="78"/>
      <c r="X1704" s="78"/>
    </row>
    <row r="1705" spans="1:24" ht="42" customHeight="1">
      <c r="A1705" s="78"/>
      <c r="B1705" s="149"/>
      <c r="C1705" s="149"/>
      <c r="D1705" s="78"/>
      <c r="E1705" s="78"/>
      <c r="F1705" s="78"/>
      <c r="G1705" s="150"/>
      <c r="H1705" s="78"/>
      <c r="I1705" s="151"/>
      <c r="J1705" s="78"/>
      <c r="K1705" s="78"/>
      <c r="L1705" s="78"/>
      <c r="M1705" s="153"/>
      <c r="N1705" s="78"/>
      <c r="O1705" s="78"/>
      <c r="P1705" s="153"/>
      <c r="Q1705" s="78"/>
      <c r="R1705" s="78"/>
      <c r="S1705" s="153"/>
      <c r="T1705" s="78"/>
      <c r="U1705" s="78"/>
      <c r="V1705" s="152"/>
      <c r="W1705" s="78"/>
      <c r="X1705" s="78"/>
    </row>
    <row r="1706" spans="1:24" ht="42" customHeight="1">
      <c r="A1706" s="78"/>
      <c r="B1706" s="149"/>
      <c r="C1706" s="149"/>
      <c r="D1706" s="78"/>
      <c r="E1706" s="78"/>
      <c r="F1706" s="78"/>
      <c r="G1706" s="150"/>
      <c r="H1706" s="78"/>
      <c r="I1706" s="151"/>
      <c r="J1706" s="78"/>
      <c r="K1706" s="78"/>
      <c r="L1706" s="78"/>
      <c r="M1706" s="153"/>
      <c r="N1706" s="78"/>
      <c r="O1706" s="78"/>
      <c r="P1706" s="153"/>
      <c r="Q1706" s="78"/>
      <c r="R1706" s="78"/>
      <c r="S1706" s="153"/>
      <c r="T1706" s="78"/>
      <c r="U1706" s="78"/>
      <c r="V1706" s="152"/>
      <c r="W1706" s="78"/>
      <c r="X1706" s="78"/>
    </row>
    <row r="1707" spans="1:24" ht="42" customHeight="1">
      <c r="A1707" s="78"/>
      <c r="B1707" s="149"/>
      <c r="C1707" s="149"/>
      <c r="D1707" s="78"/>
      <c r="E1707" s="78"/>
      <c r="F1707" s="78"/>
      <c r="G1707" s="150"/>
      <c r="H1707" s="78"/>
      <c r="I1707" s="151"/>
      <c r="J1707" s="78"/>
      <c r="K1707" s="78"/>
      <c r="L1707" s="78"/>
      <c r="M1707" s="153"/>
      <c r="N1707" s="78"/>
      <c r="O1707" s="78"/>
      <c r="P1707" s="153"/>
      <c r="Q1707" s="78"/>
      <c r="R1707" s="78"/>
      <c r="S1707" s="153"/>
      <c r="T1707" s="78"/>
      <c r="U1707" s="78"/>
      <c r="V1707" s="152"/>
      <c r="W1707" s="78"/>
      <c r="X1707" s="78"/>
    </row>
    <row r="1708" spans="1:24" ht="42" customHeight="1">
      <c r="A1708" s="78"/>
      <c r="B1708" s="149"/>
      <c r="C1708" s="149"/>
      <c r="D1708" s="78"/>
      <c r="E1708" s="78"/>
      <c r="F1708" s="78"/>
      <c r="G1708" s="150"/>
      <c r="H1708" s="78"/>
      <c r="I1708" s="151"/>
      <c r="J1708" s="78"/>
      <c r="K1708" s="78"/>
      <c r="L1708" s="78"/>
      <c r="M1708" s="153"/>
      <c r="N1708" s="78"/>
      <c r="O1708" s="78"/>
      <c r="P1708" s="153"/>
      <c r="Q1708" s="78"/>
      <c r="R1708" s="78"/>
      <c r="S1708" s="153"/>
      <c r="T1708" s="78"/>
      <c r="U1708" s="78"/>
      <c r="V1708" s="152"/>
      <c r="W1708" s="78"/>
      <c r="X1708" s="78"/>
    </row>
    <row r="1709" spans="1:24" ht="42" customHeight="1">
      <c r="A1709" s="78"/>
      <c r="B1709" s="149"/>
      <c r="C1709" s="149"/>
      <c r="D1709" s="78"/>
      <c r="E1709" s="78"/>
      <c r="F1709" s="78"/>
      <c r="G1709" s="150"/>
      <c r="H1709" s="78"/>
      <c r="I1709" s="151"/>
      <c r="J1709" s="78"/>
      <c r="K1709" s="78"/>
      <c r="L1709" s="78"/>
      <c r="M1709" s="153"/>
      <c r="N1709" s="78"/>
      <c r="O1709" s="78"/>
      <c r="P1709" s="153"/>
      <c r="Q1709" s="78"/>
      <c r="R1709" s="78"/>
      <c r="S1709" s="153"/>
      <c r="T1709" s="78"/>
      <c r="U1709" s="78"/>
      <c r="V1709" s="152"/>
      <c r="W1709" s="78"/>
      <c r="X1709" s="78"/>
    </row>
    <row r="1710" spans="1:24" ht="42" customHeight="1">
      <c r="A1710" s="78"/>
      <c r="B1710" s="149"/>
      <c r="C1710" s="149"/>
      <c r="D1710" s="78"/>
      <c r="E1710" s="78"/>
      <c r="F1710" s="78"/>
      <c r="G1710" s="150"/>
      <c r="H1710" s="78"/>
      <c r="I1710" s="151"/>
      <c r="J1710" s="78"/>
      <c r="K1710" s="78"/>
      <c r="L1710" s="78"/>
      <c r="M1710" s="153"/>
      <c r="N1710" s="78"/>
      <c r="O1710" s="78"/>
      <c r="P1710" s="153"/>
      <c r="Q1710" s="78"/>
      <c r="R1710" s="78"/>
      <c r="S1710" s="153"/>
      <c r="T1710" s="78"/>
      <c r="U1710" s="78"/>
      <c r="V1710" s="152"/>
      <c r="W1710" s="78"/>
      <c r="X1710" s="78"/>
    </row>
    <row r="1711" spans="1:24" ht="42" customHeight="1">
      <c r="A1711" s="78"/>
      <c r="B1711" s="149"/>
      <c r="C1711" s="149"/>
      <c r="D1711" s="78"/>
      <c r="E1711" s="78"/>
      <c r="F1711" s="78"/>
      <c r="G1711" s="150"/>
      <c r="H1711" s="78"/>
      <c r="I1711" s="151"/>
      <c r="J1711" s="78"/>
      <c r="K1711" s="78"/>
      <c r="L1711" s="78"/>
      <c r="M1711" s="153"/>
      <c r="N1711" s="78"/>
      <c r="O1711" s="78"/>
      <c r="P1711" s="153"/>
      <c r="Q1711" s="78"/>
      <c r="R1711" s="78"/>
      <c r="S1711" s="153"/>
      <c r="T1711" s="78"/>
      <c r="U1711" s="78"/>
      <c r="V1711" s="152"/>
      <c r="W1711" s="78"/>
      <c r="X1711" s="78"/>
    </row>
    <row r="1712" spans="1:24" ht="42" customHeight="1">
      <c r="A1712" s="78"/>
      <c r="B1712" s="149"/>
      <c r="C1712" s="149"/>
      <c r="D1712" s="78"/>
      <c r="E1712" s="78"/>
      <c r="F1712" s="78"/>
      <c r="G1712" s="150"/>
      <c r="H1712" s="78"/>
      <c r="I1712" s="151"/>
      <c r="J1712" s="78"/>
      <c r="K1712" s="78"/>
      <c r="L1712" s="78"/>
      <c r="M1712" s="153"/>
      <c r="N1712" s="78"/>
      <c r="O1712" s="78"/>
      <c r="P1712" s="153"/>
      <c r="Q1712" s="78"/>
      <c r="R1712" s="78"/>
      <c r="S1712" s="153"/>
      <c r="T1712" s="78"/>
      <c r="U1712" s="78"/>
      <c r="V1712" s="152"/>
      <c r="W1712" s="78"/>
      <c r="X1712" s="78"/>
    </row>
    <row r="1713" spans="1:24" ht="42" customHeight="1">
      <c r="A1713" s="78"/>
      <c r="B1713" s="149"/>
      <c r="C1713" s="149"/>
      <c r="D1713" s="78"/>
      <c r="E1713" s="78"/>
      <c r="F1713" s="78"/>
      <c r="G1713" s="150"/>
      <c r="H1713" s="78"/>
      <c r="I1713" s="151"/>
      <c r="J1713" s="78"/>
      <c r="K1713" s="78"/>
      <c r="L1713" s="78"/>
      <c r="M1713" s="153"/>
      <c r="N1713" s="78"/>
      <c r="O1713" s="78"/>
      <c r="P1713" s="153"/>
      <c r="Q1713" s="78"/>
      <c r="R1713" s="78"/>
      <c r="S1713" s="153"/>
      <c r="T1713" s="78"/>
      <c r="U1713" s="78"/>
      <c r="V1713" s="152"/>
      <c r="W1713" s="78"/>
      <c r="X1713" s="78"/>
    </row>
    <row r="1714" spans="1:24" ht="42" customHeight="1">
      <c r="A1714" s="78"/>
      <c r="B1714" s="149"/>
      <c r="C1714" s="149"/>
      <c r="D1714" s="78"/>
      <c r="E1714" s="78"/>
      <c r="F1714" s="78"/>
      <c r="G1714" s="150"/>
      <c r="H1714" s="78"/>
      <c r="I1714" s="151"/>
      <c r="J1714" s="78"/>
      <c r="K1714" s="78"/>
      <c r="L1714" s="78"/>
      <c r="M1714" s="153"/>
      <c r="N1714" s="78"/>
      <c r="O1714" s="78"/>
      <c r="P1714" s="153"/>
      <c r="Q1714" s="78"/>
      <c r="R1714" s="78"/>
      <c r="S1714" s="153"/>
      <c r="T1714" s="78"/>
      <c r="U1714" s="78"/>
      <c r="V1714" s="152"/>
      <c r="W1714" s="78"/>
      <c r="X1714" s="78"/>
    </row>
    <row r="1715" spans="1:24" ht="42" customHeight="1">
      <c r="A1715" s="78"/>
      <c r="B1715" s="149"/>
      <c r="C1715" s="149"/>
      <c r="D1715" s="78"/>
      <c r="E1715" s="78"/>
      <c r="F1715" s="78"/>
      <c r="G1715" s="150"/>
      <c r="H1715" s="78"/>
      <c r="I1715" s="151"/>
      <c r="J1715" s="78"/>
      <c r="K1715" s="78"/>
      <c r="L1715" s="78"/>
      <c r="M1715" s="153"/>
      <c r="N1715" s="78"/>
      <c r="O1715" s="78"/>
      <c r="P1715" s="153"/>
      <c r="Q1715" s="78"/>
      <c r="R1715" s="78"/>
      <c r="S1715" s="153"/>
      <c r="T1715" s="78"/>
      <c r="U1715" s="78"/>
      <c r="V1715" s="152"/>
      <c r="W1715" s="78"/>
      <c r="X1715" s="78"/>
    </row>
    <row r="1716" spans="1:24" ht="42" customHeight="1">
      <c r="A1716" s="78"/>
      <c r="B1716" s="149"/>
      <c r="C1716" s="149"/>
      <c r="D1716" s="78"/>
      <c r="E1716" s="78"/>
      <c r="F1716" s="78"/>
      <c r="G1716" s="150"/>
      <c r="H1716" s="78"/>
      <c r="I1716" s="151"/>
      <c r="J1716" s="78"/>
      <c r="K1716" s="78"/>
      <c r="L1716" s="78"/>
      <c r="M1716" s="153"/>
      <c r="N1716" s="78"/>
      <c r="O1716" s="78"/>
      <c r="P1716" s="153"/>
      <c r="Q1716" s="78"/>
      <c r="R1716" s="78"/>
      <c r="S1716" s="153"/>
      <c r="T1716" s="78"/>
      <c r="U1716" s="78"/>
      <c r="V1716" s="152"/>
      <c r="W1716" s="78"/>
      <c r="X1716" s="78"/>
    </row>
    <row r="1717" spans="1:24" ht="42" customHeight="1">
      <c r="A1717" s="78"/>
      <c r="B1717" s="149"/>
      <c r="C1717" s="149"/>
      <c r="D1717" s="78"/>
      <c r="E1717" s="78"/>
      <c r="F1717" s="78"/>
      <c r="G1717" s="150"/>
      <c r="H1717" s="78"/>
      <c r="I1717" s="151"/>
      <c r="J1717" s="78"/>
      <c r="K1717" s="78"/>
      <c r="L1717" s="78"/>
      <c r="M1717" s="153"/>
      <c r="N1717" s="78"/>
      <c r="O1717" s="78"/>
      <c r="P1717" s="153"/>
      <c r="Q1717" s="78"/>
      <c r="R1717" s="78"/>
      <c r="S1717" s="153"/>
      <c r="T1717" s="78"/>
      <c r="U1717" s="78"/>
      <c r="V1717" s="152"/>
      <c r="W1717" s="78"/>
      <c r="X1717" s="78"/>
    </row>
    <row r="1718" spans="1:24" ht="42" customHeight="1">
      <c r="A1718" s="78"/>
      <c r="B1718" s="149"/>
      <c r="C1718" s="149"/>
      <c r="D1718" s="78"/>
      <c r="E1718" s="78"/>
      <c r="F1718" s="78"/>
      <c r="G1718" s="150"/>
      <c r="H1718" s="78"/>
      <c r="I1718" s="151"/>
      <c r="J1718" s="78"/>
      <c r="K1718" s="78"/>
      <c r="L1718" s="78"/>
      <c r="M1718" s="153"/>
      <c r="N1718" s="78"/>
      <c r="O1718" s="78"/>
      <c r="P1718" s="153"/>
      <c r="Q1718" s="78"/>
      <c r="R1718" s="78"/>
      <c r="S1718" s="153"/>
      <c r="T1718" s="78"/>
      <c r="U1718" s="78"/>
      <c r="V1718" s="152"/>
      <c r="W1718" s="78"/>
      <c r="X1718" s="78"/>
    </row>
    <row r="1719" spans="1:24" ht="42" customHeight="1">
      <c r="A1719" s="78"/>
      <c r="B1719" s="149"/>
      <c r="C1719" s="149"/>
      <c r="D1719" s="78"/>
      <c r="E1719" s="78"/>
      <c r="F1719" s="78"/>
      <c r="G1719" s="150"/>
      <c r="H1719" s="78"/>
      <c r="I1719" s="151"/>
      <c r="J1719" s="78"/>
      <c r="K1719" s="78"/>
      <c r="L1719" s="78"/>
      <c r="M1719" s="153"/>
      <c r="N1719" s="78"/>
      <c r="O1719" s="78"/>
      <c r="P1719" s="153"/>
      <c r="Q1719" s="78"/>
      <c r="R1719" s="78"/>
      <c r="S1719" s="153"/>
      <c r="T1719" s="78"/>
      <c r="U1719" s="78"/>
      <c r="V1719" s="152"/>
      <c r="W1719" s="78"/>
      <c r="X1719" s="78"/>
    </row>
    <row r="1720" spans="1:24" ht="42" customHeight="1">
      <c r="A1720" s="78"/>
      <c r="B1720" s="149"/>
      <c r="C1720" s="149"/>
      <c r="D1720" s="78"/>
      <c r="E1720" s="78"/>
      <c r="F1720" s="78"/>
      <c r="G1720" s="150"/>
      <c r="H1720" s="78"/>
      <c r="I1720" s="151"/>
      <c r="J1720" s="78"/>
      <c r="K1720" s="78"/>
      <c r="L1720" s="78"/>
      <c r="M1720" s="153"/>
      <c r="N1720" s="78"/>
      <c r="O1720" s="78"/>
      <c r="P1720" s="153"/>
      <c r="Q1720" s="78"/>
      <c r="R1720" s="78"/>
      <c r="S1720" s="153"/>
      <c r="T1720" s="78"/>
      <c r="U1720" s="78"/>
      <c r="V1720" s="152"/>
      <c r="W1720" s="78"/>
      <c r="X1720" s="78"/>
    </row>
    <row r="1721" spans="1:24" ht="42" customHeight="1">
      <c r="A1721" s="78"/>
      <c r="B1721" s="149"/>
      <c r="C1721" s="149"/>
      <c r="D1721" s="78"/>
      <c r="E1721" s="78"/>
      <c r="F1721" s="78"/>
      <c r="G1721" s="150"/>
      <c r="H1721" s="78"/>
      <c r="I1721" s="151"/>
      <c r="J1721" s="78"/>
      <c r="K1721" s="78"/>
      <c r="L1721" s="78"/>
      <c r="M1721" s="153"/>
      <c r="N1721" s="78"/>
      <c r="O1721" s="78"/>
      <c r="P1721" s="153"/>
      <c r="Q1721" s="78"/>
      <c r="R1721" s="78"/>
      <c r="S1721" s="153"/>
      <c r="T1721" s="78"/>
      <c r="U1721" s="78"/>
      <c r="V1721" s="152"/>
      <c r="W1721" s="78"/>
      <c r="X1721" s="78"/>
    </row>
    <row r="1722" spans="1:24" ht="42" customHeight="1">
      <c r="A1722" s="78"/>
      <c r="B1722" s="149"/>
      <c r="C1722" s="149"/>
      <c r="D1722" s="78"/>
      <c r="E1722" s="78"/>
      <c r="F1722" s="78"/>
      <c r="G1722" s="150"/>
      <c r="H1722" s="78"/>
      <c r="I1722" s="151"/>
      <c r="J1722" s="78"/>
      <c r="K1722" s="78"/>
      <c r="L1722" s="78"/>
      <c r="M1722" s="153"/>
      <c r="N1722" s="78"/>
      <c r="O1722" s="78"/>
      <c r="P1722" s="153"/>
      <c r="Q1722" s="78"/>
      <c r="R1722" s="78"/>
      <c r="S1722" s="153"/>
      <c r="T1722" s="78"/>
      <c r="U1722" s="78"/>
      <c r="V1722" s="152"/>
      <c r="W1722" s="78"/>
      <c r="X1722" s="78"/>
    </row>
    <row r="1723" spans="1:24" ht="42" customHeight="1">
      <c r="A1723" s="78"/>
      <c r="B1723" s="149"/>
      <c r="C1723" s="149"/>
      <c r="D1723" s="78"/>
      <c r="E1723" s="78"/>
      <c r="F1723" s="78"/>
      <c r="G1723" s="150"/>
      <c r="H1723" s="78"/>
      <c r="I1723" s="151"/>
      <c r="J1723" s="78"/>
      <c r="K1723" s="78"/>
      <c r="L1723" s="78"/>
      <c r="M1723" s="153"/>
      <c r="N1723" s="78"/>
      <c r="O1723" s="78"/>
      <c r="P1723" s="153"/>
      <c r="Q1723" s="78"/>
      <c r="R1723" s="78"/>
      <c r="S1723" s="153"/>
      <c r="T1723" s="78"/>
      <c r="U1723" s="78"/>
      <c r="V1723" s="152"/>
      <c r="W1723" s="78"/>
      <c r="X1723" s="78"/>
    </row>
    <row r="1724" spans="1:24" ht="42" customHeight="1">
      <c r="A1724" s="78"/>
      <c r="B1724" s="149"/>
      <c r="C1724" s="149"/>
      <c r="D1724" s="78"/>
      <c r="E1724" s="78"/>
      <c r="F1724" s="78"/>
      <c r="G1724" s="150"/>
      <c r="H1724" s="78"/>
      <c r="I1724" s="151"/>
      <c r="J1724" s="78"/>
      <c r="K1724" s="78"/>
      <c r="L1724" s="78"/>
      <c r="M1724" s="153"/>
      <c r="N1724" s="78"/>
      <c r="O1724" s="78"/>
      <c r="P1724" s="153"/>
      <c r="Q1724" s="78"/>
      <c r="R1724" s="78"/>
      <c r="S1724" s="153"/>
      <c r="T1724" s="78"/>
      <c r="U1724" s="78"/>
      <c r="V1724" s="152"/>
      <c r="W1724" s="78"/>
      <c r="X1724" s="78"/>
    </row>
    <row r="1725" spans="1:24" ht="42" customHeight="1">
      <c r="A1725" s="78"/>
      <c r="B1725" s="149"/>
      <c r="C1725" s="149"/>
      <c r="D1725" s="78"/>
      <c r="E1725" s="78"/>
      <c r="F1725" s="78"/>
      <c r="G1725" s="150"/>
      <c r="H1725" s="78"/>
      <c r="I1725" s="151"/>
      <c r="J1725" s="78"/>
      <c r="K1725" s="78"/>
      <c r="L1725" s="78"/>
      <c r="M1725" s="153"/>
      <c r="N1725" s="78"/>
      <c r="O1725" s="78"/>
      <c r="P1725" s="153"/>
      <c r="Q1725" s="78"/>
      <c r="R1725" s="78"/>
      <c r="S1725" s="153"/>
      <c r="T1725" s="78"/>
      <c r="U1725" s="78"/>
      <c r="V1725" s="152"/>
      <c r="W1725" s="78"/>
      <c r="X1725" s="78"/>
    </row>
    <row r="1726" spans="1:24" ht="42" customHeight="1">
      <c r="A1726" s="78"/>
      <c r="B1726" s="149"/>
      <c r="C1726" s="149"/>
      <c r="D1726" s="78"/>
      <c r="E1726" s="78"/>
      <c r="F1726" s="78"/>
      <c r="G1726" s="150"/>
      <c r="H1726" s="78"/>
      <c r="I1726" s="151"/>
      <c r="J1726" s="78"/>
      <c r="K1726" s="78"/>
      <c r="L1726" s="78"/>
      <c r="M1726" s="153"/>
      <c r="N1726" s="78"/>
      <c r="O1726" s="78"/>
      <c r="P1726" s="153"/>
      <c r="Q1726" s="78"/>
      <c r="R1726" s="78"/>
      <c r="S1726" s="153"/>
      <c r="T1726" s="78"/>
      <c r="U1726" s="78"/>
      <c r="V1726" s="152"/>
      <c r="W1726" s="78"/>
      <c r="X1726" s="78"/>
    </row>
    <row r="1727" spans="1:24" ht="42" customHeight="1">
      <c r="A1727" s="78"/>
      <c r="B1727" s="149"/>
      <c r="C1727" s="149"/>
      <c r="D1727" s="78"/>
      <c r="E1727" s="78"/>
      <c r="F1727" s="78"/>
      <c r="G1727" s="150"/>
      <c r="H1727" s="78"/>
      <c r="I1727" s="151"/>
      <c r="J1727" s="78"/>
      <c r="K1727" s="78"/>
      <c r="L1727" s="78"/>
      <c r="M1727" s="153"/>
      <c r="N1727" s="78"/>
      <c r="O1727" s="78"/>
      <c r="P1727" s="153"/>
      <c r="Q1727" s="78"/>
      <c r="R1727" s="78"/>
      <c r="S1727" s="153"/>
      <c r="T1727" s="78"/>
      <c r="U1727" s="78"/>
      <c r="V1727" s="152"/>
      <c r="W1727" s="78"/>
      <c r="X1727" s="78"/>
    </row>
    <row r="1728" spans="1:24" ht="42" customHeight="1">
      <c r="A1728" s="78"/>
      <c r="B1728" s="149"/>
      <c r="C1728" s="149"/>
      <c r="D1728" s="78"/>
      <c r="E1728" s="78"/>
      <c r="F1728" s="78"/>
      <c r="G1728" s="150"/>
      <c r="H1728" s="78"/>
      <c r="I1728" s="151"/>
      <c r="J1728" s="78"/>
      <c r="K1728" s="78"/>
      <c r="L1728" s="78"/>
      <c r="M1728" s="153"/>
      <c r="N1728" s="78"/>
      <c r="O1728" s="78"/>
      <c r="P1728" s="153"/>
      <c r="Q1728" s="78"/>
      <c r="R1728" s="78"/>
      <c r="S1728" s="153"/>
      <c r="T1728" s="78"/>
      <c r="U1728" s="78"/>
      <c r="V1728" s="152"/>
      <c r="W1728" s="78"/>
      <c r="X1728" s="78"/>
    </row>
    <row r="1729" spans="1:24" ht="42" customHeight="1">
      <c r="A1729" s="78"/>
      <c r="B1729" s="149"/>
      <c r="C1729" s="149"/>
      <c r="D1729" s="78"/>
      <c r="E1729" s="78"/>
      <c r="F1729" s="78"/>
      <c r="G1729" s="150"/>
      <c r="H1729" s="78"/>
      <c r="I1729" s="151"/>
      <c r="J1729" s="78"/>
      <c r="K1729" s="78"/>
      <c r="L1729" s="78"/>
      <c r="M1729" s="153"/>
      <c r="N1729" s="78"/>
      <c r="O1729" s="78"/>
      <c r="P1729" s="153"/>
      <c r="Q1729" s="78"/>
      <c r="R1729" s="78"/>
      <c r="S1729" s="153"/>
      <c r="T1729" s="78"/>
      <c r="U1729" s="78"/>
      <c r="V1729" s="152"/>
      <c r="W1729" s="78"/>
      <c r="X1729" s="78"/>
    </row>
    <row r="1730" spans="1:24" ht="42" customHeight="1">
      <c r="A1730" s="78"/>
      <c r="B1730" s="149"/>
      <c r="C1730" s="149"/>
      <c r="D1730" s="78"/>
      <c r="E1730" s="78"/>
      <c r="F1730" s="78"/>
      <c r="G1730" s="150"/>
      <c r="H1730" s="78"/>
      <c r="I1730" s="151"/>
      <c r="J1730" s="78"/>
      <c r="K1730" s="78"/>
      <c r="L1730" s="78"/>
      <c r="M1730" s="153"/>
      <c r="N1730" s="78"/>
      <c r="O1730" s="78"/>
      <c r="P1730" s="153"/>
      <c r="Q1730" s="78"/>
      <c r="R1730" s="78"/>
      <c r="S1730" s="153"/>
      <c r="T1730" s="78"/>
      <c r="U1730" s="78"/>
      <c r="V1730" s="152"/>
      <c r="W1730" s="78"/>
      <c r="X1730" s="78"/>
    </row>
    <row r="1731" spans="1:24" ht="42" customHeight="1">
      <c r="A1731" s="78"/>
      <c r="B1731" s="149"/>
      <c r="C1731" s="149"/>
      <c r="D1731" s="78"/>
      <c r="E1731" s="78"/>
      <c r="F1731" s="78"/>
      <c r="G1731" s="150"/>
      <c r="H1731" s="78"/>
      <c r="I1731" s="151"/>
      <c r="J1731" s="78"/>
      <c r="K1731" s="78"/>
      <c r="L1731" s="78"/>
      <c r="M1731" s="153"/>
      <c r="N1731" s="78"/>
      <c r="O1731" s="78"/>
      <c r="P1731" s="153"/>
      <c r="Q1731" s="78"/>
      <c r="R1731" s="78"/>
      <c r="S1731" s="153"/>
      <c r="T1731" s="78"/>
      <c r="U1731" s="78"/>
      <c r="V1731" s="152"/>
      <c r="W1731" s="78"/>
      <c r="X1731" s="78"/>
    </row>
    <row r="1732" spans="1:24" ht="42" customHeight="1">
      <c r="A1732" s="78"/>
      <c r="B1732" s="149"/>
      <c r="C1732" s="149"/>
      <c r="D1732" s="78"/>
      <c r="E1732" s="78"/>
      <c r="F1732" s="78"/>
      <c r="G1732" s="150"/>
      <c r="H1732" s="78"/>
      <c r="I1732" s="151"/>
      <c r="J1732" s="78"/>
      <c r="K1732" s="78"/>
      <c r="L1732" s="78"/>
      <c r="M1732" s="153"/>
      <c r="N1732" s="78"/>
      <c r="O1732" s="78"/>
      <c r="P1732" s="153"/>
      <c r="Q1732" s="78"/>
      <c r="R1732" s="78"/>
      <c r="S1732" s="153"/>
      <c r="T1732" s="78"/>
      <c r="U1732" s="78"/>
      <c r="V1732" s="152"/>
      <c r="W1732" s="78"/>
      <c r="X1732" s="78"/>
    </row>
    <row r="1733" spans="1:24" ht="42" customHeight="1">
      <c r="A1733" s="78"/>
      <c r="B1733" s="149"/>
      <c r="C1733" s="149"/>
      <c r="D1733" s="78"/>
      <c r="E1733" s="78"/>
      <c r="F1733" s="78"/>
      <c r="G1733" s="150"/>
      <c r="H1733" s="78"/>
      <c r="I1733" s="151"/>
      <c r="J1733" s="78"/>
      <c r="K1733" s="78"/>
      <c r="L1733" s="78"/>
      <c r="M1733" s="153"/>
      <c r="N1733" s="78"/>
      <c r="O1733" s="78"/>
      <c r="P1733" s="153"/>
      <c r="Q1733" s="78"/>
      <c r="R1733" s="78"/>
      <c r="S1733" s="153"/>
      <c r="T1733" s="78"/>
      <c r="U1733" s="78"/>
      <c r="V1733" s="152"/>
      <c r="W1733" s="78"/>
      <c r="X1733" s="78"/>
    </row>
    <row r="1734" spans="1:24" ht="42" customHeight="1">
      <c r="A1734" s="78"/>
      <c r="B1734" s="149"/>
      <c r="C1734" s="149"/>
      <c r="D1734" s="78"/>
      <c r="E1734" s="78"/>
      <c r="F1734" s="78"/>
      <c r="G1734" s="150"/>
      <c r="H1734" s="78"/>
      <c r="I1734" s="151"/>
      <c r="J1734" s="78"/>
      <c r="K1734" s="78"/>
      <c r="L1734" s="78"/>
      <c r="M1734" s="153"/>
      <c r="N1734" s="78"/>
      <c r="O1734" s="78"/>
      <c r="P1734" s="153"/>
      <c r="Q1734" s="78"/>
      <c r="R1734" s="78"/>
      <c r="S1734" s="153"/>
      <c r="T1734" s="78"/>
      <c r="U1734" s="78"/>
      <c r="V1734" s="152"/>
      <c r="W1734" s="78"/>
      <c r="X1734" s="78"/>
    </row>
    <row r="1735" spans="1:24" ht="42" customHeight="1">
      <c r="A1735" s="78"/>
      <c r="B1735" s="149"/>
      <c r="C1735" s="149"/>
      <c r="D1735" s="78"/>
      <c r="E1735" s="78"/>
      <c r="F1735" s="78"/>
      <c r="G1735" s="150"/>
      <c r="H1735" s="78"/>
      <c r="I1735" s="151"/>
      <c r="J1735" s="78"/>
      <c r="K1735" s="78"/>
      <c r="L1735" s="78"/>
      <c r="M1735" s="153"/>
      <c r="N1735" s="78"/>
      <c r="O1735" s="78"/>
      <c r="P1735" s="153"/>
      <c r="Q1735" s="78"/>
      <c r="R1735" s="78"/>
      <c r="S1735" s="153"/>
      <c r="T1735" s="78"/>
      <c r="U1735" s="78"/>
      <c r="V1735" s="152"/>
      <c r="W1735" s="78"/>
      <c r="X1735" s="78"/>
    </row>
    <row r="1736" spans="1:24" ht="42" customHeight="1">
      <c r="A1736" s="78"/>
      <c r="B1736" s="149"/>
      <c r="C1736" s="149"/>
      <c r="D1736" s="78"/>
      <c r="E1736" s="78"/>
      <c r="F1736" s="78"/>
      <c r="G1736" s="150"/>
      <c r="H1736" s="78"/>
      <c r="I1736" s="151"/>
      <c r="J1736" s="78"/>
      <c r="K1736" s="78"/>
      <c r="L1736" s="78"/>
      <c r="M1736" s="153"/>
      <c r="N1736" s="78"/>
      <c r="O1736" s="78"/>
      <c r="P1736" s="153"/>
      <c r="Q1736" s="78"/>
      <c r="R1736" s="78"/>
      <c r="S1736" s="153"/>
      <c r="T1736" s="78"/>
      <c r="U1736" s="78"/>
      <c r="V1736" s="152"/>
      <c r="W1736" s="78"/>
      <c r="X1736" s="78"/>
    </row>
    <row r="1737" spans="1:24" ht="42" customHeight="1">
      <c r="A1737" s="78"/>
      <c r="B1737" s="149"/>
      <c r="C1737" s="149"/>
      <c r="D1737" s="78"/>
      <c r="E1737" s="78"/>
      <c r="F1737" s="78"/>
      <c r="G1737" s="150"/>
      <c r="H1737" s="78"/>
      <c r="I1737" s="151"/>
      <c r="J1737" s="78"/>
      <c r="K1737" s="78"/>
      <c r="L1737" s="78"/>
      <c r="M1737" s="153"/>
      <c r="N1737" s="78"/>
      <c r="O1737" s="78"/>
      <c r="P1737" s="153"/>
      <c r="Q1737" s="78"/>
      <c r="R1737" s="78"/>
      <c r="S1737" s="153"/>
      <c r="T1737" s="78"/>
      <c r="U1737" s="78"/>
      <c r="V1737" s="152"/>
      <c r="W1737" s="78"/>
      <c r="X1737" s="78"/>
    </row>
    <row r="1738" spans="1:24" ht="42" customHeight="1">
      <c r="A1738" s="78"/>
      <c r="B1738" s="149"/>
      <c r="C1738" s="149"/>
      <c r="D1738" s="78"/>
      <c r="E1738" s="78"/>
      <c r="F1738" s="78"/>
      <c r="G1738" s="150"/>
      <c r="H1738" s="78"/>
      <c r="I1738" s="151"/>
      <c r="J1738" s="78"/>
      <c r="K1738" s="78"/>
      <c r="L1738" s="78"/>
      <c r="M1738" s="153"/>
      <c r="N1738" s="78"/>
      <c r="O1738" s="78"/>
      <c r="P1738" s="153"/>
      <c r="Q1738" s="78"/>
      <c r="R1738" s="78"/>
      <c r="S1738" s="153"/>
      <c r="T1738" s="78"/>
      <c r="U1738" s="78"/>
      <c r="V1738" s="152"/>
      <c r="W1738" s="78"/>
      <c r="X1738" s="78"/>
    </row>
    <row r="1739" spans="1:24" ht="42" customHeight="1">
      <c r="A1739" s="78"/>
      <c r="B1739" s="149"/>
      <c r="C1739" s="149"/>
      <c r="D1739" s="78"/>
      <c r="E1739" s="78"/>
      <c r="F1739" s="78"/>
      <c r="G1739" s="150"/>
      <c r="H1739" s="78"/>
      <c r="I1739" s="151"/>
      <c r="J1739" s="78"/>
      <c r="K1739" s="78"/>
      <c r="L1739" s="78"/>
      <c r="M1739" s="153"/>
      <c r="N1739" s="78"/>
      <c r="O1739" s="78"/>
      <c r="P1739" s="153"/>
      <c r="Q1739" s="78"/>
      <c r="R1739" s="78"/>
      <c r="S1739" s="153"/>
      <c r="T1739" s="78"/>
      <c r="U1739" s="78"/>
      <c r="V1739" s="152"/>
      <c r="W1739" s="78"/>
      <c r="X1739" s="78"/>
    </row>
    <row r="1740" spans="1:24" ht="42" customHeight="1">
      <c r="A1740" s="78"/>
      <c r="B1740" s="149"/>
      <c r="C1740" s="149"/>
      <c r="D1740" s="78"/>
      <c r="E1740" s="78"/>
      <c r="F1740" s="78"/>
      <c r="G1740" s="150"/>
      <c r="H1740" s="78"/>
      <c r="I1740" s="151"/>
      <c r="J1740" s="78"/>
      <c r="K1740" s="78"/>
      <c r="L1740" s="78"/>
      <c r="M1740" s="153"/>
      <c r="N1740" s="78"/>
      <c r="O1740" s="78"/>
      <c r="P1740" s="153"/>
      <c r="Q1740" s="78"/>
      <c r="R1740" s="78"/>
      <c r="S1740" s="153"/>
      <c r="T1740" s="78"/>
      <c r="U1740" s="78"/>
      <c r="V1740" s="152"/>
      <c r="W1740" s="78"/>
      <c r="X1740" s="78"/>
    </row>
    <row r="1741" spans="1:24" ht="42" customHeight="1">
      <c r="A1741" s="78"/>
      <c r="B1741" s="149"/>
      <c r="C1741" s="149"/>
      <c r="D1741" s="78"/>
      <c r="E1741" s="78"/>
      <c r="F1741" s="78"/>
      <c r="G1741" s="150"/>
      <c r="H1741" s="78"/>
      <c r="I1741" s="151"/>
      <c r="J1741" s="78"/>
      <c r="K1741" s="78"/>
      <c r="L1741" s="78"/>
      <c r="M1741" s="153"/>
      <c r="N1741" s="78"/>
      <c r="O1741" s="78"/>
      <c r="P1741" s="153"/>
      <c r="Q1741" s="78"/>
      <c r="R1741" s="78"/>
      <c r="S1741" s="153"/>
      <c r="T1741" s="78"/>
      <c r="U1741" s="78"/>
      <c r="V1741" s="152"/>
      <c r="W1741" s="78"/>
      <c r="X1741" s="78"/>
    </row>
    <row r="1742" spans="1:24" ht="42" customHeight="1">
      <c r="A1742" s="78"/>
      <c r="B1742" s="149"/>
      <c r="C1742" s="149"/>
      <c r="D1742" s="78"/>
      <c r="E1742" s="78"/>
      <c r="F1742" s="78"/>
      <c r="G1742" s="150"/>
      <c r="H1742" s="78"/>
      <c r="I1742" s="151"/>
      <c r="J1742" s="78"/>
      <c r="K1742" s="78"/>
      <c r="L1742" s="78"/>
      <c r="M1742" s="153"/>
      <c r="N1742" s="78"/>
      <c r="O1742" s="78"/>
      <c r="P1742" s="153"/>
      <c r="Q1742" s="78"/>
      <c r="R1742" s="78"/>
      <c r="S1742" s="153"/>
      <c r="T1742" s="78"/>
      <c r="U1742" s="78"/>
      <c r="V1742" s="152"/>
      <c r="W1742" s="78"/>
      <c r="X1742" s="78"/>
    </row>
    <row r="1743" spans="1:24" ht="42" customHeight="1">
      <c r="A1743" s="78"/>
      <c r="B1743" s="149"/>
      <c r="C1743" s="149"/>
      <c r="D1743" s="78"/>
      <c r="E1743" s="78"/>
      <c r="F1743" s="78"/>
      <c r="G1743" s="150"/>
      <c r="H1743" s="78"/>
      <c r="I1743" s="151"/>
      <c r="J1743" s="78"/>
      <c r="K1743" s="78"/>
      <c r="L1743" s="78"/>
      <c r="M1743" s="153"/>
      <c r="N1743" s="78"/>
      <c r="O1743" s="78"/>
      <c r="P1743" s="153"/>
      <c r="Q1743" s="78"/>
      <c r="R1743" s="78"/>
      <c r="S1743" s="153"/>
      <c r="T1743" s="78"/>
      <c r="U1743" s="78"/>
      <c r="V1743" s="152"/>
      <c r="W1743" s="78"/>
      <c r="X1743" s="78"/>
    </row>
    <row r="1744" spans="1:24" ht="42" customHeight="1">
      <c r="A1744" s="78"/>
      <c r="B1744" s="149"/>
      <c r="C1744" s="149"/>
      <c r="D1744" s="78"/>
      <c r="E1744" s="78"/>
      <c r="F1744" s="78"/>
      <c r="G1744" s="150"/>
      <c r="H1744" s="78"/>
      <c r="I1744" s="151"/>
      <c r="J1744" s="78"/>
      <c r="K1744" s="78"/>
      <c r="L1744" s="78"/>
      <c r="M1744" s="153"/>
      <c r="N1744" s="78"/>
      <c r="O1744" s="78"/>
      <c r="P1744" s="153"/>
      <c r="Q1744" s="78"/>
      <c r="R1744" s="78"/>
      <c r="S1744" s="153"/>
      <c r="T1744" s="78"/>
      <c r="U1744" s="78"/>
      <c r="V1744" s="152"/>
      <c r="W1744" s="78"/>
      <c r="X1744" s="78"/>
    </row>
    <row r="1745" spans="1:24" ht="42" customHeight="1">
      <c r="A1745" s="78"/>
      <c r="B1745" s="149"/>
      <c r="C1745" s="149"/>
      <c r="D1745" s="78"/>
      <c r="E1745" s="78"/>
      <c r="F1745" s="78"/>
      <c r="G1745" s="150"/>
      <c r="H1745" s="78"/>
      <c r="I1745" s="151"/>
      <c r="J1745" s="78"/>
      <c r="K1745" s="78"/>
      <c r="L1745" s="78"/>
      <c r="M1745" s="153"/>
      <c r="N1745" s="78"/>
      <c r="O1745" s="78"/>
      <c r="P1745" s="153"/>
      <c r="Q1745" s="78"/>
      <c r="R1745" s="78"/>
      <c r="S1745" s="153"/>
      <c r="T1745" s="78"/>
      <c r="U1745" s="78"/>
      <c r="V1745" s="152"/>
      <c r="W1745" s="78"/>
      <c r="X1745" s="78"/>
    </row>
    <row r="1746" spans="1:24" ht="42" customHeight="1">
      <c r="A1746" s="78"/>
      <c r="B1746" s="149"/>
      <c r="C1746" s="149"/>
      <c r="D1746" s="78"/>
      <c r="E1746" s="78"/>
      <c r="F1746" s="78"/>
      <c r="G1746" s="150"/>
      <c r="H1746" s="78"/>
      <c r="I1746" s="151"/>
      <c r="J1746" s="78"/>
      <c r="K1746" s="78"/>
      <c r="L1746" s="78"/>
      <c r="M1746" s="153"/>
      <c r="N1746" s="78"/>
      <c r="O1746" s="78"/>
      <c r="P1746" s="153"/>
      <c r="Q1746" s="78"/>
      <c r="R1746" s="78"/>
      <c r="S1746" s="153"/>
      <c r="T1746" s="78"/>
      <c r="U1746" s="78"/>
      <c r="V1746" s="152"/>
      <c r="W1746" s="78"/>
      <c r="X1746" s="78"/>
    </row>
    <row r="1747" spans="1:24" ht="42" customHeight="1">
      <c r="A1747" s="78"/>
      <c r="B1747" s="149"/>
      <c r="C1747" s="149"/>
      <c r="D1747" s="78"/>
      <c r="E1747" s="78"/>
      <c r="F1747" s="78"/>
      <c r="G1747" s="150"/>
      <c r="H1747" s="78"/>
      <c r="I1747" s="151"/>
      <c r="J1747" s="78"/>
      <c r="K1747" s="78"/>
      <c r="L1747" s="78"/>
      <c r="M1747" s="153"/>
      <c r="N1747" s="78"/>
      <c r="O1747" s="78"/>
      <c r="P1747" s="153"/>
      <c r="Q1747" s="78"/>
      <c r="R1747" s="78"/>
      <c r="S1747" s="153"/>
      <c r="T1747" s="78"/>
      <c r="U1747" s="78"/>
      <c r="V1747" s="152"/>
      <c r="W1747" s="78"/>
      <c r="X1747" s="78"/>
    </row>
    <row r="1748" spans="1:24" ht="42" customHeight="1">
      <c r="A1748" s="78"/>
      <c r="B1748" s="149"/>
      <c r="C1748" s="149"/>
      <c r="D1748" s="78"/>
      <c r="E1748" s="78"/>
      <c r="F1748" s="78"/>
      <c r="G1748" s="150"/>
      <c r="H1748" s="78"/>
      <c r="I1748" s="151"/>
      <c r="J1748" s="78"/>
      <c r="K1748" s="78"/>
      <c r="L1748" s="78"/>
      <c r="M1748" s="153"/>
      <c r="N1748" s="78"/>
      <c r="O1748" s="78"/>
      <c r="P1748" s="153"/>
      <c r="Q1748" s="78"/>
      <c r="R1748" s="78"/>
      <c r="S1748" s="153"/>
      <c r="T1748" s="78"/>
      <c r="U1748" s="78"/>
      <c r="V1748" s="152"/>
      <c r="W1748" s="78"/>
      <c r="X1748" s="78"/>
    </row>
    <row r="1749" spans="1:24" ht="42" customHeight="1">
      <c r="A1749" s="78"/>
      <c r="B1749" s="149"/>
      <c r="C1749" s="149"/>
      <c r="D1749" s="78"/>
      <c r="E1749" s="78"/>
      <c r="F1749" s="78"/>
      <c r="G1749" s="150"/>
      <c r="H1749" s="78"/>
      <c r="I1749" s="151"/>
      <c r="J1749" s="78"/>
      <c r="K1749" s="78"/>
      <c r="L1749" s="78"/>
      <c r="M1749" s="153"/>
      <c r="N1749" s="78"/>
      <c r="O1749" s="78"/>
      <c r="P1749" s="153"/>
      <c r="Q1749" s="78"/>
      <c r="R1749" s="78"/>
      <c r="S1749" s="153"/>
      <c r="T1749" s="78"/>
      <c r="U1749" s="78"/>
      <c r="V1749" s="152"/>
      <c r="W1749" s="78"/>
      <c r="X1749" s="78"/>
    </row>
    <row r="1750" spans="1:24" ht="42" customHeight="1">
      <c r="A1750" s="78"/>
      <c r="B1750" s="149"/>
      <c r="C1750" s="149"/>
      <c r="D1750" s="78"/>
      <c r="E1750" s="78"/>
      <c r="F1750" s="78"/>
      <c r="G1750" s="150"/>
      <c r="H1750" s="78"/>
      <c r="I1750" s="151"/>
      <c r="J1750" s="78"/>
      <c r="K1750" s="78"/>
      <c r="L1750" s="78"/>
      <c r="M1750" s="153"/>
      <c r="N1750" s="78"/>
      <c r="O1750" s="78"/>
      <c r="P1750" s="153"/>
      <c r="Q1750" s="78"/>
      <c r="R1750" s="78"/>
      <c r="S1750" s="153"/>
      <c r="T1750" s="78"/>
      <c r="U1750" s="78"/>
      <c r="V1750" s="152"/>
      <c r="W1750" s="78"/>
      <c r="X1750" s="78"/>
    </row>
    <row r="1751" spans="1:24" ht="42" customHeight="1">
      <c r="A1751" s="78"/>
      <c r="B1751" s="149"/>
      <c r="C1751" s="149"/>
      <c r="D1751" s="78"/>
      <c r="E1751" s="78"/>
      <c r="F1751" s="78"/>
      <c r="G1751" s="150"/>
      <c r="H1751" s="78"/>
      <c r="I1751" s="151"/>
      <c r="J1751" s="78"/>
      <c r="K1751" s="78"/>
      <c r="L1751" s="78"/>
      <c r="M1751" s="153"/>
      <c r="N1751" s="78"/>
      <c r="O1751" s="78"/>
      <c r="P1751" s="153"/>
      <c r="Q1751" s="78"/>
      <c r="R1751" s="78"/>
      <c r="S1751" s="153"/>
      <c r="T1751" s="78"/>
      <c r="U1751" s="78"/>
      <c r="V1751" s="152"/>
      <c r="W1751" s="78"/>
      <c r="X1751" s="78"/>
    </row>
    <row r="1752" spans="1:24" ht="42" customHeight="1">
      <c r="A1752" s="78"/>
      <c r="B1752" s="149"/>
      <c r="C1752" s="149"/>
      <c r="D1752" s="78"/>
      <c r="E1752" s="78"/>
      <c r="F1752" s="78"/>
      <c r="G1752" s="150"/>
      <c r="H1752" s="78"/>
      <c r="I1752" s="151"/>
      <c r="J1752" s="78"/>
      <c r="K1752" s="78"/>
      <c r="L1752" s="78"/>
      <c r="M1752" s="153"/>
      <c r="N1752" s="78"/>
      <c r="O1752" s="78"/>
      <c r="P1752" s="153"/>
      <c r="Q1752" s="78"/>
      <c r="R1752" s="78"/>
      <c r="S1752" s="153"/>
      <c r="T1752" s="78"/>
      <c r="U1752" s="78"/>
      <c r="V1752" s="152"/>
      <c r="W1752" s="78"/>
      <c r="X1752" s="78"/>
    </row>
    <row r="1753" spans="1:24" ht="42" customHeight="1">
      <c r="A1753" s="78"/>
      <c r="B1753" s="149"/>
      <c r="C1753" s="149"/>
      <c r="D1753" s="78"/>
      <c r="E1753" s="78"/>
      <c r="F1753" s="78"/>
      <c r="G1753" s="150"/>
      <c r="H1753" s="78"/>
      <c r="I1753" s="151"/>
      <c r="J1753" s="78"/>
      <c r="K1753" s="78"/>
      <c r="L1753" s="78"/>
      <c r="M1753" s="153"/>
      <c r="N1753" s="78"/>
      <c r="O1753" s="78"/>
      <c r="P1753" s="153"/>
      <c r="Q1753" s="78"/>
      <c r="R1753" s="78"/>
      <c r="S1753" s="153"/>
      <c r="T1753" s="78"/>
      <c r="U1753" s="78"/>
      <c r="V1753" s="152"/>
      <c r="W1753" s="78"/>
      <c r="X1753" s="78"/>
    </row>
    <row r="1754" spans="1:24" ht="42" customHeight="1">
      <c r="A1754" s="78"/>
      <c r="B1754" s="149"/>
      <c r="C1754" s="149"/>
      <c r="D1754" s="78"/>
      <c r="E1754" s="78"/>
      <c r="F1754" s="78"/>
      <c r="G1754" s="150"/>
      <c r="H1754" s="78"/>
      <c r="I1754" s="151"/>
      <c r="J1754" s="78"/>
      <c r="K1754" s="78"/>
      <c r="L1754" s="78"/>
      <c r="M1754" s="153"/>
      <c r="N1754" s="78"/>
      <c r="O1754" s="78"/>
      <c r="P1754" s="153"/>
      <c r="Q1754" s="78"/>
      <c r="R1754" s="78"/>
      <c r="S1754" s="153"/>
      <c r="T1754" s="78"/>
      <c r="U1754" s="78"/>
      <c r="V1754" s="152"/>
      <c r="W1754" s="78"/>
      <c r="X1754" s="78"/>
    </row>
    <row r="1755" spans="1:24" ht="42" customHeight="1">
      <c r="A1755" s="78"/>
      <c r="B1755" s="149"/>
      <c r="C1755" s="149"/>
      <c r="D1755" s="78"/>
      <c r="E1755" s="78"/>
      <c r="F1755" s="78"/>
      <c r="G1755" s="150"/>
      <c r="H1755" s="78"/>
      <c r="I1755" s="151"/>
      <c r="J1755" s="78"/>
      <c r="K1755" s="78"/>
      <c r="L1755" s="78"/>
      <c r="M1755" s="153"/>
      <c r="N1755" s="78"/>
      <c r="O1755" s="78"/>
      <c r="P1755" s="153"/>
      <c r="Q1755" s="78"/>
      <c r="R1755" s="78"/>
      <c r="S1755" s="153"/>
      <c r="T1755" s="78"/>
      <c r="U1755" s="78"/>
      <c r="V1755" s="152"/>
      <c r="W1755" s="78"/>
      <c r="X1755" s="78"/>
    </row>
    <row r="1756" spans="1:24" ht="42" customHeight="1">
      <c r="A1756" s="78"/>
      <c r="B1756" s="149"/>
      <c r="C1756" s="149"/>
      <c r="D1756" s="78"/>
      <c r="E1756" s="78"/>
      <c r="F1756" s="78"/>
      <c r="G1756" s="150"/>
      <c r="H1756" s="78"/>
      <c r="I1756" s="151"/>
      <c r="J1756" s="78"/>
      <c r="K1756" s="78"/>
      <c r="L1756" s="78"/>
      <c r="M1756" s="153"/>
      <c r="N1756" s="78"/>
      <c r="O1756" s="78"/>
      <c r="P1756" s="153"/>
      <c r="Q1756" s="78"/>
      <c r="R1756" s="78"/>
      <c r="S1756" s="153"/>
      <c r="T1756" s="78"/>
      <c r="U1756" s="78"/>
      <c r="V1756" s="152"/>
      <c r="W1756" s="78"/>
      <c r="X1756" s="78"/>
    </row>
    <row r="1757" spans="1:24" ht="42" customHeight="1">
      <c r="A1757" s="78"/>
      <c r="B1757" s="149"/>
      <c r="C1757" s="149"/>
      <c r="D1757" s="78"/>
      <c r="E1757" s="78"/>
      <c r="F1757" s="78"/>
      <c r="G1757" s="150"/>
      <c r="H1757" s="78"/>
      <c r="I1757" s="151"/>
      <c r="J1757" s="78"/>
      <c r="K1757" s="78"/>
      <c r="L1757" s="78"/>
      <c r="M1757" s="153"/>
      <c r="N1757" s="78"/>
      <c r="O1757" s="78"/>
      <c r="P1757" s="153"/>
      <c r="Q1757" s="78"/>
      <c r="R1757" s="78"/>
      <c r="S1757" s="153"/>
      <c r="T1757" s="78"/>
      <c r="U1757" s="78"/>
      <c r="V1757" s="152"/>
      <c r="W1757" s="78"/>
      <c r="X1757" s="78"/>
    </row>
    <row r="1758" spans="1:24" ht="42" customHeight="1">
      <c r="A1758" s="78"/>
      <c r="B1758" s="149"/>
      <c r="C1758" s="149"/>
      <c r="D1758" s="78"/>
      <c r="E1758" s="78"/>
      <c r="F1758" s="78"/>
      <c r="G1758" s="150"/>
      <c r="H1758" s="78"/>
      <c r="I1758" s="151"/>
      <c r="J1758" s="78"/>
      <c r="K1758" s="78"/>
      <c r="L1758" s="78"/>
      <c r="M1758" s="153"/>
      <c r="N1758" s="78"/>
      <c r="O1758" s="78"/>
      <c r="P1758" s="153"/>
      <c r="Q1758" s="78"/>
      <c r="R1758" s="78"/>
      <c r="S1758" s="153"/>
      <c r="T1758" s="78"/>
      <c r="U1758" s="78"/>
      <c r="V1758" s="152"/>
      <c r="W1758" s="78"/>
      <c r="X1758" s="78"/>
    </row>
    <row r="1759" spans="1:24" ht="42" customHeight="1">
      <c r="A1759" s="78"/>
      <c r="B1759" s="149"/>
      <c r="C1759" s="149"/>
      <c r="D1759" s="78"/>
      <c r="E1759" s="78"/>
      <c r="F1759" s="78"/>
      <c r="G1759" s="150"/>
      <c r="H1759" s="78"/>
      <c r="I1759" s="151"/>
      <c r="J1759" s="78"/>
      <c r="K1759" s="78"/>
      <c r="L1759" s="78"/>
      <c r="M1759" s="153"/>
      <c r="N1759" s="78"/>
      <c r="O1759" s="78"/>
      <c r="P1759" s="153"/>
      <c r="Q1759" s="78"/>
      <c r="R1759" s="78"/>
      <c r="S1759" s="153"/>
      <c r="T1759" s="78"/>
      <c r="U1759" s="78"/>
      <c r="V1759" s="152"/>
      <c r="W1759" s="78"/>
      <c r="X1759" s="78"/>
    </row>
    <row r="1760" spans="1:24" ht="42" customHeight="1">
      <c r="A1760" s="78"/>
      <c r="B1760" s="149"/>
      <c r="C1760" s="149"/>
      <c r="D1760" s="78"/>
      <c r="E1760" s="78"/>
      <c r="F1760" s="78"/>
      <c r="G1760" s="150"/>
      <c r="H1760" s="78"/>
      <c r="I1760" s="151"/>
      <c r="J1760" s="78"/>
      <c r="K1760" s="78"/>
      <c r="L1760" s="78"/>
      <c r="M1760" s="153"/>
      <c r="N1760" s="78"/>
      <c r="O1760" s="78"/>
      <c r="P1760" s="153"/>
      <c r="Q1760" s="78"/>
      <c r="R1760" s="78"/>
      <c r="S1760" s="153"/>
      <c r="T1760" s="78"/>
      <c r="U1760" s="78"/>
      <c r="V1760" s="152"/>
      <c r="W1760" s="78"/>
      <c r="X1760" s="78"/>
    </row>
    <row r="1761" spans="1:24" ht="42" customHeight="1">
      <c r="A1761" s="78"/>
      <c r="B1761" s="149"/>
      <c r="C1761" s="149"/>
      <c r="D1761" s="78"/>
      <c r="E1761" s="78"/>
      <c r="F1761" s="78"/>
      <c r="G1761" s="150"/>
      <c r="H1761" s="78"/>
      <c r="I1761" s="151"/>
      <c r="J1761" s="78"/>
      <c r="K1761" s="78"/>
      <c r="L1761" s="78"/>
      <c r="M1761" s="153"/>
      <c r="N1761" s="78"/>
      <c r="O1761" s="78"/>
      <c r="P1761" s="153"/>
      <c r="Q1761" s="78"/>
      <c r="R1761" s="78"/>
      <c r="S1761" s="153"/>
      <c r="T1761" s="78"/>
      <c r="U1761" s="78"/>
      <c r="V1761" s="152"/>
      <c r="W1761" s="78"/>
      <c r="X1761" s="78"/>
    </row>
    <row r="1762" spans="1:24" ht="42" customHeight="1">
      <c r="A1762" s="78"/>
      <c r="B1762" s="149"/>
      <c r="C1762" s="149"/>
      <c r="D1762" s="78"/>
      <c r="E1762" s="78"/>
      <c r="F1762" s="78"/>
      <c r="G1762" s="150"/>
      <c r="H1762" s="78"/>
      <c r="I1762" s="151"/>
      <c r="J1762" s="78"/>
      <c r="K1762" s="78"/>
      <c r="L1762" s="78"/>
      <c r="M1762" s="153"/>
      <c r="N1762" s="78"/>
      <c r="O1762" s="78"/>
      <c r="P1762" s="153"/>
      <c r="Q1762" s="78"/>
      <c r="R1762" s="78"/>
      <c r="S1762" s="153"/>
      <c r="T1762" s="78"/>
      <c r="U1762" s="78"/>
      <c r="V1762" s="152"/>
      <c r="W1762" s="78"/>
      <c r="X1762" s="78"/>
    </row>
    <row r="1763" spans="1:24" ht="42" customHeight="1">
      <c r="A1763" s="78"/>
      <c r="B1763" s="149"/>
      <c r="C1763" s="149"/>
      <c r="D1763" s="78"/>
      <c r="E1763" s="78"/>
      <c r="F1763" s="78"/>
      <c r="G1763" s="150"/>
      <c r="H1763" s="78"/>
      <c r="I1763" s="151"/>
      <c r="J1763" s="78"/>
      <c r="K1763" s="78"/>
      <c r="L1763" s="78"/>
      <c r="M1763" s="153"/>
      <c r="N1763" s="78"/>
      <c r="O1763" s="78"/>
      <c r="P1763" s="153"/>
      <c r="Q1763" s="78"/>
      <c r="R1763" s="78"/>
      <c r="S1763" s="153"/>
      <c r="T1763" s="78"/>
      <c r="U1763" s="78"/>
      <c r="V1763" s="152"/>
      <c r="W1763" s="78"/>
      <c r="X1763" s="78"/>
    </row>
    <row r="1764" spans="1:24" ht="42" customHeight="1">
      <c r="A1764" s="78"/>
      <c r="B1764" s="149"/>
      <c r="C1764" s="149"/>
      <c r="D1764" s="78"/>
      <c r="E1764" s="78"/>
      <c r="F1764" s="78"/>
      <c r="G1764" s="150"/>
      <c r="H1764" s="78"/>
      <c r="I1764" s="151"/>
      <c r="J1764" s="78"/>
      <c r="K1764" s="78"/>
      <c r="L1764" s="78"/>
      <c r="M1764" s="153"/>
      <c r="N1764" s="78"/>
      <c r="O1764" s="78"/>
      <c r="P1764" s="153"/>
      <c r="Q1764" s="78"/>
      <c r="R1764" s="78"/>
      <c r="S1764" s="153"/>
      <c r="T1764" s="78"/>
      <c r="U1764" s="78"/>
      <c r="V1764" s="152"/>
      <c r="W1764" s="78"/>
      <c r="X1764" s="78"/>
    </row>
    <row r="1765" spans="1:24" ht="42" customHeight="1">
      <c r="A1765" s="78"/>
      <c r="B1765" s="149"/>
      <c r="C1765" s="149"/>
      <c r="D1765" s="78"/>
      <c r="E1765" s="78"/>
      <c r="F1765" s="78"/>
      <c r="G1765" s="150"/>
      <c r="H1765" s="78"/>
      <c r="I1765" s="151"/>
      <c r="J1765" s="78"/>
      <c r="K1765" s="78"/>
      <c r="L1765" s="78"/>
      <c r="M1765" s="153"/>
      <c r="N1765" s="78"/>
      <c r="O1765" s="78"/>
      <c r="P1765" s="153"/>
      <c r="Q1765" s="78"/>
      <c r="R1765" s="78"/>
      <c r="S1765" s="153"/>
      <c r="T1765" s="78"/>
      <c r="U1765" s="78"/>
      <c r="V1765" s="152"/>
      <c r="W1765" s="78"/>
      <c r="X1765" s="78"/>
    </row>
    <row r="1766" spans="1:24" ht="42" customHeight="1">
      <c r="A1766" s="78"/>
      <c r="B1766" s="149"/>
      <c r="C1766" s="149"/>
      <c r="D1766" s="78"/>
      <c r="E1766" s="78"/>
      <c r="F1766" s="78"/>
      <c r="G1766" s="150"/>
      <c r="H1766" s="78"/>
      <c r="I1766" s="151"/>
      <c r="J1766" s="78"/>
      <c r="K1766" s="78"/>
      <c r="L1766" s="78"/>
      <c r="M1766" s="153"/>
      <c r="N1766" s="78"/>
      <c r="O1766" s="78"/>
      <c r="P1766" s="153"/>
      <c r="Q1766" s="78"/>
      <c r="R1766" s="78"/>
      <c r="S1766" s="153"/>
      <c r="T1766" s="78"/>
      <c r="U1766" s="78"/>
      <c r="V1766" s="152"/>
      <c r="W1766" s="78"/>
      <c r="X1766" s="78"/>
    </row>
    <row r="1767" spans="1:24" ht="42" customHeight="1">
      <c r="A1767" s="78"/>
      <c r="B1767" s="149"/>
      <c r="C1767" s="149"/>
      <c r="D1767" s="78"/>
      <c r="E1767" s="78"/>
      <c r="F1767" s="78"/>
      <c r="G1767" s="150"/>
      <c r="H1767" s="78"/>
      <c r="I1767" s="151"/>
      <c r="J1767" s="78"/>
      <c r="K1767" s="78"/>
      <c r="L1767" s="78"/>
      <c r="M1767" s="153"/>
      <c r="N1767" s="78"/>
      <c r="O1767" s="78"/>
      <c r="P1767" s="153"/>
      <c r="Q1767" s="78"/>
      <c r="R1767" s="78"/>
      <c r="S1767" s="153"/>
      <c r="T1767" s="78"/>
      <c r="U1767" s="78"/>
      <c r="V1767" s="152"/>
      <c r="W1767" s="78"/>
      <c r="X1767" s="78"/>
    </row>
    <row r="1768" spans="1:24" ht="42" customHeight="1">
      <c r="A1768" s="78"/>
      <c r="B1768" s="149"/>
      <c r="C1768" s="149"/>
      <c r="D1768" s="78"/>
      <c r="E1768" s="78"/>
      <c r="F1768" s="78"/>
      <c r="G1768" s="150"/>
      <c r="H1768" s="78"/>
      <c r="I1768" s="151"/>
      <c r="J1768" s="78"/>
      <c r="K1768" s="78"/>
      <c r="L1768" s="78"/>
      <c r="M1768" s="153"/>
      <c r="N1768" s="78"/>
      <c r="O1768" s="78"/>
      <c r="P1768" s="153"/>
      <c r="Q1768" s="78"/>
      <c r="R1768" s="78"/>
      <c r="S1768" s="153"/>
      <c r="T1768" s="78"/>
      <c r="U1768" s="78"/>
      <c r="V1768" s="152"/>
      <c r="W1768" s="78"/>
      <c r="X1768" s="78"/>
    </row>
    <row r="1769" spans="1:24" ht="42" customHeight="1">
      <c r="A1769" s="78"/>
      <c r="B1769" s="149"/>
      <c r="C1769" s="149"/>
      <c r="D1769" s="78"/>
      <c r="E1769" s="78"/>
      <c r="F1769" s="78"/>
      <c r="G1769" s="150"/>
      <c r="H1769" s="78"/>
      <c r="I1769" s="151"/>
      <c r="J1769" s="78"/>
      <c r="K1769" s="78"/>
      <c r="L1769" s="78"/>
      <c r="M1769" s="153"/>
      <c r="N1769" s="78"/>
      <c r="O1769" s="78"/>
      <c r="P1769" s="153"/>
      <c r="Q1769" s="78"/>
      <c r="R1769" s="78"/>
      <c r="S1769" s="153"/>
      <c r="T1769" s="78"/>
      <c r="U1769" s="78"/>
      <c r="V1769" s="152"/>
      <c r="W1769" s="78"/>
      <c r="X1769" s="78"/>
    </row>
    <row r="1770" spans="1:24" ht="42" customHeight="1">
      <c r="A1770" s="78"/>
      <c r="B1770" s="149"/>
      <c r="C1770" s="149"/>
      <c r="D1770" s="78"/>
      <c r="E1770" s="78"/>
      <c r="F1770" s="78"/>
      <c r="G1770" s="150"/>
      <c r="H1770" s="78"/>
      <c r="I1770" s="151"/>
      <c r="J1770" s="78"/>
      <c r="K1770" s="78"/>
      <c r="L1770" s="78"/>
      <c r="M1770" s="153"/>
      <c r="N1770" s="78"/>
      <c r="O1770" s="78"/>
      <c r="P1770" s="153"/>
      <c r="Q1770" s="78"/>
      <c r="R1770" s="78"/>
      <c r="S1770" s="153"/>
      <c r="T1770" s="78"/>
      <c r="U1770" s="78"/>
      <c r="V1770" s="152"/>
      <c r="W1770" s="78"/>
      <c r="X1770" s="78"/>
    </row>
    <row r="1771" spans="1:24" ht="42" customHeight="1">
      <c r="A1771" s="78"/>
      <c r="B1771" s="149"/>
      <c r="C1771" s="149"/>
      <c r="D1771" s="78"/>
      <c r="E1771" s="78"/>
      <c r="F1771" s="78"/>
      <c r="G1771" s="150"/>
      <c r="H1771" s="78"/>
      <c r="I1771" s="151"/>
      <c r="J1771" s="78"/>
      <c r="K1771" s="78"/>
      <c r="L1771" s="78"/>
      <c r="M1771" s="153"/>
      <c r="N1771" s="78"/>
      <c r="O1771" s="78"/>
      <c r="P1771" s="153"/>
      <c r="Q1771" s="78"/>
      <c r="R1771" s="78"/>
      <c r="S1771" s="153"/>
      <c r="T1771" s="78"/>
      <c r="U1771" s="78"/>
      <c r="V1771" s="152"/>
      <c r="W1771" s="78"/>
      <c r="X1771" s="78"/>
    </row>
    <row r="1772" spans="1:24" ht="42" customHeight="1">
      <c r="A1772" s="78"/>
      <c r="B1772" s="149"/>
      <c r="C1772" s="149"/>
      <c r="D1772" s="78"/>
      <c r="E1772" s="78"/>
      <c r="F1772" s="78"/>
      <c r="G1772" s="150"/>
      <c r="H1772" s="78"/>
      <c r="I1772" s="151"/>
      <c r="J1772" s="78"/>
      <c r="K1772" s="78"/>
      <c r="L1772" s="78"/>
      <c r="M1772" s="153"/>
      <c r="N1772" s="78"/>
      <c r="O1772" s="78"/>
      <c r="P1772" s="153"/>
      <c r="Q1772" s="78"/>
      <c r="R1772" s="78"/>
      <c r="S1772" s="153"/>
      <c r="T1772" s="78"/>
      <c r="U1772" s="78"/>
      <c r="V1772" s="152"/>
      <c r="W1772" s="78"/>
      <c r="X1772" s="78"/>
    </row>
    <row r="1773" spans="1:24" ht="42" customHeight="1">
      <c r="A1773" s="78"/>
      <c r="B1773" s="149"/>
      <c r="C1773" s="149"/>
      <c r="D1773" s="78"/>
      <c r="E1773" s="78"/>
      <c r="F1773" s="78"/>
      <c r="G1773" s="150"/>
      <c r="H1773" s="78"/>
      <c r="I1773" s="151"/>
      <c r="J1773" s="78"/>
      <c r="K1773" s="78"/>
      <c r="L1773" s="78"/>
      <c r="M1773" s="153"/>
      <c r="N1773" s="78"/>
      <c r="O1773" s="78"/>
      <c r="P1773" s="153"/>
      <c r="Q1773" s="78"/>
      <c r="R1773" s="78"/>
      <c r="S1773" s="153"/>
      <c r="T1773" s="78"/>
      <c r="U1773" s="78"/>
      <c r="V1773" s="152"/>
      <c r="W1773" s="78"/>
      <c r="X1773" s="78"/>
    </row>
    <row r="1774" spans="1:24" ht="42" customHeight="1">
      <c r="A1774" s="78"/>
      <c r="B1774" s="149"/>
      <c r="C1774" s="149"/>
      <c r="D1774" s="78"/>
      <c r="E1774" s="78"/>
      <c r="F1774" s="78"/>
      <c r="G1774" s="150"/>
      <c r="H1774" s="78"/>
      <c r="I1774" s="151"/>
      <c r="J1774" s="78"/>
      <c r="K1774" s="78"/>
      <c r="L1774" s="78"/>
      <c r="M1774" s="153"/>
      <c r="N1774" s="78"/>
      <c r="O1774" s="78"/>
      <c r="P1774" s="153"/>
      <c r="Q1774" s="78"/>
      <c r="R1774" s="78"/>
      <c r="S1774" s="153"/>
      <c r="T1774" s="78"/>
      <c r="U1774" s="78"/>
      <c r="V1774" s="152"/>
      <c r="W1774" s="78"/>
      <c r="X1774" s="78"/>
    </row>
    <row r="1775" spans="1:24" ht="42" customHeight="1">
      <c r="A1775" s="78"/>
      <c r="B1775" s="149"/>
      <c r="C1775" s="149"/>
      <c r="D1775" s="78"/>
      <c r="E1775" s="78"/>
      <c r="F1775" s="78"/>
      <c r="G1775" s="150"/>
      <c r="H1775" s="78"/>
      <c r="I1775" s="151"/>
      <c r="J1775" s="78"/>
      <c r="K1775" s="78"/>
      <c r="L1775" s="78"/>
      <c r="M1775" s="153"/>
      <c r="N1775" s="78"/>
      <c r="O1775" s="78"/>
      <c r="P1775" s="153"/>
      <c r="Q1775" s="78"/>
      <c r="R1775" s="78"/>
      <c r="S1775" s="153"/>
      <c r="T1775" s="78"/>
      <c r="U1775" s="78"/>
      <c r="V1775" s="152"/>
      <c r="W1775" s="78"/>
      <c r="X1775" s="78"/>
    </row>
    <row r="1776" spans="1:24" ht="42" customHeight="1">
      <c r="A1776" s="78"/>
      <c r="B1776" s="149"/>
      <c r="C1776" s="149"/>
      <c r="D1776" s="78"/>
      <c r="E1776" s="78"/>
      <c r="F1776" s="78"/>
      <c r="G1776" s="150"/>
      <c r="H1776" s="78"/>
      <c r="I1776" s="151"/>
      <c r="J1776" s="78"/>
      <c r="K1776" s="78"/>
      <c r="L1776" s="78"/>
      <c r="M1776" s="153"/>
      <c r="N1776" s="78"/>
      <c r="O1776" s="78"/>
      <c r="P1776" s="153"/>
      <c r="Q1776" s="78"/>
      <c r="R1776" s="78"/>
      <c r="S1776" s="153"/>
      <c r="T1776" s="78"/>
      <c r="U1776" s="78"/>
      <c r="V1776" s="152"/>
      <c r="W1776" s="78"/>
      <c r="X1776" s="78"/>
    </row>
    <row r="1777" spans="1:24" ht="42" customHeight="1">
      <c r="A1777" s="78"/>
      <c r="B1777" s="149"/>
      <c r="C1777" s="149"/>
      <c r="D1777" s="78"/>
      <c r="E1777" s="78"/>
      <c r="F1777" s="78"/>
      <c r="G1777" s="150"/>
      <c r="H1777" s="78"/>
      <c r="I1777" s="151"/>
      <c r="J1777" s="78"/>
      <c r="K1777" s="78"/>
      <c r="L1777" s="78"/>
      <c r="M1777" s="153"/>
      <c r="N1777" s="78"/>
      <c r="O1777" s="78"/>
      <c r="P1777" s="153"/>
      <c r="Q1777" s="78"/>
      <c r="R1777" s="78"/>
      <c r="S1777" s="153"/>
      <c r="T1777" s="78"/>
      <c r="U1777" s="78"/>
      <c r="V1777" s="152"/>
      <c r="W1777" s="78"/>
      <c r="X1777" s="78"/>
    </row>
    <row r="1778" spans="1:24" ht="42" customHeight="1">
      <c r="A1778" s="78"/>
      <c r="B1778" s="149"/>
      <c r="C1778" s="149"/>
      <c r="D1778" s="78"/>
      <c r="E1778" s="78"/>
      <c r="F1778" s="78"/>
      <c r="G1778" s="150"/>
      <c r="H1778" s="78"/>
      <c r="I1778" s="151"/>
      <c r="J1778" s="78"/>
      <c r="K1778" s="78"/>
      <c r="L1778" s="78"/>
      <c r="M1778" s="153"/>
      <c r="N1778" s="78"/>
      <c r="O1778" s="78"/>
      <c r="P1778" s="153"/>
      <c r="Q1778" s="78"/>
      <c r="R1778" s="78"/>
      <c r="S1778" s="153"/>
      <c r="T1778" s="78"/>
      <c r="U1778" s="78"/>
      <c r="V1778" s="152"/>
      <c r="W1778" s="78"/>
      <c r="X1778" s="78"/>
    </row>
    <row r="1779" spans="1:24" ht="42" customHeight="1">
      <c r="A1779" s="78"/>
      <c r="B1779" s="149"/>
      <c r="C1779" s="149"/>
      <c r="D1779" s="78"/>
      <c r="E1779" s="78"/>
      <c r="F1779" s="78"/>
      <c r="G1779" s="150"/>
      <c r="H1779" s="78"/>
      <c r="I1779" s="151"/>
      <c r="J1779" s="78"/>
      <c r="K1779" s="78"/>
      <c r="L1779" s="78"/>
      <c r="M1779" s="153"/>
      <c r="N1779" s="78"/>
      <c r="O1779" s="78"/>
      <c r="P1779" s="153"/>
      <c r="Q1779" s="78"/>
      <c r="R1779" s="78"/>
      <c r="S1779" s="153"/>
      <c r="T1779" s="78"/>
      <c r="U1779" s="78"/>
      <c r="V1779" s="152"/>
      <c r="W1779" s="78"/>
      <c r="X1779" s="78"/>
    </row>
    <row r="1780" spans="1:24" ht="42" customHeight="1">
      <c r="A1780" s="78"/>
      <c r="B1780" s="149"/>
      <c r="C1780" s="149"/>
      <c r="D1780" s="78"/>
      <c r="E1780" s="78"/>
      <c r="F1780" s="78"/>
      <c r="G1780" s="150"/>
      <c r="H1780" s="78"/>
      <c r="I1780" s="151"/>
      <c r="J1780" s="78"/>
      <c r="K1780" s="78"/>
      <c r="L1780" s="78"/>
      <c r="M1780" s="153"/>
      <c r="N1780" s="78"/>
      <c r="O1780" s="78"/>
      <c r="P1780" s="153"/>
      <c r="Q1780" s="78"/>
      <c r="R1780" s="78"/>
      <c r="S1780" s="153"/>
      <c r="T1780" s="78"/>
      <c r="U1780" s="78"/>
      <c r="V1780" s="152"/>
      <c r="W1780" s="78"/>
      <c r="X1780" s="78"/>
    </row>
    <row r="1781" spans="1:24" ht="42" customHeight="1">
      <c r="A1781" s="78"/>
      <c r="B1781" s="149"/>
      <c r="C1781" s="149"/>
      <c r="D1781" s="78"/>
      <c r="E1781" s="78"/>
      <c r="F1781" s="78"/>
      <c r="G1781" s="150"/>
      <c r="H1781" s="78"/>
      <c r="I1781" s="151"/>
      <c r="J1781" s="78"/>
      <c r="K1781" s="78"/>
      <c r="L1781" s="78"/>
      <c r="M1781" s="153"/>
      <c r="N1781" s="78"/>
      <c r="O1781" s="78"/>
      <c r="P1781" s="153"/>
      <c r="Q1781" s="78"/>
      <c r="R1781" s="78"/>
      <c r="S1781" s="153"/>
      <c r="T1781" s="78"/>
      <c r="U1781" s="78"/>
      <c r="V1781" s="152"/>
      <c r="W1781" s="78"/>
      <c r="X1781" s="78"/>
    </row>
    <row r="1782" spans="1:24" ht="42" customHeight="1">
      <c r="A1782" s="78"/>
      <c r="B1782" s="149"/>
      <c r="C1782" s="149"/>
      <c r="D1782" s="78"/>
      <c r="E1782" s="78"/>
      <c r="F1782" s="78"/>
      <c r="G1782" s="150"/>
      <c r="H1782" s="78"/>
      <c r="I1782" s="151"/>
      <c r="J1782" s="78"/>
      <c r="K1782" s="78"/>
      <c r="L1782" s="78"/>
      <c r="M1782" s="153"/>
      <c r="N1782" s="78"/>
      <c r="O1782" s="78"/>
      <c r="P1782" s="153"/>
      <c r="Q1782" s="78"/>
      <c r="R1782" s="78"/>
      <c r="S1782" s="153"/>
      <c r="T1782" s="78"/>
      <c r="U1782" s="78"/>
      <c r="V1782" s="152"/>
      <c r="W1782" s="78"/>
      <c r="X1782" s="78"/>
    </row>
    <row r="1783" spans="1:24" ht="42" customHeight="1">
      <c r="A1783" s="78"/>
      <c r="B1783" s="149"/>
      <c r="C1783" s="149"/>
      <c r="D1783" s="78"/>
      <c r="E1783" s="78"/>
      <c r="F1783" s="78"/>
      <c r="G1783" s="150"/>
      <c r="H1783" s="78"/>
      <c r="I1783" s="151"/>
      <c r="J1783" s="78"/>
      <c r="K1783" s="78"/>
      <c r="L1783" s="78"/>
      <c r="M1783" s="153"/>
      <c r="N1783" s="78"/>
      <c r="O1783" s="78"/>
      <c r="P1783" s="153"/>
      <c r="Q1783" s="78"/>
      <c r="R1783" s="78"/>
      <c r="S1783" s="153"/>
      <c r="T1783" s="78"/>
      <c r="U1783" s="78"/>
      <c r="V1783" s="152"/>
      <c r="W1783" s="78"/>
      <c r="X1783" s="78"/>
    </row>
    <row r="1784" spans="1:24" ht="42" customHeight="1">
      <c r="A1784" s="78"/>
      <c r="B1784" s="149"/>
      <c r="C1784" s="149"/>
      <c r="D1784" s="78"/>
      <c r="E1784" s="78"/>
      <c r="F1784" s="78"/>
      <c r="G1784" s="150"/>
      <c r="H1784" s="78"/>
      <c r="I1784" s="151"/>
      <c r="J1784" s="78"/>
      <c r="K1784" s="78"/>
      <c r="L1784" s="78"/>
      <c r="M1784" s="153"/>
      <c r="N1784" s="78"/>
      <c r="O1784" s="78"/>
      <c r="P1784" s="153"/>
      <c r="Q1784" s="78"/>
      <c r="R1784" s="78"/>
      <c r="S1784" s="153"/>
      <c r="T1784" s="78"/>
      <c r="U1784" s="78"/>
      <c r="V1784" s="152"/>
      <c r="W1784" s="78"/>
      <c r="X1784" s="78"/>
    </row>
    <row r="1785" spans="1:24" ht="42" customHeight="1">
      <c r="A1785" s="78"/>
      <c r="B1785" s="149"/>
      <c r="C1785" s="149"/>
      <c r="D1785" s="78"/>
      <c r="E1785" s="78"/>
      <c r="F1785" s="78"/>
      <c r="G1785" s="150"/>
      <c r="H1785" s="78"/>
      <c r="I1785" s="151"/>
      <c r="J1785" s="78"/>
      <c r="K1785" s="78"/>
      <c r="L1785" s="78"/>
      <c r="M1785" s="153"/>
      <c r="N1785" s="78"/>
      <c r="O1785" s="78"/>
      <c r="P1785" s="153"/>
      <c r="Q1785" s="78"/>
      <c r="R1785" s="78"/>
      <c r="S1785" s="153"/>
      <c r="T1785" s="78"/>
      <c r="U1785" s="78"/>
      <c r="V1785" s="152"/>
      <c r="W1785" s="78"/>
      <c r="X1785" s="78"/>
    </row>
    <row r="1786" spans="1:24" ht="42" customHeight="1">
      <c r="A1786" s="78"/>
      <c r="B1786" s="149"/>
      <c r="C1786" s="149"/>
      <c r="D1786" s="78"/>
      <c r="E1786" s="78"/>
      <c r="F1786" s="78"/>
      <c r="G1786" s="150"/>
      <c r="H1786" s="78"/>
      <c r="I1786" s="151"/>
      <c r="J1786" s="78"/>
      <c r="K1786" s="78"/>
      <c r="L1786" s="78"/>
      <c r="M1786" s="153"/>
      <c r="N1786" s="78"/>
      <c r="O1786" s="78"/>
      <c r="P1786" s="153"/>
      <c r="Q1786" s="78"/>
      <c r="R1786" s="78"/>
      <c r="S1786" s="153"/>
      <c r="T1786" s="78"/>
      <c r="U1786" s="78"/>
      <c r="V1786" s="152"/>
      <c r="W1786" s="78"/>
      <c r="X1786" s="78"/>
    </row>
    <row r="1787" spans="1:24" ht="42" customHeight="1">
      <c r="A1787" s="78"/>
      <c r="B1787" s="149"/>
      <c r="C1787" s="149"/>
      <c r="D1787" s="78"/>
      <c r="E1787" s="78"/>
      <c r="F1787" s="78"/>
      <c r="G1787" s="150"/>
      <c r="H1787" s="78"/>
      <c r="I1787" s="151"/>
      <c r="J1787" s="78"/>
      <c r="K1787" s="78"/>
      <c r="L1787" s="78"/>
      <c r="M1787" s="153"/>
      <c r="N1787" s="78"/>
      <c r="O1787" s="78"/>
      <c r="P1787" s="153"/>
      <c r="Q1787" s="78"/>
      <c r="R1787" s="78"/>
      <c r="S1787" s="153"/>
      <c r="T1787" s="78"/>
      <c r="U1787" s="78"/>
      <c r="V1787" s="152"/>
      <c r="W1787" s="78"/>
      <c r="X1787" s="78"/>
    </row>
    <row r="1788" spans="1:24" ht="42" customHeight="1">
      <c r="A1788" s="78"/>
      <c r="B1788" s="149"/>
      <c r="C1788" s="149"/>
      <c r="D1788" s="78"/>
      <c r="E1788" s="78"/>
      <c r="F1788" s="78"/>
      <c r="G1788" s="150"/>
      <c r="H1788" s="78"/>
      <c r="I1788" s="151"/>
      <c r="J1788" s="78"/>
      <c r="K1788" s="78"/>
      <c r="L1788" s="78"/>
      <c r="M1788" s="153"/>
      <c r="N1788" s="78"/>
      <c r="O1788" s="78"/>
      <c r="P1788" s="153"/>
      <c r="Q1788" s="78"/>
      <c r="R1788" s="78"/>
      <c r="S1788" s="153"/>
      <c r="T1788" s="78"/>
      <c r="U1788" s="78"/>
      <c r="V1788" s="152"/>
      <c r="W1788" s="78"/>
      <c r="X1788" s="78"/>
    </row>
    <row r="1789" spans="1:24" ht="42" customHeight="1">
      <c r="A1789" s="78"/>
      <c r="B1789" s="149"/>
      <c r="C1789" s="149"/>
      <c r="D1789" s="78"/>
      <c r="E1789" s="78"/>
      <c r="F1789" s="78"/>
      <c r="G1789" s="150"/>
      <c r="H1789" s="78"/>
      <c r="I1789" s="151"/>
      <c r="J1789" s="78"/>
      <c r="K1789" s="78"/>
      <c r="L1789" s="78"/>
      <c r="M1789" s="153"/>
      <c r="N1789" s="78"/>
      <c r="O1789" s="78"/>
      <c r="P1789" s="153"/>
      <c r="Q1789" s="78"/>
      <c r="R1789" s="78"/>
      <c r="S1789" s="153"/>
      <c r="T1789" s="78"/>
      <c r="U1789" s="78"/>
      <c r="V1789" s="152"/>
      <c r="W1789" s="78"/>
      <c r="X1789" s="78"/>
    </row>
    <row r="1790" spans="1:24" ht="42" customHeight="1">
      <c r="A1790" s="78"/>
      <c r="B1790" s="149"/>
      <c r="C1790" s="149"/>
      <c r="D1790" s="78"/>
      <c r="E1790" s="78"/>
      <c r="F1790" s="78"/>
      <c r="G1790" s="150"/>
      <c r="H1790" s="78"/>
      <c r="I1790" s="151"/>
      <c r="J1790" s="78"/>
      <c r="K1790" s="78"/>
      <c r="L1790" s="78"/>
      <c r="M1790" s="153"/>
      <c r="N1790" s="78"/>
      <c r="O1790" s="78"/>
      <c r="P1790" s="153"/>
      <c r="Q1790" s="78"/>
      <c r="R1790" s="78"/>
      <c r="S1790" s="153"/>
      <c r="T1790" s="78"/>
      <c r="U1790" s="78"/>
      <c r="V1790" s="152"/>
      <c r="W1790" s="78"/>
      <c r="X1790" s="78"/>
    </row>
    <row r="1791" spans="1:24" ht="42" customHeight="1">
      <c r="A1791" s="78"/>
      <c r="B1791" s="149"/>
      <c r="C1791" s="149"/>
      <c r="D1791" s="78"/>
      <c r="E1791" s="78"/>
      <c r="F1791" s="78"/>
      <c r="G1791" s="150"/>
      <c r="H1791" s="78"/>
      <c r="I1791" s="151"/>
      <c r="J1791" s="78"/>
      <c r="K1791" s="78"/>
      <c r="L1791" s="78"/>
      <c r="M1791" s="153"/>
      <c r="N1791" s="78"/>
      <c r="O1791" s="78"/>
      <c r="P1791" s="153"/>
      <c r="Q1791" s="78"/>
      <c r="R1791" s="78"/>
      <c r="S1791" s="153"/>
      <c r="T1791" s="78"/>
      <c r="U1791" s="78"/>
      <c r="V1791" s="152"/>
      <c r="W1791" s="78"/>
      <c r="X1791" s="78"/>
    </row>
    <row r="1792" spans="1:24" ht="42" customHeight="1">
      <c r="A1792" s="78"/>
      <c r="B1792" s="149"/>
      <c r="C1792" s="149"/>
      <c r="D1792" s="78"/>
      <c r="E1792" s="78"/>
      <c r="F1792" s="78"/>
      <c r="G1792" s="150"/>
      <c r="H1792" s="78"/>
      <c r="I1792" s="151"/>
      <c r="J1792" s="78"/>
      <c r="K1792" s="78"/>
      <c r="L1792" s="78"/>
      <c r="M1792" s="153"/>
      <c r="N1792" s="78"/>
      <c r="O1792" s="78"/>
      <c r="P1792" s="153"/>
      <c r="Q1792" s="78"/>
      <c r="R1792" s="78"/>
      <c r="S1792" s="153"/>
      <c r="T1792" s="78"/>
      <c r="U1792" s="78"/>
      <c r="V1792" s="152"/>
      <c r="W1792" s="78"/>
      <c r="X1792" s="78"/>
    </row>
    <row r="1793" spans="1:24" ht="42" customHeight="1">
      <c r="A1793" s="78"/>
      <c r="B1793" s="149"/>
      <c r="C1793" s="149"/>
      <c r="D1793" s="78"/>
      <c r="E1793" s="78"/>
      <c r="F1793" s="78"/>
      <c r="G1793" s="150"/>
      <c r="H1793" s="78"/>
      <c r="I1793" s="151"/>
      <c r="J1793" s="78"/>
      <c r="K1793" s="78"/>
      <c r="L1793" s="78"/>
      <c r="M1793" s="153"/>
      <c r="N1793" s="78"/>
      <c r="O1793" s="78"/>
      <c r="P1793" s="153"/>
      <c r="Q1793" s="78"/>
      <c r="R1793" s="78"/>
      <c r="S1793" s="153"/>
      <c r="T1793" s="78"/>
      <c r="U1793" s="78"/>
      <c r="V1793" s="152"/>
      <c r="W1793" s="78"/>
      <c r="X1793" s="78"/>
    </row>
    <row r="1794" spans="1:24" ht="42" customHeight="1">
      <c r="A1794" s="78"/>
      <c r="B1794" s="149"/>
      <c r="C1794" s="149"/>
      <c r="D1794" s="78"/>
      <c r="E1794" s="78"/>
      <c r="F1794" s="78"/>
      <c r="G1794" s="150"/>
      <c r="H1794" s="78"/>
      <c r="I1794" s="151"/>
      <c r="J1794" s="78"/>
      <c r="K1794" s="78"/>
      <c r="L1794" s="78"/>
      <c r="M1794" s="153"/>
      <c r="N1794" s="78"/>
      <c r="O1794" s="78"/>
      <c r="P1794" s="153"/>
      <c r="Q1794" s="78"/>
      <c r="R1794" s="78"/>
      <c r="S1794" s="153"/>
      <c r="T1794" s="78"/>
      <c r="U1794" s="78"/>
      <c r="V1794" s="152"/>
      <c r="W1794" s="78"/>
      <c r="X1794" s="78"/>
    </row>
    <row r="1795" spans="1:24" ht="42" customHeight="1">
      <c r="A1795" s="78"/>
      <c r="B1795" s="149"/>
      <c r="C1795" s="149"/>
      <c r="D1795" s="78"/>
      <c r="E1795" s="78"/>
      <c r="F1795" s="78"/>
      <c r="G1795" s="150"/>
      <c r="H1795" s="78"/>
      <c r="I1795" s="151"/>
      <c r="J1795" s="78"/>
      <c r="K1795" s="78"/>
      <c r="L1795" s="78"/>
      <c r="M1795" s="153"/>
      <c r="N1795" s="78"/>
      <c r="O1795" s="78"/>
      <c r="P1795" s="153"/>
      <c r="Q1795" s="78"/>
      <c r="R1795" s="78"/>
      <c r="S1795" s="153"/>
      <c r="T1795" s="78"/>
      <c r="U1795" s="78"/>
      <c r="V1795" s="152"/>
      <c r="W1795" s="78"/>
      <c r="X1795" s="78"/>
    </row>
    <row r="1796" spans="1:24" ht="42" customHeight="1">
      <c r="A1796" s="78"/>
      <c r="B1796" s="149"/>
      <c r="C1796" s="149"/>
      <c r="D1796" s="78"/>
      <c r="E1796" s="78"/>
      <c r="F1796" s="78"/>
      <c r="G1796" s="150"/>
      <c r="H1796" s="78"/>
      <c r="I1796" s="151"/>
      <c r="J1796" s="78"/>
      <c r="K1796" s="78"/>
      <c r="L1796" s="78"/>
      <c r="M1796" s="153"/>
      <c r="N1796" s="78"/>
      <c r="O1796" s="78"/>
      <c r="P1796" s="153"/>
      <c r="Q1796" s="78"/>
      <c r="R1796" s="78"/>
      <c r="S1796" s="153"/>
      <c r="T1796" s="78"/>
      <c r="U1796" s="78"/>
      <c r="V1796" s="152"/>
      <c r="W1796" s="78"/>
      <c r="X1796" s="78"/>
    </row>
    <row r="1797" spans="1:24" ht="42" customHeight="1">
      <c r="A1797" s="78"/>
      <c r="B1797" s="149"/>
      <c r="C1797" s="149"/>
      <c r="D1797" s="78"/>
      <c r="E1797" s="78"/>
      <c r="F1797" s="78"/>
      <c r="G1797" s="150"/>
      <c r="H1797" s="78"/>
      <c r="I1797" s="151"/>
      <c r="J1797" s="78"/>
      <c r="K1797" s="78"/>
      <c r="L1797" s="78"/>
      <c r="M1797" s="153"/>
      <c r="N1797" s="78"/>
      <c r="O1797" s="78"/>
      <c r="P1797" s="153"/>
      <c r="Q1797" s="78"/>
      <c r="R1797" s="78"/>
      <c r="S1797" s="153"/>
      <c r="T1797" s="78"/>
      <c r="U1797" s="78"/>
      <c r="V1797" s="152"/>
      <c r="W1797" s="78"/>
      <c r="X1797" s="78"/>
    </row>
    <row r="1798" spans="1:24" ht="42" customHeight="1">
      <c r="A1798" s="78"/>
      <c r="B1798" s="149"/>
      <c r="C1798" s="149"/>
      <c r="D1798" s="78"/>
      <c r="E1798" s="78"/>
      <c r="F1798" s="78"/>
      <c r="G1798" s="150"/>
      <c r="H1798" s="78"/>
      <c r="I1798" s="151"/>
      <c r="J1798" s="78"/>
      <c r="K1798" s="78"/>
      <c r="L1798" s="78"/>
      <c r="M1798" s="153"/>
      <c r="N1798" s="78"/>
      <c r="O1798" s="78"/>
      <c r="P1798" s="153"/>
      <c r="Q1798" s="78"/>
      <c r="R1798" s="78"/>
      <c r="S1798" s="153"/>
      <c r="T1798" s="78"/>
      <c r="U1798" s="78"/>
      <c r="V1798" s="152"/>
      <c r="W1798" s="78"/>
      <c r="X1798" s="78"/>
    </row>
    <row r="1799" spans="1:24" ht="42" customHeight="1">
      <c r="A1799" s="78"/>
      <c r="B1799" s="149"/>
      <c r="C1799" s="149"/>
      <c r="D1799" s="78"/>
      <c r="E1799" s="78"/>
      <c r="F1799" s="78"/>
      <c r="G1799" s="150"/>
      <c r="H1799" s="78"/>
      <c r="I1799" s="151"/>
      <c r="J1799" s="78"/>
      <c r="K1799" s="78"/>
      <c r="L1799" s="78"/>
      <c r="M1799" s="153"/>
      <c r="N1799" s="78"/>
      <c r="O1799" s="78"/>
      <c r="P1799" s="153"/>
      <c r="Q1799" s="78"/>
      <c r="R1799" s="78"/>
      <c r="S1799" s="153"/>
      <c r="T1799" s="78"/>
      <c r="U1799" s="78"/>
      <c r="V1799" s="152"/>
      <c r="W1799" s="78"/>
      <c r="X1799" s="78"/>
    </row>
    <row r="1800" spans="1:24" ht="42" customHeight="1">
      <c r="A1800" s="78"/>
      <c r="B1800" s="149"/>
      <c r="C1800" s="149"/>
      <c r="D1800" s="78"/>
      <c r="E1800" s="78"/>
      <c r="F1800" s="78"/>
      <c r="G1800" s="150"/>
      <c r="H1800" s="78"/>
      <c r="I1800" s="151"/>
      <c r="J1800" s="78"/>
      <c r="K1800" s="78"/>
      <c r="L1800" s="78"/>
      <c r="M1800" s="153"/>
      <c r="N1800" s="78"/>
      <c r="O1800" s="78"/>
      <c r="P1800" s="153"/>
      <c r="Q1800" s="78"/>
      <c r="R1800" s="78"/>
      <c r="S1800" s="153"/>
      <c r="T1800" s="78"/>
      <c r="U1800" s="78"/>
      <c r="V1800" s="152"/>
      <c r="W1800" s="78"/>
      <c r="X1800" s="78"/>
    </row>
    <row r="1801" spans="1:24" ht="42" customHeight="1">
      <c r="A1801" s="78"/>
      <c r="B1801" s="149"/>
      <c r="C1801" s="149"/>
      <c r="D1801" s="78"/>
      <c r="E1801" s="78"/>
      <c r="F1801" s="78"/>
      <c r="G1801" s="150"/>
      <c r="H1801" s="78"/>
      <c r="I1801" s="151"/>
      <c r="J1801" s="78"/>
      <c r="K1801" s="78"/>
      <c r="L1801" s="78"/>
      <c r="M1801" s="153"/>
      <c r="N1801" s="78"/>
      <c r="O1801" s="78"/>
      <c r="P1801" s="153"/>
      <c r="Q1801" s="78"/>
      <c r="R1801" s="78"/>
      <c r="S1801" s="153"/>
      <c r="T1801" s="78"/>
      <c r="U1801" s="78"/>
      <c r="V1801" s="152"/>
      <c r="W1801" s="78"/>
      <c r="X1801" s="78"/>
    </row>
    <row r="1802" spans="1:24" ht="42" customHeight="1">
      <c r="A1802" s="78"/>
      <c r="B1802" s="149"/>
      <c r="C1802" s="149"/>
      <c r="D1802" s="78"/>
      <c r="E1802" s="78"/>
      <c r="F1802" s="78"/>
      <c r="G1802" s="150"/>
      <c r="H1802" s="78"/>
      <c r="I1802" s="151"/>
      <c r="J1802" s="78"/>
      <c r="K1802" s="78"/>
      <c r="L1802" s="78"/>
      <c r="M1802" s="153"/>
      <c r="N1802" s="78"/>
      <c r="O1802" s="78"/>
      <c r="P1802" s="153"/>
      <c r="Q1802" s="78"/>
      <c r="R1802" s="78"/>
      <c r="S1802" s="153"/>
      <c r="T1802" s="78"/>
      <c r="U1802" s="78"/>
      <c r="V1802" s="152"/>
      <c r="W1802" s="78"/>
      <c r="X1802" s="78"/>
    </row>
    <row r="1803" spans="1:24" ht="42" customHeight="1">
      <c r="A1803" s="78"/>
      <c r="B1803" s="149"/>
      <c r="C1803" s="149"/>
      <c r="D1803" s="78"/>
      <c r="E1803" s="78"/>
      <c r="F1803" s="78"/>
      <c r="G1803" s="150"/>
      <c r="H1803" s="78"/>
      <c r="I1803" s="151"/>
      <c r="J1803" s="78"/>
      <c r="K1803" s="78"/>
      <c r="L1803" s="78"/>
      <c r="M1803" s="153"/>
      <c r="N1803" s="78"/>
      <c r="O1803" s="78"/>
      <c r="P1803" s="153"/>
      <c r="Q1803" s="78"/>
      <c r="R1803" s="78"/>
      <c r="S1803" s="153"/>
      <c r="T1803" s="78"/>
      <c r="U1803" s="78"/>
      <c r="V1803" s="152"/>
      <c r="W1803" s="78"/>
      <c r="X1803" s="78"/>
    </row>
    <row r="1804" spans="1:24" ht="42" customHeight="1">
      <c r="A1804" s="78"/>
      <c r="B1804" s="149"/>
      <c r="C1804" s="149"/>
      <c r="D1804" s="78"/>
      <c r="E1804" s="78"/>
      <c r="F1804" s="78"/>
      <c r="G1804" s="150"/>
      <c r="H1804" s="78"/>
      <c r="I1804" s="151"/>
      <c r="J1804" s="78"/>
      <c r="K1804" s="78"/>
      <c r="L1804" s="78"/>
      <c r="M1804" s="153"/>
      <c r="N1804" s="78"/>
      <c r="O1804" s="78"/>
      <c r="P1804" s="153"/>
      <c r="Q1804" s="78"/>
      <c r="R1804" s="78"/>
      <c r="S1804" s="153"/>
      <c r="T1804" s="78"/>
      <c r="U1804" s="78"/>
      <c r="V1804" s="152"/>
      <c r="W1804" s="78"/>
      <c r="X1804" s="78"/>
    </row>
    <row r="1805" spans="1:24" ht="42" customHeight="1">
      <c r="A1805" s="78"/>
      <c r="B1805" s="149"/>
      <c r="C1805" s="149"/>
      <c r="D1805" s="78"/>
      <c r="E1805" s="78"/>
      <c r="F1805" s="78"/>
      <c r="G1805" s="150"/>
      <c r="H1805" s="78"/>
      <c r="I1805" s="151"/>
      <c r="J1805" s="78"/>
      <c r="K1805" s="78"/>
      <c r="L1805" s="78"/>
      <c r="M1805" s="153"/>
      <c r="N1805" s="78"/>
      <c r="O1805" s="78"/>
      <c r="P1805" s="153"/>
      <c r="Q1805" s="78"/>
      <c r="R1805" s="78"/>
      <c r="S1805" s="153"/>
      <c r="T1805" s="78"/>
      <c r="U1805" s="78"/>
      <c r="V1805" s="152"/>
      <c r="W1805" s="78"/>
      <c r="X1805" s="78"/>
    </row>
    <row r="1806" spans="1:24" ht="42" customHeight="1">
      <c r="A1806" s="78"/>
      <c r="B1806" s="149"/>
      <c r="C1806" s="149"/>
      <c r="D1806" s="78"/>
      <c r="E1806" s="78"/>
      <c r="F1806" s="78"/>
      <c r="G1806" s="150"/>
      <c r="H1806" s="78"/>
      <c r="I1806" s="151"/>
      <c r="J1806" s="78"/>
      <c r="K1806" s="78"/>
      <c r="L1806" s="78"/>
      <c r="M1806" s="153"/>
      <c r="N1806" s="78"/>
      <c r="O1806" s="78"/>
      <c r="P1806" s="153"/>
      <c r="Q1806" s="78"/>
      <c r="R1806" s="78"/>
      <c r="S1806" s="153"/>
      <c r="T1806" s="78"/>
      <c r="U1806" s="78"/>
      <c r="V1806" s="152"/>
      <c r="W1806" s="78"/>
      <c r="X1806" s="78"/>
    </row>
    <row r="1807" spans="1:24" ht="42" customHeight="1">
      <c r="A1807" s="78"/>
      <c r="B1807" s="149"/>
      <c r="C1807" s="149"/>
      <c r="D1807" s="78"/>
      <c r="E1807" s="78"/>
      <c r="F1807" s="78"/>
      <c r="G1807" s="150"/>
      <c r="H1807" s="78"/>
      <c r="I1807" s="151"/>
      <c r="J1807" s="78"/>
      <c r="K1807" s="78"/>
      <c r="L1807" s="78"/>
      <c r="M1807" s="153"/>
      <c r="N1807" s="78"/>
      <c r="O1807" s="78"/>
      <c r="P1807" s="153"/>
      <c r="Q1807" s="78"/>
      <c r="R1807" s="78"/>
      <c r="S1807" s="153"/>
      <c r="T1807" s="78"/>
      <c r="U1807" s="78"/>
      <c r="V1807" s="152"/>
      <c r="W1807" s="78"/>
      <c r="X1807" s="78"/>
    </row>
    <row r="1808" spans="1:24" ht="42" customHeight="1">
      <c r="A1808" s="78"/>
      <c r="B1808" s="149"/>
      <c r="C1808" s="149"/>
      <c r="D1808" s="78"/>
      <c r="E1808" s="78"/>
      <c r="F1808" s="78"/>
      <c r="G1808" s="150"/>
      <c r="H1808" s="78"/>
      <c r="I1808" s="151"/>
      <c r="J1808" s="78"/>
      <c r="K1808" s="78"/>
      <c r="L1808" s="78"/>
      <c r="M1808" s="153"/>
      <c r="N1808" s="78"/>
      <c r="O1808" s="78"/>
      <c r="P1808" s="153"/>
      <c r="Q1808" s="78"/>
      <c r="R1808" s="78"/>
      <c r="S1808" s="153"/>
      <c r="T1808" s="78"/>
      <c r="U1808" s="78"/>
      <c r="V1808" s="152"/>
      <c r="W1808" s="78"/>
      <c r="X1808" s="78"/>
    </row>
    <row r="1809" spans="1:24" ht="42" customHeight="1">
      <c r="A1809" s="78"/>
      <c r="B1809" s="149"/>
      <c r="C1809" s="149"/>
      <c r="D1809" s="78"/>
      <c r="E1809" s="78"/>
      <c r="F1809" s="78"/>
      <c r="G1809" s="150"/>
      <c r="H1809" s="78"/>
      <c r="I1809" s="151"/>
      <c r="J1809" s="78"/>
      <c r="K1809" s="78"/>
      <c r="L1809" s="78"/>
      <c r="M1809" s="153"/>
      <c r="N1809" s="78"/>
      <c r="O1809" s="78"/>
      <c r="P1809" s="153"/>
      <c r="Q1809" s="78"/>
      <c r="R1809" s="78"/>
      <c r="S1809" s="153"/>
      <c r="T1809" s="78"/>
      <c r="U1809" s="78"/>
      <c r="V1809" s="152"/>
      <c r="W1809" s="78"/>
      <c r="X1809" s="78"/>
    </row>
    <row r="1810" spans="1:24" ht="42" customHeight="1">
      <c r="A1810" s="78"/>
      <c r="B1810" s="149"/>
      <c r="C1810" s="149"/>
      <c r="D1810" s="78"/>
      <c r="E1810" s="78"/>
      <c r="F1810" s="78"/>
      <c r="G1810" s="150"/>
      <c r="H1810" s="78"/>
      <c r="I1810" s="151"/>
      <c r="J1810" s="78"/>
      <c r="K1810" s="78"/>
      <c r="L1810" s="78"/>
      <c r="M1810" s="153"/>
      <c r="N1810" s="78"/>
      <c r="O1810" s="78"/>
      <c r="P1810" s="153"/>
      <c r="Q1810" s="78"/>
      <c r="R1810" s="78"/>
      <c r="S1810" s="153"/>
      <c r="T1810" s="78"/>
      <c r="U1810" s="78"/>
      <c r="V1810" s="152"/>
      <c r="W1810" s="78"/>
      <c r="X1810" s="78"/>
    </row>
    <row r="1811" spans="1:24" ht="42" customHeight="1">
      <c r="A1811" s="78"/>
      <c r="B1811" s="149"/>
      <c r="C1811" s="149"/>
      <c r="D1811" s="78"/>
      <c r="E1811" s="78"/>
      <c r="F1811" s="78"/>
      <c r="G1811" s="150"/>
      <c r="H1811" s="78"/>
      <c r="I1811" s="151"/>
      <c r="J1811" s="78"/>
      <c r="K1811" s="78"/>
      <c r="L1811" s="78"/>
      <c r="M1811" s="153"/>
      <c r="N1811" s="78"/>
      <c r="O1811" s="78"/>
      <c r="P1811" s="153"/>
      <c r="Q1811" s="78"/>
      <c r="R1811" s="78"/>
      <c r="S1811" s="153"/>
      <c r="T1811" s="78"/>
      <c r="U1811" s="78"/>
      <c r="V1811" s="152"/>
      <c r="W1811" s="78"/>
      <c r="X1811" s="78"/>
    </row>
    <row r="1812" spans="1:24" ht="42" customHeight="1">
      <c r="A1812" s="78"/>
      <c r="B1812" s="149"/>
      <c r="C1812" s="149"/>
      <c r="D1812" s="78"/>
      <c r="E1812" s="78"/>
      <c r="F1812" s="78"/>
      <c r="G1812" s="150"/>
      <c r="H1812" s="78"/>
      <c r="I1812" s="151"/>
      <c r="J1812" s="78"/>
      <c r="K1812" s="78"/>
      <c r="L1812" s="78"/>
      <c r="M1812" s="153"/>
      <c r="N1812" s="78"/>
      <c r="O1812" s="78"/>
      <c r="P1812" s="153"/>
      <c r="Q1812" s="78"/>
      <c r="R1812" s="78"/>
      <c r="S1812" s="153"/>
      <c r="T1812" s="78"/>
      <c r="U1812" s="78"/>
      <c r="V1812" s="152"/>
      <c r="W1812" s="78"/>
      <c r="X1812" s="78"/>
    </row>
    <row r="1813" spans="1:24" ht="42" customHeight="1">
      <c r="A1813" s="78"/>
      <c r="B1813" s="149"/>
      <c r="C1813" s="149"/>
      <c r="D1813" s="78"/>
      <c r="E1813" s="78"/>
      <c r="F1813" s="78"/>
      <c r="G1813" s="150"/>
      <c r="H1813" s="78"/>
      <c r="I1813" s="151"/>
      <c r="J1813" s="78"/>
      <c r="K1813" s="78"/>
      <c r="L1813" s="78"/>
      <c r="M1813" s="153"/>
      <c r="N1813" s="78"/>
      <c r="O1813" s="78"/>
      <c r="P1813" s="153"/>
      <c r="Q1813" s="78"/>
      <c r="R1813" s="78"/>
      <c r="S1813" s="153"/>
      <c r="T1813" s="78"/>
      <c r="U1813" s="78"/>
      <c r="V1813" s="152"/>
      <c r="W1813" s="78"/>
      <c r="X1813" s="78"/>
    </row>
    <row r="1814" spans="1:24" ht="42" customHeight="1">
      <c r="A1814" s="78"/>
      <c r="B1814" s="149"/>
      <c r="C1814" s="149"/>
      <c r="D1814" s="78"/>
      <c r="E1814" s="78"/>
      <c r="F1814" s="78"/>
      <c r="G1814" s="150"/>
      <c r="H1814" s="78"/>
      <c r="I1814" s="151"/>
      <c r="J1814" s="78"/>
      <c r="K1814" s="78"/>
      <c r="L1814" s="78"/>
      <c r="M1814" s="153"/>
      <c r="N1814" s="78"/>
      <c r="O1814" s="78"/>
      <c r="P1814" s="153"/>
      <c r="Q1814" s="78"/>
      <c r="R1814" s="78"/>
      <c r="S1814" s="153"/>
      <c r="T1814" s="78"/>
      <c r="U1814" s="78"/>
      <c r="V1814" s="152"/>
      <c r="W1814" s="78"/>
      <c r="X1814" s="78"/>
    </row>
    <row r="1815" spans="1:24" ht="42" customHeight="1">
      <c r="A1815" s="78"/>
      <c r="B1815" s="149"/>
      <c r="C1815" s="149"/>
      <c r="D1815" s="78"/>
      <c r="E1815" s="78"/>
      <c r="F1815" s="78"/>
      <c r="G1815" s="150"/>
      <c r="H1815" s="78"/>
      <c r="I1815" s="151"/>
      <c r="J1815" s="78"/>
      <c r="K1815" s="78"/>
      <c r="L1815" s="78"/>
      <c r="M1815" s="153"/>
      <c r="N1815" s="78"/>
      <c r="O1815" s="78"/>
      <c r="P1815" s="153"/>
      <c r="Q1815" s="78"/>
      <c r="R1815" s="78"/>
      <c r="S1815" s="153"/>
      <c r="T1815" s="78"/>
      <c r="U1815" s="78"/>
      <c r="V1815" s="152"/>
      <c r="W1815" s="78"/>
      <c r="X1815" s="78"/>
    </row>
    <row r="1816" spans="1:24" ht="42" customHeight="1">
      <c r="A1816" s="78"/>
      <c r="B1816" s="149"/>
      <c r="C1816" s="149"/>
      <c r="D1816" s="78"/>
      <c r="E1816" s="78"/>
      <c r="F1816" s="78"/>
      <c r="G1816" s="150"/>
      <c r="H1816" s="78"/>
      <c r="I1816" s="151"/>
      <c r="J1816" s="78"/>
      <c r="K1816" s="78"/>
      <c r="L1816" s="78"/>
      <c r="M1816" s="153"/>
      <c r="N1816" s="78"/>
      <c r="O1816" s="78"/>
      <c r="P1816" s="153"/>
      <c r="Q1816" s="78"/>
      <c r="R1816" s="78"/>
      <c r="S1816" s="153"/>
      <c r="T1816" s="78"/>
      <c r="U1816" s="78"/>
      <c r="V1816" s="152"/>
      <c r="W1816" s="78"/>
      <c r="X1816" s="78"/>
    </row>
    <row r="1817" spans="1:24" ht="42" customHeight="1">
      <c r="A1817" s="78"/>
      <c r="B1817" s="149"/>
      <c r="C1817" s="149"/>
      <c r="D1817" s="78"/>
      <c r="E1817" s="78"/>
      <c r="F1817" s="78"/>
      <c r="G1817" s="150"/>
      <c r="H1817" s="78"/>
      <c r="I1817" s="151"/>
      <c r="J1817" s="78"/>
      <c r="K1817" s="78"/>
      <c r="L1817" s="78"/>
      <c r="M1817" s="153"/>
      <c r="N1817" s="78"/>
      <c r="O1817" s="78"/>
      <c r="P1817" s="153"/>
      <c r="Q1817" s="78"/>
      <c r="R1817" s="78"/>
      <c r="S1817" s="153"/>
      <c r="T1817" s="78"/>
      <c r="U1817" s="78"/>
      <c r="V1817" s="152"/>
      <c r="W1817" s="78"/>
      <c r="X1817" s="78"/>
    </row>
    <row r="1818" spans="1:24" ht="42" customHeight="1">
      <c r="A1818" s="78"/>
      <c r="B1818" s="149"/>
      <c r="C1818" s="149"/>
      <c r="D1818" s="78"/>
      <c r="E1818" s="78"/>
      <c r="F1818" s="78"/>
      <c r="G1818" s="150"/>
      <c r="H1818" s="78"/>
      <c r="I1818" s="151"/>
      <c r="J1818" s="78"/>
      <c r="K1818" s="78"/>
      <c r="L1818" s="78"/>
      <c r="M1818" s="153"/>
      <c r="N1818" s="78"/>
      <c r="O1818" s="78"/>
      <c r="P1818" s="153"/>
      <c r="Q1818" s="78"/>
      <c r="R1818" s="78"/>
      <c r="S1818" s="153"/>
      <c r="T1818" s="78"/>
      <c r="U1818" s="78"/>
      <c r="V1818" s="152"/>
      <c r="W1818" s="78"/>
      <c r="X1818" s="78"/>
    </row>
    <row r="1819" spans="1:24" ht="42" customHeight="1">
      <c r="A1819" s="78"/>
      <c r="B1819" s="149"/>
      <c r="C1819" s="149"/>
      <c r="D1819" s="78"/>
      <c r="E1819" s="78"/>
      <c r="F1819" s="78"/>
      <c r="G1819" s="150"/>
      <c r="H1819" s="78"/>
      <c r="I1819" s="151"/>
      <c r="J1819" s="78"/>
      <c r="K1819" s="78"/>
      <c r="L1819" s="78"/>
      <c r="M1819" s="153"/>
      <c r="N1819" s="78"/>
      <c r="O1819" s="78"/>
      <c r="P1819" s="153"/>
      <c r="Q1819" s="78"/>
      <c r="R1819" s="78"/>
      <c r="S1819" s="153"/>
      <c r="T1819" s="78"/>
      <c r="U1819" s="78"/>
      <c r="V1819" s="152"/>
      <c r="W1819" s="78"/>
      <c r="X1819" s="78"/>
    </row>
    <row r="1820" spans="1:24" ht="42" customHeight="1">
      <c r="A1820" s="78"/>
      <c r="B1820" s="149"/>
      <c r="C1820" s="149"/>
      <c r="D1820" s="78"/>
      <c r="E1820" s="78"/>
      <c r="F1820" s="78"/>
      <c r="G1820" s="150"/>
      <c r="H1820" s="78"/>
      <c r="I1820" s="151"/>
      <c r="J1820" s="78"/>
      <c r="K1820" s="78"/>
      <c r="L1820" s="78"/>
      <c r="M1820" s="153"/>
      <c r="N1820" s="78"/>
      <c r="O1820" s="78"/>
      <c r="P1820" s="153"/>
      <c r="Q1820" s="78"/>
      <c r="R1820" s="78"/>
      <c r="S1820" s="153"/>
      <c r="T1820" s="78"/>
      <c r="U1820" s="78"/>
      <c r="V1820" s="152"/>
      <c r="W1820" s="78"/>
      <c r="X1820" s="78"/>
    </row>
    <row r="1821" spans="1:24" ht="42" customHeight="1">
      <c r="A1821" s="78"/>
      <c r="B1821" s="149"/>
      <c r="C1821" s="149"/>
      <c r="D1821" s="78"/>
      <c r="E1821" s="78"/>
      <c r="F1821" s="78"/>
      <c r="G1821" s="150"/>
      <c r="H1821" s="78"/>
      <c r="I1821" s="151"/>
      <c r="J1821" s="78"/>
      <c r="K1821" s="78"/>
      <c r="L1821" s="78"/>
      <c r="M1821" s="153"/>
      <c r="N1821" s="78"/>
      <c r="O1821" s="78"/>
      <c r="P1821" s="153"/>
      <c r="Q1821" s="78"/>
      <c r="R1821" s="78"/>
      <c r="S1821" s="153"/>
      <c r="T1821" s="78"/>
      <c r="U1821" s="78"/>
      <c r="V1821" s="152"/>
      <c r="W1821" s="78"/>
      <c r="X1821" s="78"/>
    </row>
    <row r="1822" spans="1:24" ht="42" customHeight="1">
      <c r="A1822" s="78"/>
      <c r="B1822" s="149"/>
      <c r="C1822" s="149"/>
      <c r="D1822" s="78"/>
      <c r="E1822" s="78"/>
      <c r="F1822" s="78"/>
      <c r="G1822" s="150"/>
      <c r="H1822" s="78"/>
      <c r="I1822" s="151"/>
      <c r="J1822" s="78"/>
      <c r="K1822" s="78"/>
      <c r="L1822" s="78"/>
      <c r="M1822" s="153"/>
      <c r="N1822" s="78"/>
      <c r="O1822" s="78"/>
      <c r="P1822" s="153"/>
      <c r="Q1822" s="78"/>
      <c r="R1822" s="78"/>
      <c r="S1822" s="153"/>
      <c r="T1822" s="78"/>
      <c r="U1822" s="78"/>
      <c r="V1822" s="152"/>
      <c r="W1822" s="78"/>
      <c r="X1822" s="78"/>
    </row>
    <row r="1823" spans="1:24" ht="42" customHeight="1">
      <c r="A1823" s="78"/>
      <c r="B1823" s="149"/>
      <c r="C1823" s="149"/>
      <c r="D1823" s="78"/>
      <c r="E1823" s="78"/>
      <c r="F1823" s="78"/>
      <c r="G1823" s="150"/>
      <c r="H1823" s="78"/>
      <c r="I1823" s="151"/>
      <c r="J1823" s="78"/>
      <c r="K1823" s="78"/>
      <c r="L1823" s="78"/>
      <c r="M1823" s="153"/>
      <c r="N1823" s="78"/>
      <c r="O1823" s="78"/>
      <c r="P1823" s="153"/>
      <c r="Q1823" s="78"/>
      <c r="R1823" s="78"/>
      <c r="S1823" s="153"/>
      <c r="T1823" s="78"/>
      <c r="U1823" s="78"/>
      <c r="V1823" s="152"/>
      <c r="W1823" s="78"/>
      <c r="X1823" s="78"/>
    </row>
    <row r="1824" spans="1:24" ht="42" customHeight="1">
      <c r="A1824" s="78"/>
      <c r="B1824" s="149"/>
      <c r="C1824" s="149"/>
      <c r="D1824" s="78"/>
      <c r="E1824" s="78"/>
      <c r="F1824" s="78"/>
      <c r="G1824" s="150"/>
      <c r="H1824" s="78"/>
      <c r="I1824" s="151"/>
      <c r="J1824" s="78"/>
      <c r="K1824" s="78"/>
      <c r="L1824" s="78"/>
      <c r="M1824" s="153"/>
      <c r="N1824" s="78"/>
      <c r="O1824" s="78"/>
      <c r="P1824" s="153"/>
      <c r="Q1824" s="78"/>
      <c r="R1824" s="78"/>
      <c r="S1824" s="153"/>
      <c r="T1824" s="78"/>
      <c r="U1824" s="78"/>
      <c r="V1824" s="152"/>
      <c r="W1824" s="78"/>
      <c r="X1824" s="78"/>
    </row>
    <row r="1825" spans="1:24" ht="42" customHeight="1">
      <c r="A1825" s="78"/>
      <c r="B1825" s="149"/>
      <c r="C1825" s="149"/>
      <c r="D1825" s="78"/>
      <c r="E1825" s="78"/>
      <c r="F1825" s="78"/>
      <c r="G1825" s="150"/>
      <c r="H1825" s="78"/>
      <c r="I1825" s="151"/>
      <c r="J1825" s="78"/>
      <c r="K1825" s="78"/>
      <c r="L1825" s="78"/>
      <c r="M1825" s="153"/>
      <c r="N1825" s="78"/>
      <c r="O1825" s="78"/>
      <c r="P1825" s="153"/>
      <c r="Q1825" s="78"/>
      <c r="R1825" s="78"/>
      <c r="S1825" s="153"/>
      <c r="T1825" s="78"/>
      <c r="U1825" s="78"/>
      <c r="V1825" s="152"/>
      <c r="W1825" s="78"/>
      <c r="X1825" s="78"/>
    </row>
    <row r="1826" spans="1:24" ht="42" customHeight="1">
      <c r="A1826" s="78"/>
      <c r="B1826" s="149"/>
      <c r="C1826" s="149"/>
      <c r="D1826" s="78"/>
      <c r="E1826" s="78"/>
      <c r="F1826" s="78"/>
      <c r="G1826" s="150"/>
      <c r="H1826" s="78"/>
      <c r="I1826" s="151"/>
      <c r="J1826" s="78"/>
      <c r="K1826" s="78"/>
      <c r="L1826" s="78"/>
      <c r="M1826" s="153"/>
      <c r="N1826" s="78"/>
      <c r="O1826" s="78"/>
      <c r="P1826" s="153"/>
      <c r="Q1826" s="78"/>
      <c r="R1826" s="78"/>
      <c r="S1826" s="153"/>
      <c r="T1826" s="78"/>
      <c r="U1826" s="78"/>
      <c r="V1826" s="152"/>
      <c r="W1826" s="78"/>
      <c r="X1826" s="78"/>
    </row>
    <row r="1827" spans="1:24" ht="42" customHeight="1">
      <c r="A1827" s="78"/>
      <c r="B1827" s="149"/>
      <c r="C1827" s="149"/>
      <c r="D1827" s="78"/>
      <c r="E1827" s="78"/>
      <c r="F1827" s="78"/>
      <c r="G1827" s="150"/>
      <c r="H1827" s="78"/>
      <c r="I1827" s="151"/>
      <c r="J1827" s="78"/>
      <c r="K1827" s="78"/>
      <c r="L1827" s="78"/>
      <c r="M1827" s="153"/>
      <c r="N1827" s="78"/>
      <c r="O1827" s="78"/>
      <c r="P1827" s="153"/>
      <c r="Q1827" s="78"/>
      <c r="R1827" s="78"/>
      <c r="S1827" s="153"/>
      <c r="T1827" s="78"/>
      <c r="U1827" s="78"/>
      <c r="V1827" s="152"/>
      <c r="W1827" s="78"/>
      <c r="X1827" s="78"/>
    </row>
    <row r="1828" spans="1:24" ht="42" customHeight="1">
      <c r="A1828" s="78"/>
      <c r="B1828" s="149"/>
      <c r="C1828" s="149"/>
      <c r="D1828" s="78"/>
      <c r="E1828" s="78"/>
      <c r="F1828" s="78"/>
      <c r="G1828" s="150"/>
      <c r="H1828" s="78"/>
      <c r="I1828" s="151"/>
      <c r="J1828" s="78"/>
      <c r="K1828" s="78"/>
      <c r="L1828" s="78"/>
      <c r="M1828" s="153"/>
      <c r="N1828" s="78"/>
      <c r="O1828" s="78"/>
      <c r="P1828" s="153"/>
      <c r="Q1828" s="78"/>
      <c r="R1828" s="78"/>
      <c r="S1828" s="153"/>
      <c r="T1828" s="78"/>
      <c r="U1828" s="78"/>
      <c r="V1828" s="152"/>
      <c r="W1828" s="78"/>
      <c r="X1828" s="78"/>
    </row>
    <row r="1829" spans="1:24" ht="42" customHeight="1">
      <c r="A1829" s="78"/>
      <c r="B1829" s="149"/>
      <c r="C1829" s="149"/>
      <c r="D1829" s="78"/>
      <c r="E1829" s="78"/>
      <c r="F1829" s="78"/>
      <c r="G1829" s="150"/>
      <c r="H1829" s="78"/>
      <c r="I1829" s="151"/>
      <c r="J1829" s="78"/>
      <c r="K1829" s="78"/>
      <c r="L1829" s="78"/>
      <c r="M1829" s="153"/>
      <c r="N1829" s="78"/>
      <c r="O1829" s="78"/>
      <c r="P1829" s="153"/>
      <c r="Q1829" s="78"/>
      <c r="R1829" s="78"/>
      <c r="S1829" s="153"/>
      <c r="T1829" s="78"/>
      <c r="U1829" s="78"/>
      <c r="V1829" s="152"/>
      <c r="W1829" s="78"/>
      <c r="X1829" s="78"/>
    </row>
    <row r="1830" spans="1:24" ht="42" customHeight="1">
      <c r="A1830" s="78"/>
      <c r="B1830" s="149"/>
      <c r="C1830" s="149"/>
      <c r="D1830" s="78"/>
      <c r="E1830" s="78"/>
      <c r="F1830" s="78"/>
      <c r="G1830" s="150"/>
      <c r="H1830" s="78"/>
      <c r="I1830" s="151"/>
      <c r="J1830" s="78"/>
      <c r="K1830" s="78"/>
      <c r="L1830" s="78"/>
      <c r="M1830" s="153"/>
      <c r="N1830" s="78"/>
      <c r="O1830" s="78"/>
      <c r="P1830" s="153"/>
      <c r="Q1830" s="78"/>
      <c r="R1830" s="78"/>
      <c r="S1830" s="153"/>
      <c r="T1830" s="78"/>
      <c r="U1830" s="78"/>
      <c r="V1830" s="152"/>
      <c r="W1830" s="78"/>
      <c r="X1830" s="78"/>
    </row>
    <row r="1831" spans="1:24" ht="42" customHeight="1">
      <c r="A1831" s="78"/>
      <c r="B1831" s="149"/>
      <c r="C1831" s="149"/>
      <c r="D1831" s="78"/>
      <c r="E1831" s="78"/>
      <c r="F1831" s="78"/>
      <c r="G1831" s="150"/>
      <c r="H1831" s="78"/>
      <c r="I1831" s="151"/>
      <c r="J1831" s="78"/>
      <c r="K1831" s="78"/>
      <c r="L1831" s="78"/>
      <c r="M1831" s="153"/>
      <c r="N1831" s="78"/>
      <c r="O1831" s="78"/>
      <c r="P1831" s="153"/>
      <c r="Q1831" s="78"/>
      <c r="R1831" s="78"/>
      <c r="S1831" s="153"/>
      <c r="T1831" s="78"/>
      <c r="U1831" s="78"/>
      <c r="V1831" s="152"/>
      <c r="W1831" s="78"/>
      <c r="X1831" s="78"/>
    </row>
    <row r="1832" spans="1:24" ht="42" customHeight="1">
      <c r="A1832" s="78"/>
      <c r="B1832" s="149"/>
      <c r="C1832" s="149"/>
      <c r="D1832" s="78"/>
      <c r="E1832" s="78"/>
      <c r="F1832" s="78"/>
      <c r="G1832" s="150"/>
      <c r="H1832" s="78"/>
      <c r="I1832" s="151"/>
      <c r="J1832" s="78"/>
      <c r="K1832" s="78"/>
      <c r="L1832" s="78"/>
      <c r="M1832" s="153"/>
      <c r="N1832" s="78"/>
      <c r="O1832" s="78"/>
      <c r="P1832" s="153"/>
      <c r="Q1832" s="78"/>
      <c r="R1832" s="78"/>
      <c r="S1832" s="153"/>
      <c r="T1832" s="78"/>
      <c r="U1832" s="78"/>
      <c r="V1832" s="152"/>
      <c r="W1832" s="78"/>
      <c r="X1832" s="78"/>
    </row>
    <row r="1833" spans="1:24" ht="42" customHeight="1">
      <c r="A1833" s="78"/>
      <c r="B1833" s="149"/>
      <c r="C1833" s="149"/>
      <c r="D1833" s="78"/>
      <c r="E1833" s="78"/>
      <c r="F1833" s="78"/>
      <c r="G1833" s="150"/>
      <c r="H1833" s="78"/>
      <c r="I1833" s="151"/>
      <c r="J1833" s="78"/>
      <c r="K1833" s="78"/>
      <c r="L1833" s="78"/>
      <c r="M1833" s="153"/>
      <c r="N1833" s="78"/>
      <c r="O1833" s="78"/>
      <c r="P1833" s="153"/>
      <c r="Q1833" s="78"/>
      <c r="R1833" s="78"/>
      <c r="S1833" s="153"/>
      <c r="T1833" s="78"/>
      <c r="U1833" s="78"/>
      <c r="V1833" s="152"/>
      <c r="W1833" s="78"/>
      <c r="X1833" s="78"/>
    </row>
    <row r="1834" spans="1:24" ht="42" customHeight="1">
      <c r="A1834" s="78"/>
      <c r="B1834" s="149"/>
      <c r="C1834" s="149"/>
      <c r="D1834" s="78"/>
      <c r="E1834" s="78"/>
      <c r="F1834" s="78"/>
      <c r="G1834" s="150"/>
      <c r="H1834" s="78"/>
      <c r="I1834" s="151"/>
      <c r="J1834" s="78"/>
      <c r="K1834" s="78"/>
      <c r="L1834" s="78"/>
      <c r="M1834" s="153"/>
      <c r="N1834" s="78"/>
      <c r="O1834" s="78"/>
      <c r="P1834" s="153"/>
      <c r="Q1834" s="78"/>
      <c r="R1834" s="78"/>
      <c r="S1834" s="153"/>
      <c r="T1834" s="78"/>
      <c r="U1834" s="78"/>
      <c r="V1834" s="152"/>
      <c r="W1834" s="78"/>
      <c r="X1834" s="78"/>
    </row>
    <row r="1835" spans="1:24" ht="42" customHeight="1">
      <c r="A1835" s="78"/>
      <c r="B1835" s="149"/>
      <c r="C1835" s="149"/>
      <c r="D1835" s="78"/>
      <c r="E1835" s="78"/>
      <c r="F1835" s="78"/>
      <c r="G1835" s="150"/>
      <c r="H1835" s="78"/>
      <c r="I1835" s="151"/>
      <c r="J1835" s="78"/>
      <c r="K1835" s="78"/>
      <c r="L1835" s="78"/>
      <c r="M1835" s="153"/>
      <c r="N1835" s="78"/>
      <c r="O1835" s="78"/>
      <c r="P1835" s="153"/>
      <c r="Q1835" s="78"/>
      <c r="R1835" s="78"/>
      <c r="S1835" s="153"/>
      <c r="T1835" s="78"/>
      <c r="U1835" s="78"/>
      <c r="V1835" s="152"/>
      <c r="W1835" s="78"/>
      <c r="X1835" s="78"/>
    </row>
    <row r="1836" spans="1:24" ht="42" customHeight="1">
      <c r="A1836" s="78"/>
      <c r="B1836" s="149"/>
      <c r="C1836" s="149"/>
      <c r="D1836" s="78"/>
      <c r="E1836" s="78"/>
      <c r="F1836" s="78"/>
      <c r="G1836" s="150"/>
      <c r="H1836" s="78"/>
      <c r="I1836" s="151"/>
      <c r="J1836" s="78"/>
      <c r="K1836" s="78"/>
      <c r="L1836" s="78"/>
      <c r="M1836" s="153"/>
      <c r="N1836" s="78"/>
      <c r="O1836" s="78"/>
      <c r="P1836" s="153"/>
      <c r="Q1836" s="78"/>
      <c r="R1836" s="78"/>
      <c r="S1836" s="153"/>
      <c r="T1836" s="78"/>
      <c r="U1836" s="78"/>
      <c r="V1836" s="152"/>
      <c r="W1836" s="78"/>
      <c r="X1836" s="78"/>
    </row>
    <row r="1837" spans="1:24" ht="42" customHeight="1">
      <c r="A1837" s="78"/>
      <c r="B1837" s="149"/>
      <c r="C1837" s="149"/>
      <c r="D1837" s="78"/>
      <c r="E1837" s="78"/>
      <c r="F1837" s="78"/>
      <c r="G1837" s="150"/>
      <c r="H1837" s="78"/>
      <c r="I1837" s="151"/>
      <c r="J1837" s="78"/>
      <c r="K1837" s="78"/>
      <c r="L1837" s="78"/>
      <c r="M1837" s="153"/>
      <c r="N1837" s="78"/>
      <c r="O1837" s="78"/>
      <c r="P1837" s="153"/>
      <c r="Q1837" s="78"/>
      <c r="R1837" s="78"/>
      <c r="S1837" s="153"/>
      <c r="T1837" s="78"/>
      <c r="U1837" s="78"/>
      <c r="V1837" s="152"/>
      <c r="W1837" s="78"/>
      <c r="X1837" s="78"/>
    </row>
    <row r="1838" spans="1:24" ht="42" customHeight="1">
      <c r="A1838" s="78"/>
      <c r="B1838" s="149"/>
      <c r="C1838" s="149"/>
      <c r="D1838" s="78"/>
      <c r="E1838" s="78"/>
      <c r="F1838" s="78"/>
      <c r="G1838" s="150"/>
      <c r="H1838" s="78"/>
      <c r="I1838" s="151"/>
      <c r="J1838" s="78"/>
      <c r="K1838" s="78"/>
      <c r="L1838" s="78"/>
      <c r="M1838" s="153"/>
      <c r="N1838" s="78"/>
      <c r="O1838" s="78"/>
      <c r="P1838" s="153"/>
      <c r="Q1838" s="78"/>
      <c r="R1838" s="78"/>
      <c r="S1838" s="153"/>
      <c r="T1838" s="78"/>
      <c r="U1838" s="78"/>
      <c r="V1838" s="152"/>
      <c r="W1838" s="78"/>
      <c r="X1838" s="78"/>
    </row>
    <row r="1839" spans="1:24" ht="42" customHeight="1">
      <c r="A1839" s="78"/>
      <c r="B1839" s="149"/>
      <c r="C1839" s="149"/>
      <c r="D1839" s="78"/>
      <c r="E1839" s="78"/>
      <c r="F1839" s="78"/>
      <c r="G1839" s="150"/>
      <c r="H1839" s="78"/>
      <c r="I1839" s="151"/>
      <c r="J1839" s="78"/>
      <c r="K1839" s="78"/>
      <c r="L1839" s="78"/>
      <c r="M1839" s="153"/>
      <c r="N1839" s="78"/>
      <c r="O1839" s="78"/>
      <c r="P1839" s="153"/>
      <c r="Q1839" s="78"/>
      <c r="R1839" s="78"/>
      <c r="S1839" s="153"/>
      <c r="T1839" s="78"/>
      <c r="U1839" s="78"/>
      <c r="V1839" s="152"/>
      <c r="W1839" s="78"/>
      <c r="X1839" s="78"/>
    </row>
    <row r="1840" spans="1:24" ht="42" customHeight="1">
      <c r="A1840" s="78"/>
      <c r="B1840" s="149"/>
      <c r="C1840" s="149"/>
      <c r="D1840" s="78"/>
      <c r="E1840" s="78"/>
      <c r="F1840" s="78"/>
      <c r="G1840" s="150"/>
      <c r="H1840" s="78"/>
      <c r="I1840" s="151"/>
      <c r="J1840" s="78"/>
      <c r="K1840" s="78"/>
      <c r="L1840" s="78"/>
      <c r="M1840" s="153"/>
      <c r="N1840" s="78"/>
      <c r="O1840" s="78"/>
      <c r="P1840" s="153"/>
      <c r="Q1840" s="78"/>
      <c r="R1840" s="78"/>
      <c r="S1840" s="153"/>
      <c r="T1840" s="78"/>
      <c r="U1840" s="78"/>
      <c r="V1840" s="152"/>
      <c r="W1840" s="78"/>
      <c r="X1840" s="78"/>
    </row>
    <row r="1841" spans="1:24" ht="42" customHeight="1">
      <c r="A1841" s="78"/>
      <c r="B1841" s="149"/>
      <c r="C1841" s="149"/>
      <c r="D1841" s="78"/>
      <c r="E1841" s="78"/>
      <c r="F1841" s="78"/>
      <c r="G1841" s="150"/>
      <c r="H1841" s="78"/>
      <c r="I1841" s="151"/>
      <c r="J1841" s="78"/>
      <c r="K1841" s="78"/>
      <c r="L1841" s="78"/>
      <c r="M1841" s="153"/>
      <c r="N1841" s="78"/>
      <c r="O1841" s="78"/>
      <c r="P1841" s="153"/>
      <c r="Q1841" s="78"/>
      <c r="R1841" s="78"/>
      <c r="S1841" s="153"/>
      <c r="T1841" s="78"/>
      <c r="U1841" s="78"/>
      <c r="V1841" s="152"/>
      <c r="W1841" s="78"/>
      <c r="X1841" s="78"/>
    </row>
    <row r="1842" spans="1:24" ht="42" customHeight="1">
      <c r="A1842" s="78"/>
      <c r="B1842" s="149"/>
      <c r="C1842" s="149"/>
      <c r="D1842" s="78"/>
      <c r="E1842" s="78"/>
      <c r="F1842" s="78"/>
      <c r="G1842" s="150"/>
      <c r="H1842" s="78"/>
      <c r="I1842" s="151"/>
      <c r="J1842" s="78"/>
      <c r="K1842" s="78"/>
      <c r="L1842" s="78"/>
      <c r="M1842" s="153"/>
      <c r="N1842" s="78"/>
      <c r="O1842" s="78"/>
      <c r="P1842" s="153"/>
      <c r="Q1842" s="78"/>
      <c r="R1842" s="78"/>
      <c r="S1842" s="153"/>
      <c r="T1842" s="78"/>
      <c r="U1842" s="78"/>
      <c r="V1842" s="152"/>
      <c r="W1842" s="78"/>
      <c r="X1842" s="78"/>
    </row>
    <row r="1843" spans="1:24" ht="42" customHeight="1">
      <c r="A1843" s="78"/>
      <c r="B1843" s="149"/>
      <c r="C1843" s="149"/>
      <c r="D1843" s="78"/>
      <c r="E1843" s="78"/>
      <c r="F1843" s="78"/>
      <c r="G1843" s="150"/>
      <c r="H1843" s="78"/>
      <c r="I1843" s="151"/>
      <c r="J1843" s="78"/>
      <c r="K1843" s="78"/>
      <c r="L1843" s="78"/>
      <c r="M1843" s="153"/>
      <c r="N1843" s="78"/>
      <c r="O1843" s="78"/>
      <c r="P1843" s="153"/>
      <c r="Q1843" s="78"/>
      <c r="R1843" s="78"/>
      <c r="S1843" s="153"/>
      <c r="T1843" s="78"/>
      <c r="U1843" s="78"/>
      <c r="V1843" s="152"/>
      <c r="W1843" s="78"/>
      <c r="X1843" s="78"/>
    </row>
    <row r="1844" spans="1:24" ht="42" customHeight="1">
      <c r="A1844" s="78"/>
      <c r="B1844" s="149"/>
      <c r="C1844" s="149"/>
      <c r="D1844" s="78"/>
      <c r="E1844" s="78"/>
      <c r="F1844" s="78"/>
      <c r="G1844" s="150"/>
      <c r="H1844" s="78"/>
      <c r="I1844" s="151"/>
      <c r="J1844" s="78"/>
      <c r="K1844" s="78"/>
      <c r="L1844" s="78"/>
      <c r="M1844" s="153"/>
      <c r="N1844" s="78"/>
      <c r="O1844" s="78"/>
      <c r="P1844" s="153"/>
      <c r="Q1844" s="78"/>
      <c r="R1844" s="78"/>
      <c r="S1844" s="153"/>
      <c r="T1844" s="78"/>
      <c r="U1844" s="78"/>
      <c r="V1844" s="152"/>
      <c r="W1844" s="78"/>
      <c r="X1844" s="78"/>
    </row>
    <row r="1845" spans="1:24" ht="42" customHeight="1">
      <c r="A1845" s="78"/>
      <c r="B1845" s="149"/>
      <c r="C1845" s="149"/>
      <c r="D1845" s="78"/>
      <c r="E1845" s="78"/>
      <c r="F1845" s="78"/>
      <c r="G1845" s="150"/>
      <c r="H1845" s="78"/>
      <c r="I1845" s="151"/>
      <c r="J1845" s="78"/>
      <c r="K1845" s="78"/>
      <c r="L1845" s="78"/>
      <c r="M1845" s="153"/>
      <c r="N1845" s="78"/>
      <c r="O1845" s="78"/>
      <c r="P1845" s="153"/>
      <c r="Q1845" s="78"/>
      <c r="R1845" s="78"/>
      <c r="S1845" s="153"/>
      <c r="T1845" s="78"/>
      <c r="U1845" s="78"/>
      <c r="V1845" s="152"/>
      <c r="W1845" s="78"/>
      <c r="X1845" s="78"/>
    </row>
    <row r="1846" spans="1:24" ht="42" customHeight="1">
      <c r="A1846" s="78"/>
      <c r="B1846" s="149"/>
      <c r="C1846" s="149"/>
      <c r="D1846" s="78"/>
      <c r="E1846" s="78"/>
      <c r="F1846" s="78"/>
      <c r="G1846" s="150"/>
      <c r="H1846" s="78"/>
      <c r="I1846" s="151"/>
      <c r="J1846" s="78"/>
      <c r="K1846" s="78"/>
      <c r="L1846" s="78"/>
      <c r="M1846" s="153"/>
      <c r="N1846" s="78"/>
      <c r="O1846" s="78"/>
      <c r="P1846" s="153"/>
      <c r="Q1846" s="78"/>
      <c r="R1846" s="78"/>
      <c r="S1846" s="153"/>
      <c r="T1846" s="78"/>
      <c r="U1846" s="78"/>
      <c r="V1846" s="152"/>
      <c r="W1846" s="78"/>
      <c r="X1846" s="78"/>
    </row>
    <row r="1847" spans="1:24" ht="42" customHeight="1">
      <c r="A1847" s="78"/>
      <c r="B1847" s="149"/>
      <c r="C1847" s="149"/>
      <c r="D1847" s="78"/>
      <c r="E1847" s="78"/>
      <c r="F1847" s="78"/>
      <c r="G1847" s="150"/>
      <c r="H1847" s="78"/>
      <c r="I1847" s="151"/>
      <c r="J1847" s="78"/>
      <c r="K1847" s="78"/>
      <c r="L1847" s="78"/>
      <c r="M1847" s="153"/>
      <c r="N1847" s="78"/>
      <c r="O1847" s="78"/>
      <c r="P1847" s="153"/>
      <c r="Q1847" s="78"/>
      <c r="R1847" s="78"/>
      <c r="S1847" s="153"/>
      <c r="T1847" s="78"/>
      <c r="U1847" s="78"/>
      <c r="V1847" s="152"/>
      <c r="W1847" s="78"/>
      <c r="X1847" s="78"/>
    </row>
    <row r="1848" spans="1:24" ht="42" customHeight="1">
      <c r="A1848" s="78"/>
      <c r="B1848" s="149"/>
      <c r="C1848" s="149"/>
      <c r="D1848" s="78"/>
      <c r="E1848" s="78"/>
      <c r="F1848" s="78"/>
      <c r="G1848" s="150"/>
      <c r="H1848" s="78"/>
      <c r="I1848" s="151"/>
      <c r="J1848" s="78"/>
      <c r="K1848" s="78"/>
      <c r="L1848" s="78"/>
      <c r="M1848" s="153"/>
      <c r="N1848" s="78"/>
      <c r="O1848" s="78"/>
      <c r="P1848" s="153"/>
      <c r="Q1848" s="78"/>
      <c r="R1848" s="78"/>
      <c r="S1848" s="153"/>
      <c r="T1848" s="78"/>
      <c r="U1848" s="78"/>
      <c r="V1848" s="152"/>
      <c r="W1848" s="78"/>
      <c r="X1848" s="78"/>
    </row>
    <row r="1849" spans="1:24" ht="42" customHeight="1">
      <c r="A1849" s="78"/>
      <c r="B1849" s="149"/>
      <c r="C1849" s="149"/>
      <c r="D1849" s="78"/>
      <c r="E1849" s="78"/>
      <c r="F1849" s="78"/>
      <c r="G1849" s="150"/>
      <c r="H1849" s="78"/>
      <c r="I1849" s="151"/>
      <c r="J1849" s="78"/>
      <c r="K1849" s="78"/>
      <c r="L1849" s="78"/>
      <c r="M1849" s="153"/>
      <c r="N1849" s="78"/>
      <c r="O1849" s="78"/>
      <c r="P1849" s="153"/>
      <c r="Q1849" s="78"/>
      <c r="R1849" s="78"/>
      <c r="S1849" s="153"/>
      <c r="T1849" s="78"/>
      <c r="U1849" s="78"/>
      <c r="V1849" s="152"/>
      <c r="W1849" s="78"/>
      <c r="X1849" s="78"/>
    </row>
    <row r="1850" spans="1:24" ht="42" customHeight="1">
      <c r="A1850" s="78"/>
      <c r="B1850" s="149"/>
      <c r="C1850" s="149"/>
      <c r="D1850" s="78"/>
      <c r="E1850" s="78"/>
      <c r="F1850" s="78"/>
      <c r="G1850" s="150"/>
      <c r="H1850" s="78"/>
      <c r="I1850" s="151"/>
      <c r="J1850" s="78"/>
      <c r="K1850" s="78"/>
      <c r="L1850" s="78"/>
      <c r="M1850" s="153"/>
      <c r="N1850" s="78"/>
      <c r="O1850" s="78"/>
      <c r="P1850" s="153"/>
      <c r="Q1850" s="78"/>
      <c r="R1850" s="78"/>
      <c r="S1850" s="153"/>
      <c r="T1850" s="78"/>
      <c r="U1850" s="78"/>
      <c r="V1850" s="152"/>
      <c r="W1850" s="78"/>
      <c r="X1850" s="78"/>
    </row>
    <row r="1851" spans="1:24" ht="42" customHeight="1">
      <c r="A1851" s="78"/>
      <c r="B1851" s="149"/>
      <c r="C1851" s="149"/>
      <c r="D1851" s="78"/>
      <c r="E1851" s="78"/>
      <c r="F1851" s="78"/>
      <c r="G1851" s="150"/>
      <c r="H1851" s="78"/>
      <c r="I1851" s="151"/>
      <c r="J1851" s="78"/>
      <c r="K1851" s="78"/>
      <c r="L1851" s="78"/>
      <c r="M1851" s="153"/>
      <c r="N1851" s="78"/>
      <c r="O1851" s="78"/>
      <c r="P1851" s="153"/>
      <c r="Q1851" s="78"/>
      <c r="R1851" s="78"/>
      <c r="S1851" s="153"/>
      <c r="T1851" s="78"/>
      <c r="U1851" s="78"/>
      <c r="V1851" s="152"/>
      <c r="W1851" s="78"/>
      <c r="X1851" s="78"/>
    </row>
    <row r="1852" spans="1:24" ht="42" customHeight="1">
      <c r="A1852" s="78"/>
      <c r="B1852" s="149"/>
      <c r="C1852" s="149"/>
      <c r="D1852" s="78"/>
      <c r="E1852" s="78"/>
      <c r="F1852" s="78"/>
      <c r="G1852" s="150"/>
      <c r="H1852" s="78"/>
      <c r="I1852" s="151"/>
      <c r="J1852" s="78"/>
      <c r="K1852" s="78"/>
      <c r="L1852" s="78"/>
      <c r="M1852" s="153"/>
      <c r="N1852" s="78"/>
      <c r="O1852" s="78"/>
      <c r="P1852" s="153"/>
      <c r="Q1852" s="78"/>
      <c r="R1852" s="78"/>
      <c r="S1852" s="153"/>
      <c r="T1852" s="78"/>
      <c r="U1852" s="78"/>
      <c r="V1852" s="152"/>
      <c r="W1852" s="78"/>
      <c r="X1852" s="78"/>
    </row>
    <row r="1853" spans="1:24" ht="42" customHeight="1">
      <c r="A1853" s="78"/>
      <c r="B1853" s="149"/>
      <c r="C1853" s="149"/>
      <c r="D1853" s="78"/>
      <c r="E1853" s="78"/>
      <c r="F1853" s="78"/>
      <c r="G1853" s="150"/>
      <c r="H1853" s="78"/>
      <c r="I1853" s="151"/>
      <c r="J1853" s="78"/>
      <c r="K1853" s="78"/>
      <c r="L1853" s="78"/>
      <c r="M1853" s="153"/>
      <c r="N1853" s="78"/>
      <c r="O1853" s="78"/>
      <c r="P1853" s="153"/>
      <c r="Q1853" s="78"/>
      <c r="R1853" s="78"/>
      <c r="S1853" s="153"/>
      <c r="T1853" s="78"/>
      <c r="U1853" s="78"/>
      <c r="V1853" s="152"/>
      <c r="W1853" s="78"/>
      <c r="X1853" s="78"/>
    </row>
    <row r="1854" spans="1:24" ht="42" customHeight="1">
      <c r="A1854" s="78"/>
      <c r="B1854" s="149"/>
      <c r="C1854" s="149"/>
      <c r="D1854" s="78"/>
      <c r="E1854" s="78"/>
      <c r="F1854" s="78"/>
      <c r="G1854" s="150"/>
      <c r="H1854" s="78"/>
      <c r="I1854" s="151"/>
      <c r="J1854" s="78"/>
      <c r="K1854" s="78"/>
      <c r="L1854" s="78"/>
      <c r="M1854" s="153"/>
      <c r="N1854" s="78"/>
      <c r="O1854" s="78"/>
      <c r="P1854" s="153"/>
      <c r="Q1854" s="78"/>
      <c r="R1854" s="78"/>
      <c r="S1854" s="153"/>
      <c r="T1854" s="78"/>
      <c r="U1854" s="78"/>
      <c r="V1854" s="152"/>
      <c r="W1854" s="78"/>
      <c r="X1854" s="78"/>
    </row>
    <row r="1855" spans="1:24" ht="42" customHeight="1">
      <c r="A1855" s="78"/>
      <c r="B1855" s="149"/>
      <c r="C1855" s="149"/>
      <c r="D1855" s="78"/>
      <c r="E1855" s="78"/>
      <c r="F1855" s="78"/>
      <c r="G1855" s="150"/>
      <c r="H1855" s="78"/>
      <c r="I1855" s="151"/>
      <c r="J1855" s="78"/>
      <c r="K1855" s="78"/>
      <c r="L1855" s="78"/>
      <c r="M1855" s="153"/>
      <c r="N1855" s="78"/>
      <c r="O1855" s="78"/>
      <c r="P1855" s="153"/>
      <c r="Q1855" s="78"/>
      <c r="R1855" s="78"/>
      <c r="S1855" s="153"/>
      <c r="T1855" s="78"/>
      <c r="U1855" s="78"/>
      <c r="V1855" s="152"/>
      <c r="W1855" s="78"/>
      <c r="X1855" s="78"/>
    </row>
    <row r="1856" spans="1:24" ht="42" customHeight="1">
      <c r="A1856" s="78"/>
      <c r="B1856" s="149"/>
      <c r="C1856" s="149"/>
      <c r="D1856" s="78"/>
      <c r="E1856" s="78"/>
      <c r="F1856" s="78"/>
      <c r="G1856" s="150"/>
      <c r="H1856" s="78"/>
      <c r="I1856" s="151"/>
      <c r="J1856" s="78"/>
      <c r="K1856" s="78"/>
      <c r="L1856" s="78"/>
      <c r="M1856" s="153"/>
      <c r="N1856" s="78"/>
      <c r="O1856" s="78"/>
      <c r="P1856" s="153"/>
      <c r="Q1856" s="78"/>
      <c r="R1856" s="78"/>
      <c r="S1856" s="153"/>
      <c r="T1856" s="78"/>
      <c r="U1856" s="78"/>
      <c r="V1856" s="152"/>
      <c r="W1856" s="78"/>
      <c r="X1856" s="78"/>
    </row>
    <row r="1857" spans="1:24" ht="42" customHeight="1">
      <c r="A1857" s="78"/>
      <c r="B1857" s="149"/>
      <c r="C1857" s="149"/>
      <c r="D1857" s="78"/>
      <c r="E1857" s="78"/>
      <c r="F1857" s="78"/>
      <c r="G1857" s="150"/>
      <c r="H1857" s="78"/>
      <c r="I1857" s="151"/>
      <c r="J1857" s="78"/>
      <c r="K1857" s="78"/>
      <c r="L1857" s="78"/>
      <c r="M1857" s="153"/>
      <c r="N1857" s="78"/>
      <c r="O1857" s="78"/>
      <c r="P1857" s="153"/>
      <c r="Q1857" s="78"/>
      <c r="R1857" s="78"/>
      <c r="S1857" s="153"/>
      <c r="T1857" s="78"/>
      <c r="U1857" s="78"/>
      <c r="V1857" s="152"/>
      <c r="W1857" s="78"/>
      <c r="X1857" s="78"/>
    </row>
    <row r="1858" spans="1:24" ht="42" customHeight="1">
      <c r="A1858" s="78"/>
      <c r="B1858" s="149"/>
      <c r="C1858" s="149"/>
      <c r="D1858" s="78"/>
      <c r="E1858" s="78"/>
      <c r="F1858" s="78"/>
      <c r="G1858" s="150"/>
      <c r="H1858" s="78"/>
      <c r="I1858" s="151"/>
      <c r="J1858" s="78"/>
      <c r="K1858" s="78"/>
      <c r="L1858" s="78"/>
      <c r="M1858" s="153"/>
      <c r="N1858" s="78"/>
      <c r="O1858" s="78"/>
      <c r="P1858" s="153"/>
      <c r="Q1858" s="78"/>
      <c r="R1858" s="78"/>
      <c r="S1858" s="153"/>
      <c r="T1858" s="78"/>
      <c r="U1858" s="78"/>
      <c r="V1858" s="152"/>
      <c r="W1858" s="78"/>
      <c r="X1858" s="78"/>
    </row>
    <row r="1859" spans="1:24" ht="42" customHeight="1">
      <c r="A1859" s="78"/>
      <c r="B1859" s="149"/>
      <c r="C1859" s="149"/>
      <c r="D1859" s="78"/>
      <c r="E1859" s="78"/>
      <c r="F1859" s="78"/>
      <c r="G1859" s="150"/>
      <c r="H1859" s="78"/>
      <c r="I1859" s="151"/>
      <c r="J1859" s="78"/>
      <c r="K1859" s="78"/>
      <c r="L1859" s="78"/>
      <c r="M1859" s="153"/>
      <c r="N1859" s="78"/>
      <c r="O1859" s="78"/>
      <c r="P1859" s="153"/>
      <c r="Q1859" s="78"/>
      <c r="R1859" s="78"/>
      <c r="S1859" s="153"/>
      <c r="T1859" s="78"/>
      <c r="U1859" s="78"/>
      <c r="V1859" s="152"/>
      <c r="W1859" s="78"/>
      <c r="X1859" s="78"/>
    </row>
    <row r="1860" spans="1:24" ht="42" customHeight="1">
      <c r="A1860" s="78"/>
      <c r="B1860" s="149"/>
      <c r="C1860" s="149"/>
      <c r="D1860" s="78"/>
      <c r="E1860" s="78"/>
      <c r="F1860" s="78"/>
      <c r="G1860" s="150"/>
      <c r="H1860" s="78"/>
      <c r="I1860" s="151"/>
      <c r="J1860" s="78"/>
      <c r="K1860" s="78"/>
      <c r="L1860" s="78"/>
      <c r="M1860" s="153"/>
      <c r="N1860" s="78"/>
      <c r="O1860" s="78"/>
      <c r="P1860" s="153"/>
      <c r="Q1860" s="78"/>
      <c r="R1860" s="78"/>
      <c r="S1860" s="153"/>
      <c r="T1860" s="78"/>
      <c r="U1860" s="78"/>
      <c r="V1860" s="152"/>
      <c r="W1860" s="78"/>
      <c r="X1860" s="78"/>
    </row>
    <row r="1861" spans="1:24" ht="42" customHeight="1">
      <c r="A1861" s="78"/>
      <c r="B1861" s="149"/>
      <c r="C1861" s="149"/>
      <c r="D1861" s="78"/>
      <c r="E1861" s="78"/>
      <c r="F1861" s="78"/>
      <c r="G1861" s="150"/>
      <c r="H1861" s="78"/>
      <c r="I1861" s="151"/>
      <c r="J1861" s="78"/>
      <c r="K1861" s="78"/>
      <c r="L1861" s="78"/>
      <c r="M1861" s="153"/>
      <c r="N1861" s="78"/>
      <c r="O1861" s="78"/>
      <c r="P1861" s="153"/>
      <c r="Q1861" s="78"/>
      <c r="R1861" s="78"/>
      <c r="S1861" s="153"/>
      <c r="T1861" s="78"/>
      <c r="U1861" s="78"/>
      <c r="V1861" s="152"/>
      <c r="W1861" s="78"/>
      <c r="X1861" s="78"/>
    </row>
    <row r="1862" spans="1:24" ht="42" customHeight="1">
      <c r="A1862" s="78"/>
      <c r="B1862" s="149"/>
      <c r="C1862" s="149"/>
      <c r="D1862" s="78"/>
      <c r="E1862" s="78"/>
      <c r="F1862" s="78"/>
      <c r="G1862" s="150"/>
      <c r="H1862" s="78"/>
      <c r="I1862" s="151"/>
      <c r="J1862" s="78"/>
      <c r="K1862" s="78"/>
      <c r="L1862" s="78"/>
      <c r="M1862" s="153"/>
      <c r="N1862" s="78"/>
      <c r="O1862" s="78"/>
      <c r="P1862" s="153"/>
      <c r="Q1862" s="78"/>
      <c r="R1862" s="78"/>
      <c r="S1862" s="153"/>
      <c r="T1862" s="78"/>
      <c r="U1862" s="78"/>
      <c r="V1862" s="152"/>
      <c r="W1862" s="78"/>
      <c r="X1862" s="78"/>
    </row>
    <row r="1863" spans="1:24" ht="42" customHeight="1">
      <c r="A1863" s="78"/>
      <c r="B1863" s="149"/>
      <c r="C1863" s="149"/>
      <c r="D1863" s="78"/>
      <c r="E1863" s="78"/>
      <c r="F1863" s="78"/>
      <c r="G1863" s="150"/>
      <c r="H1863" s="78"/>
      <c r="I1863" s="151"/>
      <c r="J1863" s="78"/>
      <c r="K1863" s="78"/>
      <c r="L1863" s="78"/>
      <c r="M1863" s="153"/>
      <c r="N1863" s="78"/>
      <c r="O1863" s="78"/>
      <c r="P1863" s="153"/>
      <c r="Q1863" s="78"/>
      <c r="R1863" s="78"/>
      <c r="S1863" s="153"/>
      <c r="T1863" s="78"/>
      <c r="U1863" s="78"/>
      <c r="V1863" s="152"/>
      <c r="W1863" s="78"/>
      <c r="X1863" s="78"/>
    </row>
    <row r="1864" spans="1:24" ht="42" customHeight="1">
      <c r="A1864" s="78"/>
      <c r="B1864" s="149"/>
      <c r="C1864" s="149"/>
      <c r="D1864" s="78"/>
      <c r="E1864" s="78"/>
      <c r="F1864" s="78"/>
      <c r="G1864" s="150"/>
      <c r="H1864" s="78"/>
      <c r="I1864" s="151"/>
      <c r="J1864" s="78"/>
      <c r="K1864" s="78"/>
      <c r="L1864" s="78"/>
      <c r="M1864" s="153"/>
      <c r="N1864" s="78"/>
      <c r="O1864" s="78"/>
      <c r="P1864" s="153"/>
      <c r="Q1864" s="78"/>
      <c r="R1864" s="78"/>
      <c r="S1864" s="153"/>
      <c r="T1864" s="78"/>
      <c r="U1864" s="78"/>
      <c r="V1864" s="152"/>
      <c r="W1864" s="78"/>
      <c r="X1864" s="78"/>
    </row>
    <row r="1865" spans="1:24" ht="42" customHeight="1">
      <c r="A1865" s="78"/>
      <c r="B1865" s="149"/>
      <c r="C1865" s="149"/>
      <c r="D1865" s="78"/>
      <c r="E1865" s="78"/>
      <c r="F1865" s="78"/>
      <c r="G1865" s="150"/>
      <c r="H1865" s="78"/>
      <c r="I1865" s="151"/>
      <c r="J1865" s="78"/>
      <c r="K1865" s="78"/>
      <c r="L1865" s="78"/>
      <c r="M1865" s="153"/>
      <c r="N1865" s="78"/>
      <c r="O1865" s="78"/>
      <c r="P1865" s="153"/>
      <c r="Q1865" s="78"/>
      <c r="R1865" s="78"/>
      <c r="S1865" s="153"/>
      <c r="T1865" s="78"/>
      <c r="U1865" s="78"/>
      <c r="V1865" s="152"/>
      <c r="W1865" s="78"/>
      <c r="X1865" s="78"/>
    </row>
    <row r="1866" spans="1:24" ht="42" customHeight="1">
      <c r="A1866" s="78"/>
      <c r="B1866" s="149"/>
      <c r="C1866" s="149"/>
      <c r="D1866" s="78"/>
      <c r="E1866" s="78"/>
      <c r="F1866" s="78"/>
      <c r="G1866" s="150"/>
      <c r="H1866" s="78"/>
      <c r="I1866" s="151"/>
      <c r="J1866" s="78"/>
      <c r="K1866" s="78"/>
      <c r="L1866" s="78"/>
      <c r="M1866" s="153"/>
      <c r="N1866" s="78"/>
      <c r="O1866" s="78"/>
      <c r="P1866" s="153"/>
      <c r="Q1866" s="78"/>
      <c r="R1866" s="78"/>
      <c r="S1866" s="153"/>
      <c r="T1866" s="78"/>
      <c r="U1866" s="78"/>
      <c r="V1866" s="152"/>
      <c r="W1866" s="78"/>
      <c r="X1866" s="78"/>
    </row>
    <row r="1867" spans="1:24" ht="42" customHeight="1">
      <c r="A1867" s="78"/>
      <c r="B1867" s="149"/>
      <c r="C1867" s="149"/>
      <c r="D1867" s="78"/>
      <c r="E1867" s="78"/>
      <c r="F1867" s="78"/>
      <c r="G1867" s="150"/>
      <c r="H1867" s="78"/>
      <c r="I1867" s="151"/>
      <c r="J1867" s="78"/>
      <c r="K1867" s="78"/>
      <c r="L1867" s="78"/>
      <c r="M1867" s="153"/>
      <c r="N1867" s="78"/>
      <c r="O1867" s="78"/>
      <c r="P1867" s="153"/>
      <c r="Q1867" s="78"/>
      <c r="R1867" s="78"/>
      <c r="S1867" s="153"/>
      <c r="T1867" s="78"/>
      <c r="U1867" s="78"/>
      <c r="V1867" s="152"/>
      <c r="W1867" s="78"/>
      <c r="X1867" s="78"/>
    </row>
    <row r="1868" spans="1:24" ht="42" customHeight="1">
      <c r="A1868" s="78"/>
      <c r="B1868" s="149"/>
      <c r="C1868" s="149"/>
      <c r="D1868" s="78"/>
      <c r="E1868" s="78"/>
      <c r="F1868" s="78"/>
      <c r="G1868" s="150"/>
      <c r="H1868" s="78"/>
      <c r="I1868" s="151"/>
      <c r="J1868" s="78"/>
      <c r="K1868" s="78"/>
      <c r="L1868" s="78"/>
      <c r="M1868" s="153"/>
      <c r="N1868" s="78"/>
      <c r="O1868" s="78"/>
      <c r="P1868" s="153"/>
      <c r="Q1868" s="78"/>
      <c r="R1868" s="78"/>
      <c r="S1868" s="153"/>
      <c r="T1868" s="78"/>
      <c r="U1868" s="78"/>
      <c r="V1868" s="152"/>
      <c r="W1868" s="78"/>
      <c r="X1868" s="78"/>
    </row>
    <row r="1869" spans="1:24" ht="42" customHeight="1">
      <c r="A1869" s="78"/>
      <c r="B1869" s="149"/>
      <c r="C1869" s="149"/>
      <c r="D1869" s="78"/>
      <c r="E1869" s="78"/>
      <c r="F1869" s="78"/>
      <c r="G1869" s="150"/>
      <c r="H1869" s="78"/>
      <c r="I1869" s="151"/>
      <c r="J1869" s="78"/>
      <c r="K1869" s="78"/>
      <c r="L1869" s="78"/>
      <c r="M1869" s="153"/>
      <c r="N1869" s="78"/>
      <c r="O1869" s="78"/>
      <c r="P1869" s="153"/>
      <c r="Q1869" s="78"/>
      <c r="R1869" s="78"/>
      <c r="S1869" s="153"/>
      <c r="T1869" s="78"/>
      <c r="U1869" s="78"/>
      <c r="V1869" s="152"/>
      <c r="W1869" s="78"/>
      <c r="X1869" s="78"/>
    </row>
    <row r="1870" spans="1:24" ht="42" customHeight="1">
      <c r="A1870" s="78"/>
      <c r="B1870" s="149"/>
      <c r="C1870" s="149"/>
      <c r="D1870" s="78"/>
      <c r="E1870" s="78"/>
      <c r="F1870" s="78"/>
      <c r="G1870" s="150"/>
      <c r="H1870" s="78"/>
      <c r="I1870" s="151"/>
      <c r="J1870" s="78"/>
      <c r="K1870" s="78"/>
      <c r="L1870" s="78"/>
      <c r="M1870" s="153"/>
      <c r="N1870" s="78"/>
      <c r="O1870" s="78"/>
      <c r="P1870" s="153"/>
      <c r="Q1870" s="78"/>
      <c r="R1870" s="78"/>
      <c r="S1870" s="153"/>
      <c r="T1870" s="78"/>
      <c r="U1870" s="78"/>
      <c r="V1870" s="152"/>
      <c r="W1870" s="78"/>
      <c r="X1870" s="78"/>
    </row>
    <row r="1871" spans="1:24" ht="42" customHeight="1">
      <c r="A1871" s="78"/>
      <c r="B1871" s="149"/>
      <c r="C1871" s="149"/>
      <c r="D1871" s="78"/>
      <c r="E1871" s="78"/>
      <c r="F1871" s="78"/>
      <c r="G1871" s="150"/>
      <c r="H1871" s="78"/>
      <c r="I1871" s="151"/>
      <c r="J1871" s="78"/>
      <c r="K1871" s="78"/>
      <c r="L1871" s="78"/>
      <c r="M1871" s="153"/>
      <c r="N1871" s="78"/>
      <c r="O1871" s="78"/>
      <c r="P1871" s="153"/>
      <c r="Q1871" s="78"/>
      <c r="R1871" s="78"/>
      <c r="S1871" s="153"/>
      <c r="T1871" s="78"/>
      <c r="U1871" s="78"/>
      <c r="V1871" s="152"/>
      <c r="W1871" s="78"/>
      <c r="X1871" s="78"/>
    </row>
    <row r="1872" spans="1:24" ht="42" customHeight="1">
      <c r="A1872" s="78"/>
      <c r="B1872" s="149"/>
      <c r="C1872" s="149"/>
      <c r="D1872" s="78"/>
      <c r="E1872" s="78"/>
      <c r="F1872" s="78"/>
      <c r="G1872" s="150"/>
      <c r="H1872" s="78"/>
      <c r="I1872" s="151"/>
      <c r="J1872" s="78"/>
      <c r="K1872" s="78"/>
      <c r="L1872" s="78"/>
      <c r="M1872" s="153"/>
      <c r="N1872" s="78"/>
      <c r="O1872" s="78"/>
      <c r="P1872" s="153"/>
      <c r="Q1872" s="78"/>
      <c r="R1872" s="78"/>
      <c r="S1872" s="153"/>
      <c r="T1872" s="78"/>
      <c r="U1872" s="78"/>
      <c r="V1872" s="152"/>
      <c r="W1872" s="78"/>
      <c r="X1872" s="78"/>
    </row>
    <row r="1873" spans="1:24" ht="42" customHeight="1">
      <c r="A1873" s="78"/>
      <c r="B1873" s="149"/>
      <c r="C1873" s="149"/>
      <c r="D1873" s="78"/>
      <c r="E1873" s="78"/>
      <c r="F1873" s="78"/>
      <c r="G1873" s="150"/>
      <c r="H1873" s="78"/>
      <c r="I1873" s="151"/>
      <c r="J1873" s="78"/>
      <c r="K1873" s="78"/>
      <c r="L1873" s="78"/>
      <c r="M1873" s="153"/>
      <c r="N1873" s="78"/>
      <c r="O1873" s="78"/>
      <c r="P1873" s="153"/>
      <c r="Q1873" s="78"/>
      <c r="R1873" s="78"/>
      <c r="S1873" s="153"/>
      <c r="T1873" s="78"/>
      <c r="U1873" s="78"/>
      <c r="V1873" s="152"/>
      <c r="W1873" s="78"/>
      <c r="X1873" s="78"/>
    </row>
    <row r="1874" spans="1:24" ht="42" customHeight="1">
      <c r="A1874" s="78"/>
      <c r="B1874" s="149"/>
      <c r="C1874" s="149"/>
      <c r="D1874" s="78"/>
      <c r="E1874" s="78"/>
      <c r="F1874" s="78"/>
      <c r="G1874" s="150"/>
      <c r="H1874" s="78"/>
      <c r="I1874" s="151"/>
      <c r="J1874" s="78"/>
      <c r="K1874" s="78"/>
      <c r="L1874" s="78"/>
      <c r="M1874" s="153"/>
      <c r="N1874" s="78"/>
      <c r="O1874" s="78"/>
      <c r="P1874" s="153"/>
      <c r="Q1874" s="78"/>
      <c r="R1874" s="78"/>
      <c r="S1874" s="153"/>
      <c r="T1874" s="78"/>
      <c r="U1874" s="78"/>
      <c r="V1874" s="152"/>
      <c r="W1874" s="78"/>
      <c r="X1874" s="78"/>
    </row>
    <row r="1875" spans="1:24" ht="42" customHeight="1">
      <c r="A1875" s="78"/>
      <c r="B1875" s="149"/>
      <c r="C1875" s="149"/>
      <c r="D1875" s="78"/>
      <c r="E1875" s="78"/>
      <c r="F1875" s="78"/>
      <c r="G1875" s="150"/>
      <c r="H1875" s="78"/>
      <c r="I1875" s="151"/>
      <c r="J1875" s="78"/>
      <c r="K1875" s="78"/>
      <c r="L1875" s="78"/>
      <c r="M1875" s="153"/>
      <c r="N1875" s="78"/>
      <c r="O1875" s="78"/>
      <c r="P1875" s="153"/>
      <c r="Q1875" s="78"/>
      <c r="R1875" s="78"/>
      <c r="S1875" s="153"/>
      <c r="T1875" s="78"/>
      <c r="U1875" s="78"/>
      <c r="V1875" s="152"/>
      <c r="W1875" s="78"/>
      <c r="X1875" s="78"/>
    </row>
    <row r="1876" spans="1:24" ht="42" customHeight="1">
      <c r="A1876" s="78"/>
      <c r="B1876" s="149"/>
      <c r="C1876" s="149"/>
      <c r="D1876" s="78"/>
      <c r="E1876" s="78"/>
      <c r="F1876" s="78"/>
      <c r="G1876" s="150"/>
      <c r="H1876" s="78"/>
      <c r="I1876" s="151"/>
      <c r="J1876" s="78"/>
      <c r="K1876" s="78"/>
      <c r="L1876" s="78"/>
      <c r="M1876" s="153"/>
      <c r="N1876" s="78"/>
      <c r="O1876" s="78"/>
      <c r="P1876" s="153"/>
      <c r="Q1876" s="78"/>
      <c r="R1876" s="78"/>
      <c r="S1876" s="153"/>
      <c r="T1876" s="78"/>
      <c r="U1876" s="78"/>
      <c r="V1876" s="152"/>
      <c r="W1876" s="78"/>
      <c r="X1876" s="78"/>
    </row>
    <row r="1877" spans="1:24" ht="42" customHeight="1">
      <c r="A1877" s="78"/>
      <c r="B1877" s="149"/>
      <c r="C1877" s="149"/>
      <c r="D1877" s="78"/>
      <c r="E1877" s="78"/>
      <c r="F1877" s="78"/>
      <c r="G1877" s="150"/>
      <c r="H1877" s="78"/>
      <c r="I1877" s="151"/>
      <c r="J1877" s="78"/>
      <c r="K1877" s="78"/>
      <c r="L1877" s="78"/>
      <c r="M1877" s="153"/>
      <c r="N1877" s="78"/>
      <c r="O1877" s="78"/>
      <c r="P1877" s="153"/>
      <c r="Q1877" s="78"/>
      <c r="R1877" s="78"/>
      <c r="S1877" s="153"/>
      <c r="T1877" s="78"/>
      <c r="U1877" s="78"/>
      <c r="V1877" s="152"/>
      <c r="W1877" s="78"/>
      <c r="X1877" s="78"/>
    </row>
    <row r="1878" spans="1:24" ht="42" customHeight="1">
      <c r="A1878" s="78"/>
      <c r="B1878" s="149"/>
      <c r="C1878" s="149"/>
      <c r="D1878" s="78"/>
      <c r="E1878" s="78"/>
      <c r="F1878" s="78"/>
      <c r="G1878" s="150"/>
      <c r="H1878" s="78"/>
      <c r="I1878" s="151"/>
      <c r="J1878" s="78"/>
      <c r="K1878" s="78"/>
      <c r="L1878" s="78"/>
      <c r="M1878" s="153"/>
      <c r="N1878" s="78"/>
      <c r="O1878" s="78"/>
      <c r="P1878" s="153"/>
      <c r="Q1878" s="78"/>
      <c r="R1878" s="78"/>
      <c r="S1878" s="153"/>
      <c r="T1878" s="78"/>
      <c r="U1878" s="78"/>
      <c r="V1878" s="152"/>
      <c r="W1878" s="78"/>
      <c r="X1878" s="78"/>
    </row>
    <row r="1879" spans="1:24" ht="42" customHeight="1">
      <c r="A1879" s="78"/>
      <c r="B1879" s="149"/>
      <c r="C1879" s="149"/>
      <c r="D1879" s="78"/>
      <c r="E1879" s="78"/>
      <c r="F1879" s="78"/>
      <c r="G1879" s="150"/>
      <c r="H1879" s="78"/>
      <c r="I1879" s="151"/>
      <c r="J1879" s="78"/>
      <c r="K1879" s="78"/>
      <c r="L1879" s="78"/>
      <c r="M1879" s="153"/>
      <c r="N1879" s="78"/>
      <c r="O1879" s="78"/>
      <c r="P1879" s="153"/>
      <c r="Q1879" s="78"/>
      <c r="R1879" s="78"/>
      <c r="S1879" s="153"/>
      <c r="T1879" s="78"/>
      <c r="U1879" s="78"/>
      <c r="V1879" s="152"/>
      <c r="W1879" s="78"/>
      <c r="X1879" s="78"/>
    </row>
    <row r="1880" spans="1:24" ht="42" customHeight="1">
      <c r="A1880" s="78"/>
      <c r="B1880" s="149"/>
      <c r="C1880" s="149"/>
      <c r="D1880" s="78"/>
      <c r="E1880" s="78"/>
      <c r="F1880" s="78"/>
      <c r="G1880" s="150"/>
      <c r="H1880" s="78"/>
      <c r="I1880" s="151"/>
      <c r="J1880" s="78"/>
      <c r="K1880" s="78"/>
      <c r="L1880" s="78"/>
      <c r="M1880" s="153"/>
      <c r="N1880" s="78"/>
      <c r="O1880" s="78"/>
      <c r="P1880" s="153"/>
      <c r="Q1880" s="78"/>
      <c r="R1880" s="78"/>
      <c r="S1880" s="153"/>
      <c r="T1880" s="78"/>
      <c r="U1880" s="78"/>
      <c r="V1880" s="152"/>
      <c r="W1880" s="78"/>
      <c r="X1880" s="78"/>
    </row>
    <row r="1881" spans="1:24" ht="42" customHeight="1">
      <c r="A1881" s="78"/>
      <c r="B1881" s="149"/>
      <c r="C1881" s="149"/>
      <c r="D1881" s="78"/>
      <c r="E1881" s="78"/>
      <c r="F1881" s="78"/>
      <c r="G1881" s="150"/>
      <c r="H1881" s="78"/>
      <c r="I1881" s="151"/>
      <c r="J1881" s="78"/>
      <c r="K1881" s="78"/>
      <c r="L1881" s="78"/>
      <c r="M1881" s="153"/>
      <c r="N1881" s="78"/>
      <c r="O1881" s="78"/>
      <c r="P1881" s="153"/>
      <c r="Q1881" s="78"/>
      <c r="R1881" s="78"/>
      <c r="S1881" s="153"/>
      <c r="T1881" s="78"/>
      <c r="U1881" s="78"/>
      <c r="V1881" s="152"/>
      <c r="W1881" s="78"/>
      <c r="X1881" s="78"/>
    </row>
    <row r="1882" spans="1:24" ht="42" customHeight="1">
      <c r="A1882" s="78"/>
      <c r="B1882" s="149"/>
      <c r="C1882" s="149"/>
      <c r="D1882" s="78"/>
      <c r="E1882" s="78"/>
      <c r="F1882" s="78"/>
      <c r="G1882" s="150"/>
      <c r="H1882" s="78"/>
      <c r="I1882" s="151"/>
      <c r="J1882" s="78"/>
      <c r="K1882" s="78"/>
      <c r="L1882" s="78"/>
      <c r="M1882" s="153"/>
      <c r="N1882" s="78"/>
      <c r="O1882" s="78"/>
      <c r="P1882" s="153"/>
      <c r="Q1882" s="78"/>
      <c r="R1882" s="78"/>
      <c r="S1882" s="153"/>
      <c r="T1882" s="78"/>
      <c r="U1882" s="78"/>
      <c r="V1882" s="152"/>
      <c r="W1882" s="78"/>
      <c r="X1882" s="78"/>
    </row>
    <row r="1883" spans="1:24" ht="42" customHeight="1">
      <c r="A1883" s="78"/>
      <c r="B1883" s="149"/>
      <c r="C1883" s="149"/>
      <c r="D1883" s="78"/>
      <c r="E1883" s="78"/>
      <c r="F1883" s="78"/>
      <c r="G1883" s="150"/>
      <c r="H1883" s="78"/>
      <c r="I1883" s="151"/>
      <c r="J1883" s="78"/>
      <c r="K1883" s="78"/>
      <c r="L1883" s="78"/>
      <c r="M1883" s="153"/>
      <c r="N1883" s="78"/>
      <c r="O1883" s="78"/>
      <c r="P1883" s="153"/>
      <c r="Q1883" s="78"/>
      <c r="R1883" s="78"/>
      <c r="S1883" s="153"/>
      <c r="T1883" s="78"/>
      <c r="U1883" s="78"/>
      <c r="V1883" s="152"/>
      <c r="W1883" s="78"/>
      <c r="X1883" s="78"/>
    </row>
    <row r="1884" spans="1:24" ht="42" customHeight="1">
      <c r="A1884" s="78"/>
      <c r="B1884" s="149"/>
      <c r="C1884" s="149"/>
      <c r="D1884" s="78"/>
      <c r="E1884" s="78"/>
      <c r="F1884" s="78"/>
      <c r="G1884" s="150"/>
      <c r="H1884" s="78"/>
      <c r="I1884" s="151"/>
      <c r="J1884" s="78"/>
      <c r="K1884" s="78"/>
      <c r="L1884" s="78"/>
      <c r="M1884" s="153"/>
      <c r="N1884" s="78"/>
      <c r="O1884" s="78"/>
      <c r="P1884" s="153"/>
      <c r="Q1884" s="78"/>
      <c r="R1884" s="78"/>
      <c r="S1884" s="153"/>
      <c r="T1884" s="78"/>
      <c r="U1884" s="78"/>
      <c r="V1884" s="152"/>
      <c r="W1884" s="78"/>
      <c r="X1884" s="78"/>
    </row>
    <row r="1885" spans="1:24" ht="42" customHeight="1">
      <c r="A1885" s="78"/>
      <c r="B1885" s="149"/>
      <c r="C1885" s="149"/>
      <c r="D1885" s="78"/>
      <c r="E1885" s="78"/>
      <c r="F1885" s="78"/>
      <c r="G1885" s="150"/>
      <c r="H1885" s="78"/>
      <c r="I1885" s="151"/>
      <c r="J1885" s="78"/>
      <c r="K1885" s="78"/>
      <c r="L1885" s="78"/>
      <c r="M1885" s="153"/>
      <c r="N1885" s="78"/>
      <c r="O1885" s="78"/>
      <c r="P1885" s="153"/>
      <c r="Q1885" s="78"/>
      <c r="R1885" s="78"/>
      <c r="S1885" s="153"/>
      <c r="T1885" s="78"/>
      <c r="U1885" s="78"/>
      <c r="V1885" s="152"/>
      <c r="W1885" s="78"/>
      <c r="X1885" s="78"/>
    </row>
    <row r="1886" spans="1:24" ht="42" customHeight="1">
      <c r="A1886" s="78"/>
      <c r="B1886" s="149"/>
      <c r="C1886" s="149"/>
      <c r="D1886" s="78"/>
      <c r="E1886" s="78"/>
      <c r="F1886" s="78"/>
      <c r="G1886" s="150"/>
      <c r="H1886" s="78"/>
      <c r="I1886" s="151"/>
      <c r="J1886" s="78"/>
      <c r="K1886" s="78"/>
      <c r="L1886" s="78"/>
      <c r="M1886" s="153"/>
      <c r="N1886" s="78"/>
      <c r="O1886" s="78"/>
      <c r="P1886" s="153"/>
      <c r="Q1886" s="78"/>
      <c r="R1886" s="78"/>
      <c r="S1886" s="153"/>
      <c r="T1886" s="78"/>
      <c r="U1886" s="78"/>
      <c r="V1886" s="152"/>
      <c r="W1886" s="78"/>
      <c r="X1886" s="78"/>
    </row>
    <row r="1887" spans="1:24" ht="42" customHeight="1">
      <c r="A1887" s="78"/>
      <c r="B1887" s="149"/>
      <c r="C1887" s="149"/>
      <c r="D1887" s="78"/>
      <c r="E1887" s="78"/>
      <c r="F1887" s="78"/>
      <c r="G1887" s="150"/>
      <c r="H1887" s="78"/>
      <c r="I1887" s="151"/>
      <c r="J1887" s="78"/>
      <c r="K1887" s="78"/>
      <c r="L1887" s="78"/>
      <c r="M1887" s="153"/>
      <c r="N1887" s="78"/>
      <c r="O1887" s="78"/>
      <c r="P1887" s="153"/>
      <c r="Q1887" s="78"/>
      <c r="R1887" s="78"/>
      <c r="S1887" s="153"/>
      <c r="T1887" s="78"/>
      <c r="U1887" s="78"/>
      <c r="V1887" s="152"/>
      <c r="W1887" s="78"/>
      <c r="X1887" s="78"/>
    </row>
    <row r="1888" spans="1:24" ht="42" customHeight="1">
      <c r="A1888" s="78"/>
      <c r="B1888" s="149"/>
      <c r="C1888" s="149"/>
      <c r="D1888" s="78"/>
      <c r="E1888" s="78"/>
      <c r="F1888" s="78"/>
      <c r="G1888" s="150"/>
      <c r="H1888" s="78"/>
      <c r="I1888" s="151"/>
      <c r="J1888" s="78"/>
      <c r="K1888" s="78"/>
      <c r="L1888" s="78"/>
      <c r="M1888" s="153"/>
      <c r="N1888" s="78"/>
      <c r="O1888" s="78"/>
      <c r="P1888" s="153"/>
      <c r="Q1888" s="78"/>
      <c r="R1888" s="78"/>
      <c r="S1888" s="153"/>
      <c r="T1888" s="78"/>
      <c r="U1888" s="78"/>
      <c r="V1888" s="152"/>
      <c r="W1888" s="78"/>
      <c r="X1888" s="78"/>
    </row>
    <row r="1889" spans="1:24" ht="42" customHeight="1">
      <c r="A1889" s="78"/>
      <c r="B1889" s="149"/>
      <c r="C1889" s="149"/>
      <c r="D1889" s="78"/>
      <c r="E1889" s="78"/>
      <c r="F1889" s="78"/>
      <c r="G1889" s="150"/>
      <c r="H1889" s="78"/>
      <c r="I1889" s="151"/>
      <c r="J1889" s="78"/>
      <c r="K1889" s="78"/>
      <c r="L1889" s="78"/>
      <c r="M1889" s="153"/>
      <c r="N1889" s="78"/>
      <c r="O1889" s="78"/>
      <c r="P1889" s="153"/>
      <c r="Q1889" s="78"/>
      <c r="R1889" s="78"/>
      <c r="S1889" s="153"/>
      <c r="T1889" s="78"/>
      <c r="U1889" s="78"/>
      <c r="V1889" s="152"/>
      <c r="W1889" s="78"/>
      <c r="X1889" s="78"/>
    </row>
    <row r="1890" spans="1:24" ht="42" customHeight="1">
      <c r="A1890" s="78"/>
      <c r="B1890" s="149"/>
      <c r="C1890" s="149"/>
      <c r="D1890" s="78"/>
      <c r="E1890" s="78"/>
      <c r="F1890" s="78"/>
      <c r="G1890" s="150"/>
      <c r="H1890" s="78"/>
      <c r="I1890" s="151"/>
      <c r="J1890" s="78"/>
      <c r="K1890" s="78"/>
      <c r="L1890" s="78"/>
      <c r="M1890" s="153"/>
      <c r="N1890" s="78"/>
      <c r="O1890" s="78"/>
      <c r="P1890" s="153"/>
      <c r="Q1890" s="78"/>
      <c r="R1890" s="78"/>
      <c r="S1890" s="153"/>
      <c r="T1890" s="78"/>
      <c r="U1890" s="78"/>
      <c r="V1890" s="152"/>
      <c r="W1890" s="78"/>
      <c r="X1890" s="78"/>
    </row>
    <row r="1891" spans="1:24" ht="42" customHeight="1">
      <c r="A1891" s="78"/>
      <c r="B1891" s="149"/>
      <c r="C1891" s="149"/>
      <c r="D1891" s="78"/>
      <c r="E1891" s="78"/>
      <c r="F1891" s="78"/>
      <c r="G1891" s="150"/>
      <c r="H1891" s="78"/>
      <c r="I1891" s="151"/>
      <c r="J1891" s="78"/>
      <c r="K1891" s="78"/>
      <c r="L1891" s="78"/>
      <c r="M1891" s="153"/>
      <c r="N1891" s="78"/>
      <c r="O1891" s="78"/>
      <c r="P1891" s="153"/>
      <c r="Q1891" s="78"/>
      <c r="R1891" s="78"/>
      <c r="S1891" s="153"/>
      <c r="T1891" s="78"/>
      <c r="U1891" s="78"/>
      <c r="V1891" s="152"/>
      <c r="W1891" s="78"/>
      <c r="X1891" s="78"/>
    </row>
    <row r="1892" spans="1:24" ht="42" customHeight="1">
      <c r="A1892" s="78"/>
      <c r="B1892" s="149"/>
      <c r="C1892" s="149"/>
      <c r="D1892" s="78"/>
      <c r="E1892" s="78"/>
      <c r="F1892" s="78"/>
      <c r="G1892" s="150"/>
      <c r="H1892" s="78"/>
      <c r="I1892" s="151"/>
      <c r="J1892" s="78"/>
      <c r="K1892" s="78"/>
      <c r="L1892" s="78"/>
      <c r="M1892" s="153"/>
      <c r="N1892" s="78"/>
      <c r="O1892" s="78"/>
      <c r="P1892" s="153"/>
      <c r="Q1892" s="78"/>
      <c r="R1892" s="78"/>
      <c r="S1892" s="153"/>
      <c r="T1892" s="78"/>
      <c r="U1892" s="78"/>
      <c r="V1892" s="152"/>
      <c r="W1892" s="78"/>
      <c r="X1892" s="78"/>
    </row>
    <row r="1893" spans="1:24" ht="42" customHeight="1">
      <c r="A1893" s="78"/>
      <c r="B1893" s="149"/>
      <c r="C1893" s="149"/>
      <c r="D1893" s="78"/>
      <c r="E1893" s="78"/>
      <c r="F1893" s="78"/>
      <c r="G1893" s="150"/>
      <c r="H1893" s="78"/>
      <c r="I1893" s="151"/>
      <c r="J1893" s="78"/>
      <c r="K1893" s="78"/>
      <c r="L1893" s="78"/>
      <c r="M1893" s="153"/>
      <c r="N1893" s="78"/>
      <c r="O1893" s="78"/>
      <c r="P1893" s="153"/>
      <c r="Q1893" s="78"/>
      <c r="R1893" s="78"/>
      <c r="S1893" s="153"/>
      <c r="T1893" s="78"/>
      <c r="U1893" s="78"/>
      <c r="V1893" s="152"/>
      <c r="W1893" s="78"/>
      <c r="X1893" s="78"/>
    </row>
    <row r="1894" spans="1:24" ht="42" customHeight="1">
      <c r="A1894" s="78"/>
      <c r="B1894" s="149"/>
      <c r="C1894" s="149"/>
      <c r="D1894" s="78"/>
      <c r="E1894" s="78"/>
      <c r="F1894" s="78"/>
      <c r="G1894" s="150"/>
      <c r="H1894" s="78"/>
      <c r="I1894" s="151"/>
      <c r="J1894" s="78"/>
      <c r="K1894" s="78"/>
      <c r="L1894" s="78"/>
      <c r="M1894" s="153"/>
      <c r="N1894" s="78"/>
      <c r="O1894" s="78"/>
      <c r="P1894" s="153"/>
      <c r="Q1894" s="78"/>
      <c r="R1894" s="78"/>
      <c r="S1894" s="153"/>
      <c r="T1894" s="78"/>
      <c r="U1894" s="78"/>
      <c r="V1894" s="152"/>
      <c r="W1894" s="78"/>
      <c r="X1894" s="78"/>
    </row>
    <row r="1895" spans="1:24" ht="42" customHeight="1">
      <c r="A1895" s="78"/>
      <c r="B1895" s="149"/>
      <c r="C1895" s="149"/>
      <c r="D1895" s="78"/>
      <c r="E1895" s="78"/>
      <c r="F1895" s="78"/>
      <c r="G1895" s="150"/>
      <c r="H1895" s="78"/>
      <c r="I1895" s="151"/>
      <c r="J1895" s="78"/>
      <c r="K1895" s="78"/>
      <c r="L1895" s="78"/>
      <c r="M1895" s="153"/>
      <c r="N1895" s="78"/>
      <c r="O1895" s="78"/>
      <c r="P1895" s="153"/>
      <c r="Q1895" s="78"/>
      <c r="R1895" s="78"/>
      <c r="S1895" s="153"/>
      <c r="T1895" s="78"/>
      <c r="U1895" s="78"/>
      <c r="V1895" s="152"/>
      <c r="W1895" s="78"/>
      <c r="X1895" s="78"/>
    </row>
    <row r="1896" spans="1:24" ht="42" customHeight="1">
      <c r="A1896" s="78"/>
      <c r="B1896" s="149"/>
      <c r="C1896" s="149"/>
      <c r="D1896" s="78"/>
      <c r="E1896" s="78"/>
      <c r="F1896" s="78"/>
      <c r="G1896" s="150"/>
      <c r="H1896" s="78"/>
      <c r="I1896" s="151"/>
      <c r="J1896" s="78"/>
      <c r="K1896" s="78"/>
      <c r="L1896" s="78"/>
      <c r="M1896" s="153"/>
      <c r="N1896" s="78"/>
      <c r="O1896" s="78"/>
      <c r="P1896" s="153"/>
      <c r="Q1896" s="78"/>
      <c r="R1896" s="78"/>
      <c r="S1896" s="153"/>
      <c r="T1896" s="78"/>
      <c r="U1896" s="78"/>
      <c r="V1896" s="152"/>
      <c r="W1896" s="78"/>
      <c r="X1896" s="78"/>
    </row>
    <row r="1897" spans="1:24" ht="42" customHeight="1">
      <c r="A1897" s="78"/>
      <c r="B1897" s="149"/>
      <c r="C1897" s="149"/>
      <c r="D1897" s="78"/>
      <c r="E1897" s="78"/>
      <c r="F1897" s="78"/>
      <c r="G1897" s="150"/>
      <c r="H1897" s="78"/>
      <c r="I1897" s="151"/>
      <c r="J1897" s="78"/>
      <c r="K1897" s="78"/>
      <c r="L1897" s="78"/>
      <c r="M1897" s="153"/>
      <c r="N1897" s="78"/>
      <c r="O1897" s="78"/>
      <c r="P1897" s="153"/>
      <c r="Q1897" s="78"/>
      <c r="R1897" s="78"/>
      <c r="S1897" s="153"/>
      <c r="T1897" s="78"/>
      <c r="U1897" s="78"/>
      <c r="V1897" s="152"/>
      <c r="W1897" s="78"/>
      <c r="X1897" s="78"/>
    </row>
    <row r="1898" spans="1:24" ht="42" customHeight="1">
      <c r="A1898" s="78"/>
      <c r="B1898" s="149"/>
      <c r="C1898" s="149"/>
      <c r="D1898" s="78"/>
      <c r="E1898" s="78"/>
      <c r="F1898" s="78"/>
      <c r="G1898" s="150"/>
      <c r="H1898" s="78"/>
      <c r="I1898" s="151"/>
      <c r="J1898" s="78"/>
      <c r="K1898" s="78"/>
      <c r="L1898" s="78"/>
      <c r="M1898" s="153"/>
      <c r="N1898" s="78"/>
      <c r="O1898" s="78"/>
      <c r="P1898" s="153"/>
      <c r="Q1898" s="78"/>
      <c r="R1898" s="78"/>
      <c r="S1898" s="153"/>
      <c r="T1898" s="78"/>
      <c r="U1898" s="78"/>
      <c r="V1898" s="152"/>
      <c r="W1898" s="78"/>
      <c r="X1898" s="78"/>
    </row>
    <row r="1899" spans="1:24" ht="42" customHeight="1">
      <c r="A1899" s="78"/>
      <c r="B1899" s="149"/>
      <c r="C1899" s="149"/>
      <c r="D1899" s="78"/>
      <c r="E1899" s="78"/>
      <c r="F1899" s="78"/>
      <c r="G1899" s="150"/>
      <c r="H1899" s="78"/>
      <c r="I1899" s="151"/>
      <c r="J1899" s="78"/>
      <c r="K1899" s="78"/>
      <c r="L1899" s="78"/>
      <c r="M1899" s="153"/>
      <c r="N1899" s="78"/>
      <c r="O1899" s="78"/>
      <c r="P1899" s="153"/>
      <c r="Q1899" s="78"/>
      <c r="R1899" s="78"/>
      <c r="S1899" s="153"/>
      <c r="T1899" s="78"/>
      <c r="U1899" s="78"/>
      <c r="V1899" s="152"/>
      <c r="W1899" s="78"/>
      <c r="X1899" s="78"/>
    </row>
    <row r="1900" spans="1:24" ht="42" customHeight="1">
      <c r="A1900" s="78"/>
      <c r="B1900" s="149"/>
      <c r="C1900" s="149"/>
      <c r="D1900" s="78"/>
      <c r="E1900" s="78"/>
      <c r="F1900" s="78"/>
      <c r="G1900" s="150"/>
      <c r="H1900" s="78"/>
      <c r="I1900" s="151"/>
      <c r="J1900" s="78"/>
      <c r="K1900" s="78"/>
      <c r="L1900" s="78"/>
      <c r="M1900" s="153"/>
      <c r="N1900" s="78"/>
      <c r="O1900" s="78"/>
      <c r="P1900" s="153"/>
      <c r="Q1900" s="78"/>
      <c r="R1900" s="78"/>
      <c r="S1900" s="153"/>
      <c r="T1900" s="78"/>
      <c r="U1900" s="78"/>
      <c r="V1900" s="152"/>
      <c r="W1900" s="78"/>
      <c r="X1900" s="78"/>
    </row>
    <row r="1901" spans="1:24" ht="42" customHeight="1">
      <c r="A1901" s="78"/>
      <c r="B1901" s="149"/>
      <c r="C1901" s="149"/>
      <c r="D1901" s="78"/>
      <c r="E1901" s="78"/>
      <c r="F1901" s="78"/>
      <c r="G1901" s="150"/>
      <c r="H1901" s="78"/>
      <c r="I1901" s="151"/>
      <c r="J1901" s="78"/>
      <c r="K1901" s="78"/>
      <c r="L1901" s="78"/>
      <c r="M1901" s="153"/>
      <c r="N1901" s="78"/>
      <c r="O1901" s="78"/>
      <c r="P1901" s="153"/>
      <c r="Q1901" s="78"/>
      <c r="R1901" s="78"/>
      <c r="S1901" s="153"/>
      <c r="T1901" s="78"/>
      <c r="U1901" s="78"/>
      <c r="V1901" s="152"/>
      <c r="W1901" s="78"/>
      <c r="X1901" s="78"/>
    </row>
    <row r="1902" spans="1:24" ht="42" customHeight="1">
      <c r="A1902" s="78"/>
      <c r="B1902" s="149"/>
      <c r="C1902" s="149"/>
      <c r="D1902" s="78"/>
      <c r="E1902" s="78"/>
      <c r="F1902" s="78"/>
      <c r="G1902" s="150"/>
      <c r="H1902" s="78"/>
      <c r="I1902" s="151"/>
      <c r="J1902" s="78"/>
      <c r="K1902" s="78"/>
      <c r="L1902" s="78"/>
      <c r="M1902" s="153"/>
      <c r="N1902" s="78"/>
      <c r="O1902" s="78"/>
      <c r="P1902" s="153"/>
      <c r="Q1902" s="78"/>
      <c r="R1902" s="78"/>
      <c r="S1902" s="153"/>
      <c r="T1902" s="78"/>
      <c r="U1902" s="78"/>
      <c r="V1902" s="152"/>
      <c r="W1902" s="78"/>
      <c r="X1902" s="78"/>
    </row>
    <row r="1903" spans="1:24" ht="42" customHeight="1">
      <c r="A1903" s="78"/>
      <c r="B1903" s="149"/>
      <c r="C1903" s="149"/>
      <c r="D1903" s="78"/>
      <c r="E1903" s="78"/>
      <c r="F1903" s="78"/>
      <c r="G1903" s="150"/>
      <c r="H1903" s="78"/>
      <c r="I1903" s="151"/>
      <c r="J1903" s="78"/>
      <c r="K1903" s="78"/>
      <c r="L1903" s="78"/>
      <c r="M1903" s="153"/>
      <c r="N1903" s="78"/>
      <c r="O1903" s="78"/>
      <c r="P1903" s="153"/>
      <c r="Q1903" s="78"/>
      <c r="R1903" s="78"/>
      <c r="S1903" s="153"/>
      <c r="T1903" s="78"/>
      <c r="U1903" s="78"/>
      <c r="V1903" s="152"/>
      <c r="W1903" s="78"/>
      <c r="X1903" s="78"/>
    </row>
    <row r="1904" spans="1:24" ht="42" customHeight="1">
      <c r="A1904" s="78"/>
      <c r="B1904" s="149"/>
      <c r="C1904" s="149"/>
      <c r="D1904" s="78"/>
      <c r="E1904" s="78"/>
      <c r="F1904" s="78"/>
      <c r="G1904" s="150"/>
      <c r="H1904" s="78"/>
      <c r="I1904" s="151"/>
      <c r="J1904" s="78"/>
      <c r="K1904" s="78"/>
      <c r="L1904" s="78"/>
      <c r="M1904" s="153"/>
      <c r="N1904" s="78"/>
      <c r="O1904" s="78"/>
      <c r="P1904" s="153"/>
      <c r="Q1904" s="78"/>
      <c r="R1904" s="78"/>
      <c r="S1904" s="153"/>
      <c r="T1904" s="78"/>
      <c r="U1904" s="78"/>
      <c r="V1904" s="152"/>
      <c r="W1904" s="78"/>
      <c r="X1904" s="78"/>
    </row>
    <row r="1905" spans="1:24" ht="42" customHeight="1">
      <c r="A1905" s="78"/>
      <c r="B1905" s="149"/>
      <c r="C1905" s="149"/>
      <c r="D1905" s="78"/>
      <c r="E1905" s="78"/>
      <c r="F1905" s="78"/>
      <c r="G1905" s="150"/>
      <c r="H1905" s="78"/>
      <c r="I1905" s="151"/>
      <c r="J1905" s="78"/>
      <c r="K1905" s="78"/>
      <c r="L1905" s="78"/>
      <c r="M1905" s="153"/>
      <c r="N1905" s="78"/>
      <c r="O1905" s="78"/>
      <c r="P1905" s="153"/>
      <c r="Q1905" s="78"/>
      <c r="R1905" s="78"/>
      <c r="S1905" s="153"/>
      <c r="T1905" s="78"/>
      <c r="U1905" s="78"/>
      <c r="V1905" s="152"/>
      <c r="W1905" s="78"/>
      <c r="X1905" s="78"/>
    </row>
    <row r="1906" spans="1:24" ht="42" customHeight="1">
      <c r="A1906" s="78"/>
      <c r="B1906" s="149"/>
      <c r="C1906" s="149"/>
      <c r="D1906" s="78"/>
      <c r="E1906" s="78"/>
      <c r="F1906" s="78"/>
      <c r="G1906" s="150"/>
      <c r="H1906" s="78"/>
      <c r="I1906" s="151"/>
      <c r="J1906" s="78"/>
      <c r="K1906" s="78"/>
      <c r="L1906" s="78"/>
      <c r="M1906" s="153"/>
      <c r="N1906" s="78"/>
      <c r="O1906" s="78"/>
      <c r="P1906" s="153"/>
      <c r="Q1906" s="78"/>
      <c r="R1906" s="78"/>
      <c r="S1906" s="153"/>
      <c r="T1906" s="78"/>
      <c r="U1906" s="78"/>
      <c r="V1906" s="152"/>
      <c r="W1906" s="78"/>
      <c r="X1906" s="78"/>
    </row>
    <row r="1907" spans="1:24" ht="42" customHeight="1">
      <c r="A1907" s="78"/>
      <c r="B1907" s="149"/>
      <c r="C1907" s="149"/>
      <c r="D1907" s="78"/>
      <c r="E1907" s="78"/>
      <c r="F1907" s="78"/>
      <c r="G1907" s="150"/>
      <c r="H1907" s="78"/>
      <c r="I1907" s="151"/>
      <c r="J1907" s="78"/>
      <c r="K1907" s="78"/>
      <c r="L1907" s="78"/>
      <c r="M1907" s="153"/>
      <c r="N1907" s="78"/>
      <c r="O1907" s="78"/>
      <c r="P1907" s="153"/>
      <c r="Q1907" s="78"/>
      <c r="R1907" s="78"/>
      <c r="S1907" s="153"/>
      <c r="T1907" s="78"/>
      <c r="U1907" s="78"/>
      <c r="V1907" s="152"/>
      <c r="W1907" s="78"/>
      <c r="X1907" s="78"/>
    </row>
    <row r="1908" spans="1:24" ht="42" customHeight="1">
      <c r="A1908" s="78"/>
      <c r="B1908" s="149"/>
      <c r="C1908" s="149"/>
      <c r="D1908" s="78"/>
      <c r="E1908" s="78"/>
      <c r="F1908" s="78"/>
      <c r="G1908" s="150"/>
      <c r="H1908" s="78"/>
      <c r="I1908" s="151"/>
      <c r="J1908" s="78"/>
      <c r="K1908" s="78"/>
      <c r="L1908" s="78"/>
      <c r="M1908" s="153"/>
      <c r="N1908" s="78"/>
      <c r="O1908" s="78"/>
      <c r="P1908" s="153"/>
      <c r="Q1908" s="78"/>
      <c r="R1908" s="78"/>
      <c r="S1908" s="153"/>
      <c r="T1908" s="78"/>
      <c r="U1908" s="78"/>
      <c r="V1908" s="152"/>
      <c r="W1908" s="78"/>
      <c r="X1908" s="78"/>
    </row>
    <row r="1909" spans="1:24" ht="42" customHeight="1">
      <c r="A1909" s="78"/>
      <c r="B1909" s="149"/>
      <c r="C1909" s="149"/>
      <c r="D1909" s="78"/>
      <c r="E1909" s="78"/>
      <c r="F1909" s="78"/>
      <c r="G1909" s="150"/>
      <c r="H1909" s="78"/>
      <c r="I1909" s="151"/>
      <c r="J1909" s="78"/>
      <c r="K1909" s="78"/>
      <c r="L1909" s="78"/>
      <c r="M1909" s="153"/>
      <c r="N1909" s="78"/>
      <c r="O1909" s="78"/>
      <c r="P1909" s="153"/>
      <c r="Q1909" s="78"/>
      <c r="R1909" s="78"/>
      <c r="S1909" s="153"/>
      <c r="T1909" s="78"/>
      <c r="U1909" s="78"/>
      <c r="V1909" s="152"/>
      <c r="W1909" s="78"/>
      <c r="X1909" s="78"/>
    </row>
    <row r="1910" spans="1:24" ht="42" customHeight="1">
      <c r="A1910" s="78"/>
      <c r="B1910" s="149"/>
      <c r="C1910" s="149"/>
      <c r="D1910" s="78"/>
      <c r="E1910" s="78"/>
      <c r="F1910" s="78"/>
      <c r="G1910" s="150"/>
      <c r="H1910" s="78"/>
      <c r="I1910" s="151"/>
      <c r="J1910" s="78"/>
      <c r="K1910" s="78"/>
      <c r="L1910" s="78"/>
      <c r="M1910" s="153"/>
      <c r="N1910" s="78"/>
      <c r="O1910" s="78"/>
      <c r="P1910" s="153"/>
      <c r="Q1910" s="78"/>
      <c r="R1910" s="78"/>
      <c r="S1910" s="153"/>
      <c r="T1910" s="78"/>
      <c r="U1910" s="78"/>
      <c r="V1910" s="152"/>
      <c r="W1910" s="78"/>
      <c r="X1910" s="78"/>
    </row>
    <row r="1911" spans="1:24" ht="42" customHeight="1">
      <c r="A1911" s="78"/>
      <c r="B1911" s="149"/>
      <c r="C1911" s="149"/>
      <c r="D1911" s="78"/>
      <c r="E1911" s="78"/>
      <c r="F1911" s="78"/>
      <c r="G1911" s="150"/>
      <c r="H1911" s="78"/>
      <c r="I1911" s="151"/>
      <c r="J1911" s="78"/>
      <c r="K1911" s="78"/>
      <c r="L1911" s="78"/>
      <c r="M1911" s="153"/>
      <c r="N1911" s="78"/>
      <c r="O1911" s="78"/>
      <c r="P1911" s="153"/>
      <c r="Q1911" s="78"/>
      <c r="R1911" s="78"/>
      <c r="S1911" s="153"/>
      <c r="T1911" s="78"/>
      <c r="U1911" s="78"/>
      <c r="V1911" s="152"/>
      <c r="W1911" s="78"/>
      <c r="X1911" s="78"/>
    </row>
    <row r="1912" spans="1:24" ht="42" customHeight="1">
      <c r="A1912" s="78"/>
      <c r="B1912" s="149"/>
      <c r="C1912" s="149"/>
      <c r="D1912" s="78"/>
      <c r="E1912" s="78"/>
      <c r="F1912" s="78"/>
      <c r="G1912" s="150"/>
      <c r="H1912" s="78"/>
      <c r="I1912" s="151"/>
      <c r="J1912" s="78"/>
      <c r="K1912" s="78"/>
      <c r="L1912" s="78"/>
      <c r="M1912" s="153"/>
      <c r="N1912" s="78"/>
      <c r="O1912" s="78"/>
      <c r="P1912" s="153"/>
      <c r="Q1912" s="78"/>
      <c r="R1912" s="78"/>
      <c r="S1912" s="153"/>
      <c r="T1912" s="78"/>
      <c r="U1912" s="78"/>
      <c r="V1912" s="152"/>
      <c r="W1912" s="78"/>
      <c r="X1912" s="78"/>
    </row>
    <row r="1913" spans="1:24" ht="42" customHeight="1">
      <c r="A1913" s="78"/>
      <c r="B1913" s="149"/>
      <c r="C1913" s="149"/>
      <c r="D1913" s="78"/>
      <c r="E1913" s="78"/>
      <c r="F1913" s="78"/>
      <c r="G1913" s="150"/>
      <c r="H1913" s="78"/>
      <c r="I1913" s="151"/>
      <c r="J1913" s="78"/>
      <c r="K1913" s="78"/>
      <c r="L1913" s="78"/>
      <c r="M1913" s="153"/>
      <c r="N1913" s="78"/>
      <c r="O1913" s="78"/>
      <c r="P1913" s="153"/>
      <c r="Q1913" s="78"/>
      <c r="R1913" s="78"/>
      <c r="S1913" s="153"/>
      <c r="T1913" s="78"/>
      <c r="U1913" s="78"/>
      <c r="V1913" s="152"/>
      <c r="W1913" s="78"/>
      <c r="X1913" s="78"/>
    </row>
    <row r="1914" spans="1:24" ht="42" customHeight="1">
      <c r="A1914" s="78"/>
      <c r="B1914" s="149"/>
      <c r="C1914" s="149"/>
      <c r="D1914" s="78"/>
      <c r="E1914" s="78"/>
      <c r="F1914" s="78"/>
      <c r="G1914" s="150"/>
      <c r="H1914" s="78"/>
      <c r="I1914" s="151"/>
      <c r="J1914" s="78"/>
      <c r="K1914" s="78"/>
      <c r="L1914" s="78"/>
      <c r="M1914" s="153"/>
      <c r="N1914" s="78"/>
      <c r="O1914" s="78"/>
      <c r="P1914" s="153"/>
      <c r="Q1914" s="78"/>
      <c r="R1914" s="78"/>
      <c r="S1914" s="153"/>
      <c r="T1914" s="78"/>
      <c r="U1914" s="78"/>
      <c r="V1914" s="152"/>
      <c r="W1914" s="78"/>
      <c r="X1914" s="78"/>
    </row>
    <row r="1915" spans="1:24" ht="42" customHeight="1">
      <c r="A1915" s="78"/>
      <c r="B1915" s="149"/>
      <c r="C1915" s="149"/>
      <c r="D1915" s="78"/>
      <c r="E1915" s="78"/>
      <c r="F1915" s="78"/>
      <c r="G1915" s="150"/>
      <c r="H1915" s="78"/>
      <c r="I1915" s="151"/>
      <c r="J1915" s="78"/>
      <c r="K1915" s="78"/>
      <c r="L1915" s="78"/>
      <c r="M1915" s="153"/>
      <c r="N1915" s="78"/>
      <c r="O1915" s="78"/>
      <c r="P1915" s="153"/>
      <c r="Q1915" s="78"/>
      <c r="R1915" s="78"/>
      <c r="S1915" s="153"/>
      <c r="T1915" s="78"/>
      <c r="U1915" s="78"/>
      <c r="V1915" s="152"/>
      <c r="W1915" s="78"/>
      <c r="X1915" s="78"/>
    </row>
    <row r="1916" spans="1:24" ht="42" customHeight="1">
      <c r="A1916" s="78"/>
      <c r="B1916" s="149"/>
      <c r="C1916" s="149"/>
      <c r="D1916" s="78"/>
      <c r="E1916" s="78"/>
      <c r="F1916" s="78"/>
      <c r="G1916" s="150"/>
      <c r="H1916" s="78"/>
      <c r="I1916" s="151"/>
      <c r="J1916" s="78"/>
      <c r="K1916" s="78"/>
      <c r="L1916" s="78"/>
      <c r="M1916" s="153"/>
      <c r="N1916" s="78"/>
      <c r="O1916" s="78"/>
      <c r="P1916" s="153"/>
      <c r="Q1916" s="78"/>
      <c r="R1916" s="78"/>
      <c r="S1916" s="153"/>
      <c r="T1916" s="78"/>
      <c r="U1916" s="78"/>
      <c r="V1916" s="152"/>
      <c r="W1916" s="78"/>
      <c r="X1916" s="78"/>
    </row>
    <row r="1917" spans="1:24" ht="42" customHeight="1">
      <c r="A1917" s="78"/>
      <c r="B1917" s="149"/>
      <c r="C1917" s="149"/>
      <c r="D1917" s="78"/>
      <c r="E1917" s="78"/>
      <c r="F1917" s="78"/>
      <c r="G1917" s="150"/>
      <c r="H1917" s="78"/>
      <c r="I1917" s="151"/>
      <c r="J1917" s="78"/>
      <c r="K1917" s="78"/>
      <c r="L1917" s="78"/>
      <c r="M1917" s="153"/>
      <c r="N1917" s="78"/>
      <c r="O1917" s="78"/>
      <c r="P1917" s="153"/>
      <c r="Q1917" s="78"/>
      <c r="R1917" s="78"/>
      <c r="S1917" s="153"/>
      <c r="T1917" s="78"/>
      <c r="U1917" s="78"/>
      <c r="V1917" s="152"/>
      <c r="W1917" s="78"/>
      <c r="X1917" s="78"/>
    </row>
    <row r="1918" spans="1:24" ht="42" customHeight="1">
      <c r="A1918" s="78"/>
      <c r="B1918" s="149"/>
      <c r="C1918" s="149"/>
      <c r="D1918" s="78"/>
      <c r="E1918" s="78"/>
      <c r="F1918" s="78"/>
      <c r="G1918" s="150"/>
      <c r="H1918" s="78"/>
      <c r="I1918" s="151"/>
      <c r="J1918" s="78"/>
      <c r="K1918" s="78"/>
      <c r="L1918" s="78"/>
      <c r="M1918" s="153"/>
      <c r="N1918" s="78"/>
      <c r="O1918" s="78"/>
      <c r="P1918" s="153"/>
      <c r="Q1918" s="78"/>
      <c r="R1918" s="78"/>
      <c r="S1918" s="153"/>
      <c r="T1918" s="78"/>
      <c r="U1918" s="78"/>
      <c r="V1918" s="152"/>
      <c r="W1918" s="78"/>
      <c r="X1918" s="78"/>
    </row>
    <row r="1919" spans="1:24" ht="42" customHeight="1">
      <c r="A1919" s="78"/>
      <c r="B1919" s="149"/>
      <c r="C1919" s="149"/>
      <c r="D1919" s="78"/>
      <c r="E1919" s="78"/>
      <c r="F1919" s="78"/>
      <c r="G1919" s="150"/>
      <c r="H1919" s="78"/>
      <c r="I1919" s="151"/>
      <c r="J1919" s="78"/>
      <c r="K1919" s="78"/>
      <c r="L1919" s="78"/>
      <c r="M1919" s="153"/>
      <c r="N1919" s="78"/>
      <c r="O1919" s="78"/>
      <c r="P1919" s="153"/>
      <c r="Q1919" s="78"/>
      <c r="R1919" s="78"/>
      <c r="S1919" s="153"/>
      <c r="T1919" s="78"/>
      <c r="U1919" s="78"/>
      <c r="V1919" s="152"/>
      <c r="W1919" s="78"/>
      <c r="X1919" s="78"/>
    </row>
    <row r="1920" spans="1:24" ht="42" customHeight="1">
      <c r="A1920" s="78"/>
      <c r="B1920" s="149"/>
      <c r="C1920" s="149"/>
      <c r="D1920" s="78"/>
      <c r="E1920" s="78"/>
      <c r="F1920" s="78"/>
      <c r="G1920" s="150"/>
      <c r="H1920" s="78"/>
      <c r="I1920" s="151"/>
      <c r="J1920" s="78"/>
      <c r="K1920" s="78"/>
      <c r="L1920" s="78"/>
      <c r="M1920" s="153"/>
      <c r="N1920" s="78"/>
      <c r="O1920" s="78"/>
      <c r="P1920" s="153"/>
      <c r="Q1920" s="78"/>
      <c r="R1920" s="78"/>
      <c r="S1920" s="153"/>
      <c r="T1920" s="78"/>
      <c r="U1920" s="78"/>
      <c r="V1920" s="152"/>
      <c r="W1920" s="78"/>
      <c r="X1920" s="78"/>
    </row>
    <row r="1921" spans="1:24" ht="42" customHeight="1">
      <c r="A1921" s="78"/>
      <c r="B1921" s="149"/>
      <c r="C1921" s="149"/>
      <c r="D1921" s="78"/>
      <c r="E1921" s="78"/>
      <c r="F1921" s="78"/>
      <c r="G1921" s="150"/>
      <c r="H1921" s="78"/>
      <c r="I1921" s="151"/>
      <c r="J1921" s="78"/>
      <c r="K1921" s="78"/>
      <c r="L1921" s="78"/>
      <c r="M1921" s="153"/>
      <c r="N1921" s="78"/>
      <c r="O1921" s="78"/>
      <c r="P1921" s="153"/>
      <c r="Q1921" s="78"/>
      <c r="R1921" s="78"/>
      <c r="S1921" s="153"/>
      <c r="T1921" s="78"/>
      <c r="U1921" s="78"/>
      <c r="V1921" s="152"/>
      <c r="W1921" s="78"/>
      <c r="X1921" s="78"/>
    </row>
    <row r="1922" spans="1:24" ht="42" customHeight="1">
      <c r="A1922" s="78"/>
      <c r="B1922" s="149"/>
      <c r="C1922" s="149"/>
      <c r="D1922" s="78"/>
      <c r="E1922" s="78"/>
      <c r="F1922" s="78"/>
      <c r="G1922" s="150"/>
      <c r="H1922" s="78"/>
      <c r="I1922" s="151"/>
      <c r="J1922" s="78"/>
      <c r="K1922" s="78"/>
      <c r="L1922" s="78"/>
      <c r="M1922" s="153"/>
      <c r="N1922" s="78"/>
      <c r="O1922" s="78"/>
      <c r="P1922" s="153"/>
      <c r="Q1922" s="78"/>
      <c r="R1922" s="78"/>
      <c r="S1922" s="153"/>
      <c r="T1922" s="78"/>
      <c r="U1922" s="78"/>
      <c r="V1922" s="152"/>
      <c r="W1922" s="78"/>
      <c r="X1922" s="78"/>
    </row>
    <row r="1923" spans="1:24" ht="42" customHeight="1">
      <c r="A1923" s="78"/>
      <c r="B1923" s="149"/>
      <c r="C1923" s="149"/>
      <c r="D1923" s="78"/>
      <c r="E1923" s="78"/>
      <c r="F1923" s="78"/>
      <c r="G1923" s="150"/>
      <c r="H1923" s="78"/>
      <c r="I1923" s="151"/>
      <c r="J1923" s="78"/>
      <c r="K1923" s="78"/>
      <c r="L1923" s="78"/>
      <c r="M1923" s="153"/>
      <c r="N1923" s="78"/>
      <c r="O1923" s="78"/>
      <c r="P1923" s="153"/>
      <c r="Q1923" s="78"/>
      <c r="R1923" s="78"/>
      <c r="S1923" s="153"/>
      <c r="T1923" s="78"/>
      <c r="U1923" s="78"/>
      <c r="V1923" s="152"/>
      <c r="W1923" s="78"/>
      <c r="X1923" s="78"/>
    </row>
    <row r="1924" spans="1:24" ht="42" customHeight="1">
      <c r="A1924" s="78"/>
      <c r="B1924" s="149"/>
      <c r="C1924" s="149"/>
      <c r="D1924" s="78"/>
      <c r="E1924" s="78"/>
      <c r="F1924" s="78"/>
      <c r="G1924" s="150"/>
      <c r="H1924" s="78"/>
      <c r="I1924" s="151"/>
      <c r="J1924" s="78"/>
      <c r="K1924" s="78"/>
      <c r="L1924" s="78"/>
      <c r="M1924" s="153"/>
      <c r="N1924" s="78"/>
      <c r="O1924" s="78"/>
      <c r="P1924" s="153"/>
      <c r="Q1924" s="78"/>
      <c r="R1924" s="78"/>
      <c r="S1924" s="153"/>
      <c r="T1924" s="78"/>
      <c r="U1924" s="78"/>
      <c r="V1924" s="152"/>
      <c r="W1924" s="78"/>
      <c r="X1924" s="78"/>
    </row>
    <row r="1925" spans="1:24" ht="42" customHeight="1">
      <c r="A1925" s="78"/>
      <c r="B1925" s="149"/>
      <c r="C1925" s="149"/>
      <c r="D1925" s="78"/>
      <c r="E1925" s="78"/>
      <c r="F1925" s="78"/>
      <c r="G1925" s="150"/>
      <c r="H1925" s="78"/>
      <c r="I1925" s="151"/>
      <c r="J1925" s="78"/>
      <c r="K1925" s="78"/>
      <c r="L1925" s="78"/>
      <c r="M1925" s="153"/>
      <c r="N1925" s="78"/>
      <c r="O1925" s="78"/>
      <c r="P1925" s="153"/>
      <c r="Q1925" s="78"/>
      <c r="R1925" s="78"/>
      <c r="S1925" s="153"/>
      <c r="T1925" s="78"/>
      <c r="U1925" s="78"/>
      <c r="V1925" s="152"/>
      <c r="W1925" s="78"/>
      <c r="X1925" s="78"/>
    </row>
    <row r="1926" spans="1:24" ht="42" customHeight="1">
      <c r="A1926" s="78"/>
      <c r="B1926" s="149"/>
      <c r="C1926" s="149"/>
      <c r="D1926" s="78"/>
      <c r="E1926" s="78"/>
      <c r="F1926" s="78"/>
      <c r="G1926" s="150"/>
      <c r="H1926" s="78"/>
      <c r="I1926" s="151"/>
      <c r="J1926" s="78"/>
      <c r="K1926" s="78"/>
      <c r="L1926" s="78"/>
      <c r="M1926" s="153"/>
      <c r="N1926" s="78"/>
      <c r="O1926" s="78"/>
      <c r="P1926" s="153"/>
      <c r="Q1926" s="78"/>
      <c r="R1926" s="78"/>
      <c r="S1926" s="153"/>
      <c r="T1926" s="78"/>
      <c r="U1926" s="78"/>
      <c r="V1926" s="152"/>
      <c r="W1926" s="78"/>
      <c r="X1926" s="78"/>
    </row>
    <row r="1927" spans="1:24" ht="42" customHeight="1">
      <c r="A1927" s="78"/>
      <c r="B1927" s="149"/>
      <c r="C1927" s="149"/>
      <c r="D1927" s="78"/>
      <c r="E1927" s="78"/>
      <c r="F1927" s="78"/>
      <c r="G1927" s="150"/>
      <c r="H1927" s="78"/>
      <c r="I1927" s="151"/>
      <c r="J1927" s="78"/>
      <c r="K1927" s="78"/>
      <c r="L1927" s="78"/>
      <c r="M1927" s="153"/>
      <c r="N1927" s="78"/>
      <c r="O1927" s="78"/>
      <c r="P1927" s="153"/>
      <c r="Q1927" s="78"/>
      <c r="R1927" s="78"/>
      <c r="S1927" s="153"/>
      <c r="T1927" s="78"/>
      <c r="U1927" s="78"/>
      <c r="V1927" s="152"/>
      <c r="W1927" s="78"/>
      <c r="X1927" s="78"/>
    </row>
    <row r="1928" spans="1:24" ht="42" customHeight="1">
      <c r="A1928" s="78"/>
      <c r="B1928" s="149"/>
      <c r="C1928" s="149"/>
      <c r="D1928" s="78"/>
      <c r="E1928" s="78"/>
      <c r="F1928" s="78"/>
      <c r="G1928" s="150"/>
      <c r="H1928" s="78"/>
      <c r="I1928" s="151"/>
      <c r="J1928" s="78"/>
      <c r="K1928" s="78"/>
      <c r="L1928" s="78"/>
      <c r="M1928" s="153"/>
      <c r="N1928" s="78"/>
      <c r="O1928" s="78"/>
      <c r="P1928" s="153"/>
      <c r="Q1928" s="78"/>
      <c r="R1928" s="78"/>
      <c r="S1928" s="153"/>
      <c r="T1928" s="78"/>
      <c r="U1928" s="78"/>
      <c r="V1928" s="152"/>
      <c r="W1928" s="78"/>
      <c r="X1928" s="78"/>
    </row>
    <row r="1929" spans="1:24" ht="42" customHeight="1">
      <c r="A1929" s="78"/>
      <c r="B1929" s="149"/>
      <c r="C1929" s="149"/>
      <c r="D1929" s="78"/>
      <c r="E1929" s="78"/>
      <c r="F1929" s="78"/>
      <c r="G1929" s="150"/>
      <c r="H1929" s="78"/>
      <c r="I1929" s="151"/>
      <c r="J1929" s="78"/>
      <c r="K1929" s="78"/>
      <c r="L1929" s="78"/>
      <c r="M1929" s="153"/>
      <c r="N1929" s="78"/>
      <c r="O1929" s="78"/>
      <c r="P1929" s="153"/>
      <c r="Q1929" s="78"/>
      <c r="R1929" s="78"/>
      <c r="S1929" s="153"/>
      <c r="T1929" s="78"/>
      <c r="U1929" s="78"/>
      <c r="V1929" s="152"/>
      <c r="W1929" s="78"/>
      <c r="X1929" s="78"/>
    </row>
    <row r="1930" spans="1:24" ht="42" customHeight="1">
      <c r="A1930" s="78"/>
      <c r="B1930" s="149"/>
      <c r="C1930" s="149"/>
      <c r="D1930" s="78"/>
      <c r="E1930" s="78"/>
      <c r="F1930" s="78"/>
      <c r="G1930" s="150"/>
      <c r="H1930" s="78"/>
      <c r="I1930" s="151"/>
      <c r="J1930" s="78"/>
      <c r="K1930" s="78"/>
      <c r="L1930" s="78"/>
      <c r="M1930" s="153"/>
      <c r="N1930" s="78"/>
      <c r="O1930" s="78"/>
      <c r="P1930" s="153"/>
      <c r="Q1930" s="78"/>
      <c r="R1930" s="78"/>
      <c r="S1930" s="153"/>
      <c r="T1930" s="78"/>
      <c r="U1930" s="78"/>
      <c r="V1930" s="152"/>
      <c r="W1930" s="78"/>
      <c r="X1930" s="78"/>
    </row>
    <row r="1931" spans="1:24" ht="42" customHeight="1">
      <c r="A1931" s="78"/>
      <c r="B1931" s="149"/>
      <c r="C1931" s="149"/>
      <c r="D1931" s="78"/>
      <c r="E1931" s="78"/>
      <c r="F1931" s="78"/>
      <c r="G1931" s="150"/>
      <c r="H1931" s="78"/>
      <c r="I1931" s="151"/>
      <c r="J1931" s="78"/>
      <c r="K1931" s="78"/>
      <c r="L1931" s="78"/>
      <c r="M1931" s="153"/>
      <c r="N1931" s="78"/>
      <c r="O1931" s="78"/>
      <c r="P1931" s="153"/>
      <c r="Q1931" s="78"/>
      <c r="R1931" s="78"/>
      <c r="S1931" s="153"/>
      <c r="T1931" s="78"/>
      <c r="U1931" s="78"/>
      <c r="V1931" s="152"/>
      <c r="W1931" s="78"/>
      <c r="X1931" s="78"/>
    </row>
    <row r="1932" spans="1:24" ht="42" customHeight="1">
      <c r="A1932" s="78"/>
      <c r="B1932" s="149"/>
      <c r="C1932" s="149"/>
      <c r="D1932" s="78"/>
      <c r="E1932" s="78"/>
      <c r="F1932" s="78"/>
      <c r="G1932" s="150"/>
      <c r="H1932" s="78"/>
      <c r="I1932" s="151"/>
      <c r="J1932" s="78"/>
      <c r="K1932" s="78"/>
      <c r="L1932" s="78"/>
      <c r="M1932" s="153"/>
      <c r="N1932" s="78"/>
      <c r="O1932" s="78"/>
      <c r="P1932" s="153"/>
      <c r="Q1932" s="78"/>
      <c r="R1932" s="78"/>
      <c r="S1932" s="153"/>
      <c r="T1932" s="78"/>
      <c r="U1932" s="78"/>
      <c r="V1932" s="152"/>
      <c r="W1932" s="78"/>
      <c r="X1932" s="78"/>
    </row>
    <row r="1933" spans="1:24" ht="42" customHeight="1">
      <c r="A1933" s="78"/>
      <c r="B1933" s="149"/>
      <c r="C1933" s="149"/>
      <c r="D1933" s="78"/>
      <c r="E1933" s="78"/>
      <c r="F1933" s="78"/>
      <c r="G1933" s="150"/>
      <c r="H1933" s="78"/>
      <c r="I1933" s="151"/>
      <c r="J1933" s="78"/>
      <c r="K1933" s="78"/>
      <c r="L1933" s="78"/>
      <c r="M1933" s="153"/>
      <c r="N1933" s="78"/>
      <c r="O1933" s="78"/>
      <c r="P1933" s="153"/>
      <c r="Q1933" s="78"/>
      <c r="R1933" s="78"/>
      <c r="S1933" s="153"/>
      <c r="T1933" s="78"/>
      <c r="U1933" s="78"/>
      <c r="V1933" s="152"/>
      <c r="W1933" s="78"/>
      <c r="X1933" s="78"/>
    </row>
    <row r="1934" spans="1:24" ht="42" customHeight="1">
      <c r="A1934" s="78"/>
      <c r="B1934" s="149"/>
      <c r="C1934" s="149"/>
      <c r="D1934" s="78"/>
      <c r="E1934" s="78"/>
      <c r="F1934" s="78"/>
      <c r="G1934" s="150"/>
      <c r="H1934" s="78"/>
      <c r="I1934" s="151"/>
      <c r="J1934" s="78"/>
      <c r="K1934" s="78"/>
      <c r="L1934" s="78"/>
      <c r="M1934" s="153"/>
      <c r="N1934" s="78"/>
      <c r="O1934" s="78"/>
      <c r="P1934" s="153"/>
      <c r="Q1934" s="78"/>
      <c r="R1934" s="78"/>
      <c r="S1934" s="153"/>
      <c r="T1934" s="78"/>
      <c r="U1934" s="78"/>
      <c r="V1934" s="152"/>
      <c r="W1934" s="78"/>
      <c r="X1934" s="78"/>
    </row>
    <row r="1935" spans="1:24" ht="42" customHeight="1">
      <c r="A1935" s="78"/>
      <c r="B1935" s="149"/>
      <c r="C1935" s="149"/>
      <c r="D1935" s="78"/>
      <c r="E1935" s="78"/>
      <c r="F1935" s="78"/>
      <c r="G1935" s="150"/>
      <c r="H1935" s="78"/>
      <c r="I1935" s="151"/>
      <c r="J1935" s="78"/>
      <c r="K1935" s="78"/>
      <c r="L1935" s="78"/>
      <c r="M1935" s="153"/>
      <c r="N1935" s="78"/>
      <c r="O1935" s="78"/>
      <c r="P1935" s="153"/>
      <c r="Q1935" s="78"/>
      <c r="R1935" s="78"/>
      <c r="S1935" s="153"/>
      <c r="T1935" s="78"/>
      <c r="U1935" s="78"/>
      <c r="V1935" s="152"/>
      <c r="W1935" s="78"/>
      <c r="X1935" s="78"/>
    </row>
    <row r="1936" spans="1:24" ht="42" customHeight="1">
      <c r="A1936" s="78"/>
      <c r="B1936" s="149"/>
      <c r="C1936" s="149"/>
      <c r="D1936" s="78"/>
      <c r="E1936" s="78"/>
      <c r="F1936" s="78"/>
      <c r="G1936" s="150"/>
      <c r="H1936" s="78"/>
      <c r="I1936" s="151"/>
      <c r="J1936" s="78"/>
      <c r="K1936" s="78"/>
      <c r="L1936" s="78"/>
      <c r="M1936" s="153"/>
      <c r="N1936" s="78"/>
      <c r="O1936" s="78"/>
      <c r="P1936" s="153"/>
      <c r="Q1936" s="78"/>
      <c r="R1936" s="78"/>
      <c r="S1936" s="153"/>
      <c r="T1936" s="78"/>
      <c r="U1936" s="78"/>
      <c r="V1936" s="152"/>
      <c r="W1936" s="78"/>
      <c r="X1936" s="78"/>
    </row>
    <row r="1937" spans="1:24" ht="42" customHeight="1">
      <c r="A1937" s="78"/>
      <c r="B1937" s="149"/>
      <c r="C1937" s="149"/>
      <c r="D1937" s="78"/>
      <c r="E1937" s="78"/>
      <c r="F1937" s="78"/>
      <c r="G1937" s="150"/>
      <c r="H1937" s="78"/>
      <c r="I1937" s="151"/>
      <c r="J1937" s="78"/>
      <c r="K1937" s="78"/>
      <c r="L1937" s="78"/>
      <c r="M1937" s="153"/>
      <c r="N1937" s="78"/>
      <c r="O1937" s="78"/>
      <c r="P1937" s="153"/>
      <c r="Q1937" s="78"/>
      <c r="R1937" s="78"/>
      <c r="S1937" s="153"/>
      <c r="T1937" s="78"/>
      <c r="U1937" s="78"/>
      <c r="V1937" s="152"/>
      <c r="W1937" s="78"/>
      <c r="X1937" s="78"/>
    </row>
    <row r="1938" spans="1:24" ht="42" customHeight="1">
      <c r="A1938" s="78"/>
      <c r="B1938" s="149"/>
      <c r="C1938" s="149"/>
      <c r="D1938" s="78"/>
      <c r="E1938" s="78"/>
      <c r="F1938" s="78"/>
      <c r="G1938" s="150"/>
      <c r="H1938" s="78"/>
      <c r="I1938" s="151"/>
      <c r="J1938" s="78"/>
      <c r="K1938" s="78"/>
      <c r="L1938" s="78"/>
      <c r="M1938" s="153"/>
      <c r="N1938" s="78"/>
      <c r="O1938" s="78"/>
      <c r="P1938" s="153"/>
      <c r="Q1938" s="78"/>
      <c r="R1938" s="78"/>
      <c r="S1938" s="153"/>
      <c r="T1938" s="78"/>
      <c r="U1938" s="78"/>
      <c r="V1938" s="152"/>
      <c r="W1938" s="78"/>
      <c r="X1938" s="78"/>
    </row>
    <row r="1939" spans="1:24" ht="42" customHeight="1">
      <c r="A1939" s="78"/>
      <c r="B1939" s="149"/>
      <c r="C1939" s="149"/>
      <c r="D1939" s="78"/>
      <c r="E1939" s="78"/>
      <c r="F1939" s="78"/>
      <c r="G1939" s="150"/>
      <c r="H1939" s="78"/>
      <c r="I1939" s="151"/>
      <c r="J1939" s="78"/>
      <c r="K1939" s="78"/>
      <c r="L1939" s="78"/>
      <c r="M1939" s="153"/>
      <c r="N1939" s="78"/>
      <c r="O1939" s="78"/>
      <c r="P1939" s="153"/>
      <c r="Q1939" s="78"/>
      <c r="R1939" s="78"/>
      <c r="S1939" s="153"/>
      <c r="T1939" s="78"/>
      <c r="U1939" s="78"/>
      <c r="V1939" s="152"/>
      <c r="W1939" s="78"/>
      <c r="X1939" s="78"/>
    </row>
    <row r="1940" spans="1:24" ht="42" customHeight="1">
      <c r="A1940" s="78"/>
      <c r="B1940" s="149"/>
      <c r="C1940" s="149"/>
      <c r="D1940" s="78"/>
      <c r="E1940" s="78"/>
      <c r="F1940" s="78"/>
      <c r="G1940" s="150"/>
      <c r="H1940" s="78"/>
      <c r="I1940" s="151"/>
      <c r="J1940" s="78"/>
      <c r="K1940" s="78"/>
      <c r="L1940" s="78"/>
      <c r="M1940" s="153"/>
      <c r="N1940" s="78"/>
      <c r="O1940" s="78"/>
      <c r="P1940" s="153"/>
      <c r="Q1940" s="78"/>
      <c r="R1940" s="78"/>
      <c r="S1940" s="153"/>
      <c r="T1940" s="78"/>
      <c r="U1940" s="78"/>
      <c r="V1940" s="152"/>
      <c r="W1940" s="78"/>
      <c r="X1940" s="78"/>
    </row>
    <row r="1941" spans="1:24" ht="42" customHeight="1">
      <c r="A1941" s="78"/>
      <c r="B1941" s="149"/>
      <c r="C1941" s="149"/>
      <c r="D1941" s="78"/>
      <c r="E1941" s="78"/>
      <c r="F1941" s="78"/>
      <c r="G1941" s="150"/>
      <c r="H1941" s="78"/>
      <c r="I1941" s="151"/>
      <c r="J1941" s="78"/>
      <c r="K1941" s="78"/>
      <c r="L1941" s="78"/>
      <c r="M1941" s="153"/>
      <c r="N1941" s="78"/>
      <c r="O1941" s="78"/>
      <c r="P1941" s="153"/>
      <c r="Q1941" s="78"/>
      <c r="R1941" s="78"/>
      <c r="S1941" s="153"/>
      <c r="T1941" s="78"/>
      <c r="U1941" s="78"/>
      <c r="V1941" s="152"/>
      <c r="W1941" s="78"/>
      <c r="X1941" s="78"/>
    </row>
    <row r="1942" spans="1:24" ht="42" customHeight="1">
      <c r="A1942" s="78"/>
      <c r="B1942" s="149"/>
      <c r="C1942" s="149"/>
      <c r="D1942" s="78"/>
      <c r="E1942" s="78"/>
      <c r="F1942" s="78"/>
      <c r="G1942" s="150"/>
      <c r="H1942" s="78"/>
      <c r="I1942" s="151"/>
      <c r="J1942" s="78"/>
      <c r="K1942" s="78"/>
      <c r="L1942" s="78"/>
      <c r="M1942" s="153"/>
      <c r="N1942" s="78"/>
      <c r="O1942" s="78"/>
      <c r="P1942" s="153"/>
      <c r="Q1942" s="78"/>
      <c r="R1942" s="78"/>
      <c r="S1942" s="153"/>
      <c r="T1942" s="78"/>
      <c r="U1942" s="78"/>
      <c r="V1942" s="152"/>
      <c r="W1942" s="78"/>
      <c r="X1942" s="78"/>
    </row>
    <row r="1943" spans="1:24" ht="42" customHeight="1">
      <c r="A1943" s="78"/>
      <c r="B1943" s="149"/>
      <c r="C1943" s="149"/>
      <c r="D1943" s="78"/>
      <c r="E1943" s="78"/>
      <c r="F1943" s="78"/>
      <c r="G1943" s="150"/>
      <c r="H1943" s="78"/>
      <c r="I1943" s="151"/>
      <c r="J1943" s="78"/>
      <c r="K1943" s="78"/>
      <c r="L1943" s="78"/>
      <c r="M1943" s="153"/>
      <c r="N1943" s="78"/>
      <c r="O1943" s="78"/>
      <c r="P1943" s="153"/>
      <c r="Q1943" s="78"/>
      <c r="R1943" s="78"/>
      <c r="S1943" s="153"/>
      <c r="T1943" s="78"/>
      <c r="U1943" s="78"/>
      <c r="V1943" s="152"/>
      <c r="W1943" s="78"/>
      <c r="X1943" s="78"/>
    </row>
    <row r="1944" spans="1:24" ht="42" customHeight="1">
      <c r="A1944" s="78"/>
      <c r="B1944" s="149"/>
      <c r="C1944" s="149"/>
      <c r="D1944" s="78"/>
      <c r="E1944" s="78"/>
      <c r="F1944" s="78"/>
      <c r="G1944" s="150"/>
      <c r="H1944" s="78"/>
      <c r="I1944" s="151"/>
      <c r="J1944" s="78"/>
      <c r="K1944" s="78"/>
      <c r="L1944" s="78"/>
      <c r="M1944" s="153"/>
      <c r="N1944" s="78"/>
      <c r="O1944" s="78"/>
      <c r="P1944" s="153"/>
      <c r="Q1944" s="78"/>
      <c r="R1944" s="78"/>
      <c r="S1944" s="153"/>
      <c r="T1944" s="78"/>
      <c r="U1944" s="78"/>
      <c r="V1944" s="152"/>
      <c r="W1944" s="78"/>
      <c r="X1944" s="78"/>
    </row>
    <row r="1945" spans="1:24" ht="42" customHeight="1">
      <c r="A1945" s="78"/>
      <c r="B1945" s="149"/>
      <c r="C1945" s="149"/>
      <c r="D1945" s="78"/>
      <c r="E1945" s="78"/>
      <c r="F1945" s="78"/>
      <c r="G1945" s="150"/>
      <c r="H1945" s="78"/>
      <c r="I1945" s="151"/>
      <c r="J1945" s="78"/>
      <c r="K1945" s="78"/>
      <c r="L1945" s="78"/>
      <c r="M1945" s="153"/>
      <c r="N1945" s="78"/>
      <c r="O1945" s="78"/>
      <c r="P1945" s="153"/>
      <c r="Q1945" s="78"/>
      <c r="R1945" s="78"/>
      <c r="S1945" s="153"/>
      <c r="T1945" s="78"/>
      <c r="U1945" s="78"/>
      <c r="V1945" s="152"/>
      <c r="W1945" s="78"/>
      <c r="X1945" s="78"/>
    </row>
    <row r="1946" spans="1:24" ht="42" customHeight="1">
      <c r="A1946" s="78"/>
      <c r="B1946" s="149"/>
      <c r="C1946" s="149"/>
      <c r="D1946" s="78"/>
      <c r="E1946" s="78"/>
      <c r="F1946" s="78"/>
      <c r="G1946" s="150"/>
      <c r="H1946" s="78"/>
      <c r="I1946" s="151"/>
      <c r="J1946" s="78"/>
      <c r="K1946" s="78"/>
      <c r="L1946" s="78"/>
      <c r="M1946" s="153"/>
      <c r="N1946" s="78"/>
      <c r="O1946" s="78"/>
      <c r="P1946" s="153"/>
      <c r="Q1946" s="78"/>
      <c r="R1946" s="78"/>
      <c r="S1946" s="153"/>
      <c r="T1946" s="78"/>
      <c r="U1946" s="78"/>
      <c r="V1946" s="152"/>
      <c r="W1946" s="78"/>
      <c r="X1946" s="78"/>
    </row>
    <row r="1947" spans="1:24" ht="42" customHeight="1">
      <c r="A1947" s="78"/>
      <c r="B1947" s="149"/>
      <c r="C1947" s="149"/>
      <c r="D1947" s="78"/>
      <c r="E1947" s="78"/>
      <c r="F1947" s="78"/>
      <c r="G1947" s="150"/>
      <c r="H1947" s="78"/>
      <c r="I1947" s="151"/>
      <c r="J1947" s="78"/>
      <c r="K1947" s="78"/>
      <c r="L1947" s="78"/>
      <c r="M1947" s="153"/>
      <c r="N1947" s="78"/>
      <c r="O1947" s="78"/>
      <c r="P1947" s="153"/>
      <c r="Q1947" s="78"/>
      <c r="R1947" s="78"/>
      <c r="S1947" s="153"/>
      <c r="T1947" s="78"/>
      <c r="U1947" s="78"/>
      <c r="V1947" s="152"/>
      <c r="W1947" s="78"/>
      <c r="X1947" s="78"/>
    </row>
    <row r="1948" spans="1:24" ht="42" customHeight="1">
      <c r="A1948" s="78"/>
      <c r="B1948" s="149"/>
      <c r="C1948" s="149"/>
      <c r="D1948" s="78"/>
      <c r="E1948" s="78"/>
      <c r="F1948" s="78"/>
      <c r="G1948" s="150"/>
      <c r="H1948" s="78"/>
      <c r="I1948" s="151"/>
      <c r="J1948" s="78"/>
      <c r="K1948" s="78"/>
      <c r="L1948" s="78"/>
      <c r="M1948" s="153"/>
      <c r="N1948" s="78"/>
      <c r="O1948" s="78"/>
      <c r="P1948" s="153"/>
      <c r="Q1948" s="78"/>
      <c r="R1948" s="78"/>
      <c r="S1948" s="153"/>
      <c r="T1948" s="78"/>
      <c r="U1948" s="78"/>
      <c r="V1948" s="152"/>
      <c r="W1948" s="78"/>
      <c r="X1948" s="78"/>
    </row>
    <row r="1949" spans="1:24" ht="42" customHeight="1">
      <c r="A1949" s="78"/>
      <c r="B1949" s="149"/>
      <c r="C1949" s="149"/>
      <c r="D1949" s="78"/>
      <c r="E1949" s="78"/>
      <c r="F1949" s="78"/>
      <c r="G1949" s="150"/>
      <c r="H1949" s="78"/>
      <c r="I1949" s="151"/>
      <c r="J1949" s="78"/>
      <c r="K1949" s="78"/>
      <c r="L1949" s="78"/>
      <c r="M1949" s="153"/>
      <c r="N1949" s="78"/>
      <c r="O1949" s="78"/>
      <c r="P1949" s="153"/>
      <c r="Q1949" s="78"/>
      <c r="R1949" s="78"/>
      <c r="S1949" s="153"/>
      <c r="T1949" s="78"/>
      <c r="U1949" s="78"/>
      <c r="V1949" s="152"/>
      <c r="W1949" s="78"/>
      <c r="X1949" s="78"/>
    </row>
    <row r="1950" spans="1:24" ht="42" customHeight="1">
      <c r="A1950" s="78"/>
      <c r="B1950" s="149"/>
      <c r="C1950" s="149"/>
      <c r="D1950" s="78"/>
      <c r="E1950" s="78"/>
      <c r="F1950" s="78"/>
      <c r="G1950" s="150"/>
      <c r="H1950" s="78"/>
      <c r="I1950" s="151"/>
      <c r="J1950" s="78"/>
      <c r="K1950" s="78"/>
      <c r="L1950" s="78"/>
      <c r="M1950" s="153"/>
      <c r="N1950" s="78"/>
      <c r="O1950" s="78"/>
      <c r="P1950" s="153"/>
      <c r="Q1950" s="78"/>
      <c r="R1950" s="78"/>
      <c r="S1950" s="153"/>
      <c r="T1950" s="78"/>
      <c r="U1950" s="78"/>
      <c r="V1950" s="152"/>
      <c r="W1950" s="78"/>
      <c r="X1950" s="78"/>
    </row>
    <row r="1951" spans="1:24" ht="42" customHeight="1">
      <c r="A1951" s="78"/>
      <c r="B1951" s="149"/>
      <c r="C1951" s="149"/>
      <c r="D1951" s="78"/>
      <c r="E1951" s="78"/>
      <c r="F1951" s="78"/>
      <c r="G1951" s="150"/>
      <c r="H1951" s="78"/>
      <c r="I1951" s="151"/>
      <c r="J1951" s="78"/>
      <c r="K1951" s="78"/>
      <c r="L1951" s="78"/>
      <c r="M1951" s="153"/>
      <c r="N1951" s="78"/>
      <c r="O1951" s="78"/>
      <c r="P1951" s="153"/>
      <c r="Q1951" s="78"/>
      <c r="R1951" s="78"/>
      <c r="S1951" s="153"/>
      <c r="T1951" s="78"/>
      <c r="U1951" s="78"/>
      <c r="V1951" s="152"/>
      <c r="W1951" s="78"/>
      <c r="X1951" s="78"/>
    </row>
    <row r="1952" spans="1:24" ht="42" customHeight="1">
      <c r="A1952" s="78"/>
      <c r="B1952" s="149"/>
      <c r="C1952" s="149"/>
      <c r="D1952" s="78"/>
      <c r="E1952" s="78"/>
      <c r="F1952" s="78"/>
      <c r="G1952" s="150"/>
      <c r="H1952" s="78"/>
      <c r="I1952" s="151"/>
      <c r="J1952" s="78"/>
      <c r="K1952" s="78"/>
      <c r="L1952" s="78"/>
      <c r="M1952" s="153"/>
      <c r="N1952" s="78"/>
      <c r="O1952" s="78"/>
      <c r="P1952" s="153"/>
      <c r="Q1952" s="78"/>
      <c r="R1952" s="78"/>
      <c r="S1952" s="153"/>
      <c r="T1952" s="78"/>
      <c r="U1952" s="78"/>
      <c r="V1952" s="152"/>
      <c r="W1952" s="78"/>
      <c r="X1952" s="78"/>
    </row>
    <row r="1953" spans="1:24" ht="42" customHeight="1">
      <c r="A1953" s="78"/>
      <c r="B1953" s="149"/>
      <c r="C1953" s="149"/>
      <c r="D1953" s="78"/>
      <c r="E1953" s="78"/>
      <c r="F1953" s="78"/>
      <c r="G1953" s="150"/>
      <c r="H1953" s="78"/>
      <c r="I1953" s="151"/>
      <c r="J1953" s="78"/>
      <c r="K1953" s="78"/>
      <c r="L1953" s="78"/>
      <c r="M1953" s="153"/>
      <c r="N1953" s="78"/>
      <c r="O1953" s="78"/>
      <c r="P1953" s="153"/>
      <c r="Q1953" s="78"/>
      <c r="R1953" s="78"/>
      <c r="S1953" s="153"/>
      <c r="T1953" s="78"/>
      <c r="U1953" s="78"/>
      <c r="V1953" s="152"/>
      <c r="W1953" s="78"/>
      <c r="X1953" s="78"/>
    </row>
    <row r="1954" spans="1:24" ht="42" customHeight="1">
      <c r="A1954" s="78"/>
      <c r="B1954" s="149"/>
      <c r="C1954" s="149"/>
      <c r="D1954" s="78"/>
      <c r="E1954" s="78"/>
      <c r="F1954" s="78"/>
      <c r="G1954" s="150"/>
      <c r="H1954" s="78"/>
      <c r="I1954" s="151"/>
      <c r="J1954" s="78"/>
      <c r="K1954" s="78"/>
      <c r="L1954" s="78"/>
      <c r="M1954" s="153"/>
      <c r="N1954" s="78"/>
      <c r="O1954" s="78"/>
      <c r="P1954" s="153"/>
      <c r="Q1954" s="78"/>
      <c r="R1954" s="78"/>
      <c r="S1954" s="153"/>
      <c r="T1954" s="78"/>
      <c r="U1954" s="78"/>
      <c r="V1954" s="152"/>
      <c r="W1954" s="78"/>
      <c r="X1954" s="78"/>
    </row>
    <row r="1955" spans="1:24" ht="42" customHeight="1">
      <c r="A1955" s="78"/>
      <c r="B1955" s="149"/>
      <c r="C1955" s="149"/>
      <c r="D1955" s="78"/>
      <c r="E1955" s="78"/>
      <c r="F1955" s="78"/>
      <c r="G1955" s="150"/>
      <c r="H1955" s="78"/>
      <c r="I1955" s="151"/>
      <c r="J1955" s="78"/>
      <c r="K1955" s="78"/>
      <c r="L1955" s="78"/>
      <c r="M1955" s="153"/>
      <c r="N1955" s="78"/>
      <c r="O1955" s="78"/>
      <c r="P1955" s="153"/>
      <c r="Q1955" s="78"/>
      <c r="R1955" s="78"/>
      <c r="S1955" s="153"/>
      <c r="T1955" s="78"/>
      <c r="U1955" s="78"/>
      <c r="V1955" s="152"/>
      <c r="W1955" s="78"/>
      <c r="X1955" s="78"/>
    </row>
    <row r="1956" spans="1:24" ht="42" customHeight="1">
      <c r="A1956" s="78"/>
      <c r="B1956" s="149"/>
      <c r="C1956" s="149"/>
      <c r="D1956" s="78"/>
      <c r="E1956" s="78"/>
      <c r="F1956" s="78"/>
      <c r="G1956" s="150"/>
      <c r="H1956" s="78"/>
      <c r="I1956" s="151"/>
      <c r="J1956" s="78"/>
      <c r="K1956" s="78"/>
      <c r="L1956" s="78"/>
      <c r="M1956" s="153"/>
      <c r="N1956" s="78"/>
      <c r="O1956" s="78"/>
      <c r="P1956" s="153"/>
      <c r="Q1956" s="78"/>
      <c r="R1956" s="78"/>
      <c r="S1956" s="153"/>
      <c r="T1956" s="78"/>
      <c r="U1956" s="78"/>
      <c r="V1956" s="152"/>
      <c r="W1956" s="78"/>
      <c r="X1956" s="78"/>
    </row>
    <row r="1957" spans="1:24" ht="42" customHeight="1">
      <c r="A1957" s="78"/>
      <c r="B1957" s="149"/>
      <c r="C1957" s="149"/>
      <c r="D1957" s="78"/>
      <c r="E1957" s="78"/>
      <c r="F1957" s="78"/>
      <c r="G1957" s="150"/>
      <c r="H1957" s="78"/>
      <c r="I1957" s="151"/>
      <c r="J1957" s="78"/>
      <c r="K1957" s="78"/>
      <c r="L1957" s="78"/>
      <c r="M1957" s="153"/>
      <c r="N1957" s="78"/>
      <c r="O1957" s="78"/>
      <c r="P1957" s="153"/>
      <c r="Q1957" s="78"/>
      <c r="R1957" s="78"/>
      <c r="S1957" s="153"/>
      <c r="T1957" s="78"/>
      <c r="U1957" s="78"/>
      <c r="V1957" s="152"/>
      <c r="W1957" s="78"/>
      <c r="X1957" s="78"/>
    </row>
    <row r="1958" spans="1:24" ht="42" customHeight="1">
      <c r="A1958" s="78"/>
      <c r="B1958" s="149"/>
      <c r="C1958" s="149"/>
      <c r="D1958" s="78"/>
      <c r="E1958" s="78"/>
      <c r="F1958" s="78"/>
      <c r="G1958" s="150"/>
      <c r="H1958" s="78"/>
      <c r="I1958" s="151"/>
      <c r="J1958" s="78"/>
      <c r="K1958" s="78"/>
      <c r="L1958" s="78"/>
      <c r="M1958" s="153"/>
      <c r="N1958" s="78"/>
      <c r="O1958" s="78"/>
      <c r="P1958" s="153"/>
      <c r="Q1958" s="78"/>
      <c r="R1958" s="78"/>
      <c r="S1958" s="153"/>
      <c r="T1958" s="78"/>
      <c r="U1958" s="78"/>
      <c r="V1958" s="152"/>
      <c r="W1958" s="78"/>
      <c r="X1958" s="78"/>
    </row>
    <row r="1959" spans="1:24" ht="42" customHeight="1">
      <c r="A1959" s="78"/>
      <c r="B1959" s="149"/>
      <c r="C1959" s="149"/>
      <c r="D1959" s="78"/>
      <c r="E1959" s="78"/>
      <c r="F1959" s="78"/>
      <c r="G1959" s="150"/>
      <c r="H1959" s="78"/>
      <c r="I1959" s="151"/>
      <c r="J1959" s="78"/>
      <c r="K1959" s="78"/>
      <c r="L1959" s="78"/>
      <c r="M1959" s="153"/>
      <c r="N1959" s="78"/>
      <c r="O1959" s="78"/>
      <c r="P1959" s="153"/>
      <c r="Q1959" s="78"/>
      <c r="R1959" s="78"/>
      <c r="S1959" s="153"/>
      <c r="T1959" s="78"/>
      <c r="U1959" s="78"/>
      <c r="V1959" s="152"/>
      <c r="W1959" s="78"/>
      <c r="X1959" s="78"/>
    </row>
    <row r="1960" spans="1:24" ht="42" customHeight="1">
      <c r="A1960" s="78"/>
      <c r="B1960" s="149"/>
      <c r="C1960" s="149"/>
      <c r="D1960" s="78"/>
      <c r="E1960" s="78"/>
      <c r="F1960" s="78"/>
      <c r="G1960" s="150"/>
      <c r="H1960" s="78"/>
      <c r="I1960" s="151"/>
      <c r="J1960" s="78"/>
      <c r="K1960" s="78"/>
      <c r="L1960" s="78"/>
      <c r="M1960" s="153"/>
      <c r="N1960" s="78"/>
      <c r="O1960" s="78"/>
      <c r="P1960" s="153"/>
      <c r="Q1960" s="78"/>
      <c r="R1960" s="78"/>
      <c r="S1960" s="153"/>
      <c r="T1960" s="78"/>
      <c r="U1960" s="78"/>
      <c r="V1960" s="152"/>
      <c r="W1960" s="78"/>
      <c r="X1960" s="78"/>
    </row>
    <row r="1961" spans="1:24" ht="42" customHeight="1">
      <c r="A1961" s="78"/>
      <c r="B1961" s="149"/>
      <c r="C1961" s="149"/>
      <c r="D1961" s="78"/>
      <c r="E1961" s="78"/>
      <c r="F1961" s="78"/>
      <c r="G1961" s="150"/>
      <c r="H1961" s="78"/>
      <c r="I1961" s="151"/>
      <c r="J1961" s="78"/>
      <c r="K1961" s="78"/>
      <c r="L1961" s="78"/>
      <c r="M1961" s="153"/>
      <c r="N1961" s="78"/>
      <c r="O1961" s="78"/>
      <c r="P1961" s="153"/>
      <c r="Q1961" s="78"/>
      <c r="R1961" s="78"/>
      <c r="S1961" s="153"/>
      <c r="T1961" s="78"/>
      <c r="U1961" s="78"/>
      <c r="V1961" s="152"/>
      <c r="W1961" s="78"/>
      <c r="X1961" s="78"/>
    </row>
    <row r="1962" spans="1:24" ht="42" customHeight="1">
      <c r="A1962" s="78"/>
      <c r="B1962" s="149"/>
      <c r="C1962" s="149"/>
      <c r="D1962" s="78"/>
      <c r="E1962" s="78"/>
      <c r="F1962" s="78"/>
      <c r="G1962" s="150"/>
      <c r="H1962" s="78"/>
      <c r="I1962" s="151"/>
      <c r="J1962" s="78"/>
      <c r="K1962" s="78"/>
      <c r="L1962" s="78"/>
      <c r="M1962" s="153"/>
      <c r="N1962" s="78"/>
      <c r="O1962" s="78"/>
      <c r="P1962" s="153"/>
      <c r="Q1962" s="78"/>
      <c r="R1962" s="78"/>
      <c r="S1962" s="153"/>
      <c r="T1962" s="78"/>
      <c r="U1962" s="78"/>
      <c r="V1962" s="152"/>
      <c r="W1962" s="78"/>
      <c r="X1962" s="78"/>
    </row>
    <row r="1963" spans="1:24" ht="42" customHeight="1">
      <c r="A1963" s="78"/>
      <c r="B1963" s="149"/>
      <c r="C1963" s="149"/>
      <c r="D1963" s="78"/>
      <c r="E1963" s="78"/>
      <c r="F1963" s="78"/>
      <c r="G1963" s="150"/>
      <c r="H1963" s="78"/>
      <c r="I1963" s="151"/>
      <c r="J1963" s="78"/>
      <c r="K1963" s="78"/>
      <c r="L1963" s="78"/>
      <c r="M1963" s="153"/>
      <c r="N1963" s="78"/>
      <c r="O1963" s="78"/>
      <c r="P1963" s="153"/>
      <c r="Q1963" s="78"/>
      <c r="R1963" s="78"/>
      <c r="S1963" s="153"/>
      <c r="T1963" s="78"/>
      <c r="U1963" s="78"/>
      <c r="V1963" s="152"/>
      <c r="W1963" s="78"/>
      <c r="X1963" s="78"/>
    </row>
    <row r="1964" spans="1:24" ht="42" customHeight="1">
      <c r="A1964" s="78"/>
      <c r="B1964" s="149"/>
      <c r="C1964" s="149"/>
      <c r="D1964" s="78"/>
      <c r="E1964" s="78"/>
      <c r="F1964" s="78"/>
      <c r="G1964" s="150"/>
      <c r="H1964" s="78"/>
      <c r="I1964" s="151"/>
      <c r="J1964" s="78"/>
      <c r="K1964" s="78"/>
      <c r="L1964" s="78"/>
      <c r="M1964" s="153"/>
      <c r="N1964" s="78"/>
      <c r="O1964" s="78"/>
      <c r="P1964" s="153"/>
      <c r="Q1964" s="78"/>
      <c r="R1964" s="78"/>
      <c r="S1964" s="153"/>
      <c r="T1964" s="78"/>
      <c r="U1964" s="78"/>
      <c r="V1964" s="152"/>
      <c r="W1964" s="78"/>
      <c r="X1964" s="78"/>
    </row>
    <row r="1965" spans="1:24" ht="42" customHeight="1">
      <c r="A1965" s="78"/>
      <c r="B1965" s="149"/>
      <c r="C1965" s="149"/>
      <c r="D1965" s="78"/>
      <c r="E1965" s="78"/>
      <c r="F1965" s="78"/>
      <c r="G1965" s="150"/>
      <c r="H1965" s="78"/>
      <c r="I1965" s="151"/>
      <c r="J1965" s="78"/>
      <c r="K1965" s="78"/>
      <c r="L1965" s="78"/>
      <c r="M1965" s="153"/>
      <c r="N1965" s="78"/>
      <c r="O1965" s="78"/>
      <c r="P1965" s="153"/>
      <c r="Q1965" s="78"/>
      <c r="R1965" s="78"/>
      <c r="S1965" s="153"/>
      <c r="T1965" s="78"/>
      <c r="U1965" s="78"/>
      <c r="V1965" s="152"/>
      <c r="W1965" s="78"/>
      <c r="X1965" s="78"/>
    </row>
    <row r="1966" spans="1:24" ht="42" customHeight="1">
      <c r="A1966" s="78"/>
      <c r="B1966" s="149"/>
      <c r="C1966" s="149"/>
      <c r="D1966" s="78"/>
      <c r="E1966" s="78"/>
      <c r="F1966" s="78"/>
      <c r="G1966" s="150"/>
      <c r="H1966" s="78"/>
      <c r="I1966" s="151"/>
      <c r="J1966" s="78"/>
      <c r="K1966" s="78"/>
      <c r="L1966" s="78"/>
      <c r="M1966" s="153"/>
      <c r="N1966" s="78"/>
      <c r="O1966" s="78"/>
      <c r="P1966" s="153"/>
      <c r="Q1966" s="78"/>
      <c r="R1966" s="78"/>
      <c r="S1966" s="153"/>
      <c r="T1966" s="78"/>
      <c r="U1966" s="78"/>
      <c r="V1966" s="152"/>
      <c r="W1966" s="78"/>
      <c r="X1966" s="78"/>
    </row>
    <row r="1967" spans="1:24" ht="42" customHeight="1">
      <c r="A1967" s="78"/>
      <c r="B1967" s="149"/>
      <c r="C1967" s="149"/>
      <c r="D1967" s="78"/>
      <c r="E1967" s="78"/>
      <c r="F1967" s="78"/>
      <c r="G1967" s="150"/>
      <c r="H1967" s="78"/>
      <c r="I1967" s="151"/>
      <c r="J1967" s="78"/>
      <c r="K1967" s="78"/>
      <c r="L1967" s="78"/>
      <c r="M1967" s="153"/>
      <c r="N1967" s="78"/>
      <c r="O1967" s="78"/>
      <c r="P1967" s="153"/>
      <c r="Q1967" s="78"/>
      <c r="R1967" s="78"/>
      <c r="S1967" s="153"/>
      <c r="T1967" s="78"/>
      <c r="U1967" s="78"/>
      <c r="V1967" s="152"/>
      <c r="W1967" s="78"/>
      <c r="X1967" s="78"/>
    </row>
    <row r="1968" spans="1:24" ht="42" customHeight="1">
      <c r="A1968" s="78"/>
      <c r="B1968" s="149"/>
      <c r="C1968" s="149"/>
      <c r="D1968" s="78"/>
      <c r="E1968" s="78"/>
      <c r="F1968" s="78"/>
      <c r="G1968" s="150"/>
      <c r="H1968" s="78"/>
      <c r="I1968" s="151"/>
      <c r="J1968" s="78"/>
      <c r="K1968" s="78"/>
      <c r="L1968" s="78"/>
      <c r="M1968" s="153"/>
      <c r="N1968" s="78"/>
      <c r="O1968" s="78"/>
      <c r="P1968" s="153"/>
      <c r="Q1968" s="78"/>
      <c r="R1968" s="78"/>
      <c r="S1968" s="153"/>
      <c r="T1968" s="78"/>
      <c r="U1968" s="78"/>
      <c r="V1968" s="152"/>
      <c r="W1968" s="78"/>
      <c r="X1968" s="78"/>
    </row>
    <row r="1969" spans="1:24" ht="42" customHeight="1">
      <c r="A1969" s="78"/>
      <c r="B1969" s="149"/>
      <c r="C1969" s="149"/>
      <c r="D1969" s="78"/>
      <c r="E1969" s="78"/>
      <c r="F1969" s="78"/>
      <c r="G1969" s="150"/>
      <c r="H1969" s="78"/>
      <c r="I1969" s="151"/>
      <c r="J1969" s="78"/>
      <c r="K1969" s="78"/>
      <c r="L1969" s="78"/>
      <c r="M1969" s="153"/>
      <c r="N1969" s="78"/>
      <c r="O1969" s="78"/>
      <c r="P1969" s="153"/>
      <c r="Q1969" s="78"/>
      <c r="R1969" s="78"/>
      <c r="S1969" s="153"/>
      <c r="T1969" s="78"/>
      <c r="U1969" s="78"/>
      <c r="V1969" s="152"/>
      <c r="W1969" s="78"/>
      <c r="X1969" s="78"/>
    </row>
    <row r="1970" spans="1:24" ht="42" customHeight="1">
      <c r="A1970" s="78"/>
      <c r="B1970" s="149"/>
      <c r="C1970" s="149"/>
      <c r="D1970" s="78"/>
      <c r="E1970" s="78"/>
      <c r="F1970" s="78"/>
      <c r="G1970" s="150"/>
      <c r="H1970" s="78"/>
      <c r="I1970" s="151"/>
      <c r="J1970" s="78"/>
      <c r="K1970" s="78"/>
      <c r="L1970" s="78"/>
      <c r="M1970" s="153"/>
      <c r="N1970" s="78"/>
      <c r="O1970" s="78"/>
      <c r="P1970" s="153"/>
      <c r="Q1970" s="78"/>
      <c r="R1970" s="78"/>
      <c r="S1970" s="153"/>
      <c r="T1970" s="78"/>
      <c r="U1970" s="78"/>
      <c r="V1970" s="152"/>
      <c r="W1970" s="78"/>
      <c r="X1970" s="78"/>
    </row>
    <row r="1971" spans="1:24" ht="42" customHeight="1">
      <c r="A1971" s="78"/>
      <c r="B1971" s="149"/>
      <c r="C1971" s="149"/>
      <c r="D1971" s="78"/>
      <c r="E1971" s="78"/>
      <c r="F1971" s="78"/>
      <c r="G1971" s="150"/>
      <c r="H1971" s="78"/>
      <c r="I1971" s="151"/>
      <c r="J1971" s="78"/>
      <c r="K1971" s="78"/>
      <c r="L1971" s="78"/>
      <c r="M1971" s="153"/>
      <c r="N1971" s="78"/>
      <c r="O1971" s="78"/>
      <c r="P1971" s="153"/>
      <c r="Q1971" s="78"/>
      <c r="R1971" s="78"/>
      <c r="S1971" s="153"/>
      <c r="T1971" s="78"/>
      <c r="U1971" s="78"/>
      <c r="V1971" s="152"/>
      <c r="W1971" s="78"/>
      <c r="X1971" s="78"/>
    </row>
    <row r="1972" spans="1:24" ht="42" customHeight="1">
      <c r="A1972" s="78"/>
      <c r="B1972" s="149"/>
      <c r="C1972" s="149"/>
      <c r="D1972" s="78"/>
      <c r="E1972" s="78"/>
      <c r="F1972" s="78"/>
      <c r="G1972" s="150"/>
      <c r="H1972" s="78"/>
      <c r="I1972" s="151"/>
      <c r="J1972" s="78"/>
      <c r="K1972" s="78"/>
      <c r="L1972" s="78"/>
      <c r="M1972" s="153"/>
      <c r="N1972" s="78"/>
      <c r="O1972" s="78"/>
      <c r="P1972" s="153"/>
      <c r="Q1972" s="78"/>
      <c r="R1972" s="78"/>
      <c r="S1972" s="153"/>
      <c r="T1972" s="78"/>
      <c r="U1972" s="78"/>
      <c r="V1972" s="152"/>
      <c r="W1972" s="78"/>
      <c r="X1972" s="78"/>
    </row>
    <row r="1973" spans="1:24" ht="42" customHeight="1">
      <c r="A1973" s="78"/>
      <c r="B1973" s="149"/>
      <c r="C1973" s="149"/>
      <c r="D1973" s="78"/>
      <c r="E1973" s="78"/>
      <c r="F1973" s="78"/>
      <c r="G1973" s="150"/>
      <c r="H1973" s="78"/>
      <c r="I1973" s="151"/>
      <c r="J1973" s="78"/>
      <c r="K1973" s="78"/>
      <c r="L1973" s="78"/>
      <c r="M1973" s="153"/>
      <c r="N1973" s="78"/>
      <c r="O1973" s="78"/>
      <c r="P1973" s="153"/>
      <c r="Q1973" s="78"/>
      <c r="R1973" s="78"/>
      <c r="S1973" s="153"/>
      <c r="T1973" s="78"/>
      <c r="U1973" s="78"/>
      <c r="V1973" s="152"/>
      <c r="W1973" s="78"/>
      <c r="X1973" s="78"/>
    </row>
    <row r="1974" spans="1:24" ht="42" customHeight="1">
      <c r="A1974" s="78"/>
      <c r="B1974" s="149"/>
      <c r="C1974" s="149"/>
      <c r="D1974" s="78"/>
      <c r="E1974" s="78"/>
      <c r="F1974" s="78"/>
      <c r="G1974" s="150"/>
      <c r="H1974" s="78"/>
      <c r="I1974" s="151"/>
      <c r="J1974" s="78"/>
      <c r="K1974" s="78"/>
      <c r="L1974" s="78"/>
      <c r="M1974" s="153"/>
      <c r="N1974" s="78"/>
      <c r="O1974" s="78"/>
      <c r="P1974" s="153"/>
      <c r="Q1974" s="78"/>
      <c r="R1974" s="78"/>
      <c r="S1974" s="153"/>
      <c r="T1974" s="78"/>
      <c r="U1974" s="78"/>
      <c r="V1974" s="152"/>
      <c r="W1974" s="78"/>
      <c r="X1974" s="78"/>
    </row>
    <row r="1975" spans="1:24" ht="42" customHeight="1">
      <c r="A1975" s="78"/>
      <c r="B1975" s="149"/>
      <c r="C1975" s="149"/>
      <c r="D1975" s="78"/>
      <c r="E1975" s="78"/>
      <c r="F1975" s="78"/>
      <c r="G1975" s="150"/>
      <c r="H1975" s="78"/>
      <c r="I1975" s="151"/>
      <c r="J1975" s="78"/>
      <c r="K1975" s="78"/>
      <c r="L1975" s="78"/>
      <c r="M1975" s="153"/>
      <c r="N1975" s="78"/>
      <c r="O1975" s="78"/>
      <c r="P1975" s="153"/>
      <c r="Q1975" s="78"/>
      <c r="R1975" s="78"/>
      <c r="S1975" s="153"/>
      <c r="T1975" s="78"/>
      <c r="U1975" s="78"/>
      <c r="V1975" s="152"/>
      <c r="W1975" s="78"/>
      <c r="X1975" s="78"/>
    </row>
    <row r="1976" spans="1:24" ht="42" customHeight="1">
      <c r="A1976" s="78"/>
      <c r="B1976" s="149"/>
      <c r="C1976" s="149"/>
      <c r="D1976" s="78"/>
      <c r="E1976" s="78"/>
      <c r="F1976" s="78"/>
      <c r="G1976" s="150"/>
      <c r="H1976" s="78"/>
      <c r="I1976" s="151"/>
      <c r="J1976" s="78"/>
      <c r="K1976" s="78"/>
      <c r="L1976" s="78"/>
      <c r="M1976" s="153"/>
      <c r="N1976" s="78"/>
      <c r="O1976" s="78"/>
      <c r="P1976" s="153"/>
      <c r="Q1976" s="78"/>
      <c r="R1976" s="78"/>
      <c r="S1976" s="153"/>
      <c r="T1976" s="78"/>
      <c r="U1976" s="78"/>
      <c r="V1976" s="152"/>
      <c r="W1976" s="78"/>
      <c r="X1976" s="78"/>
    </row>
    <row r="1977" spans="1:24" ht="42" customHeight="1">
      <c r="A1977" s="78"/>
      <c r="B1977" s="149"/>
      <c r="C1977" s="149"/>
      <c r="D1977" s="78"/>
      <c r="E1977" s="78"/>
      <c r="F1977" s="78"/>
      <c r="G1977" s="150"/>
      <c r="H1977" s="78"/>
      <c r="I1977" s="151"/>
      <c r="J1977" s="78"/>
      <c r="K1977" s="78"/>
      <c r="L1977" s="78"/>
      <c r="M1977" s="153"/>
      <c r="N1977" s="78"/>
      <c r="O1977" s="78"/>
      <c r="P1977" s="153"/>
      <c r="Q1977" s="78"/>
      <c r="R1977" s="78"/>
      <c r="S1977" s="153"/>
      <c r="T1977" s="78"/>
      <c r="U1977" s="78"/>
      <c r="V1977" s="152"/>
      <c r="W1977" s="78"/>
      <c r="X1977" s="78"/>
    </row>
    <row r="1978" spans="1:24" ht="42" customHeight="1">
      <c r="A1978" s="78"/>
      <c r="B1978" s="149"/>
      <c r="C1978" s="149"/>
      <c r="D1978" s="78"/>
      <c r="E1978" s="78"/>
      <c r="F1978" s="78"/>
      <c r="G1978" s="150"/>
      <c r="H1978" s="78"/>
      <c r="I1978" s="151"/>
      <c r="J1978" s="78"/>
      <c r="K1978" s="78"/>
      <c r="L1978" s="78"/>
      <c r="M1978" s="153"/>
      <c r="N1978" s="78"/>
      <c r="O1978" s="78"/>
      <c r="P1978" s="153"/>
      <c r="Q1978" s="78"/>
      <c r="R1978" s="78"/>
      <c r="S1978" s="153"/>
      <c r="T1978" s="78"/>
      <c r="U1978" s="78"/>
      <c r="V1978" s="152"/>
      <c r="W1978" s="78"/>
      <c r="X1978" s="78"/>
    </row>
    <row r="1979" spans="1:24" ht="42" customHeight="1">
      <c r="A1979" s="78"/>
      <c r="B1979" s="149"/>
      <c r="C1979" s="149"/>
      <c r="D1979" s="78"/>
      <c r="E1979" s="78"/>
      <c r="F1979" s="78"/>
      <c r="G1979" s="150"/>
      <c r="H1979" s="78"/>
      <c r="I1979" s="151"/>
      <c r="J1979" s="78"/>
      <c r="K1979" s="78"/>
      <c r="L1979" s="78"/>
      <c r="M1979" s="153"/>
      <c r="N1979" s="78"/>
      <c r="O1979" s="78"/>
      <c r="P1979" s="153"/>
      <c r="Q1979" s="78"/>
      <c r="R1979" s="78"/>
      <c r="S1979" s="153"/>
      <c r="T1979" s="78"/>
      <c r="U1979" s="78"/>
      <c r="V1979" s="152"/>
      <c r="W1979" s="78"/>
      <c r="X1979" s="78"/>
    </row>
    <row r="1980" spans="1:24" ht="42" customHeight="1">
      <c r="A1980" s="78"/>
      <c r="B1980" s="149"/>
      <c r="C1980" s="149"/>
      <c r="D1980" s="78"/>
      <c r="E1980" s="78"/>
      <c r="F1980" s="78"/>
      <c r="G1980" s="150"/>
      <c r="H1980" s="78"/>
      <c r="I1980" s="151"/>
      <c r="J1980" s="78"/>
      <c r="K1980" s="78"/>
      <c r="L1980" s="78"/>
      <c r="M1980" s="153"/>
      <c r="N1980" s="78"/>
      <c r="O1980" s="78"/>
      <c r="P1980" s="153"/>
      <c r="Q1980" s="78"/>
      <c r="R1980" s="78"/>
      <c r="S1980" s="153"/>
      <c r="T1980" s="78"/>
      <c r="U1980" s="78"/>
      <c r="V1980" s="152"/>
      <c r="W1980" s="78"/>
      <c r="X1980" s="78"/>
    </row>
    <row r="1981" spans="1:24" ht="42" customHeight="1">
      <c r="A1981" s="78"/>
      <c r="B1981" s="149"/>
      <c r="C1981" s="149"/>
      <c r="D1981" s="78"/>
      <c r="E1981" s="78"/>
      <c r="F1981" s="78"/>
      <c r="G1981" s="150"/>
      <c r="H1981" s="78"/>
      <c r="I1981" s="151"/>
      <c r="J1981" s="78"/>
      <c r="K1981" s="78"/>
      <c r="L1981" s="78"/>
      <c r="M1981" s="153"/>
      <c r="N1981" s="78"/>
      <c r="O1981" s="78"/>
      <c r="P1981" s="153"/>
      <c r="Q1981" s="78"/>
      <c r="R1981" s="78"/>
      <c r="S1981" s="153"/>
      <c r="T1981" s="78"/>
      <c r="U1981" s="78"/>
      <c r="V1981" s="152"/>
      <c r="W1981" s="78"/>
      <c r="X1981" s="78"/>
    </row>
    <row r="1982" spans="1:24" ht="42" customHeight="1">
      <c r="A1982" s="78"/>
      <c r="B1982" s="149"/>
      <c r="C1982" s="149"/>
      <c r="D1982" s="78"/>
      <c r="E1982" s="78"/>
      <c r="F1982" s="78"/>
      <c r="G1982" s="150"/>
      <c r="H1982" s="78"/>
      <c r="I1982" s="151"/>
      <c r="J1982" s="78"/>
      <c r="K1982" s="78"/>
      <c r="L1982" s="78"/>
      <c r="M1982" s="153"/>
      <c r="N1982" s="78"/>
      <c r="O1982" s="78"/>
      <c r="P1982" s="153"/>
      <c r="Q1982" s="78"/>
      <c r="R1982" s="78"/>
      <c r="S1982" s="153"/>
      <c r="T1982" s="78"/>
      <c r="U1982" s="78"/>
      <c r="V1982" s="152"/>
      <c r="W1982" s="78"/>
      <c r="X1982" s="78"/>
    </row>
    <row r="1983" spans="1:24" ht="42" customHeight="1">
      <c r="A1983" s="78"/>
      <c r="B1983" s="149"/>
      <c r="C1983" s="149"/>
      <c r="D1983" s="78"/>
      <c r="E1983" s="78"/>
      <c r="F1983" s="78"/>
      <c r="G1983" s="150"/>
      <c r="H1983" s="78"/>
      <c r="I1983" s="151"/>
      <c r="J1983" s="78"/>
      <c r="K1983" s="78"/>
      <c r="L1983" s="78"/>
      <c r="M1983" s="153"/>
      <c r="N1983" s="78"/>
      <c r="O1983" s="78"/>
      <c r="P1983" s="153"/>
      <c r="Q1983" s="78"/>
      <c r="R1983" s="78"/>
      <c r="S1983" s="153"/>
      <c r="T1983" s="78"/>
      <c r="U1983" s="78"/>
      <c r="V1983" s="152"/>
      <c r="W1983" s="78"/>
      <c r="X1983" s="78"/>
    </row>
    <row r="1984" spans="1:24" ht="42" customHeight="1">
      <c r="A1984" s="78"/>
      <c r="B1984" s="149"/>
      <c r="C1984" s="149"/>
      <c r="D1984" s="78"/>
      <c r="E1984" s="78"/>
      <c r="F1984" s="78"/>
      <c r="G1984" s="150"/>
      <c r="H1984" s="78"/>
      <c r="I1984" s="151"/>
      <c r="J1984" s="78"/>
      <c r="K1984" s="78"/>
      <c r="L1984" s="78"/>
      <c r="M1984" s="153"/>
      <c r="N1984" s="78"/>
      <c r="O1984" s="78"/>
      <c r="P1984" s="153"/>
      <c r="Q1984" s="78"/>
      <c r="R1984" s="78"/>
      <c r="S1984" s="153"/>
      <c r="T1984" s="78"/>
      <c r="U1984" s="78"/>
      <c r="V1984" s="152"/>
      <c r="W1984" s="78"/>
      <c r="X1984" s="78"/>
    </row>
    <row r="1985" spans="1:24" ht="42" customHeight="1">
      <c r="A1985" s="78"/>
      <c r="B1985" s="149"/>
      <c r="C1985" s="149"/>
      <c r="D1985" s="78"/>
      <c r="E1985" s="78"/>
      <c r="F1985" s="78"/>
      <c r="G1985" s="150"/>
      <c r="H1985" s="78"/>
      <c r="I1985" s="151"/>
      <c r="J1985" s="78"/>
      <c r="K1985" s="78"/>
      <c r="L1985" s="78"/>
      <c r="M1985" s="153"/>
      <c r="N1985" s="78"/>
      <c r="O1985" s="78"/>
      <c r="P1985" s="153"/>
      <c r="Q1985" s="78"/>
      <c r="R1985" s="78"/>
      <c r="S1985" s="153"/>
      <c r="T1985" s="78"/>
      <c r="U1985" s="78"/>
      <c r="V1985" s="152"/>
      <c r="W1985" s="78"/>
      <c r="X1985" s="78"/>
    </row>
    <row r="1986" spans="1:24" ht="42" customHeight="1">
      <c r="A1986" s="78"/>
      <c r="B1986" s="149"/>
      <c r="C1986" s="149"/>
      <c r="D1986" s="78"/>
      <c r="E1986" s="78"/>
      <c r="F1986" s="78"/>
      <c r="G1986" s="150"/>
      <c r="H1986" s="78"/>
      <c r="I1986" s="151"/>
      <c r="J1986" s="78"/>
      <c r="K1986" s="78"/>
      <c r="L1986" s="78"/>
      <c r="M1986" s="153"/>
      <c r="N1986" s="78"/>
      <c r="O1986" s="78"/>
      <c r="P1986" s="153"/>
      <c r="Q1986" s="78"/>
      <c r="R1986" s="78"/>
      <c r="S1986" s="153"/>
      <c r="T1986" s="78"/>
      <c r="U1986" s="78"/>
      <c r="V1986" s="152"/>
      <c r="W1986" s="78"/>
      <c r="X1986" s="78"/>
    </row>
    <row r="1987" spans="1:24" ht="42" customHeight="1">
      <c r="A1987" s="78"/>
      <c r="B1987" s="149"/>
      <c r="C1987" s="149"/>
      <c r="D1987" s="78"/>
      <c r="E1987" s="78"/>
      <c r="F1987" s="78"/>
      <c r="G1987" s="150"/>
      <c r="H1987" s="78"/>
      <c r="I1987" s="151"/>
      <c r="J1987" s="78"/>
      <c r="K1987" s="78"/>
      <c r="L1987" s="78"/>
      <c r="M1987" s="153"/>
      <c r="N1987" s="78"/>
      <c r="O1987" s="78"/>
      <c r="P1987" s="153"/>
      <c r="Q1987" s="78"/>
      <c r="R1987" s="78"/>
      <c r="S1987" s="153"/>
      <c r="T1987" s="78"/>
      <c r="U1987" s="78"/>
      <c r="V1987" s="152"/>
      <c r="W1987" s="78"/>
      <c r="X1987" s="78"/>
    </row>
    <row r="1988" spans="1:24" ht="42" customHeight="1">
      <c r="A1988" s="78"/>
      <c r="B1988" s="149"/>
      <c r="C1988" s="149"/>
      <c r="D1988" s="78"/>
      <c r="E1988" s="78"/>
      <c r="F1988" s="78"/>
      <c r="G1988" s="150"/>
      <c r="H1988" s="78"/>
      <c r="I1988" s="151"/>
      <c r="J1988" s="78"/>
      <c r="K1988" s="78"/>
      <c r="L1988" s="78"/>
      <c r="M1988" s="153"/>
      <c r="N1988" s="78"/>
      <c r="O1988" s="78"/>
      <c r="P1988" s="153"/>
      <c r="Q1988" s="78"/>
      <c r="R1988" s="78"/>
      <c r="S1988" s="153"/>
      <c r="T1988" s="78"/>
      <c r="U1988" s="78"/>
      <c r="V1988" s="152"/>
      <c r="W1988" s="78"/>
      <c r="X1988" s="78"/>
    </row>
    <row r="1989" spans="1:24" ht="42" customHeight="1">
      <c r="A1989" s="78"/>
      <c r="B1989" s="149"/>
      <c r="C1989" s="149"/>
      <c r="D1989" s="78"/>
      <c r="E1989" s="78"/>
      <c r="F1989" s="78"/>
      <c r="G1989" s="150"/>
      <c r="H1989" s="78"/>
      <c r="I1989" s="151"/>
      <c r="J1989" s="78"/>
      <c r="K1989" s="78"/>
      <c r="L1989" s="78"/>
      <c r="M1989" s="153"/>
      <c r="N1989" s="78"/>
      <c r="O1989" s="78"/>
      <c r="P1989" s="153"/>
      <c r="Q1989" s="78"/>
      <c r="R1989" s="78"/>
      <c r="S1989" s="153"/>
      <c r="T1989" s="78"/>
      <c r="U1989" s="78"/>
      <c r="V1989" s="152"/>
      <c r="W1989" s="78"/>
      <c r="X1989" s="78"/>
    </row>
    <row r="1990" spans="1:24" ht="42" customHeight="1">
      <c r="A1990" s="78"/>
      <c r="B1990" s="149"/>
      <c r="C1990" s="149"/>
      <c r="D1990" s="78"/>
      <c r="E1990" s="78"/>
      <c r="F1990" s="78"/>
      <c r="G1990" s="150"/>
      <c r="H1990" s="78"/>
      <c r="I1990" s="151"/>
      <c r="J1990" s="78"/>
      <c r="K1990" s="78"/>
      <c r="L1990" s="78"/>
      <c r="M1990" s="153"/>
      <c r="N1990" s="78"/>
      <c r="O1990" s="78"/>
      <c r="P1990" s="153"/>
      <c r="Q1990" s="78"/>
      <c r="R1990" s="78"/>
      <c r="S1990" s="153"/>
      <c r="T1990" s="78"/>
      <c r="U1990" s="78"/>
      <c r="V1990" s="152"/>
      <c r="W1990" s="78"/>
      <c r="X1990" s="78"/>
    </row>
    <row r="1991" spans="1:24" ht="42" customHeight="1">
      <c r="A1991" s="78"/>
      <c r="B1991" s="149"/>
      <c r="C1991" s="149"/>
      <c r="D1991" s="78"/>
      <c r="E1991" s="78"/>
      <c r="F1991" s="78"/>
      <c r="G1991" s="150"/>
      <c r="H1991" s="78"/>
      <c r="I1991" s="151"/>
      <c r="J1991" s="78"/>
      <c r="K1991" s="78"/>
      <c r="L1991" s="78"/>
      <c r="M1991" s="153"/>
      <c r="N1991" s="78"/>
      <c r="O1991" s="78"/>
      <c r="P1991" s="153"/>
      <c r="Q1991" s="78"/>
      <c r="R1991" s="78"/>
      <c r="S1991" s="153"/>
      <c r="T1991" s="78"/>
      <c r="U1991" s="78"/>
      <c r="V1991" s="152"/>
      <c r="W1991" s="78"/>
      <c r="X1991" s="78"/>
    </row>
    <row r="1992" spans="1:24" ht="42" customHeight="1">
      <c r="A1992" s="78"/>
      <c r="B1992" s="149"/>
      <c r="C1992" s="149"/>
      <c r="D1992" s="78"/>
      <c r="E1992" s="78"/>
      <c r="F1992" s="78"/>
      <c r="G1992" s="150"/>
      <c r="H1992" s="78"/>
      <c r="I1992" s="151"/>
      <c r="J1992" s="78"/>
      <c r="K1992" s="78"/>
      <c r="L1992" s="78"/>
      <c r="M1992" s="153"/>
      <c r="N1992" s="78"/>
      <c r="O1992" s="78"/>
      <c r="P1992" s="153"/>
      <c r="Q1992" s="78"/>
      <c r="R1992" s="78"/>
      <c r="S1992" s="153"/>
      <c r="T1992" s="78"/>
      <c r="U1992" s="78"/>
      <c r="V1992" s="152"/>
      <c r="W1992" s="78"/>
      <c r="X1992" s="78"/>
    </row>
    <row r="1993" spans="1:24" ht="42" customHeight="1">
      <c r="A1993" s="78"/>
      <c r="B1993" s="149"/>
      <c r="C1993" s="149"/>
      <c r="D1993" s="78"/>
      <c r="E1993" s="78"/>
      <c r="F1993" s="78"/>
      <c r="G1993" s="150"/>
      <c r="H1993" s="78"/>
      <c r="I1993" s="151"/>
      <c r="J1993" s="78"/>
      <c r="K1993" s="78"/>
      <c r="L1993" s="78"/>
      <c r="M1993" s="153"/>
      <c r="N1993" s="78"/>
      <c r="O1993" s="78"/>
      <c r="P1993" s="153"/>
      <c r="Q1993" s="78"/>
      <c r="R1993" s="78"/>
      <c r="S1993" s="153"/>
      <c r="T1993" s="78"/>
      <c r="U1993" s="78"/>
      <c r="V1993" s="152"/>
      <c r="W1993" s="78"/>
      <c r="X1993" s="78"/>
    </row>
    <row r="1994" spans="1:24" ht="42" customHeight="1">
      <c r="A1994" s="78"/>
      <c r="B1994" s="149"/>
      <c r="C1994" s="149"/>
      <c r="D1994" s="78"/>
      <c r="E1994" s="78"/>
      <c r="F1994" s="78"/>
      <c r="G1994" s="150"/>
      <c r="H1994" s="78"/>
      <c r="I1994" s="151"/>
      <c r="J1994" s="78"/>
      <c r="K1994" s="78"/>
      <c r="L1994" s="78"/>
      <c r="M1994" s="153"/>
      <c r="N1994" s="78"/>
      <c r="O1994" s="78"/>
      <c r="P1994" s="153"/>
      <c r="Q1994" s="78"/>
      <c r="R1994" s="78"/>
      <c r="S1994" s="153"/>
      <c r="T1994" s="78"/>
      <c r="U1994" s="78"/>
      <c r="V1994" s="152"/>
      <c r="W1994" s="78"/>
      <c r="X1994" s="78"/>
    </row>
    <row r="1995" spans="1:24" ht="42" customHeight="1">
      <c r="A1995" s="78"/>
      <c r="B1995" s="149"/>
      <c r="C1995" s="149"/>
      <c r="D1995" s="78"/>
      <c r="E1995" s="78"/>
      <c r="F1995" s="78"/>
      <c r="G1995" s="150"/>
      <c r="H1995" s="78"/>
      <c r="I1995" s="151"/>
      <c r="J1995" s="78"/>
      <c r="K1995" s="78"/>
      <c r="L1995" s="78"/>
      <c r="M1995" s="153"/>
      <c r="N1995" s="78"/>
      <c r="O1995" s="78"/>
      <c r="P1995" s="153"/>
      <c r="Q1995" s="78"/>
      <c r="R1995" s="78"/>
      <c r="S1995" s="153"/>
      <c r="T1995" s="78"/>
      <c r="U1995" s="78"/>
      <c r="V1995" s="152"/>
      <c r="W1995" s="78"/>
      <c r="X1995" s="78"/>
    </row>
    <row r="1996" spans="1:24" ht="42" customHeight="1">
      <c r="A1996" s="78"/>
      <c r="B1996" s="149"/>
      <c r="C1996" s="149"/>
      <c r="D1996" s="78"/>
      <c r="E1996" s="78"/>
      <c r="F1996" s="78"/>
      <c r="G1996" s="150"/>
      <c r="H1996" s="78"/>
      <c r="I1996" s="151"/>
      <c r="J1996" s="78"/>
      <c r="K1996" s="78"/>
      <c r="L1996" s="78"/>
      <c r="M1996" s="153"/>
      <c r="N1996" s="78"/>
      <c r="O1996" s="78"/>
      <c r="P1996" s="153"/>
      <c r="Q1996" s="78"/>
      <c r="R1996" s="78"/>
      <c r="S1996" s="153"/>
      <c r="T1996" s="78"/>
      <c r="U1996" s="78"/>
      <c r="V1996" s="152"/>
      <c r="W1996" s="78"/>
      <c r="X1996" s="78"/>
    </row>
    <row r="1997" spans="1:24" ht="42" customHeight="1">
      <c r="A1997" s="78"/>
      <c r="B1997" s="149"/>
      <c r="C1997" s="149"/>
      <c r="D1997" s="78"/>
      <c r="E1997" s="78"/>
      <c r="F1997" s="78"/>
      <c r="G1997" s="150"/>
      <c r="H1997" s="78"/>
      <c r="I1997" s="151"/>
      <c r="J1997" s="78"/>
      <c r="K1997" s="78"/>
      <c r="L1997" s="78"/>
      <c r="M1997" s="153"/>
      <c r="N1997" s="78"/>
      <c r="O1997" s="78"/>
      <c r="P1997" s="153"/>
      <c r="Q1997" s="78"/>
      <c r="R1997" s="78"/>
      <c r="S1997" s="153"/>
      <c r="T1997" s="78"/>
      <c r="U1997" s="78"/>
      <c r="V1997" s="152"/>
      <c r="W1997" s="78"/>
      <c r="X1997" s="78"/>
    </row>
    <row r="1998" spans="1:24" ht="42" customHeight="1">
      <c r="A1998" s="78"/>
      <c r="B1998" s="149"/>
      <c r="C1998" s="149"/>
      <c r="D1998" s="78"/>
      <c r="E1998" s="78"/>
      <c r="F1998" s="78"/>
      <c r="G1998" s="150"/>
      <c r="H1998" s="78"/>
      <c r="I1998" s="151"/>
      <c r="J1998" s="78"/>
      <c r="K1998" s="78"/>
      <c r="L1998" s="78"/>
      <c r="M1998" s="153"/>
      <c r="N1998" s="78"/>
      <c r="O1998" s="78"/>
      <c r="P1998" s="153"/>
      <c r="Q1998" s="78"/>
      <c r="R1998" s="78"/>
      <c r="S1998" s="153"/>
      <c r="T1998" s="78"/>
      <c r="U1998" s="78"/>
      <c r="V1998" s="152"/>
      <c r="W1998" s="78"/>
      <c r="X1998" s="78"/>
    </row>
    <row r="1999" spans="1:24" ht="42" customHeight="1">
      <c r="A1999" s="78"/>
      <c r="B1999" s="149"/>
      <c r="C1999" s="149"/>
      <c r="D1999" s="78"/>
      <c r="E1999" s="78"/>
      <c r="F1999" s="78"/>
      <c r="G1999" s="150"/>
      <c r="H1999" s="78"/>
      <c r="I1999" s="151"/>
      <c r="J1999" s="78"/>
      <c r="K1999" s="78"/>
      <c r="L1999" s="78"/>
      <c r="M1999" s="153"/>
      <c r="N1999" s="78"/>
      <c r="O1999" s="78"/>
      <c r="P1999" s="153"/>
      <c r="Q1999" s="78"/>
      <c r="R1999" s="78"/>
      <c r="S1999" s="153"/>
      <c r="T1999" s="78"/>
      <c r="U1999" s="78"/>
      <c r="V1999" s="152"/>
      <c r="W1999" s="78"/>
      <c r="X1999" s="78"/>
    </row>
    <row r="2000" spans="1:24" ht="42" customHeight="1">
      <c r="A2000" s="78"/>
      <c r="B2000" s="149"/>
      <c r="C2000" s="149"/>
      <c r="D2000" s="78"/>
      <c r="E2000" s="78"/>
      <c r="F2000" s="78"/>
      <c r="G2000" s="150"/>
      <c r="H2000" s="78"/>
      <c r="I2000" s="151"/>
      <c r="J2000" s="78"/>
      <c r="K2000" s="78"/>
      <c r="L2000" s="78"/>
      <c r="M2000" s="153"/>
      <c r="N2000" s="78"/>
      <c r="O2000" s="78"/>
      <c r="P2000" s="153"/>
      <c r="Q2000" s="78"/>
      <c r="R2000" s="78"/>
      <c r="S2000" s="153"/>
      <c r="T2000" s="78"/>
      <c r="U2000" s="78"/>
      <c r="V2000" s="152"/>
      <c r="W2000" s="78"/>
      <c r="X2000" s="78"/>
    </row>
    <row r="2001" spans="1:24" ht="42" customHeight="1">
      <c r="A2001" s="78"/>
      <c r="B2001" s="149"/>
      <c r="C2001" s="149"/>
      <c r="D2001" s="78"/>
      <c r="E2001" s="78"/>
      <c r="F2001" s="78"/>
      <c r="G2001" s="150"/>
      <c r="H2001" s="78"/>
      <c r="I2001" s="151"/>
      <c r="J2001" s="78"/>
      <c r="K2001" s="78"/>
      <c r="L2001" s="78"/>
      <c r="M2001" s="153"/>
      <c r="N2001" s="78"/>
      <c r="O2001" s="78"/>
      <c r="P2001" s="153"/>
      <c r="Q2001" s="78"/>
      <c r="R2001" s="78"/>
      <c r="S2001" s="153"/>
      <c r="T2001" s="78"/>
      <c r="U2001" s="78"/>
      <c r="V2001" s="152"/>
      <c r="W2001" s="78"/>
      <c r="X2001" s="78"/>
    </row>
    <row r="2002" spans="1:24" ht="42" customHeight="1">
      <c r="A2002" s="78"/>
      <c r="B2002" s="149" t="s">
        <v>2531</v>
      </c>
      <c r="C2002" s="149" t="s">
        <v>4719</v>
      </c>
      <c r="D2002" s="149" t="s">
        <v>861</v>
      </c>
      <c r="E2002" s="149" t="s">
        <v>3141</v>
      </c>
      <c r="F2002" s="78"/>
      <c r="G2002" s="150" t="s">
        <v>965</v>
      </c>
      <c r="H2002" s="78"/>
      <c r="I2002" s="157" t="s">
        <v>4720</v>
      </c>
      <c r="J2002" s="158" t="s">
        <v>4721</v>
      </c>
      <c r="K2002" s="78"/>
      <c r="L2002" s="149" t="s">
        <v>78</v>
      </c>
      <c r="M2002" s="152">
        <v>44887</v>
      </c>
      <c r="N2002" s="149" t="s">
        <v>2635</v>
      </c>
      <c r="O2002" s="149" t="s">
        <v>78</v>
      </c>
      <c r="P2002" s="152">
        <v>44891</v>
      </c>
      <c r="Q2002" s="149" t="s">
        <v>2538</v>
      </c>
      <c r="R2002" s="78"/>
      <c r="S2002" s="153"/>
      <c r="T2002" s="78"/>
      <c r="U2002" s="78"/>
      <c r="V2002" s="152"/>
      <c r="W2002" s="78"/>
      <c r="X2002" s="78"/>
    </row>
    <row r="2003" spans="1:24" ht="42" customHeight="1">
      <c r="A2003" s="78"/>
      <c r="B2003" s="149" t="s">
        <v>2531</v>
      </c>
      <c r="C2003" s="154" t="s">
        <v>4722</v>
      </c>
      <c r="D2003" s="149" t="s">
        <v>861</v>
      </c>
      <c r="E2003" s="149" t="s">
        <v>3141</v>
      </c>
      <c r="F2003" s="78"/>
      <c r="G2003" s="150">
        <f>96555099999</f>
        <v>96555099999</v>
      </c>
      <c r="H2003" s="78"/>
      <c r="I2003" s="174"/>
      <c r="J2003" s="78"/>
      <c r="K2003" s="78"/>
      <c r="L2003" s="149" t="s">
        <v>78</v>
      </c>
      <c r="M2003" s="152">
        <v>44887</v>
      </c>
      <c r="N2003" s="149" t="s">
        <v>2635</v>
      </c>
      <c r="O2003" s="149" t="s">
        <v>78</v>
      </c>
      <c r="P2003" s="152">
        <v>44891</v>
      </c>
      <c r="Q2003" s="149" t="s">
        <v>2635</v>
      </c>
      <c r="R2003" s="78"/>
      <c r="S2003" s="153"/>
      <c r="T2003" s="78"/>
      <c r="U2003" s="78"/>
      <c r="V2003" s="152"/>
      <c r="W2003" s="78"/>
      <c r="X2003" s="78"/>
    </row>
    <row r="2004" spans="1:24" ht="42" customHeight="1">
      <c r="A2004" s="78"/>
      <c r="B2004" s="149"/>
      <c r="C2004" s="149"/>
      <c r="D2004" s="78"/>
      <c r="E2004" s="78"/>
      <c r="F2004" s="78"/>
      <c r="G2004" s="150"/>
      <c r="H2004" s="78"/>
      <c r="I2004" s="151"/>
      <c r="J2004" s="78"/>
      <c r="K2004" s="78"/>
      <c r="L2004" s="78"/>
      <c r="M2004" s="153"/>
      <c r="N2004" s="78"/>
      <c r="O2004" s="78"/>
      <c r="P2004" s="153"/>
      <c r="Q2004" s="78"/>
      <c r="R2004" s="78"/>
      <c r="S2004" s="153"/>
      <c r="T2004" s="78"/>
      <c r="U2004" s="78"/>
      <c r="V2004" s="152"/>
      <c r="W2004" s="78"/>
      <c r="X2004" s="78"/>
    </row>
    <row r="2005" spans="1:24" ht="42" customHeight="1">
      <c r="A2005" s="78"/>
      <c r="B2005" s="149"/>
      <c r="C2005" s="149"/>
      <c r="D2005" s="78"/>
      <c r="E2005" s="78"/>
      <c r="F2005" s="78"/>
      <c r="G2005" s="150"/>
      <c r="H2005" s="78"/>
      <c r="I2005" s="151"/>
      <c r="J2005" s="78"/>
      <c r="K2005" s="78"/>
      <c r="L2005" s="78"/>
      <c r="M2005" s="153"/>
      <c r="N2005" s="78"/>
      <c r="O2005" s="78"/>
      <c r="P2005" s="153"/>
      <c r="Q2005" s="78"/>
      <c r="R2005" s="78"/>
      <c r="S2005" s="153"/>
      <c r="T2005" s="78"/>
      <c r="U2005" s="78"/>
      <c r="V2005" s="152"/>
      <c r="W2005" s="78"/>
      <c r="X2005" s="78"/>
    </row>
    <row r="2006" spans="1:24" ht="42" customHeight="1">
      <c r="A2006" s="78"/>
      <c r="B2006" s="149"/>
      <c r="C2006" s="149"/>
      <c r="D2006" s="78"/>
      <c r="E2006" s="78"/>
      <c r="F2006" s="78"/>
      <c r="G2006" s="150"/>
      <c r="H2006" s="78"/>
      <c r="I2006" s="151"/>
      <c r="J2006" s="78"/>
      <c r="K2006" s="78"/>
      <c r="L2006" s="78"/>
      <c r="M2006" s="153"/>
      <c r="N2006" s="78"/>
      <c r="O2006" s="78"/>
      <c r="P2006" s="153"/>
      <c r="Q2006" s="78"/>
      <c r="R2006" s="78"/>
      <c r="S2006" s="153"/>
      <c r="T2006" s="78"/>
      <c r="U2006" s="78"/>
      <c r="V2006" s="152"/>
      <c r="W2006" s="78"/>
      <c r="X2006" s="78"/>
    </row>
    <row r="2007" spans="1:24" ht="42" customHeight="1">
      <c r="A2007" s="78"/>
      <c r="B2007" s="149"/>
      <c r="C2007" s="149"/>
      <c r="D2007" s="78"/>
      <c r="E2007" s="78"/>
      <c r="F2007" s="78"/>
      <c r="G2007" s="150"/>
      <c r="H2007" s="78"/>
      <c r="I2007" s="151"/>
      <c r="J2007" s="78"/>
      <c r="K2007" s="78"/>
      <c r="L2007" s="78"/>
      <c r="M2007" s="153"/>
      <c r="N2007" s="78"/>
      <c r="O2007" s="78"/>
      <c r="P2007" s="153"/>
      <c r="Q2007" s="78"/>
      <c r="R2007" s="78"/>
      <c r="S2007" s="153"/>
      <c r="T2007" s="78"/>
      <c r="U2007" s="78"/>
      <c r="V2007" s="152"/>
      <c r="W2007" s="78"/>
      <c r="X2007" s="78"/>
    </row>
    <row r="2008" spans="1:24" ht="42" customHeight="1">
      <c r="A2008" s="78"/>
      <c r="B2008" s="149"/>
      <c r="C2008" s="149"/>
      <c r="D2008" s="78"/>
      <c r="E2008" s="78"/>
      <c r="F2008" s="78"/>
      <c r="G2008" s="150"/>
      <c r="H2008" s="78"/>
      <c r="I2008" s="151"/>
      <c r="J2008" s="78"/>
      <c r="K2008" s="78"/>
      <c r="L2008" s="78"/>
      <c r="M2008" s="153"/>
      <c r="N2008" s="78"/>
      <c r="O2008" s="78"/>
      <c r="P2008" s="153"/>
      <c r="Q2008" s="78"/>
      <c r="R2008" s="78"/>
      <c r="S2008" s="153"/>
      <c r="T2008" s="78"/>
      <c r="U2008" s="78"/>
      <c r="V2008" s="152"/>
      <c r="W2008" s="78"/>
      <c r="X2008" s="78"/>
    </row>
    <row r="2009" spans="1:24" ht="42" customHeight="1">
      <c r="A2009" s="78"/>
      <c r="B2009" s="149"/>
      <c r="C2009" s="149"/>
      <c r="D2009" s="78"/>
      <c r="E2009" s="78"/>
      <c r="F2009" s="78"/>
      <c r="G2009" s="150"/>
      <c r="H2009" s="78"/>
      <c r="I2009" s="151"/>
      <c r="J2009" s="78"/>
      <c r="K2009" s="78"/>
      <c r="L2009" s="78"/>
      <c r="M2009" s="153"/>
      <c r="N2009" s="78"/>
      <c r="O2009" s="78"/>
      <c r="P2009" s="153"/>
      <c r="Q2009" s="78"/>
      <c r="R2009" s="78"/>
      <c r="S2009" s="153"/>
      <c r="T2009" s="78"/>
      <c r="U2009" s="78"/>
      <c r="V2009" s="152"/>
      <c r="W2009" s="78"/>
      <c r="X2009" s="78"/>
    </row>
    <row r="2010" spans="1:24" ht="42" customHeight="1">
      <c r="A2010" s="78"/>
      <c r="B2010" s="149"/>
      <c r="C2010" s="149"/>
      <c r="D2010" s="78"/>
      <c r="E2010" s="78"/>
      <c r="F2010" s="78"/>
      <c r="G2010" s="150"/>
      <c r="H2010" s="78"/>
      <c r="I2010" s="151"/>
      <c r="J2010" s="78"/>
      <c r="K2010" s="78"/>
      <c r="L2010" s="78"/>
      <c r="M2010" s="153"/>
      <c r="N2010" s="78"/>
      <c r="O2010" s="78"/>
      <c r="P2010" s="153"/>
      <c r="Q2010" s="78"/>
      <c r="R2010" s="78"/>
      <c r="S2010" s="153"/>
      <c r="T2010" s="78"/>
      <c r="U2010" s="78"/>
      <c r="V2010" s="152"/>
      <c r="W2010" s="78"/>
      <c r="X2010" s="78"/>
    </row>
    <row r="2011" spans="1:24" ht="42" customHeight="1">
      <c r="A2011" s="78"/>
      <c r="B2011" s="149"/>
      <c r="C2011" s="149"/>
      <c r="D2011" s="78"/>
      <c r="E2011" s="78"/>
      <c r="F2011" s="78"/>
      <c r="G2011" s="150"/>
      <c r="H2011" s="78"/>
      <c r="I2011" s="151"/>
      <c r="J2011" s="78"/>
      <c r="K2011" s="78"/>
      <c r="L2011" s="78"/>
      <c r="M2011" s="153"/>
      <c r="N2011" s="78"/>
      <c r="O2011" s="78"/>
      <c r="P2011" s="153"/>
      <c r="Q2011" s="78"/>
      <c r="R2011" s="78"/>
      <c r="S2011" s="153"/>
      <c r="T2011" s="78"/>
      <c r="U2011" s="78"/>
      <c r="V2011" s="152"/>
      <c r="W2011" s="78"/>
      <c r="X2011" s="78"/>
    </row>
    <row r="2012" spans="1:24" ht="42" customHeight="1">
      <c r="A2012" s="78"/>
      <c r="B2012" s="149"/>
      <c r="C2012" s="175" t="s">
        <v>4723</v>
      </c>
      <c r="D2012" s="149" t="s">
        <v>3071</v>
      </c>
      <c r="E2012" s="149" t="s">
        <v>2533</v>
      </c>
      <c r="F2012" s="78"/>
      <c r="G2012" s="150"/>
      <c r="H2012" s="78"/>
      <c r="I2012" s="176" t="s">
        <v>4724</v>
      </c>
      <c r="J2012" s="149" t="s">
        <v>4725</v>
      </c>
      <c r="K2012" s="78"/>
      <c r="L2012" s="149" t="s">
        <v>78</v>
      </c>
      <c r="M2012" s="152">
        <v>44869</v>
      </c>
      <c r="N2012" s="149" t="s">
        <v>2545</v>
      </c>
      <c r="O2012" s="78"/>
      <c r="P2012" s="153"/>
      <c r="Q2012" s="78"/>
      <c r="R2012" s="78"/>
      <c r="S2012" s="153"/>
      <c r="T2012" s="78"/>
      <c r="U2012" s="78"/>
      <c r="V2012" s="152"/>
      <c r="W2012" s="78"/>
      <c r="X2012" s="78"/>
    </row>
    <row r="2013" spans="1:24" ht="42" customHeight="1">
      <c r="A2013" s="78"/>
      <c r="B2013" s="149"/>
      <c r="C2013" s="175" t="s">
        <v>4726</v>
      </c>
      <c r="D2013" s="149" t="s">
        <v>3071</v>
      </c>
      <c r="E2013" s="149" t="s">
        <v>2533</v>
      </c>
      <c r="F2013" s="78"/>
      <c r="G2013" s="150"/>
      <c r="H2013" s="78"/>
      <c r="I2013" s="176" t="s">
        <v>4727</v>
      </c>
      <c r="J2013" s="149" t="s">
        <v>4728</v>
      </c>
      <c r="K2013" s="78"/>
      <c r="L2013" s="149" t="s">
        <v>78</v>
      </c>
      <c r="M2013" s="152">
        <v>44869</v>
      </c>
      <c r="N2013" s="149" t="s">
        <v>2545</v>
      </c>
      <c r="O2013" s="78"/>
      <c r="P2013" s="153"/>
      <c r="Q2013" s="78"/>
      <c r="R2013" s="78"/>
      <c r="S2013" s="153"/>
      <c r="T2013" s="78"/>
      <c r="U2013" s="78"/>
      <c r="V2013" s="152"/>
      <c r="W2013" s="78"/>
      <c r="X2013" s="78"/>
    </row>
    <row r="2014" spans="1:24" ht="42" customHeight="1">
      <c r="A2014" s="78"/>
      <c r="B2014" s="149"/>
      <c r="C2014" s="175" t="s">
        <v>4729</v>
      </c>
      <c r="D2014" s="149" t="s">
        <v>3071</v>
      </c>
      <c r="E2014" s="149" t="s">
        <v>2533</v>
      </c>
      <c r="F2014" s="78"/>
      <c r="G2014" s="150"/>
      <c r="H2014" s="78"/>
      <c r="I2014" s="177" t="s">
        <v>4730</v>
      </c>
      <c r="J2014" s="149" t="s">
        <v>4731</v>
      </c>
      <c r="K2014" s="78"/>
      <c r="L2014" s="149" t="s">
        <v>78</v>
      </c>
      <c r="M2014" s="152">
        <v>44869</v>
      </c>
      <c r="N2014" s="149" t="s">
        <v>2545</v>
      </c>
      <c r="O2014" s="78"/>
      <c r="P2014" s="153"/>
      <c r="Q2014" s="78"/>
      <c r="R2014" s="78"/>
      <c r="S2014" s="153"/>
      <c r="T2014" s="78"/>
      <c r="U2014" s="78"/>
      <c r="V2014" s="152"/>
      <c r="W2014" s="78"/>
      <c r="X2014" s="78"/>
    </row>
    <row r="2015" spans="1:24" ht="42" customHeight="1">
      <c r="A2015" s="78"/>
      <c r="B2015" s="149"/>
      <c r="C2015" s="149" t="s">
        <v>4732</v>
      </c>
      <c r="D2015" s="149" t="s">
        <v>2765</v>
      </c>
      <c r="E2015" s="149" t="s">
        <v>2533</v>
      </c>
      <c r="F2015" s="78"/>
      <c r="G2015" s="150">
        <f>13055580612</f>
        <v>13055580612</v>
      </c>
      <c r="H2015" s="78"/>
      <c r="I2015" s="176" t="s">
        <v>4733</v>
      </c>
      <c r="J2015" s="78"/>
      <c r="K2015" s="78"/>
      <c r="L2015" s="78"/>
      <c r="M2015" s="153"/>
      <c r="N2015" s="78"/>
      <c r="O2015" s="78"/>
      <c r="P2015" s="153"/>
      <c r="Q2015" s="78"/>
      <c r="R2015" s="78"/>
      <c r="S2015" s="153"/>
      <c r="T2015" s="78"/>
      <c r="U2015" s="78"/>
      <c r="V2015" s="152"/>
      <c r="W2015" s="78"/>
      <c r="X2015" s="78"/>
    </row>
    <row r="2016" spans="1:24" ht="42" customHeight="1">
      <c r="A2016" s="78"/>
      <c r="B2016" s="149"/>
      <c r="C2016" s="149" t="s">
        <v>4734</v>
      </c>
      <c r="D2016" s="149" t="s">
        <v>2765</v>
      </c>
      <c r="E2016" s="149" t="s">
        <v>2533</v>
      </c>
      <c r="F2016" s="78"/>
      <c r="G2016" s="150">
        <f>18636475912</f>
        <v>18636475912</v>
      </c>
      <c r="H2016" s="78"/>
      <c r="I2016" s="177" t="s">
        <v>4735</v>
      </c>
      <c r="J2016" s="78"/>
      <c r="K2016" s="78"/>
      <c r="L2016" s="149" t="s">
        <v>78</v>
      </c>
      <c r="M2016" s="152">
        <v>44869</v>
      </c>
      <c r="N2016" s="149" t="s">
        <v>2560</v>
      </c>
      <c r="O2016" s="149" t="s">
        <v>78</v>
      </c>
      <c r="P2016" s="152">
        <v>44869</v>
      </c>
      <c r="Q2016" s="78"/>
      <c r="R2016" s="78"/>
      <c r="S2016" s="153"/>
      <c r="T2016" s="78"/>
      <c r="U2016" s="78"/>
      <c r="V2016" s="152"/>
      <c r="W2016" s="78"/>
      <c r="X2016" s="78"/>
    </row>
    <row r="2017" spans="1:24" ht="42" customHeight="1">
      <c r="A2017" s="78"/>
      <c r="B2017" s="149"/>
      <c r="C2017" s="149"/>
      <c r="D2017" s="78"/>
      <c r="E2017" s="78"/>
      <c r="F2017" s="78"/>
      <c r="G2017" s="150"/>
      <c r="H2017" s="78"/>
      <c r="I2017" s="151"/>
      <c r="J2017" s="78"/>
      <c r="K2017" s="78"/>
      <c r="L2017" s="78"/>
      <c r="M2017" s="153"/>
      <c r="N2017" s="78"/>
      <c r="O2017" s="78"/>
      <c r="P2017" s="153"/>
      <c r="Q2017" s="78"/>
      <c r="R2017" s="78"/>
      <c r="S2017" s="153"/>
      <c r="T2017" s="78"/>
      <c r="U2017" s="78"/>
      <c r="V2017" s="152"/>
      <c r="W2017" s="78"/>
      <c r="X2017" s="78"/>
    </row>
    <row r="2018" spans="1:24" ht="42" customHeight="1">
      <c r="A2018" s="78"/>
      <c r="B2018" s="149"/>
      <c r="C2018" s="149"/>
      <c r="D2018" s="78"/>
      <c r="E2018" s="78"/>
      <c r="F2018" s="78"/>
      <c r="G2018" s="150"/>
      <c r="H2018" s="78"/>
      <c r="I2018" s="151"/>
      <c r="J2018" s="78"/>
      <c r="K2018" s="78"/>
      <c r="L2018" s="78"/>
      <c r="M2018" s="153"/>
      <c r="N2018" s="78"/>
      <c r="O2018" s="78"/>
      <c r="P2018" s="153"/>
      <c r="Q2018" s="78"/>
      <c r="R2018" s="78"/>
      <c r="S2018" s="153"/>
      <c r="T2018" s="78"/>
      <c r="U2018" s="78"/>
      <c r="V2018" s="152"/>
      <c r="W2018" s="78"/>
      <c r="X2018" s="78"/>
    </row>
    <row r="2019" spans="1:24" ht="42" customHeight="1">
      <c r="A2019" s="78"/>
      <c r="B2019" s="149"/>
      <c r="C2019" s="149"/>
      <c r="D2019" s="78"/>
      <c r="E2019" s="78"/>
      <c r="F2019" s="78"/>
      <c r="G2019" s="150"/>
      <c r="H2019" s="78"/>
      <c r="I2019" s="151"/>
      <c r="J2019" s="78"/>
      <c r="K2019" s="78"/>
      <c r="L2019" s="78"/>
      <c r="M2019" s="153"/>
      <c r="N2019" s="78"/>
      <c r="O2019" s="78"/>
      <c r="P2019" s="153"/>
      <c r="Q2019" s="78"/>
      <c r="R2019" s="78"/>
      <c r="S2019" s="153"/>
      <c r="T2019" s="78"/>
      <c r="U2019" s="78"/>
      <c r="V2019" s="152"/>
      <c r="W2019" s="78"/>
      <c r="X2019" s="78"/>
    </row>
    <row r="2020" spans="1:24" ht="42" customHeight="1">
      <c r="A2020" s="78"/>
      <c r="B2020" s="149"/>
      <c r="C2020" s="149"/>
      <c r="D2020" s="78"/>
      <c r="E2020" s="78"/>
      <c r="F2020" s="78"/>
      <c r="G2020" s="150"/>
      <c r="H2020" s="78"/>
      <c r="I2020" s="151"/>
      <c r="J2020" s="78"/>
      <c r="K2020" s="78"/>
      <c r="L2020" s="78"/>
      <c r="M2020" s="153"/>
      <c r="N2020" s="78"/>
      <c r="O2020" s="78"/>
      <c r="P2020" s="153"/>
      <c r="Q2020" s="78"/>
      <c r="R2020" s="78"/>
      <c r="S2020" s="153"/>
      <c r="T2020" s="78"/>
      <c r="U2020" s="78"/>
      <c r="V2020" s="152"/>
      <c r="W2020" s="78"/>
      <c r="X2020" s="78"/>
    </row>
    <row r="2021" spans="1:24" ht="42" customHeight="1">
      <c r="A2021" s="78"/>
      <c r="B2021" s="149"/>
      <c r="C2021" s="149"/>
      <c r="D2021" s="78"/>
      <c r="E2021" s="78"/>
      <c r="F2021" s="78"/>
      <c r="G2021" s="150"/>
      <c r="H2021" s="78"/>
      <c r="I2021" s="151"/>
      <c r="J2021" s="78"/>
      <c r="K2021" s="78"/>
      <c r="L2021" s="78"/>
      <c r="M2021" s="153"/>
      <c r="N2021" s="78"/>
      <c r="O2021" s="78"/>
      <c r="P2021" s="153"/>
      <c r="Q2021" s="78"/>
      <c r="R2021" s="78"/>
      <c r="S2021" s="153"/>
      <c r="T2021" s="78"/>
      <c r="U2021" s="78"/>
      <c r="V2021" s="152"/>
      <c r="W2021" s="78"/>
      <c r="X2021" s="78"/>
    </row>
    <row r="2022" spans="1:24" ht="42" customHeight="1">
      <c r="A2022" s="78"/>
      <c r="B2022" s="149"/>
      <c r="C2022" s="149" t="s">
        <v>4736</v>
      </c>
      <c r="D2022" s="149" t="s">
        <v>3591</v>
      </c>
      <c r="E2022" s="78"/>
      <c r="F2022" s="78"/>
      <c r="G2022" s="150" t="s">
        <v>4737</v>
      </c>
      <c r="H2022" s="78"/>
      <c r="I2022" s="151"/>
      <c r="J2022" s="78"/>
      <c r="K2022" s="78"/>
      <c r="L2022" s="78"/>
      <c r="M2022" s="153"/>
      <c r="N2022" s="78"/>
      <c r="O2022" s="149" t="s">
        <v>78</v>
      </c>
      <c r="P2022" s="152">
        <v>44872</v>
      </c>
      <c r="Q2022" s="149" t="s">
        <v>2545</v>
      </c>
      <c r="R2022" s="78"/>
      <c r="S2022" s="153"/>
      <c r="T2022" s="78"/>
      <c r="U2022" s="78"/>
      <c r="V2022" s="152"/>
      <c r="W2022" s="78"/>
      <c r="X2022" s="78"/>
    </row>
    <row r="2023" spans="1:24" ht="42" customHeight="1">
      <c r="A2023" s="78"/>
      <c r="B2023" s="149"/>
      <c r="C2023" s="149" t="s">
        <v>4738</v>
      </c>
      <c r="D2023" s="149" t="s">
        <v>3591</v>
      </c>
      <c r="E2023" s="78"/>
      <c r="F2023" s="78"/>
      <c r="G2023" s="140" t="s">
        <v>4739</v>
      </c>
      <c r="H2023" s="78"/>
      <c r="I2023" s="151"/>
      <c r="J2023" s="78"/>
      <c r="K2023" s="78"/>
      <c r="L2023" s="78"/>
      <c r="M2023" s="153"/>
      <c r="N2023" s="78"/>
      <c r="O2023" s="149" t="s">
        <v>78</v>
      </c>
      <c r="P2023" s="152">
        <v>44872</v>
      </c>
      <c r="Q2023" s="149" t="s">
        <v>2561</v>
      </c>
      <c r="R2023" s="78"/>
      <c r="S2023" s="153"/>
      <c r="T2023" s="78"/>
      <c r="U2023" s="78"/>
      <c r="V2023" s="152"/>
      <c r="W2023" s="78"/>
      <c r="X2023" s="78"/>
    </row>
    <row r="2024" spans="1:24" ht="42" customHeight="1">
      <c r="A2024" s="78"/>
      <c r="B2024" s="149"/>
      <c r="C2024" s="149" t="s">
        <v>4740</v>
      </c>
      <c r="D2024" s="149" t="s">
        <v>3591</v>
      </c>
      <c r="E2024" s="78"/>
      <c r="F2024" s="78"/>
      <c r="G2024" s="150" t="s">
        <v>4741</v>
      </c>
      <c r="H2024" s="149" t="s">
        <v>4742</v>
      </c>
      <c r="I2024" s="151"/>
      <c r="J2024" s="78"/>
      <c r="K2024" s="78"/>
      <c r="L2024" s="149" t="s">
        <v>78</v>
      </c>
      <c r="M2024" s="152">
        <v>44873</v>
      </c>
      <c r="N2024" s="149" t="s">
        <v>2635</v>
      </c>
      <c r="O2024" s="149" t="s">
        <v>78</v>
      </c>
      <c r="P2024" s="152">
        <v>44891</v>
      </c>
      <c r="Q2024" s="149" t="s">
        <v>2635</v>
      </c>
      <c r="R2024" s="78"/>
      <c r="S2024" s="153"/>
      <c r="T2024" s="78"/>
      <c r="U2024" s="149" t="s">
        <v>78</v>
      </c>
      <c r="V2024" s="152">
        <v>44886</v>
      </c>
      <c r="W2024" s="149" t="s">
        <v>2570</v>
      </c>
      <c r="X2024" s="78"/>
    </row>
    <row r="2025" spans="1:24" ht="42" customHeight="1">
      <c r="A2025" s="78"/>
      <c r="B2025" s="149"/>
      <c r="C2025" s="149" t="s">
        <v>4743</v>
      </c>
      <c r="D2025" s="149" t="s">
        <v>3591</v>
      </c>
      <c r="E2025" s="78"/>
      <c r="F2025" s="78"/>
      <c r="G2025" s="150" t="s">
        <v>4744</v>
      </c>
      <c r="H2025" s="78"/>
      <c r="I2025" s="176" t="s">
        <v>4745</v>
      </c>
      <c r="J2025" s="149" t="s">
        <v>4746</v>
      </c>
      <c r="K2025" s="78"/>
      <c r="L2025" s="149" t="s">
        <v>78</v>
      </c>
      <c r="M2025" s="153"/>
      <c r="N2025" s="78"/>
      <c r="O2025" s="149" t="s">
        <v>78</v>
      </c>
      <c r="P2025" s="152">
        <v>44872</v>
      </c>
      <c r="Q2025" s="149" t="s">
        <v>2545</v>
      </c>
      <c r="R2025" s="78"/>
      <c r="S2025" s="153"/>
      <c r="T2025" s="78"/>
      <c r="U2025" s="78"/>
      <c r="V2025" s="152"/>
      <c r="W2025" s="78"/>
      <c r="X2025" s="78"/>
    </row>
    <row r="2026" spans="1:24" ht="42" customHeight="1">
      <c r="A2026" s="78"/>
      <c r="B2026" s="149"/>
      <c r="C2026" s="161" t="s">
        <v>4747</v>
      </c>
      <c r="D2026" s="149" t="s">
        <v>3591</v>
      </c>
      <c r="E2026" s="78"/>
      <c r="F2026" s="78"/>
      <c r="G2026" s="150"/>
      <c r="H2026" s="78"/>
      <c r="I2026" s="151"/>
      <c r="J2026" s="78"/>
      <c r="K2026" s="78"/>
      <c r="L2026" s="78"/>
      <c r="M2026" s="153"/>
      <c r="N2026" s="78"/>
      <c r="O2026" s="78"/>
      <c r="P2026" s="153"/>
      <c r="Q2026" s="78"/>
      <c r="R2026" s="78"/>
      <c r="S2026" s="153"/>
      <c r="T2026" s="78"/>
      <c r="U2026" s="78"/>
      <c r="V2026" s="152"/>
      <c r="W2026" s="78"/>
      <c r="X2026" s="78"/>
    </row>
    <row r="2027" spans="1:24" ht="42" customHeight="1">
      <c r="A2027" s="78"/>
      <c r="B2027" s="149"/>
      <c r="C2027" s="161" t="s">
        <v>4748</v>
      </c>
      <c r="D2027" s="149" t="s">
        <v>3591</v>
      </c>
      <c r="E2027" s="78"/>
      <c r="F2027" s="78"/>
      <c r="G2027" s="150" t="s">
        <v>4749</v>
      </c>
      <c r="H2027" s="78"/>
      <c r="I2027" s="151"/>
      <c r="J2027" s="78"/>
      <c r="K2027" s="78"/>
      <c r="L2027" s="78"/>
      <c r="M2027" s="153"/>
      <c r="N2027" s="78"/>
      <c r="O2027" s="149" t="s">
        <v>78</v>
      </c>
      <c r="P2027" s="152">
        <v>44891</v>
      </c>
      <c r="Q2027" s="149" t="s">
        <v>2538</v>
      </c>
      <c r="R2027" s="78"/>
      <c r="S2027" s="153"/>
      <c r="T2027" s="78"/>
      <c r="U2027" s="78"/>
      <c r="V2027" s="152"/>
      <c r="W2027" s="78"/>
      <c r="X2027" s="78"/>
    </row>
    <row r="2028" spans="1:24" ht="42" customHeight="1">
      <c r="A2028" s="78"/>
      <c r="B2028" s="149"/>
      <c r="C2028" s="161" t="s">
        <v>4750</v>
      </c>
      <c r="D2028" s="149" t="s">
        <v>3591</v>
      </c>
      <c r="E2028" s="78"/>
      <c r="F2028" s="78"/>
      <c r="G2028" s="150" t="s">
        <v>4750</v>
      </c>
      <c r="H2028" s="78"/>
      <c r="I2028" s="151"/>
      <c r="J2028" s="78"/>
      <c r="K2028" s="78"/>
      <c r="L2028" s="78"/>
      <c r="M2028" s="153"/>
      <c r="N2028" s="78"/>
      <c r="O2028" s="78"/>
      <c r="P2028" s="153"/>
      <c r="Q2028" s="78"/>
      <c r="R2028" s="78"/>
      <c r="S2028" s="153"/>
      <c r="T2028" s="78"/>
      <c r="U2028" s="78"/>
      <c r="V2028" s="152"/>
      <c r="W2028" s="78"/>
      <c r="X2028" s="78"/>
    </row>
    <row r="2029" spans="1:24" ht="42" customHeight="1">
      <c r="A2029" s="78"/>
      <c r="B2029" s="149"/>
      <c r="C2029" s="161" t="s">
        <v>4751</v>
      </c>
      <c r="D2029" s="149" t="s">
        <v>3591</v>
      </c>
      <c r="E2029" s="78"/>
      <c r="F2029" s="78"/>
      <c r="G2029" s="150" t="s">
        <v>4752</v>
      </c>
      <c r="H2029" s="78"/>
      <c r="I2029" s="151"/>
      <c r="J2029" s="78"/>
      <c r="K2029" s="78"/>
      <c r="L2029" s="78"/>
      <c r="M2029" s="153"/>
      <c r="N2029" s="78"/>
      <c r="O2029" s="149" t="s">
        <v>78</v>
      </c>
      <c r="P2029" s="152">
        <v>44872</v>
      </c>
      <c r="Q2029" s="149" t="s">
        <v>2558</v>
      </c>
      <c r="R2029" s="78"/>
      <c r="S2029" s="153"/>
      <c r="T2029" s="78"/>
      <c r="U2029" s="78"/>
      <c r="V2029" s="152"/>
      <c r="W2029" s="78"/>
      <c r="X2029" s="78"/>
    </row>
    <row r="2030" spans="1:24" ht="42" customHeight="1">
      <c r="A2030" s="78"/>
      <c r="B2030" s="149"/>
      <c r="C2030" s="161" t="s">
        <v>4753</v>
      </c>
      <c r="D2030" s="149" t="s">
        <v>3591</v>
      </c>
      <c r="E2030" s="78"/>
      <c r="F2030" s="78"/>
      <c r="G2030" s="150" t="s">
        <v>4754</v>
      </c>
      <c r="H2030" s="78"/>
      <c r="I2030" s="151"/>
      <c r="J2030" s="78"/>
      <c r="K2030" s="78"/>
      <c r="L2030" s="78"/>
      <c r="M2030" s="153"/>
      <c r="N2030" s="78"/>
      <c r="O2030" s="149" t="s">
        <v>78</v>
      </c>
      <c r="P2030" s="152">
        <v>44872</v>
      </c>
      <c r="Q2030" s="149" t="s">
        <v>2701</v>
      </c>
      <c r="R2030" s="78"/>
      <c r="S2030" s="153"/>
      <c r="T2030" s="78"/>
      <c r="U2030" s="78"/>
      <c r="V2030" s="152"/>
      <c r="W2030" s="78"/>
      <c r="X2030" s="78"/>
    </row>
    <row r="2031" spans="1:24" ht="42" customHeight="1">
      <c r="A2031" s="78"/>
      <c r="B2031" s="149"/>
      <c r="C2031" s="161" t="s">
        <v>4755</v>
      </c>
      <c r="D2031" s="149" t="s">
        <v>3591</v>
      </c>
      <c r="E2031" s="78"/>
      <c r="F2031" s="78"/>
      <c r="G2031" s="150"/>
      <c r="H2031" s="78"/>
      <c r="I2031" s="151"/>
      <c r="J2031" s="78"/>
      <c r="K2031" s="78"/>
      <c r="L2031" s="78"/>
      <c r="M2031" s="153"/>
      <c r="N2031" s="78"/>
      <c r="O2031" s="78"/>
      <c r="P2031" s="153"/>
      <c r="Q2031" s="78"/>
      <c r="R2031" s="78"/>
      <c r="S2031" s="153"/>
      <c r="T2031" s="78"/>
      <c r="U2031" s="78"/>
      <c r="V2031" s="152"/>
      <c r="W2031" s="78"/>
      <c r="X2031" s="78"/>
    </row>
    <row r="2032" spans="1:24" ht="42" customHeight="1">
      <c r="A2032" s="78"/>
      <c r="B2032" s="149"/>
      <c r="C2032" s="161" t="s">
        <v>4756</v>
      </c>
      <c r="D2032" s="169" t="s">
        <v>3591</v>
      </c>
      <c r="E2032" s="78"/>
      <c r="F2032" s="78"/>
      <c r="G2032" s="150" t="s">
        <v>4757</v>
      </c>
      <c r="H2032" s="78"/>
      <c r="I2032" s="151"/>
      <c r="J2032" s="78"/>
      <c r="K2032" s="78"/>
      <c r="L2032" s="149" t="s">
        <v>78</v>
      </c>
      <c r="M2032" s="153"/>
      <c r="N2032" s="78"/>
      <c r="O2032" s="149" t="s">
        <v>78</v>
      </c>
      <c r="P2032" s="152">
        <v>44891</v>
      </c>
      <c r="Q2032" s="149" t="s">
        <v>2558</v>
      </c>
      <c r="R2032" s="78"/>
      <c r="S2032" s="153"/>
      <c r="T2032" s="78"/>
      <c r="U2032" s="78"/>
      <c r="V2032" s="152"/>
      <c r="W2032" s="78"/>
      <c r="X2032" s="78"/>
    </row>
    <row r="2033" spans="1:24" ht="42" customHeight="1">
      <c r="A2033" s="78"/>
      <c r="B2033" s="149"/>
      <c r="C2033" s="169"/>
      <c r="D2033" s="169"/>
      <c r="E2033" s="78"/>
      <c r="F2033" s="78"/>
      <c r="G2033" s="150"/>
      <c r="H2033" s="78"/>
      <c r="I2033" s="151"/>
      <c r="J2033" s="78"/>
      <c r="K2033" s="78"/>
      <c r="L2033" s="78"/>
      <c r="M2033" s="153"/>
      <c r="N2033" s="78"/>
      <c r="O2033" s="78"/>
      <c r="P2033" s="153"/>
      <c r="Q2033" s="78"/>
      <c r="R2033" s="78"/>
      <c r="S2033" s="153"/>
      <c r="T2033" s="78"/>
      <c r="U2033" s="78"/>
      <c r="V2033" s="152"/>
      <c r="W2033" s="78"/>
      <c r="X2033" s="78"/>
    </row>
    <row r="2034" spans="1:24" ht="42" customHeight="1">
      <c r="A2034" s="78"/>
      <c r="B2034" s="149"/>
      <c r="C2034" s="169"/>
      <c r="D2034" s="169"/>
      <c r="E2034" s="78"/>
      <c r="F2034" s="78"/>
      <c r="G2034" s="150"/>
      <c r="H2034" s="78"/>
      <c r="I2034" s="151"/>
      <c r="J2034" s="78"/>
      <c r="K2034" s="78"/>
      <c r="L2034" s="78"/>
      <c r="M2034" s="153"/>
      <c r="N2034" s="78"/>
      <c r="O2034" s="78"/>
      <c r="P2034" s="153"/>
      <c r="Q2034" s="78"/>
      <c r="R2034" s="78"/>
      <c r="S2034" s="153"/>
      <c r="T2034" s="78"/>
      <c r="U2034" s="78"/>
      <c r="V2034" s="152"/>
      <c r="W2034" s="78"/>
      <c r="X2034" s="78"/>
    </row>
    <row r="2035" spans="1:24" ht="42" customHeight="1">
      <c r="A2035" s="78"/>
      <c r="B2035" s="149"/>
      <c r="C2035" s="169"/>
      <c r="D2035" s="169"/>
      <c r="E2035" s="78"/>
      <c r="F2035" s="78"/>
      <c r="G2035" s="150"/>
      <c r="H2035" s="78"/>
      <c r="I2035" s="151"/>
      <c r="J2035" s="78"/>
      <c r="K2035" s="78"/>
      <c r="L2035" s="78"/>
      <c r="M2035" s="153"/>
      <c r="N2035" s="78"/>
      <c r="O2035" s="78"/>
      <c r="P2035" s="153"/>
      <c r="Q2035" s="78"/>
      <c r="R2035" s="78"/>
      <c r="S2035" s="153"/>
      <c r="T2035" s="78"/>
      <c r="U2035" s="78"/>
      <c r="V2035" s="152"/>
      <c r="W2035" s="78"/>
      <c r="X2035" s="78"/>
    </row>
    <row r="2036" spans="1:24" ht="42" customHeight="1">
      <c r="A2036" s="78"/>
      <c r="B2036" s="149"/>
      <c r="C2036" s="169"/>
      <c r="D2036" s="169"/>
      <c r="E2036" s="78"/>
      <c r="F2036" s="78"/>
      <c r="G2036" s="150"/>
      <c r="H2036" s="78"/>
      <c r="I2036" s="151"/>
      <c r="J2036" s="78"/>
      <c r="K2036" s="78"/>
      <c r="L2036" s="78"/>
      <c r="M2036" s="153"/>
      <c r="N2036" s="78"/>
      <c r="O2036" s="78"/>
      <c r="P2036" s="153"/>
      <c r="Q2036" s="78"/>
      <c r="R2036" s="78"/>
      <c r="S2036" s="153"/>
      <c r="T2036" s="78"/>
      <c r="U2036" s="78"/>
      <c r="V2036" s="152"/>
      <c r="W2036" s="78"/>
      <c r="X2036" s="78"/>
    </row>
    <row r="2037" spans="1:24" ht="42" customHeight="1">
      <c r="A2037" s="78"/>
      <c r="B2037" s="149"/>
      <c r="C2037" s="169"/>
      <c r="D2037" s="169"/>
      <c r="E2037" s="78"/>
      <c r="F2037" s="78"/>
      <c r="G2037" s="150"/>
      <c r="H2037" s="78"/>
      <c r="I2037" s="151"/>
      <c r="J2037" s="78"/>
      <c r="K2037" s="78"/>
      <c r="L2037" s="78"/>
      <c r="M2037" s="153"/>
      <c r="N2037" s="78"/>
      <c r="O2037" s="78"/>
      <c r="P2037" s="153"/>
      <c r="Q2037" s="78"/>
      <c r="R2037" s="78"/>
      <c r="S2037" s="153"/>
      <c r="T2037" s="78"/>
      <c r="U2037" s="78"/>
      <c r="V2037" s="152"/>
      <c r="W2037" s="78"/>
      <c r="X2037" s="78"/>
    </row>
    <row r="2038" spans="1:24" ht="42" customHeight="1">
      <c r="A2038" s="78"/>
      <c r="B2038" s="149"/>
      <c r="C2038" s="169"/>
      <c r="D2038" s="169"/>
      <c r="E2038" s="78"/>
      <c r="F2038" s="78"/>
      <c r="G2038" s="150"/>
      <c r="H2038" s="78"/>
      <c r="I2038" s="151"/>
      <c r="J2038" s="78"/>
      <c r="K2038" s="78"/>
      <c r="L2038" s="78"/>
      <c r="M2038" s="153"/>
      <c r="N2038" s="78"/>
      <c r="O2038" s="78"/>
      <c r="P2038" s="153"/>
      <c r="Q2038" s="78"/>
      <c r="R2038" s="78"/>
      <c r="S2038" s="153"/>
      <c r="T2038" s="78"/>
      <c r="U2038" s="78"/>
      <c r="V2038" s="152"/>
      <c r="W2038" s="78"/>
      <c r="X2038" s="78"/>
    </row>
    <row r="2039" spans="1:24" ht="42" customHeight="1">
      <c r="A2039" s="78"/>
      <c r="B2039" s="149"/>
      <c r="C2039" s="169"/>
      <c r="D2039" s="169"/>
      <c r="E2039" s="78"/>
      <c r="F2039" s="78"/>
      <c r="G2039" s="150"/>
      <c r="H2039" s="78"/>
      <c r="I2039" s="151"/>
      <c r="J2039" s="78"/>
      <c r="K2039" s="78"/>
      <c r="L2039" s="78"/>
      <c r="M2039" s="153"/>
      <c r="N2039" s="78"/>
      <c r="O2039" s="78"/>
      <c r="P2039" s="153"/>
      <c r="Q2039" s="78"/>
      <c r="R2039" s="78"/>
      <c r="S2039" s="153"/>
      <c r="T2039" s="78"/>
      <c r="U2039" s="78"/>
      <c r="V2039" s="152"/>
      <c r="W2039" s="78"/>
      <c r="X2039" s="78"/>
    </row>
    <row r="2040" spans="1:24" ht="42" customHeight="1">
      <c r="A2040" s="78"/>
      <c r="B2040" s="149"/>
      <c r="C2040" s="169"/>
      <c r="D2040" s="169"/>
      <c r="E2040" s="78"/>
      <c r="F2040" s="78"/>
      <c r="G2040" s="150"/>
      <c r="H2040" s="78"/>
      <c r="I2040" s="151"/>
      <c r="J2040" s="78"/>
      <c r="K2040" s="78"/>
      <c r="L2040" s="78"/>
      <c r="M2040" s="153"/>
      <c r="N2040" s="78"/>
      <c r="O2040" s="78"/>
      <c r="P2040" s="153"/>
      <c r="Q2040" s="78"/>
      <c r="R2040" s="78"/>
      <c r="S2040" s="153"/>
      <c r="T2040" s="78"/>
      <c r="U2040" s="78"/>
      <c r="V2040" s="152"/>
      <c r="W2040" s="78"/>
      <c r="X2040" s="78"/>
    </row>
    <row r="2041" spans="1:24" ht="42" customHeight="1">
      <c r="A2041" s="78"/>
      <c r="B2041" s="149"/>
      <c r="C2041" s="169"/>
      <c r="D2041" s="169"/>
      <c r="E2041" s="78"/>
      <c r="F2041" s="78"/>
      <c r="G2041" s="150"/>
      <c r="H2041" s="78"/>
      <c r="I2041" s="151"/>
      <c r="J2041" s="78"/>
      <c r="K2041" s="78"/>
      <c r="L2041" s="78"/>
      <c r="M2041" s="153"/>
      <c r="N2041" s="78"/>
      <c r="O2041" s="78"/>
      <c r="P2041" s="153"/>
      <c r="Q2041" s="78"/>
      <c r="R2041" s="78"/>
      <c r="S2041" s="153"/>
      <c r="T2041" s="78"/>
      <c r="U2041" s="78"/>
      <c r="V2041" s="152"/>
      <c r="W2041" s="78"/>
      <c r="X2041" s="78"/>
    </row>
    <row r="2042" spans="1:24" ht="42" customHeight="1">
      <c r="A2042" s="78"/>
      <c r="B2042" s="149" t="s">
        <v>2531</v>
      </c>
      <c r="C2042" s="169" t="s">
        <v>966</v>
      </c>
      <c r="D2042" s="169" t="s">
        <v>861</v>
      </c>
      <c r="E2042" s="149" t="s">
        <v>2533</v>
      </c>
      <c r="F2042" s="78"/>
      <c r="G2042" s="150" t="s">
        <v>967</v>
      </c>
      <c r="H2042" s="78"/>
      <c r="I2042" s="151"/>
      <c r="J2042" s="78"/>
      <c r="K2042" s="78"/>
      <c r="L2042" s="149" t="s">
        <v>78</v>
      </c>
      <c r="M2042" s="152">
        <v>44887</v>
      </c>
      <c r="N2042" s="149" t="s">
        <v>2561</v>
      </c>
      <c r="O2042" s="149" t="s">
        <v>78</v>
      </c>
      <c r="P2042" s="152">
        <v>44891</v>
      </c>
      <c r="Q2042" s="149" t="s">
        <v>4330</v>
      </c>
      <c r="R2042" s="78"/>
      <c r="S2042" s="153"/>
      <c r="T2042" s="78"/>
      <c r="U2042" s="78"/>
      <c r="V2042" s="152"/>
      <c r="W2042" s="78"/>
      <c r="X2042" s="78"/>
    </row>
  </sheetData>
  <mergeCells count="2">
    <mergeCell ref="A1:K1"/>
    <mergeCell ref="L1:X1"/>
  </mergeCells>
  <conditionalFormatting sqref="X1:X2042">
    <cfRule type="notContainsBlanks" dxfId="12" priority="1">
      <formula>LEN(TRIM(X1))&gt;0</formula>
    </cfRule>
  </conditionalFormatting>
  <dataValidations count="7">
    <dataValidation type="list" allowBlank="1" showDropDown="1" showErrorMessage="1" sqref="D3:D40 D42:D2042">
      <formula1>ULKEADLARI</formula1>
    </dataValidation>
    <dataValidation type="list" allowBlank="1" showDropDown="1" sqref="N3:N266 N268:N1074 N1076:N2042">
      <formula1>aramasonuçları</formula1>
    </dataValidation>
    <dataValidation type="list" allowBlank="1" showDropDown="1" showErrorMessage="1" sqref="E3:E2042">
      <formula1>faaliyet</formula1>
    </dataValidation>
    <dataValidation type="list" allowBlank="1" showDropDown="1" showErrorMessage="1" sqref="O3:O259 O261:O266 N267:O267 O268:O775 O777:O870 L3:L2042 O872:O2042 R3:R2042 U3:U2042">
      <formula1>irtibatşekli</formula1>
    </dataValidation>
    <dataValidation type="list" allowBlank="1" showDropDown="1" showErrorMessage="1" sqref="T3:T2042">
      <formula1>aramasonuçları</formula1>
    </dataValidation>
    <dataValidation type="list" allowBlank="1" showDropDown="1" showErrorMessage="1" sqref="B3:B2042">
      <formula1>ekleyenler</formula1>
    </dataValidation>
    <dataValidation type="custom" allowBlank="1" showDropDown="1" showErrorMessage="1" sqref="P3:P775 O776 M3:M2042 P777:P2042 S3:S2042 V3:V2042">
      <formula1>OR(NOT(ISERROR(DATEVALUE(M3))), AND(ISNUMBER(M3), LEFT(CELL("format", M3))="D"))</formula1>
    </dataValidation>
  </dataValidations>
  <hyperlinks>
    <hyperlink ref="J3" r:id="rId1"/>
    <hyperlink ref="J4" r:id="rId2"/>
    <hyperlink ref="J6" r:id="rId3"/>
    <hyperlink ref="J8" r:id="rId4"/>
    <hyperlink ref="I12" r:id="rId5"/>
    <hyperlink ref="I14" r:id="rId6"/>
    <hyperlink ref="I15" r:id="rId7"/>
    <hyperlink ref="I16" r:id="rId8"/>
    <hyperlink ref="I17" r:id="rId9"/>
    <hyperlink ref="I18" r:id="rId10"/>
    <hyperlink ref="I19" r:id="rId11"/>
    <hyperlink ref="I20" r:id="rId12"/>
    <hyperlink ref="I21" r:id="rId13"/>
    <hyperlink ref="F23" r:id="rId14"/>
    <hyperlink ref="F24" r:id="rId15"/>
    <hyperlink ref="F25" r:id="rId16"/>
    <hyperlink ref="F26" r:id="rId17"/>
    <hyperlink ref="F27" r:id="rId18"/>
    <hyperlink ref="F28" r:id="rId19"/>
    <hyperlink ref="F30" r:id="rId20"/>
    <hyperlink ref="F31" r:id="rId21"/>
    <hyperlink ref="F32" r:id="rId22"/>
    <hyperlink ref="F37" r:id="rId23"/>
    <hyperlink ref="J41" r:id="rId24"/>
    <hyperlink ref="I61" r:id="rId25"/>
    <hyperlink ref="I68" r:id="rId26"/>
    <hyperlink ref="J68" r:id="rId27"/>
    <hyperlink ref="I72" r:id="rId28"/>
    <hyperlink ref="I78" r:id="rId29"/>
    <hyperlink ref="J84" r:id="rId30"/>
    <hyperlink ref="J91" r:id="rId31"/>
    <hyperlink ref="J93" r:id="rId32"/>
    <hyperlink ref="I97" r:id="rId33"/>
    <hyperlink ref="J101" r:id="rId34"/>
    <hyperlink ref="F102" r:id="rId35"/>
    <hyperlink ref="J124" r:id="rId36"/>
    <hyperlink ref="J126" r:id="rId37"/>
    <hyperlink ref="J189" r:id="rId38"/>
    <hyperlink ref="K189" r:id="rId39"/>
    <hyperlink ref="H190" r:id="rId40"/>
    <hyperlink ref="J190" r:id="rId41"/>
    <hyperlink ref="I209" r:id="rId42"/>
    <hyperlink ref="I288" r:id="rId43"/>
    <hyperlink ref="I316" r:id="rId44"/>
    <hyperlink ref="J327" r:id="rId45"/>
    <hyperlink ref="J328" r:id="rId46"/>
    <hyperlink ref="J331" r:id="rId47"/>
    <hyperlink ref="C336" r:id="rId48"/>
    <hyperlink ref="J337" r:id="rId49"/>
    <hyperlink ref="I380" r:id="rId50"/>
    <hyperlink ref="I381" r:id="rId51"/>
    <hyperlink ref="I382" r:id="rId52"/>
    <hyperlink ref="I383" r:id="rId53"/>
    <hyperlink ref="I384" r:id="rId54"/>
    <hyperlink ref="I391" r:id="rId55"/>
    <hyperlink ref="I392" r:id="rId56"/>
    <hyperlink ref="I393" r:id="rId57"/>
    <hyperlink ref="I394" r:id="rId58"/>
    <hyperlink ref="I395" r:id="rId59"/>
    <hyperlink ref="I396" r:id="rId60"/>
    <hyperlink ref="I397" r:id="rId61"/>
    <hyperlink ref="I398" r:id="rId62"/>
    <hyperlink ref="J398" r:id="rId63"/>
    <hyperlink ref="I399" r:id="rId64"/>
    <hyperlink ref="I400" r:id="rId65"/>
    <hyperlink ref="I401" r:id="rId66"/>
    <hyperlink ref="I402" r:id="rId67"/>
    <hyperlink ref="I403" r:id="rId68"/>
    <hyperlink ref="I404" r:id="rId69"/>
    <hyperlink ref="I406" r:id="rId70"/>
    <hyperlink ref="H419" r:id="rId71"/>
    <hyperlink ref="J432" r:id="rId72"/>
    <hyperlink ref="J433" r:id="rId73"/>
    <hyperlink ref="J434" r:id="rId74"/>
    <hyperlink ref="I435" r:id="rId75"/>
    <hyperlink ref="I436" r:id="rId76"/>
    <hyperlink ref="I437" r:id="rId77"/>
    <hyperlink ref="I438" r:id="rId78"/>
    <hyperlink ref="I441" r:id="rId79"/>
    <hyperlink ref="I443" r:id="rId80"/>
    <hyperlink ref="I444" r:id="rId81"/>
    <hyperlink ref="I445" r:id="rId82"/>
    <hyperlink ref="I446" r:id="rId83"/>
    <hyperlink ref="I447" r:id="rId84"/>
    <hyperlink ref="I448" r:id="rId85"/>
    <hyperlink ref="I449" r:id="rId86"/>
    <hyperlink ref="I450" r:id="rId87"/>
    <hyperlink ref="I451" r:id="rId88"/>
    <hyperlink ref="I452" r:id="rId89"/>
    <hyperlink ref="I453" r:id="rId90"/>
    <hyperlink ref="I454" r:id="rId91"/>
    <hyperlink ref="I455" r:id="rId92"/>
    <hyperlink ref="I456" r:id="rId93"/>
    <hyperlink ref="I457" r:id="rId94"/>
    <hyperlink ref="I458" r:id="rId95"/>
    <hyperlink ref="I459" r:id="rId96"/>
    <hyperlink ref="I460" r:id="rId97"/>
    <hyperlink ref="I461" r:id="rId98"/>
    <hyperlink ref="I462" r:id="rId99"/>
    <hyperlink ref="I463" r:id="rId100"/>
    <hyperlink ref="I464" r:id="rId101"/>
    <hyperlink ref="I465" r:id="rId102"/>
    <hyperlink ref="I466" r:id="rId103"/>
    <hyperlink ref="I467" r:id="rId104"/>
    <hyperlink ref="I468" r:id="rId105"/>
    <hyperlink ref="I469" r:id="rId106"/>
    <hyperlink ref="I470" r:id="rId107"/>
    <hyperlink ref="I471" r:id="rId108"/>
    <hyperlink ref="I472" r:id="rId109"/>
    <hyperlink ref="I474" r:id="rId110"/>
    <hyperlink ref="I476" r:id="rId111"/>
    <hyperlink ref="I477" r:id="rId112"/>
    <hyperlink ref="I478" r:id="rId113"/>
    <hyperlink ref="I479" r:id="rId114"/>
    <hyperlink ref="I481" r:id="rId115"/>
    <hyperlink ref="I482" r:id="rId116"/>
    <hyperlink ref="I483" r:id="rId117"/>
    <hyperlink ref="I484" r:id="rId118"/>
    <hyperlink ref="I485" r:id="rId119"/>
    <hyperlink ref="I486" r:id="rId120"/>
    <hyperlink ref="I487" r:id="rId121"/>
    <hyperlink ref="I488" r:id="rId122"/>
    <hyperlink ref="I490" r:id="rId123"/>
    <hyperlink ref="C491" r:id="rId124"/>
    <hyperlink ref="I491" r:id="rId125"/>
    <hyperlink ref="I492" r:id="rId126"/>
    <hyperlink ref="I493" r:id="rId127"/>
    <hyperlink ref="I494" r:id="rId128"/>
    <hyperlink ref="I495" r:id="rId129"/>
    <hyperlink ref="I496" r:id="rId130"/>
    <hyperlink ref="I497" r:id="rId131"/>
    <hyperlink ref="I498" r:id="rId132"/>
    <hyperlink ref="I499" r:id="rId133"/>
    <hyperlink ref="I500" r:id="rId134"/>
    <hyperlink ref="I501" r:id="rId135"/>
    <hyperlink ref="I502" r:id="rId136"/>
    <hyperlink ref="C503" r:id="rId137"/>
    <hyperlink ref="I503" r:id="rId138"/>
    <hyperlink ref="I504" r:id="rId139"/>
    <hyperlink ref="I506" r:id="rId140"/>
    <hyperlink ref="I508" r:id="rId141"/>
    <hyperlink ref="I509" r:id="rId142"/>
    <hyperlink ref="I510" r:id="rId143"/>
    <hyperlink ref="I511" r:id="rId144"/>
    <hyperlink ref="J511" r:id="rId145"/>
    <hyperlink ref="I512" r:id="rId146"/>
    <hyperlink ref="I513" r:id="rId147"/>
    <hyperlink ref="I514" r:id="rId148"/>
    <hyperlink ref="I515" r:id="rId149"/>
    <hyperlink ref="I516" r:id="rId150"/>
    <hyperlink ref="I517" r:id="rId151"/>
    <hyperlink ref="I518" r:id="rId152"/>
    <hyperlink ref="C519" r:id="rId153"/>
    <hyperlink ref="I519" r:id="rId154"/>
    <hyperlink ref="I520" r:id="rId155"/>
    <hyperlink ref="I521" r:id="rId156"/>
    <hyperlink ref="I522" r:id="rId157"/>
    <hyperlink ref="I523" r:id="rId158"/>
    <hyperlink ref="I524" r:id="rId159"/>
    <hyperlink ref="I525" r:id="rId160"/>
    <hyperlink ref="I526" r:id="rId161"/>
    <hyperlink ref="I527" r:id="rId162"/>
    <hyperlink ref="I529" r:id="rId163"/>
    <hyperlink ref="I530" r:id="rId164"/>
    <hyperlink ref="I531" r:id="rId165"/>
    <hyperlink ref="I532" r:id="rId166"/>
    <hyperlink ref="I533" r:id="rId167"/>
    <hyperlink ref="I534" r:id="rId168"/>
    <hyperlink ref="I535" r:id="rId169"/>
    <hyperlink ref="I536" r:id="rId170"/>
    <hyperlink ref="I537" r:id="rId171"/>
    <hyperlink ref="I538" r:id="rId172"/>
    <hyperlink ref="I539" r:id="rId173"/>
    <hyperlink ref="I540" r:id="rId174"/>
    <hyperlink ref="I542" r:id="rId175"/>
    <hyperlink ref="I543" r:id="rId176"/>
    <hyperlink ref="I544" r:id="rId177"/>
    <hyperlink ref="I545" r:id="rId178"/>
    <hyperlink ref="I547" r:id="rId179"/>
    <hyperlink ref="I548" r:id="rId180"/>
    <hyperlink ref="I549" r:id="rId181"/>
    <hyperlink ref="I551" r:id="rId182"/>
    <hyperlink ref="I552" r:id="rId183"/>
    <hyperlink ref="I553" r:id="rId184"/>
    <hyperlink ref="J553" r:id="rId185"/>
    <hyperlink ref="J554" r:id="rId186"/>
    <hyperlink ref="J555" r:id="rId187"/>
    <hyperlink ref="J557" r:id="rId188"/>
    <hyperlink ref="J559" r:id="rId189"/>
    <hyperlink ref="J560" r:id="rId190"/>
    <hyperlink ref="J561" r:id="rId191"/>
    <hyperlink ref="J562" r:id="rId192"/>
    <hyperlink ref="J564" r:id="rId193"/>
    <hyperlink ref="J565" r:id="rId194"/>
    <hyperlink ref="J566" r:id="rId195"/>
    <hyperlink ref="J567" r:id="rId196"/>
    <hyperlink ref="J568" r:id="rId197"/>
    <hyperlink ref="J569" r:id="rId198"/>
    <hyperlink ref="J570" r:id="rId199"/>
    <hyperlink ref="J571" r:id="rId200"/>
    <hyperlink ref="J572" r:id="rId201"/>
    <hyperlink ref="J573" r:id="rId202"/>
    <hyperlink ref="J576" r:id="rId203"/>
    <hyperlink ref="J577" r:id="rId204"/>
    <hyperlink ref="J578" r:id="rId205"/>
    <hyperlink ref="J579" r:id="rId206"/>
    <hyperlink ref="J580" r:id="rId207"/>
    <hyperlink ref="J581" r:id="rId208"/>
    <hyperlink ref="J582" r:id="rId209"/>
    <hyperlink ref="J583" r:id="rId210"/>
    <hyperlink ref="J584" r:id="rId211"/>
    <hyperlink ref="J585" r:id="rId212"/>
    <hyperlink ref="J586" r:id="rId213"/>
    <hyperlink ref="J587" r:id="rId214"/>
    <hyperlink ref="J588" r:id="rId215"/>
    <hyperlink ref="I589" r:id="rId216"/>
    <hyperlink ref="I590" r:id="rId217"/>
    <hyperlink ref="J591" r:id="rId218"/>
    <hyperlink ref="I593" r:id="rId219"/>
    <hyperlink ref="I594" r:id="rId220"/>
    <hyperlink ref="J595" r:id="rId221"/>
    <hyperlink ref="J612" r:id="rId222"/>
    <hyperlink ref="J626" r:id="rId223"/>
    <hyperlink ref="J627" r:id="rId224"/>
    <hyperlink ref="J641" r:id="rId225"/>
    <hyperlink ref="J651" r:id="rId226"/>
    <hyperlink ref="I653" r:id="rId227"/>
    <hyperlink ref="J657" r:id="rId228"/>
    <hyperlink ref="J659" r:id="rId229"/>
    <hyperlink ref="J660" r:id="rId230"/>
    <hyperlink ref="J661" r:id="rId231"/>
    <hyperlink ref="J662" r:id="rId232"/>
    <hyperlink ref="J664" r:id="rId233"/>
    <hyperlink ref="J665" r:id="rId234"/>
    <hyperlink ref="J666" r:id="rId235"/>
    <hyperlink ref="J667" r:id="rId236"/>
    <hyperlink ref="J668" r:id="rId237"/>
    <hyperlink ref="I669" r:id="rId238"/>
    <hyperlink ref="J669" r:id="rId239"/>
    <hyperlink ref="J670" r:id="rId240"/>
    <hyperlink ref="J672" r:id="rId241"/>
    <hyperlink ref="J673" r:id="rId242"/>
    <hyperlink ref="J674" r:id="rId243"/>
    <hyperlink ref="J675" r:id="rId244"/>
    <hyperlink ref="J676" r:id="rId245"/>
    <hyperlink ref="J677" r:id="rId246"/>
    <hyperlink ref="J678" r:id="rId247"/>
    <hyperlink ref="I679" r:id="rId248"/>
    <hyperlink ref="J679" r:id="rId249"/>
    <hyperlink ref="I680" r:id="rId250"/>
    <hyperlink ref="I682" r:id="rId251"/>
    <hyperlink ref="J682" r:id="rId252"/>
    <hyperlink ref="I683" r:id="rId253"/>
    <hyperlink ref="I685" r:id="rId254"/>
    <hyperlink ref="J686" r:id="rId255"/>
    <hyperlink ref="J687" r:id="rId256"/>
    <hyperlink ref="J688" r:id="rId257"/>
    <hyperlink ref="J691" r:id="rId258"/>
    <hyperlink ref="J692" r:id="rId259"/>
    <hyperlink ref="J693" r:id="rId260"/>
    <hyperlink ref="I694" r:id="rId261"/>
    <hyperlink ref="J694" r:id="rId262"/>
    <hyperlink ref="J696" r:id="rId263"/>
    <hyperlink ref="I697" r:id="rId264"/>
    <hyperlink ref="I698" r:id="rId265"/>
    <hyperlink ref="J699" r:id="rId266"/>
    <hyperlink ref="I700" r:id="rId267"/>
    <hyperlink ref="C701" r:id="rId268"/>
    <hyperlink ref="I701" r:id="rId269"/>
    <hyperlink ref="J709" r:id="rId270"/>
    <hyperlink ref="I713" r:id="rId271"/>
    <hyperlink ref="I714" r:id="rId272"/>
    <hyperlink ref="I716" r:id="rId273"/>
    <hyperlink ref="G721" r:id="rId274"/>
    <hyperlink ref="I722" r:id="rId275"/>
    <hyperlink ref="J726" r:id="rId276"/>
    <hyperlink ref="J728" r:id="rId277"/>
    <hyperlink ref="I753" r:id="rId278"/>
    <hyperlink ref="C764" r:id="rId279"/>
    <hyperlink ref="I768" r:id="rId280"/>
    <hyperlink ref="J779" r:id="rId281"/>
    <hyperlink ref="J780" r:id="rId282"/>
    <hyperlink ref="I782" r:id="rId283"/>
    <hyperlink ref="I783" r:id="rId284"/>
    <hyperlink ref="I784" r:id="rId285"/>
    <hyperlink ref="J785" r:id="rId286"/>
    <hyperlink ref="J789" r:id="rId287"/>
    <hyperlink ref="I790" r:id="rId288"/>
    <hyperlink ref="J790" r:id="rId289"/>
    <hyperlink ref="C793" r:id="rId290"/>
    <hyperlink ref="J793" r:id="rId291"/>
    <hyperlink ref="J794" r:id="rId292"/>
    <hyperlink ref="I796" r:id="rId293"/>
    <hyperlink ref="J799" r:id="rId294"/>
    <hyperlink ref="J800" r:id="rId295"/>
    <hyperlink ref="J801" r:id="rId296"/>
    <hyperlink ref="J802" r:id="rId297"/>
    <hyperlink ref="J803" r:id="rId298"/>
    <hyperlink ref="J804" r:id="rId299"/>
    <hyperlink ref="J805" r:id="rId300"/>
    <hyperlink ref="J806" r:id="rId301"/>
    <hyperlink ref="I809" r:id="rId302"/>
    <hyperlink ref="I810" r:id="rId303"/>
    <hyperlink ref="J812" r:id="rId304"/>
    <hyperlink ref="J813" r:id="rId305"/>
    <hyperlink ref="J814" r:id="rId306"/>
    <hyperlink ref="J815" r:id="rId307"/>
    <hyperlink ref="J816" r:id="rId308"/>
    <hyperlink ref="J817" r:id="rId309"/>
    <hyperlink ref="J818" r:id="rId310"/>
    <hyperlink ref="J819" r:id="rId311"/>
    <hyperlink ref="I821" r:id="rId312"/>
    <hyperlink ref="J827" r:id="rId313"/>
    <hyperlink ref="J828" r:id="rId314"/>
    <hyperlink ref="J830" r:id="rId315"/>
    <hyperlink ref="G834" r:id="rId316"/>
    <hyperlink ref="J834" r:id="rId317"/>
    <hyperlink ref="J836" r:id="rId318"/>
    <hyperlink ref="J837" r:id="rId319"/>
    <hyperlink ref="J839" r:id="rId320"/>
    <hyperlink ref="G840" r:id="rId321"/>
    <hyperlink ref="J840" r:id="rId322"/>
    <hyperlink ref="J842" r:id="rId323"/>
    <hyperlink ref="J843" r:id="rId324"/>
    <hyperlink ref="J844" r:id="rId325"/>
    <hyperlink ref="J845" r:id="rId326"/>
    <hyperlink ref="J848" r:id="rId327"/>
    <hyperlink ref="J849" r:id="rId328"/>
    <hyperlink ref="J850" r:id="rId329"/>
    <hyperlink ref="J851" r:id="rId330"/>
    <hyperlink ref="J852" r:id="rId331"/>
    <hyperlink ref="J853" r:id="rId332"/>
    <hyperlink ref="J854" r:id="rId333"/>
    <hyperlink ref="J855" r:id="rId334"/>
    <hyperlink ref="J856" r:id="rId335"/>
    <hyperlink ref="J860" r:id="rId336"/>
    <hyperlink ref="J861" r:id="rId337"/>
    <hyperlink ref="J862" r:id="rId338"/>
    <hyperlink ref="J867" r:id="rId339"/>
    <hyperlink ref="J868" r:id="rId340"/>
    <hyperlink ref="J870" r:id="rId341"/>
    <hyperlink ref="J871" r:id="rId342"/>
    <hyperlink ref="J873" r:id="rId343"/>
    <hyperlink ref="J875" r:id="rId344"/>
    <hyperlink ref="J876" r:id="rId345"/>
    <hyperlink ref="J877" r:id="rId346"/>
    <hyperlink ref="J880" r:id="rId347"/>
    <hyperlink ref="J883" r:id="rId348"/>
    <hyperlink ref="J884" r:id="rId349"/>
    <hyperlink ref="J886" r:id="rId350"/>
    <hyperlink ref="J887" r:id="rId351"/>
    <hyperlink ref="J889" r:id="rId352"/>
    <hyperlink ref="J890" r:id="rId353"/>
    <hyperlink ref="J891" r:id="rId354"/>
    <hyperlink ref="J892" r:id="rId355"/>
    <hyperlink ref="J894" r:id="rId356"/>
    <hyperlink ref="J895" r:id="rId357"/>
    <hyperlink ref="J897" r:id="rId358"/>
    <hyperlink ref="J899" r:id="rId359"/>
    <hyperlink ref="J900" r:id="rId360"/>
    <hyperlink ref="J901" r:id="rId361"/>
    <hyperlink ref="J902" r:id="rId362"/>
    <hyperlink ref="J904" r:id="rId363"/>
    <hyperlink ref="J905" r:id="rId364"/>
    <hyperlink ref="J907" r:id="rId365"/>
    <hyperlink ref="J908" r:id="rId366"/>
    <hyperlink ref="J909" r:id="rId367"/>
    <hyperlink ref="J910" r:id="rId368"/>
    <hyperlink ref="J911" r:id="rId369"/>
    <hyperlink ref="J915" r:id="rId370"/>
    <hyperlink ref="I923" r:id="rId371"/>
    <hyperlink ref="J925" r:id="rId372"/>
    <hyperlink ref="J926" r:id="rId373"/>
    <hyperlink ref="G930" r:id="rId374"/>
    <hyperlink ref="J932" r:id="rId375"/>
    <hyperlink ref="J933" r:id="rId376"/>
    <hyperlink ref="J934" r:id="rId377"/>
    <hyperlink ref="J938" r:id="rId378"/>
    <hyperlink ref="J939" r:id="rId379"/>
    <hyperlink ref="J943" r:id="rId380"/>
    <hyperlink ref="J944" r:id="rId381"/>
    <hyperlink ref="J947" r:id="rId382"/>
    <hyperlink ref="J955" r:id="rId383"/>
    <hyperlink ref="G957" r:id="rId384"/>
    <hyperlink ref="J957" r:id="rId385"/>
    <hyperlink ref="J958" r:id="rId386"/>
    <hyperlink ref="J960" r:id="rId387"/>
    <hyperlink ref="J962" r:id="rId388"/>
    <hyperlink ref="J963" r:id="rId389"/>
    <hyperlink ref="J964" r:id="rId390"/>
    <hyperlink ref="J965" r:id="rId391"/>
    <hyperlink ref="G1019" r:id="rId392"/>
    <hyperlink ref="J1031" r:id="rId393"/>
    <hyperlink ref="I1033" r:id="rId394"/>
    <hyperlink ref="J1034" r:id="rId395"/>
    <hyperlink ref="J1035" r:id="rId396"/>
    <hyperlink ref="J1036" r:id="rId397"/>
    <hyperlink ref="J1037" r:id="rId398"/>
    <hyperlink ref="J1038" r:id="rId399"/>
    <hyperlink ref="J1039" r:id="rId400"/>
    <hyperlink ref="J1040" r:id="rId401"/>
    <hyperlink ref="J1041" r:id="rId402"/>
    <hyperlink ref="J1042" r:id="rId403"/>
    <hyperlink ref="J1043" r:id="rId404"/>
    <hyperlink ref="J1044" r:id="rId405"/>
    <hyperlink ref="J1045" r:id="rId406"/>
    <hyperlink ref="J1046" r:id="rId407"/>
    <hyperlink ref="J1047" r:id="rId408"/>
    <hyperlink ref="J1048" r:id="rId409"/>
    <hyperlink ref="J1049" r:id="rId410"/>
    <hyperlink ref="J1050" r:id="rId411"/>
    <hyperlink ref="J1051" r:id="rId412"/>
    <hyperlink ref="J1052" r:id="rId413"/>
    <hyperlink ref="J1053" r:id="rId414"/>
    <hyperlink ref="J1054" r:id="rId415"/>
    <hyperlink ref="J1055" r:id="rId416"/>
    <hyperlink ref="J1056" r:id="rId417"/>
    <hyperlink ref="J1057" r:id="rId418"/>
    <hyperlink ref="J1058" r:id="rId419"/>
    <hyperlink ref="J1060" r:id="rId420"/>
    <hyperlink ref="J1061" r:id="rId421"/>
    <hyperlink ref="J1062" r:id="rId422"/>
    <hyperlink ref="J1063" r:id="rId423"/>
    <hyperlink ref="J1064" r:id="rId424"/>
    <hyperlink ref="J1065" r:id="rId425"/>
    <hyperlink ref="J1066" r:id="rId426"/>
    <hyperlink ref="J1067" r:id="rId427"/>
    <hyperlink ref="J1068" r:id="rId428"/>
    <hyperlink ref="J1069" r:id="rId429"/>
    <hyperlink ref="J1070" r:id="rId430"/>
    <hyperlink ref="J1071" r:id="rId431"/>
    <hyperlink ref="J1072" r:id="rId432"/>
    <hyperlink ref="J1073" r:id="rId433"/>
    <hyperlink ref="J1074" r:id="rId434"/>
    <hyperlink ref="J1075" r:id="rId435"/>
    <hyperlink ref="J1076" r:id="rId436"/>
    <hyperlink ref="J1077" r:id="rId437"/>
    <hyperlink ref="J1078" r:id="rId438"/>
    <hyperlink ref="J1079" r:id="rId439"/>
    <hyperlink ref="J1080" r:id="rId440"/>
    <hyperlink ref="J1081" r:id="rId441"/>
    <hyperlink ref="J1082" r:id="rId442"/>
    <hyperlink ref="J2002" r:id="rId443"/>
    <hyperlink ref="I2012" r:id="rId444"/>
    <hyperlink ref="I2013" r:id="rId445"/>
    <hyperlink ref="I2014" r:id="rId446"/>
    <hyperlink ref="I2015" r:id="rId447"/>
    <hyperlink ref="I2016" r:id="rId448"/>
    <hyperlink ref="I2025" r:id="rId449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'OTOMATİK LİSTE İSİMLERİ '!$O:$O</xm:f>
          </x14:formula1>
          <xm:sqref>J387 Q2:Q2042 W2:W2042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1"/>
  <sheetViews>
    <sheetView workbookViewId="0"/>
  </sheetViews>
  <sheetFormatPr defaultColWidth="12.625" defaultRowHeight="15" customHeight="1"/>
  <cols>
    <col min="2" max="2" width="19.25" customWidth="1"/>
    <col min="3" max="4" width="13.5" customWidth="1"/>
    <col min="5" max="5" width="16.75" customWidth="1"/>
    <col min="6" max="6" width="17.75" customWidth="1"/>
    <col min="7" max="7" width="38.875" customWidth="1"/>
    <col min="9" max="9" width="16.625" customWidth="1"/>
    <col min="13" max="13" width="16.125" customWidth="1"/>
    <col min="15" max="15" width="30.875" customWidth="1"/>
    <col min="17" max="17" width="21.625" customWidth="1"/>
    <col min="19" max="19" width="21.625" customWidth="1"/>
  </cols>
  <sheetData>
    <row r="1" spans="1:19" ht="49.5" customHeight="1">
      <c r="A1" s="222" t="s">
        <v>4758</v>
      </c>
      <c r="B1" s="223"/>
      <c r="C1" s="223"/>
      <c r="D1" s="223"/>
      <c r="E1" s="223"/>
      <c r="F1" s="224"/>
      <c r="G1" s="178" t="s">
        <v>4759</v>
      </c>
      <c r="I1" s="178" t="s">
        <v>6</v>
      </c>
      <c r="J1" s="179" t="s">
        <v>4760</v>
      </c>
      <c r="K1" s="178" t="s">
        <v>4761</v>
      </c>
      <c r="M1" s="180" t="s">
        <v>4762</v>
      </c>
      <c r="N1" s="98" t="s">
        <v>4763</v>
      </c>
      <c r="O1" s="178" t="s">
        <v>4764</v>
      </c>
      <c r="Q1" s="180" t="s">
        <v>4765</v>
      </c>
      <c r="S1" s="181" t="s">
        <v>4766</v>
      </c>
    </row>
    <row r="2" spans="1:19">
      <c r="A2" s="182">
        <v>1</v>
      </c>
      <c r="B2" s="183" t="s">
        <v>4767</v>
      </c>
      <c r="C2" s="183"/>
      <c r="D2" s="183" t="s">
        <v>4768</v>
      </c>
      <c r="E2" s="183" t="s">
        <v>4769</v>
      </c>
      <c r="F2" s="184" t="s">
        <v>4770</v>
      </c>
      <c r="G2" s="185" t="s">
        <v>4771</v>
      </c>
      <c r="I2" s="186" t="s">
        <v>2540</v>
      </c>
      <c r="J2" s="179" t="s">
        <v>375</v>
      </c>
      <c r="K2" s="187" t="s">
        <v>4772</v>
      </c>
      <c r="M2" s="186" t="s">
        <v>78</v>
      </c>
      <c r="N2" s="98" t="s">
        <v>78</v>
      </c>
      <c r="O2" s="186" t="s">
        <v>2551</v>
      </c>
      <c r="Q2" s="186" t="s">
        <v>4773</v>
      </c>
      <c r="S2" s="188" t="s">
        <v>108</v>
      </c>
    </row>
    <row r="3" spans="1:19">
      <c r="A3" s="189">
        <v>2</v>
      </c>
      <c r="B3" s="190" t="s">
        <v>4774</v>
      </c>
      <c r="C3" s="190"/>
      <c r="D3" s="190" t="s">
        <v>4775</v>
      </c>
      <c r="E3" s="190" t="s">
        <v>4776</v>
      </c>
      <c r="F3" s="191" t="s">
        <v>4777</v>
      </c>
      <c r="G3" s="192" t="s">
        <v>4778</v>
      </c>
      <c r="I3" s="186" t="s">
        <v>3166</v>
      </c>
      <c r="J3" s="179" t="s">
        <v>89</v>
      </c>
      <c r="K3" s="187" t="s">
        <v>2531</v>
      </c>
      <c r="M3" s="186" t="s">
        <v>98</v>
      </c>
      <c r="N3" s="98" t="s">
        <v>98</v>
      </c>
      <c r="O3" s="187" t="s">
        <v>2566</v>
      </c>
      <c r="Q3" s="186" t="s">
        <v>4779</v>
      </c>
      <c r="S3" s="188" t="s">
        <v>81</v>
      </c>
    </row>
    <row r="4" spans="1:19">
      <c r="A4" s="189">
        <v>3</v>
      </c>
      <c r="B4" s="190" t="s">
        <v>4780</v>
      </c>
      <c r="C4" s="190"/>
      <c r="D4" s="190" t="s">
        <v>4781</v>
      </c>
      <c r="E4" s="190" t="s">
        <v>4782</v>
      </c>
      <c r="F4" s="191" t="s">
        <v>4783</v>
      </c>
      <c r="G4" s="192" t="s">
        <v>4784</v>
      </c>
      <c r="I4" s="186" t="s">
        <v>2533</v>
      </c>
      <c r="J4" s="179" t="s">
        <v>105</v>
      </c>
      <c r="K4" s="186" t="s">
        <v>4785</v>
      </c>
      <c r="M4" s="186" t="s">
        <v>2999</v>
      </c>
      <c r="N4" s="98" t="s">
        <v>7</v>
      </c>
      <c r="O4" s="187" t="s">
        <v>2538</v>
      </c>
      <c r="Q4" s="186" t="s">
        <v>4786</v>
      </c>
      <c r="S4" s="188" t="s">
        <v>961</v>
      </c>
    </row>
    <row r="5" spans="1:19">
      <c r="A5" s="189">
        <v>4</v>
      </c>
      <c r="B5" s="190" t="s">
        <v>4787</v>
      </c>
      <c r="C5" s="190"/>
      <c r="D5" s="190" t="s">
        <v>4788</v>
      </c>
      <c r="E5" s="190" t="s">
        <v>4789</v>
      </c>
      <c r="F5" s="191" t="s">
        <v>4790</v>
      </c>
      <c r="G5" s="192" t="s">
        <v>1017</v>
      </c>
      <c r="I5" s="186" t="s">
        <v>2547</v>
      </c>
      <c r="J5" s="179" t="s">
        <v>74</v>
      </c>
      <c r="K5" s="187"/>
      <c r="M5" s="186" t="s">
        <v>7</v>
      </c>
      <c r="N5" s="98" t="s">
        <v>2159</v>
      </c>
      <c r="O5" s="186" t="s">
        <v>4791</v>
      </c>
      <c r="Q5" s="186" t="s">
        <v>4792</v>
      </c>
      <c r="S5" s="188" t="s">
        <v>101</v>
      </c>
    </row>
    <row r="6" spans="1:19">
      <c r="A6" s="189">
        <v>5</v>
      </c>
      <c r="B6" s="190" t="s">
        <v>4793</v>
      </c>
      <c r="C6" s="190"/>
      <c r="D6" s="190" t="s">
        <v>4794</v>
      </c>
      <c r="E6" s="190" t="s">
        <v>4795</v>
      </c>
      <c r="F6" s="191" t="s">
        <v>4796</v>
      </c>
      <c r="G6" s="192" t="s">
        <v>2765</v>
      </c>
      <c r="I6" s="186" t="s">
        <v>4797</v>
      </c>
      <c r="J6" s="193"/>
      <c r="K6" s="187"/>
      <c r="M6" s="187"/>
      <c r="O6" s="186" t="s">
        <v>4798</v>
      </c>
      <c r="Q6" s="186" t="s">
        <v>4799</v>
      </c>
      <c r="S6" s="188" t="s">
        <v>145</v>
      </c>
    </row>
    <row r="7" spans="1:19">
      <c r="A7" s="189">
        <v>6</v>
      </c>
      <c r="B7" s="190" t="s">
        <v>4800</v>
      </c>
      <c r="C7" s="190"/>
      <c r="D7" s="190" t="s">
        <v>4801</v>
      </c>
      <c r="E7" s="190" t="s">
        <v>4802</v>
      </c>
      <c r="F7" s="191" t="s">
        <v>4803</v>
      </c>
      <c r="G7" s="192" t="s">
        <v>4804</v>
      </c>
      <c r="I7" s="186" t="s">
        <v>2559</v>
      </c>
      <c r="J7" s="193"/>
      <c r="K7" s="187"/>
      <c r="M7" s="187"/>
      <c r="O7" s="186" t="s">
        <v>2552</v>
      </c>
      <c r="Q7" s="187"/>
      <c r="S7" s="188" t="s">
        <v>126</v>
      </c>
    </row>
    <row r="8" spans="1:19">
      <c r="A8" s="189">
        <v>7</v>
      </c>
      <c r="B8" s="190" t="s">
        <v>4805</v>
      </c>
      <c r="C8" s="190"/>
      <c r="D8" s="190" t="s">
        <v>4806</v>
      </c>
      <c r="E8" s="190" t="s">
        <v>4807</v>
      </c>
      <c r="F8" s="191" t="s">
        <v>4808</v>
      </c>
      <c r="G8" s="192" t="s">
        <v>4809</v>
      </c>
      <c r="I8" s="186" t="s">
        <v>2584</v>
      </c>
      <c r="J8" s="193"/>
      <c r="K8" s="187"/>
      <c r="M8" s="187"/>
      <c r="O8" s="186" t="s">
        <v>4810</v>
      </c>
      <c r="Q8" s="187"/>
      <c r="S8" s="188" t="s">
        <v>153</v>
      </c>
    </row>
    <row r="9" spans="1:19">
      <c r="A9" s="189">
        <v>8</v>
      </c>
      <c r="B9" s="190" t="s">
        <v>4811</v>
      </c>
      <c r="C9" s="190"/>
      <c r="D9" s="190" t="s">
        <v>4812</v>
      </c>
      <c r="E9" s="190" t="s">
        <v>4813</v>
      </c>
      <c r="F9" s="191" t="s">
        <v>4814</v>
      </c>
      <c r="G9" s="192" t="s">
        <v>3283</v>
      </c>
      <c r="I9" s="186" t="s">
        <v>3132</v>
      </c>
      <c r="J9" s="193"/>
      <c r="K9" s="187"/>
      <c r="M9" s="187"/>
      <c r="O9" s="186" t="s">
        <v>4815</v>
      </c>
      <c r="Q9" s="187"/>
      <c r="S9" s="188" t="s">
        <v>86</v>
      </c>
    </row>
    <row r="10" spans="1:19">
      <c r="A10" s="189">
        <v>9</v>
      </c>
      <c r="B10" s="190" t="s">
        <v>4816</v>
      </c>
      <c r="C10" s="190"/>
      <c r="D10" s="190" t="s">
        <v>4817</v>
      </c>
      <c r="E10" s="190" t="s">
        <v>4818</v>
      </c>
      <c r="F10" s="191" t="s">
        <v>4819</v>
      </c>
      <c r="G10" s="192" t="s">
        <v>4820</v>
      </c>
      <c r="I10" s="114" t="s">
        <v>3141</v>
      </c>
      <c r="J10" s="193"/>
      <c r="K10" s="187"/>
      <c r="M10" s="187"/>
      <c r="O10" s="186" t="s">
        <v>2623</v>
      </c>
      <c r="Q10" s="187"/>
      <c r="S10" s="188" t="s">
        <v>99</v>
      </c>
    </row>
    <row r="11" spans="1:19">
      <c r="A11" s="189">
        <v>10</v>
      </c>
      <c r="B11" s="190" t="s">
        <v>4821</v>
      </c>
      <c r="C11" s="190"/>
      <c r="D11" s="190" t="s">
        <v>4822</v>
      </c>
      <c r="E11" s="190" t="s">
        <v>4823</v>
      </c>
      <c r="F11" s="191" t="s">
        <v>4824</v>
      </c>
      <c r="G11" s="192" t="s">
        <v>2904</v>
      </c>
      <c r="I11" s="186" t="s">
        <v>3146</v>
      </c>
      <c r="J11" s="193"/>
      <c r="K11" s="187"/>
      <c r="M11" s="187"/>
      <c r="O11" s="186" t="s">
        <v>2561</v>
      </c>
      <c r="Q11" s="187"/>
      <c r="S11" s="188" t="s">
        <v>354</v>
      </c>
    </row>
    <row r="12" spans="1:19">
      <c r="A12" s="189">
        <v>11</v>
      </c>
      <c r="B12" s="190" t="s">
        <v>4825</v>
      </c>
      <c r="C12" s="190"/>
      <c r="D12" s="190" t="s">
        <v>4826</v>
      </c>
      <c r="E12" s="190" t="s">
        <v>4827</v>
      </c>
      <c r="F12" s="191" t="s">
        <v>4828</v>
      </c>
      <c r="G12" s="192" t="s">
        <v>1363</v>
      </c>
      <c r="I12" s="186" t="s">
        <v>3179</v>
      </c>
      <c r="J12" s="193"/>
      <c r="K12" s="187"/>
      <c r="M12" s="187"/>
      <c r="O12" s="186" t="s">
        <v>2699</v>
      </c>
      <c r="Q12" s="187"/>
      <c r="S12" s="98" t="s">
        <v>265</v>
      </c>
    </row>
    <row r="13" spans="1:19">
      <c r="A13" s="189">
        <v>12</v>
      </c>
      <c r="B13" s="190" t="s">
        <v>4829</v>
      </c>
      <c r="C13" s="190"/>
      <c r="D13" s="190" t="s">
        <v>4830</v>
      </c>
      <c r="E13" s="190" t="s">
        <v>4831</v>
      </c>
      <c r="F13" s="191" t="s">
        <v>4832</v>
      </c>
      <c r="G13" s="192" t="s">
        <v>4833</v>
      </c>
      <c r="I13" s="187"/>
      <c r="J13" s="193"/>
      <c r="K13" s="187"/>
      <c r="M13" s="187"/>
      <c r="O13" s="186" t="s">
        <v>4834</v>
      </c>
      <c r="Q13" s="187"/>
      <c r="S13" s="194" t="s">
        <v>190</v>
      </c>
    </row>
    <row r="14" spans="1:19">
      <c r="A14" s="189">
        <v>13</v>
      </c>
      <c r="B14" s="190" t="s">
        <v>4835</v>
      </c>
      <c r="C14" s="190"/>
      <c r="D14" s="190" t="s">
        <v>4836</v>
      </c>
      <c r="E14" s="190" t="s">
        <v>4837</v>
      </c>
      <c r="F14" s="191" t="s">
        <v>4838</v>
      </c>
      <c r="G14" s="192" t="s">
        <v>4839</v>
      </c>
      <c r="I14" s="187"/>
      <c r="J14" s="193"/>
      <c r="K14" s="187"/>
      <c r="M14" s="187"/>
      <c r="O14" s="186" t="s">
        <v>4840</v>
      </c>
      <c r="Q14" s="187"/>
      <c r="S14" s="188" t="s">
        <v>408</v>
      </c>
    </row>
    <row r="15" spans="1:19">
      <c r="A15" s="189">
        <v>14</v>
      </c>
      <c r="B15" s="190" t="s">
        <v>4841</v>
      </c>
      <c r="C15" s="190"/>
      <c r="D15" s="190" t="s">
        <v>4842</v>
      </c>
      <c r="E15" s="190" t="s">
        <v>4843</v>
      </c>
      <c r="F15" s="191" t="s">
        <v>4844</v>
      </c>
      <c r="G15" s="192" t="s">
        <v>746</v>
      </c>
      <c r="I15" s="187"/>
      <c r="J15" s="193"/>
      <c r="K15" s="187"/>
      <c r="M15" s="187"/>
      <c r="O15" s="186" t="s">
        <v>2545</v>
      </c>
      <c r="Q15" s="187"/>
      <c r="S15" s="188" t="s">
        <v>4</v>
      </c>
    </row>
    <row r="16" spans="1:19">
      <c r="A16" s="189">
        <v>15</v>
      </c>
      <c r="B16" s="190" t="s">
        <v>4845</v>
      </c>
      <c r="C16" s="190"/>
      <c r="D16" s="190" t="s">
        <v>4846</v>
      </c>
      <c r="E16" s="190" t="s">
        <v>4847</v>
      </c>
      <c r="F16" s="191" t="s">
        <v>4848</v>
      </c>
      <c r="G16" s="192" t="s">
        <v>4849</v>
      </c>
      <c r="I16" s="187"/>
      <c r="J16" s="193"/>
      <c r="K16" s="187"/>
      <c r="M16" s="187"/>
      <c r="O16" s="186" t="s">
        <v>2570</v>
      </c>
      <c r="Q16" s="187"/>
      <c r="S16" s="194"/>
    </row>
    <row r="17" spans="1:19">
      <c r="A17" s="189">
        <v>16</v>
      </c>
      <c r="B17" s="190" t="s">
        <v>4850</v>
      </c>
      <c r="C17" s="190"/>
      <c r="D17" s="190" t="s">
        <v>4851</v>
      </c>
      <c r="E17" s="190" t="s">
        <v>4852</v>
      </c>
      <c r="F17" s="191" t="s">
        <v>4853</v>
      </c>
      <c r="G17" s="192" t="s">
        <v>4854</v>
      </c>
      <c r="I17" s="195"/>
      <c r="J17" s="193"/>
      <c r="K17" s="195"/>
      <c r="M17" s="195"/>
      <c r="O17" s="196" t="s">
        <v>4855</v>
      </c>
      <c r="Q17" s="195"/>
      <c r="S17" s="197"/>
    </row>
    <row r="18" spans="1:19">
      <c r="A18" s="189">
        <v>17</v>
      </c>
      <c r="B18" s="190" t="s">
        <v>4856</v>
      </c>
      <c r="C18" s="190"/>
      <c r="D18" s="190" t="s">
        <v>4857</v>
      </c>
      <c r="E18" s="190" t="s">
        <v>4858</v>
      </c>
      <c r="F18" s="191" t="s">
        <v>4859</v>
      </c>
      <c r="G18" s="192" t="s">
        <v>857</v>
      </c>
      <c r="I18" s="195"/>
      <c r="J18" s="193"/>
      <c r="K18" s="195"/>
      <c r="M18" s="195"/>
      <c r="O18" s="186" t="s">
        <v>2635</v>
      </c>
      <c r="Q18" s="195"/>
      <c r="S18" s="197"/>
    </row>
    <row r="19" spans="1:19">
      <c r="A19" s="189">
        <v>18</v>
      </c>
      <c r="B19" s="190" t="s">
        <v>4860</v>
      </c>
      <c r="C19" s="190"/>
      <c r="D19" s="190" t="s">
        <v>4861</v>
      </c>
      <c r="E19" s="190" t="s">
        <v>4862</v>
      </c>
      <c r="F19" s="191" t="s">
        <v>4863</v>
      </c>
      <c r="G19" s="192" t="s">
        <v>104</v>
      </c>
      <c r="I19" s="195"/>
      <c r="J19" s="193"/>
      <c r="K19" s="195"/>
      <c r="M19" s="195"/>
      <c r="O19" s="196" t="s">
        <v>2718</v>
      </c>
      <c r="Q19" s="195"/>
      <c r="S19" s="197"/>
    </row>
    <row r="20" spans="1:19">
      <c r="A20" s="189">
        <v>19</v>
      </c>
      <c r="B20" s="190" t="s">
        <v>4864</v>
      </c>
      <c r="C20" s="190"/>
      <c r="D20" s="190" t="s">
        <v>4865</v>
      </c>
      <c r="E20" s="190" t="s">
        <v>4866</v>
      </c>
      <c r="F20" s="191" t="s">
        <v>4867</v>
      </c>
      <c r="G20" s="192" t="s">
        <v>2983</v>
      </c>
      <c r="I20" s="195"/>
      <c r="J20" s="193"/>
      <c r="K20" s="195"/>
      <c r="M20" s="195"/>
      <c r="O20" s="196"/>
      <c r="Q20" s="195"/>
      <c r="S20" s="197"/>
    </row>
    <row r="21" spans="1:19">
      <c r="A21" s="189">
        <v>20</v>
      </c>
      <c r="B21" s="190" t="s">
        <v>4868</v>
      </c>
      <c r="C21" s="190"/>
      <c r="D21" s="190" t="s">
        <v>4869</v>
      </c>
      <c r="E21" s="190" t="s">
        <v>4870</v>
      </c>
      <c r="F21" s="191" t="s">
        <v>4871</v>
      </c>
      <c r="G21" s="192" t="s">
        <v>4872</v>
      </c>
      <c r="I21" s="195"/>
      <c r="J21" s="193"/>
      <c r="K21" s="195"/>
      <c r="M21" s="195"/>
      <c r="O21" s="195"/>
      <c r="Q21" s="195"/>
      <c r="S21" s="197"/>
    </row>
    <row r="22" spans="1:19">
      <c r="A22" s="189">
        <v>21</v>
      </c>
      <c r="B22" s="190" t="s">
        <v>4873</v>
      </c>
      <c r="C22" s="190"/>
      <c r="D22" s="190" t="s">
        <v>4874</v>
      </c>
      <c r="E22" s="190" t="s">
        <v>4875</v>
      </c>
      <c r="F22" s="191" t="s">
        <v>4876</v>
      </c>
      <c r="G22" s="192" t="s">
        <v>4877</v>
      </c>
      <c r="I22" s="195"/>
      <c r="J22" s="193"/>
      <c r="K22" s="195"/>
      <c r="M22" s="195"/>
      <c r="O22" s="195"/>
      <c r="Q22" s="195"/>
      <c r="S22" s="197"/>
    </row>
    <row r="23" spans="1:19">
      <c r="A23" s="189">
        <v>22</v>
      </c>
      <c r="B23" s="190" t="s">
        <v>4878</v>
      </c>
      <c r="C23" s="190"/>
      <c r="D23" s="190" t="s">
        <v>4879</v>
      </c>
      <c r="E23" s="190" t="s">
        <v>4880</v>
      </c>
      <c r="F23" s="191" t="s">
        <v>4881</v>
      </c>
      <c r="G23" s="192" t="s">
        <v>4882</v>
      </c>
      <c r="I23" s="195"/>
      <c r="J23" s="193"/>
      <c r="K23" s="195"/>
      <c r="M23" s="195"/>
      <c r="O23" s="195"/>
      <c r="Q23" s="195"/>
      <c r="S23" s="197"/>
    </row>
    <row r="24" spans="1:19">
      <c r="A24" s="189">
        <v>23</v>
      </c>
      <c r="B24" s="190" t="s">
        <v>4883</v>
      </c>
      <c r="C24" s="190"/>
      <c r="D24" s="190" t="s">
        <v>4884</v>
      </c>
      <c r="E24" s="190" t="s">
        <v>4885</v>
      </c>
      <c r="F24" s="191" t="s">
        <v>4886</v>
      </c>
      <c r="G24" s="192" t="s">
        <v>4887</v>
      </c>
      <c r="I24" s="195"/>
      <c r="J24" s="193"/>
      <c r="K24" s="195"/>
      <c r="M24" s="195"/>
      <c r="O24" s="195"/>
      <c r="Q24" s="195"/>
      <c r="S24" s="197"/>
    </row>
    <row r="25" spans="1:19">
      <c r="A25" s="189">
        <v>24</v>
      </c>
      <c r="B25" s="190" t="s">
        <v>4888</v>
      </c>
      <c r="C25" s="190"/>
      <c r="D25" s="190" t="s">
        <v>4889</v>
      </c>
      <c r="E25" s="190" t="s">
        <v>4890</v>
      </c>
      <c r="F25" s="191" t="s">
        <v>4891</v>
      </c>
      <c r="G25" s="192" t="s">
        <v>4892</v>
      </c>
      <c r="I25" s="195"/>
      <c r="J25" s="193"/>
      <c r="K25" s="195"/>
      <c r="M25" s="195"/>
      <c r="O25" s="195"/>
      <c r="Q25" s="195"/>
      <c r="S25" s="197"/>
    </row>
    <row r="26" spans="1:19">
      <c r="A26" s="189">
        <v>25</v>
      </c>
      <c r="B26" s="190" t="s">
        <v>4893</v>
      </c>
      <c r="C26" s="190"/>
      <c r="D26" s="190" t="s">
        <v>4894</v>
      </c>
      <c r="E26" s="190" t="s">
        <v>4895</v>
      </c>
      <c r="F26" s="191" t="s">
        <v>4896</v>
      </c>
      <c r="G26" s="192" t="s">
        <v>4897</v>
      </c>
      <c r="I26" s="195"/>
      <c r="J26" s="193"/>
      <c r="K26" s="195"/>
      <c r="M26" s="195"/>
      <c r="O26" s="195"/>
      <c r="Q26" s="195"/>
      <c r="S26" s="197"/>
    </row>
    <row r="27" spans="1:19">
      <c r="A27" s="189">
        <v>26</v>
      </c>
      <c r="B27" s="190" t="s">
        <v>4898</v>
      </c>
      <c r="C27" s="190"/>
      <c r="D27" s="190" t="s">
        <v>4899</v>
      </c>
      <c r="E27" s="190" t="s">
        <v>4900</v>
      </c>
      <c r="F27" s="191" t="s">
        <v>4901</v>
      </c>
      <c r="G27" s="192" t="s">
        <v>969</v>
      </c>
      <c r="I27" s="195"/>
      <c r="J27" s="193"/>
      <c r="K27" s="195"/>
      <c r="M27" s="195"/>
      <c r="O27" s="195"/>
      <c r="Q27" s="195"/>
      <c r="S27" s="197"/>
    </row>
    <row r="28" spans="1:19">
      <c r="A28" s="189">
        <v>27</v>
      </c>
      <c r="B28" s="190" t="s">
        <v>4902</v>
      </c>
      <c r="C28" s="190"/>
      <c r="D28" s="190" t="s">
        <v>4903</v>
      </c>
      <c r="E28" s="190" t="s">
        <v>4904</v>
      </c>
      <c r="F28" s="191" t="s">
        <v>4905</v>
      </c>
      <c r="G28" s="192" t="s">
        <v>4906</v>
      </c>
      <c r="I28" s="195"/>
      <c r="J28" s="193"/>
      <c r="K28" s="195"/>
      <c r="M28" s="195"/>
      <c r="O28" s="195"/>
      <c r="Q28" s="195"/>
      <c r="S28" s="197"/>
    </row>
    <row r="29" spans="1:19">
      <c r="A29" s="189">
        <v>28</v>
      </c>
      <c r="B29" s="190" t="s">
        <v>4907</v>
      </c>
      <c r="C29" s="190"/>
      <c r="D29" s="190" t="s">
        <v>4908</v>
      </c>
      <c r="E29" s="190" t="s">
        <v>4909</v>
      </c>
      <c r="F29" s="191" t="s">
        <v>4910</v>
      </c>
      <c r="G29" s="192" t="s">
        <v>4911</v>
      </c>
      <c r="I29" s="195"/>
      <c r="J29" s="193"/>
      <c r="K29" s="195"/>
      <c r="M29" s="195"/>
      <c r="O29" s="195"/>
      <c r="Q29" s="195"/>
      <c r="S29" s="197"/>
    </row>
    <row r="30" spans="1:19">
      <c r="A30" s="189">
        <v>29</v>
      </c>
      <c r="B30" s="190" t="s">
        <v>4912</v>
      </c>
      <c r="C30" s="190"/>
      <c r="D30" s="190" t="s">
        <v>4913</v>
      </c>
      <c r="E30" s="190" t="s">
        <v>4914</v>
      </c>
      <c r="F30" s="191" t="s">
        <v>4915</v>
      </c>
      <c r="G30" s="192" t="s">
        <v>4916</v>
      </c>
      <c r="I30" s="195"/>
      <c r="J30" s="193"/>
      <c r="K30" s="195"/>
      <c r="M30" s="195"/>
      <c r="O30" s="195"/>
      <c r="Q30" s="195"/>
      <c r="S30" s="197"/>
    </row>
    <row r="31" spans="1:19">
      <c r="A31" s="189">
        <v>30</v>
      </c>
      <c r="B31" s="190" t="s">
        <v>4917</v>
      </c>
      <c r="C31" s="190"/>
      <c r="D31" s="190" t="s">
        <v>4918</v>
      </c>
      <c r="E31" s="190" t="s">
        <v>4919</v>
      </c>
      <c r="F31" s="191" t="s">
        <v>4920</v>
      </c>
      <c r="G31" s="192" t="s">
        <v>2951</v>
      </c>
      <c r="I31" s="195"/>
      <c r="J31" s="193"/>
      <c r="K31" s="195"/>
      <c r="M31" s="195"/>
      <c r="O31" s="195"/>
      <c r="Q31" s="195"/>
      <c r="S31" s="197"/>
    </row>
    <row r="32" spans="1:19">
      <c r="A32" s="189">
        <v>31</v>
      </c>
      <c r="B32" s="190" t="s">
        <v>4921</v>
      </c>
      <c r="C32" s="190"/>
      <c r="D32" s="190" t="s">
        <v>4922</v>
      </c>
      <c r="E32" s="190" t="s">
        <v>4923</v>
      </c>
      <c r="F32" s="191" t="s">
        <v>4924</v>
      </c>
      <c r="G32" s="192" t="s">
        <v>2917</v>
      </c>
      <c r="I32" s="195"/>
      <c r="J32" s="193"/>
      <c r="K32" s="195"/>
      <c r="M32" s="195"/>
      <c r="O32" s="195"/>
      <c r="Q32" s="195"/>
      <c r="S32" s="197"/>
    </row>
    <row r="33" spans="1:19">
      <c r="A33" s="189">
        <v>32</v>
      </c>
      <c r="B33" s="190" t="s">
        <v>4925</v>
      </c>
      <c r="C33" s="190"/>
      <c r="D33" s="190" t="s">
        <v>4926</v>
      </c>
      <c r="E33" s="190" t="s">
        <v>4927</v>
      </c>
      <c r="F33" s="191" t="s">
        <v>4928</v>
      </c>
      <c r="G33" s="192" t="s">
        <v>998</v>
      </c>
      <c r="I33" s="195"/>
      <c r="J33" s="193"/>
      <c r="K33" s="195"/>
      <c r="M33" s="195"/>
      <c r="O33" s="195"/>
      <c r="Q33" s="195"/>
      <c r="S33" s="197"/>
    </row>
    <row r="34" spans="1:19">
      <c r="A34" s="189">
        <v>33</v>
      </c>
      <c r="B34" s="190" t="s">
        <v>4929</v>
      </c>
      <c r="C34" s="190"/>
      <c r="D34" s="190" t="s">
        <v>4930</v>
      </c>
      <c r="E34" s="190" t="s">
        <v>4931</v>
      </c>
      <c r="F34" s="191" t="s">
        <v>4932</v>
      </c>
      <c r="G34" s="192" t="s">
        <v>2886</v>
      </c>
      <c r="I34" s="195"/>
      <c r="J34" s="193"/>
      <c r="K34" s="195"/>
      <c r="M34" s="195"/>
      <c r="O34" s="195"/>
      <c r="Q34" s="195"/>
      <c r="S34" s="197"/>
    </row>
    <row r="35" spans="1:19">
      <c r="A35" s="189">
        <v>34</v>
      </c>
      <c r="B35" s="190" t="s">
        <v>4933</v>
      </c>
      <c r="C35" s="190"/>
      <c r="D35" s="190" t="s">
        <v>4934</v>
      </c>
      <c r="E35" s="190" t="s">
        <v>4935</v>
      </c>
      <c r="F35" s="191" t="s">
        <v>4936</v>
      </c>
      <c r="G35" s="192" t="s">
        <v>4937</v>
      </c>
      <c r="I35" s="195"/>
      <c r="J35" s="193"/>
      <c r="K35" s="195"/>
      <c r="M35" s="195"/>
      <c r="O35" s="195"/>
      <c r="Q35" s="195"/>
      <c r="S35" s="197"/>
    </row>
    <row r="36" spans="1:19">
      <c r="A36" s="189">
        <v>35</v>
      </c>
      <c r="B36" s="190" t="s">
        <v>4938</v>
      </c>
      <c r="C36" s="190"/>
      <c r="D36" s="190" t="s">
        <v>4785</v>
      </c>
      <c r="E36" s="190" t="s">
        <v>4939</v>
      </c>
      <c r="F36" s="191" t="s">
        <v>4940</v>
      </c>
      <c r="G36" s="192" t="s">
        <v>4013</v>
      </c>
      <c r="I36" s="195"/>
      <c r="J36" s="193"/>
      <c r="K36" s="195"/>
      <c r="M36" s="195"/>
      <c r="O36" s="195"/>
      <c r="Q36" s="195"/>
      <c r="S36" s="197"/>
    </row>
    <row r="37" spans="1:19">
      <c r="A37" s="189">
        <v>36</v>
      </c>
      <c r="B37" s="190" t="s">
        <v>4941</v>
      </c>
      <c r="C37" s="190"/>
      <c r="D37" s="190" t="s">
        <v>4942</v>
      </c>
      <c r="E37" s="190" t="s">
        <v>4943</v>
      </c>
      <c r="F37" s="191" t="s">
        <v>4944</v>
      </c>
      <c r="G37" s="192" t="s">
        <v>992</v>
      </c>
      <c r="I37" s="195"/>
      <c r="J37" s="193"/>
      <c r="K37" s="195"/>
      <c r="M37" s="195"/>
      <c r="O37" s="195"/>
      <c r="Q37" s="195"/>
      <c r="S37" s="197"/>
    </row>
    <row r="38" spans="1:19">
      <c r="A38" s="189">
        <v>37</v>
      </c>
      <c r="B38" s="190" t="s">
        <v>4945</v>
      </c>
      <c r="C38" s="190"/>
      <c r="D38" s="190" t="s">
        <v>4946</v>
      </c>
      <c r="E38" s="190" t="s">
        <v>4947</v>
      </c>
      <c r="F38" s="191" t="s">
        <v>4948</v>
      </c>
      <c r="G38" s="192" t="s">
        <v>4949</v>
      </c>
      <c r="I38" s="195"/>
      <c r="J38" s="193"/>
      <c r="K38" s="195"/>
      <c r="M38" s="195"/>
      <c r="O38" s="195"/>
      <c r="Q38" s="195"/>
      <c r="S38" s="197"/>
    </row>
    <row r="39" spans="1:19">
      <c r="A39" s="189">
        <v>38</v>
      </c>
      <c r="B39" s="190" t="s">
        <v>4950</v>
      </c>
      <c r="C39" s="190"/>
      <c r="D39" s="190" t="s">
        <v>4951</v>
      </c>
      <c r="E39" s="190" t="s">
        <v>4952</v>
      </c>
      <c r="F39" s="191" t="s">
        <v>4953</v>
      </c>
      <c r="G39" s="192" t="s">
        <v>4954</v>
      </c>
      <c r="I39" s="195"/>
      <c r="J39" s="193"/>
      <c r="K39" s="195"/>
      <c r="M39" s="195"/>
      <c r="O39" s="195"/>
      <c r="Q39" s="195"/>
      <c r="S39" s="197"/>
    </row>
    <row r="40" spans="1:19">
      <c r="A40" s="189">
        <v>39</v>
      </c>
      <c r="B40" s="190" t="s">
        <v>4955</v>
      </c>
      <c r="C40" s="190"/>
      <c r="D40" s="190" t="s">
        <v>4956</v>
      </c>
      <c r="E40" s="190" t="s">
        <v>4957</v>
      </c>
      <c r="F40" s="191" t="s">
        <v>4958</v>
      </c>
      <c r="G40" s="192" t="s">
        <v>2910</v>
      </c>
      <c r="I40" s="195"/>
      <c r="J40" s="193"/>
      <c r="K40" s="195"/>
      <c r="M40" s="195"/>
      <c r="O40" s="195"/>
      <c r="Q40" s="195"/>
      <c r="S40" s="197"/>
    </row>
    <row r="41" spans="1:19">
      <c r="A41" s="189">
        <v>40</v>
      </c>
      <c r="B41" s="190" t="s">
        <v>4959</v>
      </c>
      <c r="C41" s="190"/>
      <c r="D41" s="190" t="s">
        <v>4960</v>
      </c>
      <c r="E41" s="190" t="s">
        <v>4961</v>
      </c>
      <c r="F41" s="191" t="s">
        <v>4962</v>
      </c>
      <c r="G41" s="192" t="s">
        <v>4963</v>
      </c>
      <c r="I41" s="195"/>
      <c r="J41" s="193"/>
      <c r="K41" s="195"/>
      <c r="M41" s="195"/>
      <c r="O41" s="195"/>
      <c r="Q41" s="195"/>
      <c r="S41" s="197"/>
    </row>
    <row r="42" spans="1:19">
      <c r="A42" s="189">
        <v>41</v>
      </c>
      <c r="B42" s="190" t="s">
        <v>4964</v>
      </c>
      <c r="C42" s="190"/>
      <c r="D42" s="190" t="s">
        <v>4965</v>
      </c>
      <c r="E42" s="190" t="s">
        <v>4966</v>
      </c>
      <c r="F42" s="191" t="s">
        <v>4967</v>
      </c>
      <c r="G42" s="192" t="s">
        <v>4968</v>
      </c>
      <c r="I42" s="195"/>
      <c r="J42" s="193"/>
      <c r="K42" s="195"/>
      <c r="M42" s="195"/>
      <c r="O42" s="195"/>
      <c r="Q42" s="195"/>
      <c r="S42" s="197"/>
    </row>
    <row r="43" spans="1:19">
      <c r="A43" s="189">
        <v>42</v>
      </c>
      <c r="B43" s="190" t="s">
        <v>4969</v>
      </c>
      <c r="C43" s="190"/>
      <c r="D43" s="190" t="s">
        <v>4970</v>
      </c>
      <c r="E43" s="190" t="s">
        <v>4971</v>
      </c>
      <c r="F43" s="191" t="s">
        <v>4972</v>
      </c>
      <c r="G43" s="192" t="s">
        <v>4973</v>
      </c>
      <c r="I43" s="195"/>
      <c r="J43" s="193"/>
      <c r="K43" s="195"/>
      <c r="M43" s="195"/>
      <c r="O43" s="195"/>
      <c r="Q43" s="195"/>
      <c r="S43" s="197"/>
    </row>
    <row r="44" spans="1:19">
      <c r="A44" s="189">
        <v>43</v>
      </c>
      <c r="B44" s="190" t="s">
        <v>4974</v>
      </c>
      <c r="C44" s="190"/>
      <c r="D44" s="190" t="s">
        <v>4975</v>
      </c>
      <c r="E44" s="190" t="s">
        <v>4976</v>
      </c>
      <c r="F44" s="191" t="s">
        <v>4977</v>
      </c>
      <c r="G44" s="192" t="s">
        <v>2914</v>
      </c>
      <c r="I44" s="195"/>
      <c r="J44" s="193"/>
      <c r="K44" s="195"/>
      <c r="M44" s="195"/>
      <c r="O44" s="195"/>
      <c r="Q44" s="195"/>
      <c r="S44" s="197"/>
    </row>
    <row r="45" spans="1:19">
      <c r="A45" s="189">
        <v>44</v>
      </c>
      <c r="B45" s="190" t="s">
        <v>4978</v>
      </c>
      <c r="C45" s="190"/>
      <c r="D45" s="190" t="s">
        <v>4979</v>
      </c>
      <c r="E45" s="190" t="s">
        <v>4980</v>
      </c>
      <c r="F45" s="191" t="s">
        <v>4981</v>
      </c>
      <c r="G45" s="192" t="s">
        <v>2893</v>
      </c>
      <c r="I45" s="195"/>
      <c r="J45" s="193"/>
      <c r="K45" s="195"/>
      <c r="M45" s="195"/>
      <c r="O45" s="195"/>
      <c r="Q45" s="195"/>
      <c r="S45" s="197"/>
    </row>
    <row r="46" spans="1:19">
      <c r="A46" s="189">
        <v>45</v>
      </c>
      <c r="B46" s="190" t="s">
        <v>4982</v>
      </c>
      <c r="C46" s="190"/>
      <c r="D46" s="190" t="s">
        <v>4983</v>
      </c>
      <c r="E46" s="190" t="s">
        <v>4984</v>
      </c>
      <c r="F46" s="191" t="s">
        <v>4985</v>
      </c>
      <c r="G46" s="192" t="s">
        <v>3591</v>
      </c>
      <c r="I46" s="195"/>
      <c r="J46" s="193"/>
      <c r="K46" s="195"/>
      <c r="M46" s="195"/>
      <c r="O46" s="195"/>
      <c r="Q46" s="195"/>
      <c r="S46" s="197"/>
    </row>
    <row r="47" spans="1:19">
      <c r="A47" s="189">
        <v>46</v>
      </c>
      <c r="B47" s="190" t="s">
        <v>4986</v>
      </c>
      <c r="C47" s="190"/>
      <c r="D47" s="190" t="s">
        <v>4987</v>
      </c>
      <c r="E47" s="190" t="s">
        <v>4988</v>
      </c>
      <c r="F47" s="191" t="s">
        <v>4989</v>
      </c>
      <c r="G47" s="192" t="s">
        <v>4990</v>
      </c>
      <c r="I47" s="195"/>
      <c r="J47" s="193"/>
      <c r="K47" s="195"/>
      <c r="M47" s="195"/>
      <c r="O47" s="195"/>
      <c r="Q47" s="195"/>
      <c r="S47" s="197"/>
    </row>
    <row r="48" spans="1:19">
      <c r="A48" s="189">
        <v>47</v>
      </c>
      <c r="B48" s="190" t="s">
        <v>4991</v>
      </c>
      <c r="C48" s="190"/>
      <c r="D48" s="190" t="s">
        <v>4992</v>
      </c>
      <c r="E48" s="190" t="s">
        <v>4993</v>
      </c>
      <c r="F48" s="191" t="s">
        <v>4994</v>
      </c>
      <c r="G48" s="192" t="s">
        <v>4995</v>
      </c>
      <c r="I48" s="195"/>
      <c r="J48" s="193"/>
      <c r="K48" s="195"/>
      <c r="M48" s="195"/>
      <c r="O48" s="195"/>
      <c r="Q48" s="195"/>
      <c r="S48" s="197"/>
    </row>
    <row r="49" spans="1:19">
      <c r="A49" s="189">
        <v>48</v>
      </c>
      <c r="B49" s="190" t="s">
        <v>4996</v>
      </c>
      <c r="C49" s="190"/>
      <c r="D49" s="190" t="s">
        <v>4997</v>
      </c>
      <c r="E49" s="190" t="s">
        <v>4998</v>
      </c>
      <c r="F49" s="191" t="s">
        <v>4999</v>
      </c>
      <c r="G49" s="192" t="s">
        <v>5000</v>
      </c>
      <c r="I49" s="195"/>
      <c r="J49" s="193"/>
      <c r="K49" s="195"/>
      <c r="M49" s="195"/>
      <c r="O49" s="195"/>
      <c r="Q49" s="195"/>
      <c r="S49" s="197"/>
    </row>
    <row r="50" spans="1:19">
      <c r="A50" s="189">
        <v>49</v>
      </c>
      <c r="B50" s="190" t="s">
        <v>5001</v>
      </c>
      <c r="C50" s="190"/>
      <c r="D50" s="190" t="s">
        <v>5002</v>
      </c>
      <c r="E50" s="190" t="s">
        <v>5003</v>
      </c>
      <c r="F50" s="191" t="s">
        <v>5004</v>
      </c>
      <c r="G50" s="192" t="s">
        <v>5005</v>
      </c>
      <c r="I50" s="195"/>
      <c r="J50" s="193"/>
      <c r="K50" s="195"/>
      <c r="M50" s="195"/>
      <c r="O50" s="195"/>
      <c r="Q50" s="195"/>
      <c r="S50" s="197"/>
    </row>
    <row r="51" spans="1:19">
      <c r="A51" s="189">
        <v>50</v>
      </c>
      <c r="B51" s="190" t="s">
        <v>5006</v>
      </c>
      <c r="C51" s="190"/>
      <c r="D51" s="190" t="s">
        <v>5007</v>
      </c>
      <c r="E51" s="190" t="s">
        <v>5008</v>
      </c>
      <c r="F51" s="191" t="s">
        <v>5009</v>
      </c>
      <c r="G51" s="192" t="s">
        <v>1000</v>
      </c>
      <c r="I51" s="195"/>
      <c r="J51" s="193"/>
      <c r="K51" s="195"/>
      <c r="M51" s="195"/>
      <c r="O51" s="195"/>
      <c r="Q51" s="195"/>
      <c r="S51" s="197"/>
    </row>
    <row r="52" spans="1:19">
      <c r="A52" s="189">
        <v>51</v>
      </c>
      <c r="B52" s="190" t="s">
        <v>5010</v>
      </c>
      <c r="C52" s="190"/>
      <c r="D52" s="190" t="s">
        <v>5011</v>
      </c>
      <c r="E52" s="190" t="s">
        <v>5012</v>
      </c>
      <c r="F52" s="191" t="s">
        <v>5013</v>
      </c>
      <c r="G52" s="192" t="s">
        <v>601</v>
      </c>
      <c r="I52" s="195"/>
      <c r="J52" s="193"/>
      <c r="K52" s="195"/>
      <c r="M52" s="195"/>
      <c r="O52" s="195"/>
      <c r="Q52" s="195"/>
      <c r="S52" s="197"/>
    </row>
    <row r="53" spans="1:19">
      <c r="A53" s="189">
        <v>52</v>
      </c>
      <c r="B53" s="190" t="s">
        <v>5014</v>
      </c>
      <c r="C53" s="190"/>
      <c r="D53" s="190" t="s">
        <v>5015</v>
      </c>
      <c r="E53" s="190" t="s">
        <v>5016</v>
      </c>
      <c r="F53" s="191" t="s">
        <v>5017</v>
      </c>
      <c r="G53" s="192" t="s">
        <v>5018</v>
      </c>
      <c r="I53" s="195"/>
      <c r="J53" s="193"/>
      <c r="K53" s="195"/>
      <c r="M53" s="195"/>
      <c r="O53" s="195"/>
      <c r="Q53" s="195"/>
      <c r="S53" s="197"/>
    </row>
    <row r="54" spans="1:19">
      <c r="A54" s="189">
        <v>53</v>
      </c>
      <c r="B54" s="190" t="s">
        <v>5019</v>
      </c>
      <c r="C54" s="190"/>
      <c r="D54" s="190" t="s">
        <v>5020</v>
      </c>
      <c r="E54" s="190" t="s">
        <v>5021</v>
      </c>
      <c r="F54" s="191" t="s">
        <v>5022</v>
      </c>
      <c r="G54" s="192" t="s">
        <v>5023</v>
      </c>
      <c r="I54" s="195"/>
      <c r="J54" s="193"/>
      <c r="K54" s="195"/>
      <c r="M54" s="195"/>
      <c r="O54" s="195"/>
      <c r="Q54" s="195"/>
      <c r="S54" s="197"/>
    </row>
    <row r="55" spans="1:19">
      <c r="A55" s="189">
        <v>54</v>
      </c>
      <c r="B55" s="190" t="s">
        <v>5024</v>
      </c>
      <c r="C55" s="190"/>
      <c r="D55" s="190" t="s">
        <v>5025</v>
      </c>
      <c r="E55" s="190" t="s">
        <v>5026</v>
      </c>
      <c r="F55" s="191" t="s">
        <v>5027</v>
      </c>
      <c r="G55" s="192" t="s">
        <v>2864</v>
      </c>
      <c r="I55" s="195"/>
      <c r="J55" s="193"/>
      <c r="K55" s="195"/>
      <c r="M55" s="195"/>
      <c r="O55" s="195"/>
      <c r="Q55" s="195"/>
      <c r="S55" s="197"/>
    </row>
    <row r="56" spans="1:19">
      <c r="A56" s="189">
        <v>55</v>
      </c>
      <c r="B56" s="190" t="s">
        <v>5028</v>
      </c>
      <c r="C56" s="190"/>
      <c r="D56" s="190" t="s">
        <v>5029</v>
      </c>
      <c r="E56" s="190" t="s">
        <v>5030</v>
      </c>
      <c r="F56" s="191" t="s">
        <v>5031</v>
      </c>
      <c r="G56" s="192" t="s">
        <v>5032</v>
      </c>
      <c r="I56" s="195"/>
      <c r="J56" s="193"/>
      <c r="K56" s="195"/>
      <c r="M56" s="195"/>
      <c r="O56" s="195"/>
      <c r="Q56" s="195"/>
      <c r="S56" s="197"/>
    </row>
    <row r="57" spans="1:19">
      <c r="A57" s="189">
        <v>56</v>
      </c>
      <c r="B57" s="190" t="s">
        <v>5033</v>
      </c>
      <c r="C57" s="190"/>
      <c r="D57" s="190" t="s">
        <v>5034</v>
      </c>
      <c r="E57" s="190" t="s">
        <v>5035</v>
      </c>
      <c r="F57" s="191" t="s">
        <v>5036</v>
      </c>
      <c r="G57" s="192" t="s">
        <v>5037</v>
      </c>
      <c r="I57" s="195"/>
      <c r="J57" s="193"/>
      <c r="K57" s="195"/>
      <c r="M57" s="195"/>
      <c r="O57" s="195"/>
      <c r="Q57" s="195"/>
      <c r="S57" s="197"/>
    </row>
    <row r="58" spans="1:19">
      <c r="A58" s="189">
        <v>57</v>
      </c>
      <c r="B58" s="190" t="s">
        <v>5038</v>
      </c>
      <c r="C58" s="190"/>
      <c r="D58" s="190" t="s">
        <v>5039</v>
      </c>
      <c r="E58" s="190" t="s">
        <v>5040</v>
      </c>
      <c r="F58" s="191" t="s">
        <v>5041</v>
      </c>
      <c r="G58" s="192" t="s">
        <v>2937</v>
      </c>
      <c r="I58" s="195"/>
      <c r="J58" s="193"/>
      <c r="K58" s="195"/>
      <c r="M58" s="195"/>
      <c r="O58" s="195"/>
      <c r="Q58" s="195"/>
      <c r="S58" s="197"/>
    </row>
    <row r="59" spans="1:19">
      <c r="A59" s="189">
        <v>58</v>
      </c>
      <c r="B59" s="190" t="s">
        <v>5042</v>
      </c>
      <c r="C59" s="190"/>
      <c r="D59" s="190" t="s">
        <v>5043</v>
      </c>
      <c r="E59" s="190" t="s">
        <v>5044</v>
      </c>
      <c r="F59" s="191" t="s">
        <v>5045</v>
      </c>
      <c r="G59" s="192" t="s">
        <v>2869</v>
      </c>
      <c r="I59" s="195"/>
      <c r="J59" s="193"/>
      <c r="K59" s="195"/>
      <c r="M59" s="195"/>
      <c r="O59" s="195"/>
      <c r="Q59" s="195"/>
      <c r="S59" s="197"/>
    </row>
    <row r="60" spans="1:19">
      <c r="A60" s="189">
        <v>59</v>
      </c>
      <c r="B60" s="190" t="s">
        <v>5046</v>
      </c>
      <c r="C60" s="190"/>
      <c r="D60" s="190" t="s">
        <v>5047</v>
      </c>
      <c r="E60" s="190" t="s">
        <v>5048</v>
      </c>
      <c r="F60" s="191" t="s">
        <v>5049</v>
      </c>
      <c r="G60" s="192" t="s">
        <v>1428</v>
      </c>
      <c r="I60" s="195"/>
      <c r="J60" s="193"/>
      <c r="K60" s="195"/>
      <c r="M60" s="195"/>
      <c r="O60" s="195"/>
      <c r="Q60" s="195"/>
      <c r="S60" s="197"/>
    </row>
    <row r="61" spans="1:19">
      <c r="A61" s="189">
        <v>60</v>
      </c>
      <c r="B61" s="190" t="s">
        <v>5050</v>
      </c>
      <c r="C61" s="190"/>
      <c r="D61" s="190" t="s">
        <v>5051</v>
      </c>
      <c r="E61" s="190" t="s">
        <v>5052</v>
      </c>
      <c r="F61" s="191" t="s">
        <v>5053</v>
      </c>
      <c r="G61" s="192" t="s">
        <v>1298</v>
      </c>
      <c r="I61" s="195"/>
      <c r="J61" s="193"/>
      <c r="K61" s="195"/>
      <c r="M61" s="195"/>
      <c r="O61" s="195"/>
      <c r="Q61" s="195"/>
      <c r="S61" s="197"/>
    </row>
    <row r="62" spans="1:19">
      <c r="A62" s="189">
        <v>61</v>
      </c>
      <c r="B62" s="190" t="s">
        <v>5054</v>
      </c>
      <c r="C62" s="190"/>
      <c r="D62" s="190" t="s">
        <v>5055</v>
      </c>
      <c r="E62" s="190" t="s">
        <v>5056</v>
      </c>
      <c r="F62" s="191" t="s">
        <v>5057</v>
      </c>
      <c r="G62" s="192" t="s">
        <v>5058</v>
      </c>
      <c r="I62" s="195"/>
      <c r="J62" s="193"/>
      <c r="K62" s="195"/>
      <c r="M62" s="195"/>
      <c r="O62" s="195"/>
      <c r="Q62" s="195"/>
      <c r="S62" s="197"/>
    </row>
    <row r="63" spans="1:19">
      <c r="A63" s="189">
        <v>62</v>
      </c>
      <c r="B63" s="190" t="s">
        <v>5059</v>
      </c>
      <c r="C63" s="190"/>
      <c r="D63" s="190" t="s">
        <v>5060</v>
      </c>
      <c r="E63" s="190" t="s">
        <v>5061</v>
      </c>
      <c r="F63" s="191" t="s">
        <v>5062</v>
      </c>
      <c r="G63" s="192" t="s">
        <v>5063</v>
      </c>
      <c r="I63" s="195"/>
      <c r="J63" s="193"/>
      <c r="K63" s="195"/>
      <c r="M63" s="195"/>
      <c r="O63" s="195"/>
      <c r="Q63" s="195"/>
      <c r="S63" s="197"/>
    </row>
    <row r="64" spans="1:19">
      <c r="A64" s="189">
        <v>63</v>
      </c>
      <c r="B64" s="190" t="s">
        <v>5064</v>
      </c>
      <c r="C64" s="190"/>
      <c r="D64" s="190" t="s">
        <v>5065</v>
      </c>
      <c r="E64" s="190" t="s">
        <v>5066</v>
      </c>
      <c r="F64" s="191" t="s">
        <v>5067</v>
      </c>
      <c r="G64" s="192" t="s">
        <v>5068</v>
      </c>
      <c r="I64" s="195"/>
      <c r="J64" s="193"/>
      <c r="K64" s="195"/>
      <c r="M64" s="195"/>
      <c r="O64" s="195"/>
      <c r="Q64" s="195"/>
      <c r="S64" s="197"/>
    </row>
    <row r="65" spans="1:19">
      <c r="A65" s="189">
        <v>64</v>
      </c>
      <c r="B65" s="190" t="s">
        <v>5069</v>
      </c>
      <c r="C65" s="190"/>
      <c r="D65" s="190" t="s">
        <v>5070</v>
      </c>
      <c r="E65" s="190" t="s">
        <v>5071</v>
      </c>
      <c r="F65" s="191" t="s">
        <v>5072</v>
      </c>
      <c r="G65" s="192" t="s">
        <v>725</v>
      </c>
      <c r="I65" s="195"/>
      <c r="J65" s="193"/>
      <c r="K65" s="195"/>
      <c r="M65" s="195"/>
      <c r="O65" s="195"/>
      <c r="Q65" s="195"/>
      <c r="S65" s="197"/>
    </row>
    <row r="66" spans="1:19">
      <c r="A66" s="189">
        <v>65</v>
      </c>
      <c r="B66" s="190" t="s">
        <v>5073</v>
      </c>
      <c r="C66" s="190"/>
      <c r="D66" s="190" t="s">
        <v>5074</v>
      </c>
      <c r="E66" s="190" t="s">
        <v>5075</v>
      </c>
      <c r="F66" s="191" t="s">
        <v>5076</v>
      </c>
      <c r="G66" s="192" t="s">
        <v>2583</v>
      </c>
      <c r="I66" s="195"/>
      <c r="J66" s="193"/>
      <c r="K66" s="195"/>
      <c r="M66" s="195"/>
      <c r="O66" s="195"/>
      <c r="Q66" s="195"/>
      <c r="S66" s="197"/>
    </row>
    <row r="67" spans="1:19">
      <c r="A67" s="189">
        <v>66</v>
      </c>
      <c r="B67" s="190" t="s">
        <v>5077</v>
      </c>
      <c r="C67" s="190"/>
      <c r="D67" s="190" t="s">
        <v>5078</v>
      </c>
      <c r="E67" s="190" t="s">
        <v>5079</v>
      </c>
      <c r="F67" s="191" t="s">
        <v>5080</v>
      </c>
      <c r="G67" s="192" t="s">
        <v>5081</v>
      </c>
      <c r="I67" s="195"/>
      <c r="J67" s="193"/>
      <c r="K67" s="195"/>
      <c r="M67" s="195"/>
      <c r="O67" s="195"/>
      <c r="Q67" s="195"/>
      <c r="S67" s="197"/>
    </row>
    <row r="68" spans="1:19">
      <c r="A68" s="189">
        <v>67</v>
      </c>
      <c r="B68" s="190" t="s">
        <v>5082</v>
      </c>
      <c r="C68" s="190"/>
      <c r="D68" s="190" t="s">
        <v>5083</v>
      </c>
      <c r="E68" s="190" t="s">
        <v>5084</v>
      </c>
      <c r="F68" s="191" t="s">
        <v>5085</v>
      </c>
      <c r="G68" s="192" t="s">
        <v>3071</v>
      </c>
      <c r="I68" s="195"/>
      <c r="J68" s="193"/>
      <c r="K68" s="195"/>
      <c r="M68" s="195"/>
      <c r="O68" s="195"/>
      <c r="Q68" s="195"/>
      <c r="S68" s="197"/>
    </row>
    <row r="69" spans="1:19">
      <c r="A69" s="189">
        <v>68</v>
      </c>
      <c r="B69" s="190" t="s">
        <v>5086</v>
      </c>
      <c r="C69" s="190"/>
      <c r="D69" s="190" t="s">
        <v>5087</v>
      </c>
      <c r="E69" s="190" t="s">
        <v>5088</v>
      </c>
      <c r="F69" s="191" t="s">
        <v>5089</v>
      </c>
      <c r="G69" s="192" t="s">
        <v>5090</v>
      </c>
      <c r="I69" s="195"/>
      <c r="J69" s="193"/>
      <c r="K69" s="195"/>
      <c r="M69" s="195"/>
      <c r="O69" s="195"/>
      <c r="Q69" s="195"/>
      <c r="S69" s="197"/>
    </row>
    <row r="70" spans="1:19">
      <c r="A70" s="189">
        <v>69</v>
      </c>
      <c r="B70" s="190" t="s">
        <v>5091</v>
      </c>
      <c r="C70" s="190"/>
      <c r="D70" s="190" t="s">
        <v>5092</v>
      </c>
      <c r="E70" s="190" t="s">
        <v>4827</v>
      </c>
      <c r="F70" s="191" t="s">
        <v>4828</v>
      </c>
      <c r="G70" s="192" t="s">
        <v>2800</v>
      </c>
      <c r="I70" s="195"/>
      <c r="J70" s="193"/>
      <c r="K70" s="195"/>
      <c r="M70" s="195"/>
      <c r="O70" s="195"/>
      <c r="Q70" s="195"/>
      <c r="S70" s="197"/>
    </row>
    <row r="71" spans="1:19">
      <c r="A71" s="189">
        <v>70</v>
      </c>
      <c r="B71" s="190" t="s">
        <v>5093</v>
      </c>
      <c r="C71" s="190"/>
      <c r="D71" s="190" t="s">
        <v>5094</v>
      </c>
      <c r="E71" s="190" t="s">
        <v>5095</v>
      </c>
      <c r="F71" s="191" t="s">
        <v>5096</v>
      </c>
      <c r="G71" s="192" t="s">
        <v>5097</v>
      </c>
      <c r="I71" s="195"/>
      <c r="J71" s="193"/>
      <c r="K71" s="195"/>
      <c r="M71" s="195"/>
      <c r="O71" s="195"/>
      <c r="Q71" s="195"/>
      <c r="S71" s="197"/>
    </row>
    <row r="72" spans="1:19">
      <c r="A72" s="189">
        <v>71</v>
      </c>
      <c r="B72" s="190" t="s">
        <v>5098</v>
      </c>
      <c r="C72" s="190"/>
      <c r="D72" s="190" t="s">
        <v>5099</v>
      </c>
      <c r="E72" s="190" t="s">
        <v>5100</v>
      </c>
      <c r="F72" s="191" t="s">
        <v>5101</v>
      </c>
      <c r="G72" s="192" t="s">
        <v>5102</v>
      </c>
      <c r="I72" s="195"/>
      <c r="J72" s="193"/>
      <c r="K72" s="195"/>
      <c r="M72" s="195"/>
      <c r="O72" s="195"/>
      <c r="Q72" s="195"/>
      <c r="S72" s="197"/>
    </row>
    <row r="73" spans="1:19">
      <c r="A73" s="189">
        <v>72</v>
      </c>
      <c r="B73" s="190" t="s">
        <v>5103</v>
      </c>
      <c r="C73" s="190"/>
      <c r="D73" s="190" t="s">
        <v>5104</v>
      </c>
      <c r="E73" s="190" t="s">
        <v>5105</v>
      </c>
      <c r="F73" s="191" t="s">
        <v>5106</v>
      </c>
      <c r="G73" s="192" t="s">
        <v>1198</v>
      </c>
      <c r="I73" s="195"/>
      <c r="J73" s="193"/>
      <c r="K73" s="195"/>
      <c r="M73" s="195"/>
      <c r="O73" s="195"/>
      <c r="Q73" s="195"/>
      <c r="S73" s="197"/>
    </row>
    <row r="74" spans="1:19">
      <c r="A74" s="189">
        <v>73</v>
      </c>
      <c r="B74" s="190" t="s">
        <v>5107</v>
      </c>
      <c r="C74" s="190"/>
      <c r="D74" s="190" t="s">
        <v>5108</v>
      </c>
      <c r="E74" s="190" t="s">
        <v>5109</v>
      </c>
      <c r="F74" s="191" t="s">
        <v>5110</v>
      </c>
      <c r="G74" s="192" t="s">
        <v>119</v>
      </c>
      <c r="I74" s="195"/>
      <c r="J74" s="193"/>
      <c r="K74" s="195"/>
      <c r="M74" s="195"/>
      <c r="O74" s="195"/>
      <c r="Q74" s="195"/>
      <c r="S74" s="197"/>
    </row>
    <row r="75" spans="1:19">
      <c r="A75" s="189">
        <v>74</v>
      </c>
      <c r="B75" s="190" t="s">
        <v>5111</v>
      </c>
      <c r="C75" s="190"/>
      <c r="D75" s="190" t="s">
        <v>5112</v>
      </c>
      <c r="E75" s="190" t="s">
        <v>5113</v>
      </c>
      <c r="F75" s="191" t="s">
        <v>5114</v>
      </c>
      <c r="G75" s="192" t="s">
        <v>5115</v>
      </c>
      <c r="I75" s="195"/>
      <c r="J75" s="193"/>
      <c r="K75" s="195"/>
      <c r="M75" s="195"/>
      <c r="O75" s="195"/>
      <c r="Q75" s="195"/>
      <c r="S75" s="197"/>
    </row>
    <row r="76" spans="1:19">
      <c r="A76" s="189">
        <v>75</v>
      </c>
      <c r="B76" s="190" t="s">
        <v>5116</v>
      </c>
      <c r="C76" s="190"/>
      <c r="D76" s="190" t="s">
        <v>5117</v>
      </c>
      <c r="E76" s="190" t="s">
        <v>5118</v>
      </c>
      <c r="F76" s="191" t="s">
        <v>5119</v>
      </c>
      <c r="G76" s="192" t="s">
        <v>5120</v>
      </c>
      <c r="I76" s="195"/>
      <c r="J76" s="193"/>
      <c r="K76" s="195"/>
      <c r="M76" s="195"/>
      <c r="O76" s="195"/>
      <c r="Q76" s="195"/>
      <c r="S76" s="197"/>
    </row>
    <row r="77" spans="1:19">
      <c r="A77" s="189">
        <v>76</v>
      </c>
      <c r="B77" s="190" t="s">
        <v>5121</v>
      </c>
      <c r="C77" s="190"/>
      <c r="D77" s="190" t="s">
        <v>5122</v>
      </c>
      <c r="E77" s="190" t="s">
        <v>5123</v>
      </c>
      <c r="F77" s="191" t="s">
        <v>5124</v>
      </c>
      <c r="G77" s="192" t="s">
        <v>5125</v>
      </c>
      <c r="I77" s="195"/>
      <c r="J77" s="193"/>
      <c r="K77" s="195"/>
      <c r="M77" s="195"/>
      <c r="O77" s="195"/>
      <c r="Q77" s="195"/>
      <c r="S77" s="197"/>
    </row>
    <row r="78" spans="1:19">
      <c r="A78" s="189">
        <v>77</v>
      </c>
      <c r="B78" s="190" t="s">
        <v>5126</v>
      </c>
      <c r="C78" s="190"/>
      <c r="D78" s="190" t="s">
        <v>5127</v>
      </c>
      <c r="E78" s="190" t="s">
        <v>5128</v>
      </c>
      <c r="F78" s="191" t="s">
        <v>5129</v>
      </c>
      <c r="G78" s="192" t="s">
        <v>5130</v>
      </c>
      <c r="I78" s="195"/>
      <c r="J78" s="193"/>
      <c r="K78" s="195"/>
      <c r="M78" s="195"/>
      <c r="O78" s="195"/>
      <c r="Q78" s="195"/>
      <c r="S78" s="197"/>
    </row>
    <row r="79" spans="1:19">
      <c r="A79" s="189">
        <v>78</v>
      </c>
      <c r="B79" s="190" t="s">
        <v>5131</v>
      </c>
      <c r="C79" s="190"/>
      <c r="D79" s="190" t="s">
        <v>5132</v>
      </c>
      <c r="E79" s="190" t="s">
        <v>5133</v>
      </c>
      <c r="F79" s="191" t="s">
        <v>5134</v>
      </c>
      <c r="G79" s="192" t="s">
        <v>5135</v>
      </c>
      <c r="I79" s="195"/>
      <c r="J79" s="193"/>
      <c r="K79" s="195"/>
      <c r="M79" s="195"/>
      <c r="O79" s="195"/>
      <c r="Q79" s="195"/>
      <c r="S79" s="197"/>
    </row>
    <row r="80" spans="1:19">
      <c r="A80" s="189">
        <v>79</v>
      </c>
      <c r="B80" s="190" t="s">
        <v>5136</v>
      </c>
      <c r="C80" s="190"/>
      <c r="D80" s="190" t="s">
        <v>5137</v>
      </c>
      <c r="E80" s="190" t="s">
        <v>5138</v>
      </c>
      <c r="F80" s="191" t="s">
        <v>5139</v>
      </c>
      <c r="G80" s="192" t="s">
        <v>5140</v>
      </c>
      <c r="I80" s="195"/>
      <c r="J80" s="193"/>
      <c r="K80" s="195"/>
      <c r="M80" s="195"/>
      <c r="O80" s="195"/>
      <c r="Q80" s="195"/>
      <c r="S80" s="197"/>
    </row>
    <row r="81" spans="1:19">
      <c r="A81" s="189">
        <v>80</v>
      </c>
      <c r="B81" s="190" t="s">
        <v>5141</v>
      </c>
      <c r="C81" s="190"/>
      <c r="D81" s="190" t="s">
        <v>5142</v>
      </c>
      <c r="E81" s="190" t="s">
        <v>5143</v>
      </c>
      <c r="F81" s="191" t="s">
        <v>5144</v>
      </c>
      <c r="G81" s="192" t="s">
        <v>5145</v>
      </c>
      <c r="I81" s="195"/>
      <c r="J81" s="193"/>
      <c r="K81" s="195"/>
      <c r="M81" s="195"/>
      <c r="O81" s="195"/>
      <c r="Q81" s="195"/>
      <c r="S81" s="197"/>
    </row>
    <row r="82" spans="1:19">
      <c r="A82" s="189">
        <v>81</v>
      </c>
      <c r="B82" s="190" t="s">
        <v>5146</v>
      </c>
      <c r="C82" s="190"/>
      <c r="D82" s="190" t="s">
        <v>5147</v>
      </c>
      <c r="E82" s="190" t="s">
        <v>5148</v>
      </c>
      <c r="F82" s="191" t="s">
        <v>5149</v>
      </c>
      <c r="G82" s="192" t="s">
        <v>984</v>
      </c>
      <c r="I82" s="195"/>
      <c r="J82" s="193"/>
      <c r="K82" s="195"/>
      <c r="M82" s="195"/>
      <c r="O82" s="195"/>
      <c r="Q82" s="195"/>
      <c r="S82" s="197"/>
    </row>
    <row r="83" spans="1:19">
      <c r="A83" s="189">
        <v>82</v>
      </c>
      <c r="B83" s="190" t="s">
        <v>5150</v>
      </c>
      <c r="C83" s="190"/>
      <c r="D83" s="190" t="s">
        <v>5151</v>
      </c>
      <c r="E83" s="190" t="s">
        <v>5152</v>
      </c>
      <c r="F83" s="191" t="s">
        <v>5153</v>
      </c>
      <c r="G83" s="192" t="s">
        <v>5154</v>
      </c>
      <c r="I83" s="195"/>
      <c r="J83" s="193"/>
      <c r="K83" s="195"/>
      <c r="M83" s="195"/>
      <c r="O83" s="195"/>
      <c r="Q83" s="195"/>
      <c r="S83" s="197"/>
    </row>
    <row r="84" spans="1:19">
      <c r="A84" s="189">
        <v>83</v>
      </c>
      <c r="B84" s="190" t="s">
        <v>5155</v>
      </c>
      <c r="C84" s="190"/>
      <c r="D84" s="190" t="s">
        <v>5156</v>
      </c>
      <c r="E84" s="190" t="s">
        <v>5157</v>
      </c>
      <c r="F84" s="191" t="s">
        <v>5158</v>
      </c>
      <c r="G84" s="192" t="s">
        <v>5159</v>
      </c>
      <c r="I84" s="195"/>
      <c r="J84" s="193"/>
      <c r="K84" s="195"/>
      <c r="M84" s="195"/>
      <c r="O84" s="195"/>
      <c r="Q84" s="195"/>
      <c r="S84" s="197"/>
    </row>
    <row r="85" spans="1:19">
      <c r="A85" s="189">
        <v>84</v>
      </c>
      <c r="B85" s="190" t="s">
        <v>5160</v>
      </c>
      <c r="C85" s="190"/>
      <c r="D85" s="190" t="s">
        <v>5161</v>
      </c>
      <c r="E85" s="190" t="s">
        <v>5162</v>
      </c>
      <c r="F85" s="191" t="s">
        <v>5163</v>
      </c>
      <c r="G85" s="192" t="s">
        <v>1697</v>
      </c>
      <c r="I85" s="195"/>
      <c r="J85" s="193"/>
      <c r="K85" s="195"/>
      <c r="M85" s="195"/>
      <c r="O85" s="195"/>
      <c r="Q85" s="195"/>
      <c r="S85" s="197"/>
    </row>
    <row r="86" spans="1:19">
      <c r="A86" s="189">
        <v>85</v>
      </c>
      <c r="B86" s="190" t="s">
        <v>5164</v>
      </c>
      <c r="C86" s="190"/>
      <c r="D86" s="190" t="s">
        <v>5165</v>
      </c>
      <c r="E86" s="190" t="s">
        <v>5166</v>
      </c>
      <c r="F86" s="191" t="s">
        <v>5167</v>
      </c>
      <c r="G86" s="192" t="s">
        <v>5168</v>
      </c>
      <c r="I86" s="195"/>
      <c r="J86" s="193"/>
      <c r="K86" s="195"/>
      <c r="M86" s="195"/>
      <c r="O86" s="195"/>
      <c r="Q86" s="195"/>
      <c r="S86" s="197"/>
    </row>
    <row r="87" spans="1:19">
      <c r="A87" s="189">
        <v>86</v>
      </c>
      <c r="B87" s="190" t="s">
        <v>5169</v>
      </c>
      <c r="C87" s="190"/>
      <c r="D87" s="190" t="s">
        <v>5170</v>
      </c>
      <c r="E87" s="190" t="s">
        <v>5171</v>
      </c>
      <c r="F87" s="191" t="s">
        <v>5172</v>
      </c>
      <c r="G87" s="192" t="s">
        <v>5173</v>
      </c>
      <c r="I87" s="195"/>
      <c r="J87" s="193"/>
      <c r="K87" s="195"/>
      <c r="M87" s="195"/>
      <c r="O87" s="195"/>
      <c r="Q87" s="195"/>
      <c r="S87" s="197"/>
    </row>
    <row r="88" spans="1:19">
      <c r="A88" s="189">
        <v>87</v>
      </c>
      <c r="B88" s="190" t="s">
        <v>5174</v>
      </c>
      <c r="C88" s="190"/>
      <c r="D88" s="190" t="s">
        <v>5175</v>
      </c>
      <c r="E88" s="190" t="s">
        <v>5176</v>
      </c>
      <c r="F88" s="191" t="s">
        <v>5177</v>
      </c>
      <c r="G88" s="192" t="s">
        <v>5178</v>
      </c>
      <c r="I88" s="195"/>
      <c r="J88" s="193"/>
      <c r="K88" s="195"/>
      <c r="M88" s="195"/>
      <c r="O88" s="195"/>
      <c r="Q88" s="195"/>
      <c r="S88" s="197"/>
    </row>
    <row r="89" spans="1:19">
      <c r="A89" s="189">
        <v>88</v>
      </c>
      <c r="B89" s="190" t="s">
        <v>5179</v>
      </c>
      <c r="C89" s="190"/>
      <c r="D89" s="190" t="s">
        <v>5180</v>
      </c>
      <c r="E89" s="190" t="s">
        <v>5181</v>
      </c>
      <c r="F89" s="191" t="s">
        <v>5182</v>
      </c>
      <c r="G89" s="192" t="s">
        <v>5183</v>
      </c>
      <c r="I89" s="195"/>
      <c r="J89" s="193"/>
      <c r="K89" s="195"/>
      <c r="M89" s="195"/>
      <c r="O89" s="195"/>
      <c r="Q89" s="195"/>
      <c r="S89" s="197"/>
    </row>
    <row r="90" spans="1:19">
      <c r="A90" s="189">
        <v>89</v>
      </c>
      <c r="B90" s="190" t="s">
        <v>5184</v>
      </c>
      <c r="C90" s="190"/>
      <c r="D90" s="190" t="s">
        <v>5185</v>
      </c>
      <c r="E90" s="190" t="s">
        <v>5186</v>
      </c>
      <c r="F90" s="191" t="s">
        <v>5187</v>
      </c>
      <c r="G90" s="192" t="s">
        <v>2955</v>
      </c>
      <c r="I90" s="195"/>
      <c r="J90" s="193"/>
      <c r="K90" s="195"/>
      <c r="M90" s="195"/>
      <c r="O90" s="195"/>
      <c r="Q90" s="195"/>
      <c r="S90" s="197"/>
    </row>
    <row r="91" spans="1:19">
      <c r="A91" s="189">
        <v>90</v>
      </c>
      <c r="B91" s="190" t="s">
        <v>5188</v>
      </c>
      <c r="C91" s="190"/>
      <c r="D91" s="190" t="s">
        <v>5189</v>
      </c>
      <c r="E91" s="190" t="s">
        <v>5190</v>
      </c>
      <c r="F91" s="191" t="s">
        <v>5191</v>
      </c>
      <c r="G91" s="192" t="s">
        <v>4375</v>
      </c>
      <c r="I91" s="195"/>
      <c r="J91" s="193"/>
      <c r="K91" s="195"/>
      <c r="M91" s="195"/>
      <c r="O91" s="195"/>
      <c r="Q91" s="195"/>
      <c r="S91" s="197"/>
    </row>
    <row r="92" spans="1:19">
      <c r="A92" s="189">
        <v>91</v>
      </c>
      <c r="B92" s="190" t="s">
        <v>5192</v>
      </c>
      <c r="C92" s="190"/>
      <c r="D92" s="190" t="s">
        <v>5193</v>
      </c>
      <c r="E92" s="190" t="s">
        <v>5194</v>
      </c>
      <c r="F92" s="191" t="s">
        <v>5195</v>
      </c>
      <c r="G92" s="192" t="s">
        <v>5196</v>
      </c>
      <c r="I92" s="195"/>
      <c r="J92" s="193"/>
      <c r="K92" s="195"/>
      <c r="M92" s="195"/>
      <c r="O92" s="195"/>
      <c r="Q92" s="195"/>
      <c r="S92" s="197"/>
    </row>
    <row r="93" spans="1:19">
      <c r="A93" s="189">
        <v>92</v>
      </c>
      <c r="B93" s="190" t="s">
        <v>5197</v>
      </c>
      <c r="C93" s="190"/>
      <c r="D93" s="190" t="s">
        <v>5198</v>
      </c>
      <c r="E93" s="190" t="s">
        <v>5199</v>
      </c>
      <c r="F93" s="191" t="s">
        <v>5200</v>
      </c>
      <c r="G93" s="192" t="s">
        <v>5201</v>
      </c>
      <c r="I93" s="195"/>
      <c r="J93" s="193"/>
      <c r="K93" s="195"/>
      <c r="M93" s="195"/>
      <c r="O93" s="195"/>
      <c r="Q93" s="195"/>
      <c r="S93" s="197"/>
    </row>
    <row r="94" spans="1:19">
      <c r="A94" s="189">
        <v>93</v>
      </c>
      <c r="B94" s="190" t="s">
        <v>5202</v>
      </c>
      <c r="C94" s="190"/>
      <c r="D94" s="190" t="s">
        <v>5203</v>
      </c>
      <c r="E94" s="190" t="s">
        <v>5204</v>
      </c>
      <c r="F94" s="191" t="s">
        <v>5205</v>
      </c>
      <c r="G94" s="192" t="s">
        <v>5206</v>
      </c>
      <c r="I94" s="195"/>
      <c r="J94" s="193"/>
      <c r="K94" s="195"/>
      <c r="M94" s="195"/>
      <c r="O94" s="195"/>
      <c r="Q94" s="195"/>
      <c r="S94" s="197"/>
    </row>
    <row r="95" spans="1:19">
      <c r="A95" s="189">
        <v>94</v>
      </c>
      <c r="B95" s="190" t="s">
        <v>4888</v>
      </c>
      <c r="C95" s="190"/>
      <c r="D95" s="190" t="s">
        <v>5207</v>
      </c>
      <c r="E95" s="190" t="s">
        <v>5208</v>
      </c>
      <c r="F95" s="191" t="s">
        <v>5209</v>
      </c>
      <c r="G95" s="192" t="s">
        <v>459</v>
      </c>
      <c r="I95" s="195"/>
      <c r="J95" s="193"/>
      <c r="K95" s="195"/>
      <c r="M95" s="195"/>
      <c r="O95" s="195"/>
      <c r="Q95" s="195"/>
      <c r="S95" s="197"/>
    </row>
    <row r="96" spans="1:19">
      <c r="A96" s="189">
        <v>95</v>
      </c>
      <c r="B96" s="190" t="s">
        <v>5210</v>
      </c>
      <c r="C96" s="190"/>
      <c r="D96" s="190" t="s">
        <v>5211</v>
      </c>
      <c r="E96" s="190" t="s">
        <v>5212</v>
      </c>
      <c r="F96" s="191" t="s">
        <v>5213</v>
      </c>
      <c r="G96" s="192" t="s">
        <v>5214</v>
      </c>
      <c r="I96" s="195"/>
      <c r="J96" s="193"/>
      <c r="K96" s="195"/>
      <c r="M96" s="195"/>
      <c r="O96" s="195"/>
      <c r="Q96" s="195"/>
      <c r="S96" s="197"/>
    </row>
    <row r="97" spans="1:19">
      <c r="A97" s="189">
        <v>96</v>
      </c>
      <c r="B97" s="190" t="s">
        <v>5215</v>
      </c>
      <c r="C97" s="190"/>
      <c r="D97" s="190" t="s">
        <v>5216</v>
      </c>
      <c r="E97" s="190" t="s">
        <v>5217</v>
      </c>
      <c r="F97" s="191" t="s">
        <v>5218</v>
      </c>
      <c r="G97" s="192" t="s">
        <v>5219</v>
      </c>
      <c r="I97" s="195"/>
      <c r="J97" s="193"/>
      <c r="K97" s="195"/>
      <c r="M97" s="195"/>
      <c r="O97" s="195"/>
      <c r="Q97" s="195"/>
      <c r="S97" s="197"/>
    </row>
    <row r="98" spans="1:19">
      <c r="A98" s="189">
        <v>97</v>
      </c>
      <c r="B98" s="190" t="s">
        <v>5220</v>
      </c>
      <c r="C98" s="190"/>
      <c r="D98" s="190" t="s">
        <v>5221</v>
      </c>
      <c r="E98" s="190" t="s">
        <v>5222</v>
      </c>
      <c r="F98" s="191" t="s">
        <v>5223</v>
      </c>
      <c r="G98" s="192" t="s">
        <v>2860</v>
      </c>
      <c r="I98" s="195"/>
      <c r="J98" s="193"/>
      <c r="K98" s="195"/>
      <c r="M98" s="195"/>
      <c r="O98" s="195"/>
      <c r="Q98" s="195"/>
      <c r="S98" s="197"/>
    </row>
    <row r="99" spans="1:19">
      <c r="A99" s="189">
        <v>98</v>
      </c>
      <c r="B99" s="190" t="s">
        <v>5224</v>
      </c>
      <c r="C99" s="190"/>
      <c r="D99" s="190" t="s">
        <v>5225</v>
      </c>
      <c r="E99" s="190" t="s">
        <v>5226</v>
      </c>
      <c r="F99" s="191" t="s">
        <v>5227</v>
      </c>
      <c r="G99" s="192" t="s">
        <v>5228</v>
      </c>
      <c r="I99" s="195"/>
      <c r="J99" s="193"/>
      <c r="K99" s="195"/>
      <c r="M99" s="195"/>
      <c r="O99" s="195"/>
      <c r="Q99" s="195"/>
      <c r="S99" s="197"/>
    </row>
    <row r="100" spans="1:19">
      <c r="A100" s="189">
        <v>99</v>
      </c>
      <c r="B100" s="190" t="s">
        <v>5229</v>
      </c>
      <c r="C100" s="190"/>
      <c r="D100" s="190" t="s">
        <v>5230</v>
      </c>
      <c r="E100" s="190" t="s">
        <v>5231</v>
      </c>
      <c r="F100" s="191" t="s">
        <v>5232</v>
      </c>
      <c r="G100" s="192" t="s">
        <v>5233</v>
      </c>
      <c r="I100" s="195"/>
      <c r="J100" s="193"/>
      <c r="K100" s="195"/>
      <c r="M100" s="195"/>
      <c r="O100" s="195"/>
      <c r="Q100" s="195"/>
      <c r="S100" s="197"/>
    </row>
    <row r="101" spans="1:19">
      <c r="A101" s="189">
        <v>100</v>
      </c>
      <c r="B101" s="190" t="s">
        <v>5234</v>
      </c>
      <c r="C101" s="190"/>
      <c r="D101" s="190" t="s">
        <v>5235</v>
      </c>
      <c r="E101" s="190" t="s">
        <v>5236</v>
      </c>
      <c r="F101" s="191" t="s">
        <v>5237</v>
      </c>
      <c r="G101" s="192" t="s">
        <v>5238</v>
      </c>
      <c r="I101" s="195"/>
      <c r="J101" s="193"/>
      <c r="K101" s="195"/>
      <c r="M101" s="195"/>
      <c r="O101" s="195"/>
      <c r="Q101" s="195"/>
      <c r="S101" s="197"/>
    </row>
    <row r="102" spans="1:19">
      <c r="A102" s="189">
        <v>101</v>
      </c>
      <c r="B102" s="190" t="s">
        <v>5239</v>
      </c>
      <c r="C102" s="190"/>
      <c r="D102" s="190" t="s">
        <v>5240</v>
      </c>
      <c r="E102" s="190" t="s">
        <v>5239</v>
      </c>
      <c r="F102" s="191" t="s">
        <v>5241</v>
      </c>
      <c r="G102" s="192" t="s">
        <v>5242</v>
      </c>
      <c r="I102" s="195"/>
      <c r="J102" s="193"/>
      <c r="K102" s="195"/>
      <c r="M102" s="195"/>
      <c r="O102" s="195"/>
      <c r="Q102" s="195"/>
      <c r="S102" s="197"/>
    </row>
    <row r="103" spans="1:19">
      <c r="A103" s="189">
        <v>102</v>
      </c>
      <c r="B103" s="190" t="s">
        <v>5243</v>
      </c>
      <c r="C103" s="190"/>
      <c r="D103" s="190" t="s">
        <v>5244</v>
      </c>
      <c r="E103" s="190" t="s">
        <v>5245</v>
      </c>
      <c r="F103" s="191" t="s">
        <v>5246</v>
      </c>
      <c r="G103" s="192" t="s">
        <v>5247</v>
      </c>
      <c r="I103" s="195"/>
      <c r="J103" s="193"/>
      <c r="K103" s="195"/>
      <c r="M103" s="195"/>
      <c r="O103" s="195"/>
      <c r="Q103" s="195"/>
      <c r="S103" s="197"/>
    </row>
    <row r="104" spans="1:19">
      <c r="A104" s="189">
        <v>103</v>
      </c>
      <c r="B104" s="190" t="s">
        <v>5248</v>
      </c>
      <c r="C104" s="190"/>
      <c r="D104" s="190" t="s">
        <v>5249</v>
      </c>
      <c r="E104" s="190" t="s">
        <v>5250</v>
      </c>
      <c r="F104" s="191" t="s">
        <v>5251</v>
      </c>
      <c r="G104" s="192" t="s">
        <v>5252</v>
      </c>
      <c r="I104" s="195"/>
      <c r="J104" s="193"/>
      <c r="K104" s="195"/>
      <c r="M104" s="195"/>
      <c r="O104" s="195"/>
      <c r="Q104" s="195"/>
      <c r="S104" s="197"/>
    </row>
    <row r="105" spans="1:19">
      <c r="A105" s="189">
        <v>104</v>
      </c>
      <c r="B105" s="190" t="s">
        <v>5253</v>
      </c>
      <c r="C105" s="190"/>
      <c r="D105" s="190" t="s">
        <v>5254</v>
      </c>
      <c r="E105" s="190" t="s">
        <v>5255</v>
      </c>
      <c r="F105" s="191" t="s">
        <v>5256</v>
      </c>
      <c r="G105" s="192" t="s">
        <v>5257</v>
      </c>
      <c r="I105" s="195"/>
      <c r="J105" s="193"/>
      <c r="K105" s="195"/>
      <c r="M105" s="195"/>
      <c r="O105" s="195"/>
      <c r="Q105" s="195"/>
      <c r="S105" s="197"/>
    </row>
    <row r="106" spans="1:19">
      <c r="A106" s="189">
        <v>105</v>
      </c>
      <c r="B106" s="190" t="s">
        <v>5258</v>
      </c>
      <c r="C106" s="190"/>
      <c r="D106" s="190" t="s">
        <v>5259</v>
      </c>
      <c r="E106" s="190" t="s">
        <v>5260</v>
      </c>
      <c r="F106" s="191" t="s">
        <v>5261</v>
      </c>
      <c r="G106" s="192" t="s">
        <v>5262</v>
      </c>
      <c r="I106" s="195"/>
      <c r="J106" s="193"/>
      <c r="K106" s="195"/>
      <c r="M106" s="195"/>
      <c r="O106" s="195"/>
      <c r="Q106" s="195"/>
      <c r="S106" s="197"/>
    </row>
    <row r="107" spans="1:19">
      <c r="A107" s="189">
        <v>106</v>
      </c>
      <c r="B107" s="190" t="s">
        <v>5263</v>
      </c>
      <c r="C107" s="190"/>
      <c r="D107" s="190" t="s">
        <v>5264</v>
      </c>
      <c r="E107" s="190" t="s">
        <v>5265</v>
      </c>
      <c r="F107" s="191" t="s">
        <v>5266</v>
      </c>
      <c r="G107" s="192" t="s">
        <v>3666</v>
      </c>
      <c r="I107" s="195"/>
      <c r="J107" s="193"/>
      <c r="K107" s="195"/>
      <c r="M107" s="195"/>
      <c r="O107" s="195"/>
      <c r="Q107" s="195"/>
      <c r="S107" s="197"/>
    </row>
    <row r="108" spans="1:19">
      <c r="A108" s="189">
        <v>107</v>
      </c>
      <c r="B108" s="190" t="s">
        <v>5267</v>
      </c>
      <c r="C108" s="190"/>
      <c r="D108" s="190" t="s">
        <v>5268</v>
      </c>
      <c r="E108" s="190" t="s">
        <v>5269</v>
      </c>
      <c r="F108" s="191" t="s">
        <v>5270</v>
      </c>
      <c r="G108" s="192" t="s">
        <v>1009</v>
      </c>
      <c r="I108" s="195"/>
      <c r="J108" s="193"/>
      <c r="K108" s="195"/>
      <c r="M108" s="195"/>
      <c r="O108" s="195"/>
      <c r="Q108" s="195"/>
      <c r="S108" s="197"/>
    </row>
    <row r="109" spans="1:19">
      <c r="A109" s="189">
        <v>108</v>
      </c>
      <c r="B109" s="190" t="s">
        <v>5271</v>
      </c>
      <c r="C109" s="190"/>
      <c r="D109" s="190" t="s">
        <v>5272</v>
      </c>
      <c r="E109" s="190" t="s">
        <v>5273</v>
      </c>
      <c r="F109" s="191" t="s">
        <v>5274</v>
      </c>
      <c r="G109" s="192" t="s">
        <v>5275</v>
      </c>
      <c r="I109" s="195"/>
      <c r="J109" s="193"/>
      <c r="K109" s="195"/>
      <c r="M109" s="195"/>
      <c r="O109" s="195"/>
      <c r="Q109" s="195"/>
      <c r="S109" s="197"/>
    </row>
    <row r="110" spans="1:19">
      <c r="A110" s="189">
        <v>109</v>
      </c>
      <c r="B110" s="190" t="s">
        <v>5276</v>
      </c>
      <c r="C110" s="190"/>
      <c r="D110" s="190" t="s">
        <v>5277</v>
      </c>
      <c r="E110" s="190" t="s">
        <v>5278</v>
      </c>
      <c r="F110" s="191" t="s">
        <v>5279</v>
      </c>
      <c r="G110" s="192" t="s">
        <v>5280</v>
      </c>
      <c r="I110" s="195"/>
      <c r="J110" s="193"/>
      <c r="K110" s="195"/>
      <c r="M110" s="195"/>
      <c r="O110" s="195"/>
      <c r="Q110" s="195"/>
      <c r="S110" s="197"/>
    </row>
    <row r="111" spans="1:19">
      <c r="A111" s="189">
        <v>110</v>
      </c>
      <c r="B111" s="190" t="s">
        <v>5281</v>
      </c>
      <c r="C111" s="190"/>
      <c r="D111" s="190" t="s">
        <v>5282</v>
      </c>
      <c r="E111" s="190" t="s">
        <v>5283</v>
      </c>
      <c r="F111" s="191" t="s">
        <v>5284</v>
      </c>
      <c r="G111" s="192" t="s">
        <v>5285</v>
      </c>
      <c r="I111" s="195"/>
      <c r="J111" s="193"/>
      <c r="K111" s="195"/>
      <c r="M111" s="195"/>
      <c r="O111" s="195"/>
      <c r="Q111" s="195"/>
      <c r="S111" s="197"/>
    </row>
    <row r="112" spans="1:19">
      <c r="A112" s="189">
        <v>111</v>
      </c>
      <c r="B112" s="190" t="s">
        <v>5286</v>
      </c>
      <c r="C112" s="190"/>
      <c r="D112" s="190" t="s">
        <v>5287</v>
      </c>
      <c r="E112" s="190" t="s">
        <v>5288</v>
      </c>
      <c r="F112" s="191" t="s">
        <v>5289</v>
      </c>
      <c r="G112" s="192" t="s">
        <v>5290</v>
      </c>
      <c r="I112" s="195"/>
      <c r="J112" s="193"/>
      <c r="K112" s="195"/>
      <c r="M112" s="195"/>
      <c r="O112" s="195"/>
      <c r="Q112" s="195"/>
      <c r="S112" s="197"/>
    </row>
    <row r="113" spans="1:19">
      <c r="A113" s="189">
        <v>112</v>
      </c>
      <c r="B113" s="190" t="s">
        <v>5291</v>
      </c>
      <c r="C113" s="190"/>
      <c r="D113" s="190" t="s">
        <v>5292</v>
      </c>
      <c r="E113" s="190" t="s">
        <v>5293</v>
      </c>
      <c r="F113" s="191" t="s">
        <v>5294</v>
      </c>
      <c r="G113" s="192" t="s">
        <v>73</v>
      </c>
      <c r="I113" s="195"/>
      <c r="J113" s="193"/>
      <c r="K113" s="195"/>
      <c r="M113" s="195"/>
      <c r="O113" s="195"/>
      <c r="Q113" s="195"/>
      <c r="S113" s="197"/>
    </row>
    <row r="114" spans="1:19">
      <c r="A114" s="189">
        <v>113</v>
      </c>
      <c r="B114" s="190" t="s">
        <v>5295</v>
      </c>
      <c r="C114" s="190"/>
      <c r="D114" s="190" t="s">
        <v>2531</v>
      </c>
      <c r="E114" s="190" t="s">
        <v>5296</v>
      </c>
      <c r="F114" s="191" t="s">
        <v>5297</v>
      </c>
      <c r="G114" s="192" t="s">
        <v>5298</v>
      </c>
      <c r="I114" s="195"/>
      <c r="J114" s="193"/>
      <c r="K114" s="195"/>
      <c r="M114" s="195"/>
      <c r="O114" s="195"/>
      <c r="Q114" s="195"/>
      <c r="S114" s="197"/>
    </row>
    <row r="115" spans="1:19">
      <c r="A115" s="189">
        <v>114</v>
      </c>
      <c r="B115" s="190" t="s">
        <v>5299</v>
      </c>
      <c r="C115" s="190"/>
      <c r="D115" s="190" t="s">
        <v>5300</v>
      </c>
      <c r="E115" s="190" t="s">
        <v>5301</v>
      </c>
      <c r="F115" s="191" t="s">
        <v>5302</v>
      </c>
      <c r="G115" s="192" t="s">
        <v>397</v>
      </c>
      <c r="I115" s="195"/>
      <c r="J115" s="193"/>
      <c r="K115" s="195"/>
      <c r="M115" s="195"/>
      <c r="O115" s="195"/>
      <c r="Q115" s="195"/>
      <c r="S115" s="197"/>
    </row>
    <row r="116" spans="1:19">
      <c r="A116" s="189">
        <v>115</v>
      </c>
      <c r="B116" s="190" t="s">
        <v>5303</v>
      </c>
      <c r="C116" s="190"/>
      <c r="D116" s="190" t="s">
        <v>5304</v>
      </c>
      <c r="E116" s="190" t="s">
        <v>5305</v>
      </c>
      <c r="F116" s="191" t="s">
        <v>5306</v>
      </c>
      <c r="G116" s="192" t="s">
        <v>1012</v>
      </c>
      <c r="I116" s="195"/>
      <c r="J116" s="193"/>
      <c r="K116" s="195"/>
      <c r="M116" s="195"/>
      <c r="O116" s="195"/>
      <c r="Q116" s="195"/>
      <c r="S116" s="197"/>
    </row>
    <row r="117" spans="1:19">
      <c r="A117" s="189">
        <v>116</v>
      </c>
      <c r="B117" s="190" t="s">
        <v>5307</v>
      </c>
      <c r="C117" s="190"/>
      <c r="D117" s="190" t="s">
        <v>5308</v>
      </c>
      <c r="E117" s="190" t="s">
        <v>5309</v>
      </c>
      <c r="F117" s="191" t="s">
        <v>5310</v>
      </c>
      <c r="G117" s="192" t="s">
        <v>2803</v>
      </c>
      <c r="I117" s="195"/>
      <c r="J117" s="193"/>
      <c r="K117" s="195"/>
      <c r="M117" s="195"/>
      <c r="O117" s="195"/>
      <c r="Q117" s="195"/>
      <c r="S117" s="197"/>
    </row>
    <row r="118" spans="1:19">
      <c r="A118" s="189">
        <v>117</v>
      </c>
      <c r="B118" s="190" t="s">
        <v>5311</v>
      </c>
      <c r="C118" s="190"/>
      <c r="D118" s="190" t="s">
        <v>5312</v>
      </c>
      <c r="E118" s="190" t="s">
        <v>5313</v>
      </c>
      <c r="F118" s="191" t="s">
        <v>5314</v>
      </c>
      <c r="G118" s="192" t="s">
        <v>3674</v>
      </c>
      <c r="I118" s="195"/>
      <c r="J118" s="193"/>
      <c r="K118" s="195"/>
      <c r="M118" s="195"/>
      <c r="O118" s="195"/>
      <c r="Q118" s="195"/>
      <c r="S118" s="197"/>
    </row>
    <row r="119" spans="1:19">
      <c r="A119" s="189">
        <v>118</v>
      </c>
      <c r="B119" s="190" t="s">
        <v>5315</v>
      </c>
      <c r="C119" s="190"/>
      <c r="D119" s="190" t="s">
        <v>5316</v>
      </c>
      <c r="E119" s="190" t="s">
        <v>5317</v>
      </c>
      <c r="F119" s="191" t="s">
        <v>5318</v>
      </c>
      <c r="G119" s="192" t="s">
        <v>627</v>
      </c>
      <c r="I119" s="195"/>
      <c r="J119" s="193"/>
      <c r="K119" s="195"/>
      <c r="M119" s="195"/>
      <c r="O119" s="195"/>
      <c r="Q119" s="195"/>
      <c r="S119" s="197"/>
    </row>
    <row r="120" spans="1:19">
      <c r="A120" s="189">
        <v>119</v>
      </c>
      <c r="B120" s="190" t="s">
        <v>5319</v>
      </c>
      <c r="C120" s="190"/>
      <c r="D120" s="190" t="s">
        <v>5320</v>
      </c>
      <c r="E120" s="190" t="s">
        <v>5321</v>
      </c>
      <c r="F120" s="191" t="s">
        <v>5322</v>
      </c>
      <c r="G120" s="192" t="s">
        <v>5323</v>
      </c>
      <c r="I120" s="195"/>
      <c r="J120" s="193"/>
      <c r="K120" s="195"/>
      <c r="M120" s="195"/>
      <c r="O120" s="195"/>
      <c r="Q120" s="195"/>
      <c r="S120" s="197"/>
    </row>
    <row r="121" spans="1:19">
      <c r="A121" s="189">
        <v>120</v>
      </c>
      <c r="B121" s="190" t="s">
        <v>5324</v>
      </c>
      <c r="C121" s="190"/>
      <c r="D121" s="190" t="s">
        <v>5325</v>
      </c>
      <c r="E121" s="190" t="s">
        <v>5326</v>
      </c>
      <c r="F121" s="191" t="s">
        <v>5327</v>
      </c>
      <c r="G121" s="192" t="s">
        <v>5328</v>
      </c>
      <c r="I121" s="195"/>
      <c r="J121" s="193"/>
      <c r="K121" s="195"/>
      <c r="M121" s="195"/>
      <c r="O121" s="195"/>
      <c r="Q121" s="195"/>
      <c r="S121" s="197"/>
    </row>
    <row r="122" spans="1:19">
      <c r="A122" s="189">
        <v>121</v>
      </c>
      <c r="B122" s="190" t="s">
        <v>5329</v>
      </c>
      <c r="C122" s="190"/>
      <c r="D122" s="190" t="s">
        <v>0</v>
      </c>
      <c r="E122" s="190" t="s">
        <v>5330</v>
      </c>
      <c r="F122" s="191" t="s">
        <v>5331</v>
      </c>
      <c r="G122" s="192" t="s">
        <v>5332</v>
      </c>
      <c r="I122" s="195"/>
      <c r="J122" s="193"/>
      <c r="K122" s="195"/>
      <c r="M122" s="195"/>
      <c r="O122" s="195"/>
      <c r="Q122" s="195"/>
      <c r="S122" s="197"/>
    </row>
    <row r="123" spans="1:19">
      <c r="A123" s="189">
        <v>122</v>
      </c>
      <c r="B123" s="190" t="s">
        <v>5333</v>
      </c>
      <c r="C123" s="190"/>
      <c r="D123" s="190" t="s">
        <v>5334</v>
      </c>
      <c r="E123" s="190" t="s">
        <v>5335</v>
      </c>
      <c r="F123" s="191" t="s">
        <v>5336</v>
      </c>
      <c r="G123" s="192" t="s">
        <v>5337</v>
      </c>
      <c r="I123" s="195"/>
      <c r="J123" s="193"/>
      <c r="K123" s="195"/>
      <c r="M123" s="195"/>
      <c r="O123" s="195"/>
      <c r="Q123" s="195"/>
      <c r="S123" s="197"/>
    </row>
    <row r="124" spans="1:19">
      <c r="A124" s="189">
        <v>123</v>
      </c>
      <c r="B124" s="190" t="s">
        <v>5338</v>
      </c>
      <c r="C124" s="190"/>
      <c r="D124" s="190" t="s">
        <v>5339</v>
      </c>
      <c r="E124" s="190" t="s">
        <v>5340</v>
      </c>
      <c r="F124" s="191" t="s">
        <v>5341</v>
      </c>
      <c r="G124" s="192" t="s">
        <v>2839</v>
      </c>
      <c r="I124" s="195"/>
      <c r="J124" s="193"/>
      <c r="K124" s="195"/>
      <c r="M124" s="195"/>
      <c r="O124" s="195"/>
      <c r="Q124" s="195"/>
      <c r="S124" s="197"/>
    </row>
    <row r="125" spans="1:19">
      <c r="A125" s="189">
        <v>124</v>
      </c>
      <c r="B125" s="190" t="s">
        <v>5342</v>
      </c>
      <c r="C125" s="190"/>
      <c r="D125" s="190" t="s">
        <v>5343</v>
      </c>
      <c r="E125" s="190" t="s">
        <v>5344</v>
      </c>
      <c r="F125" s="191" t="s">
        <v>5345</v>
      </c>
      <c r="G125" s="192" t="s">
        <v>5346</v>
      </c>
      <c r="I125" s="195"/>
      <c r="J125" s="193"/>
      <c r="K125" s="195"/>
      <c r="M125" s="195"/>
      <c r="O125" s="195"/>
      <c r="Q125" s="195"/>
      <c r="S125" s="197"/>
    </row>
    <row r="126" spans="1:19">
      <c r="A126" s="189">
        <v>125</v>
      </c>
      <c r="B126" s="190" t="s">
        <v>5347</v>
      </c>
      <c r="C126" s="190"/>
      <c r="D126" s="190" t="s">
        <v>5348</v>
      </c>
      <c r="E126" s="190" t="s">
        <v>5157</v>
      </c>
      <c r="F126" s="191" t="s">
        <v>5349</v>
      </c>
      <c r="G126" s="192" t="s">
        <v>5350</v>
      </c>
      <c r="I126" s="195"/>
      <c r="J126" s="193"/>
      <c r="K126" s="195"/>
      <c r="M126" s="195"/>
      <c r="O126" s="195"/>
      <c r="Q126" s="195"/>
      <c r="S126" s="197"/>
    </row>
    <row r="127" spans="1:19">
      <c r="A127" s="189">
        <v>126</v>
      </c>
      <c r="B127" s="190" t="s">
        <v>5351</v>
      </c>
      <c r="C127" s="190"/>
      <c r="D127" s="190" t="s">
        <v>5352</v>
      </c>
      <c r="E127" s="190" t="s">
        <v>5353</v>
      </c>
      <c r="F127" s="191" t="s">
        <v>5354</v>
      </c>
      <c r="G127" s="192" t="s">
        <v>5355</v>
      </c>
      <c r="I127" s="195"/>
      <c r="J127" s="193"/>
      <c r="K127" s="195"/>
      <c r="M127" s="195"/>
      <c r="O127" s="195"/>
      <c r="Q127" s="195"/>
      <c r="S127" s="197"/>
    </row>
    <row r="128" spans="1:19">
      <c r="A128" s="189">
        <v>127</v>
      </c>
      <c r="B128" s="190" t="s">
        <v>5356</v>
      </c>
      <c r="C128" s="190"/>
      <c r="D128" s="190" t="s">
        <v>5357</v>
      </c>
      <c r="E128" s="190" t="s">
        <v>5358</v>
      </c>
      <c r="F128" s="191" t="s">
        <v>5359</v>
      </c>
      <c r="G128" s="192" t="s">
        <v>5360</v>
      </c>
      <c r="I128" s="195"/>
      <c r="J128" s="193"/>
      <c r="K128" s="195"/>
      <c r="M128" s="195"/>
      <c r="O128" s="195"/>
      <c r="Q128" s="195"/>
      <c r="S128" s="197"/>
    </row>
    <row r="129" spans="1:19">
      <c r="A129" s="189">
        <v>128</v>
      </c>
      <c r="B129" s="190" t="s">
        <v>5361</v>
      </c>
      <c r="C129" s="190"/>
      <c r="D129" s="190" t="s">
        <v>5362</v>
      </c>
      <c r="E129" s="190" t="s">
        <v>5363</v>
      </c>
      <c r="F129" s="191" t="s">
        <v>5364</v>
      </c>
      <c r="G129" s="192" t="s">
        <v>5365</v>
      </c>
      <c r="I129" s="195"/>
      <c r="J129" s="193"/>
      <c r="K129" s="195"/>
      <c r="M129" s="195"/>
      <c r="O129" s="195"/>
      <c r="Q129" s="195"/>
      <c r="S129" s="197"/>
    </row>
    <row r="130" spans="1:19">
      <c r="A130" s="189">
        <v>129</v>
      </c>
      <c r="B130" s="190" t="s">
        <v>5366</v>
      </c>
      <c r="C130" s="190"/>
      <c r="D130" s="190" t="s">
        <v>5367</v>
      </c>
      <c r="E130" s="190" t="s">
        <v>5368</v>
      </c>
      <c r="F130" s="191" t="s">
        <v>5369</v>
      </c>
      <c r="G130" s="192" t="s">
        <v>1531</v>
      </c>
      <c r="I130" s="195"/>
      <c r="J130" s="193"/>
      <c r="K130" s="195"/>
      <c r="M130" s="195"/>
      <c r="O130" s="195"/>
      <c r="Q130" s="195"/>
      <c r="S130" s="197"/>
    </row>
    <row r="131" spans="1:19">
      <c r="A131" s="189">
        <v>130</v>
      </c>
      <c r="B131" s="190" t="s">
        <v>5370</v>
      </c>
      <c r="C131" s="190"/>
      <c r="D131" s="190" t="s">
        <v>5371</v>
      </c>
      <c r="E131" s="190" t="s">
        <v>5372</v>
      </c>
      <c r="F131" s="191" t="s">
        <v>5373</v>
      </c>
      <c r="G131" s="192" t="s">
        <v>1569</v>
      </c>
      <c r="I131" s="195"/>
      <c r="J131" s="193"/>
      <c r="K131" s="195"/>
      <c r="M131" s="195"/>
      <c r="O131" s="195"/>
      <c r="Q131" s="195"/>
      <c r="S131" s="197"/>
    </row>
    <row r="132" spans="1:19">
      <c r="A132" s="189">
        <v>131</v>
      </c>
      <c r="B132" s="190" t="s">
        <v>5374</v>
      </c>
      <c r="C132" s="190"/>
      <c r="D132" s="190" t="s">
        <v>5375</v>
      </c>
      <c r="E132" s="190" t="s">
        <v>5376</v>
      </c>
      <c r="F132" s="191" t="s">
        <v>5377</v>
      </c>
      <c r="G132" s="192" t="s">
        <v>5378</v>
      </c>
      <c r="I132" s="195"/>
      <c r="J132" s="193"/>
      <c r="K132" s="195"/>
      <c r="M132" s="195"/>
      <c r="O132" s="195"/>
      <c r="Q132" s="195"/>
      <c r="S132" s="197"/>
    </row>
    <row r="133" spans="1:19">
      <c r="A133" s="189">
        <v>132</v>
      </c>
      <c r="B133" s="190" t="s">
        <v>5379</v>
      </c>
      <c r="C133" s="190"/>
      <c r="D133" s="190" t="s">
        <v>5380</v>
      </c>
      <c r="E133" s="190" t="s">
        <v>5381</v>
      </c>
      <c r="F133" s="191" t="s">
        <v>5382</v>
      </c>
      <c r="G133" s="192" t="s">
        <v>5383</v>
      </c>
      <c r="I133" s="195"/>
      <c r="J133" s="193"/>
      <c r="K133" s="195"/>
      <c r="M133" s="195"/>
      <c r="O133" s="195"/>
      <c r="Q133" s="195"/>
      <c r="S133" s="197"/>
    </row>
    <row r="134" spans="1:19">
      <c r="A134" s="189">
        <v>133</v>
      </c>
      <c r="B134" s="190" t="s">
        <v>5384</v>
      </c>
      <c r="C134" s="190"/>
      <c r="D134" s="190" t="s">
        <v>5385</v>
      </c>
      <c r="E134" s="190" t="s">
        <v>5386</v>
      </c>
      <c r="F134" s="191" t="s">
        <v>5387</v>
      </c>
      <c r="G134" s="192" t="s">
        <v>5388</v>
      </c>
      <c r="I134" s="195"/>
      <c r="J134" s="193"/>
      <c r="K134" s="195"/>
      <c r="M134" s="195"/>
      <c r="O134" s="195"/>
      <c r="Q134" s="195"/>
      <c r="S134" s="197"/>
    </row>
    <row r="135" spans="1:19">
      <c r="A135" s="189">
        <v>134</v>
      </c>
      <c r="B135" s="190" t="s">
        <v>5389</v>
      </c>
      <c r="C135" s="190"/>
      <c r="D135" s="190" t="s">
        <v>5390</v>
      </c>
      <c r="E135" s="190" t="s">
        <v>5391</v>
      </c>
      <c r="F135" s="191" t="s">
        <v>5392</v>
      </c>
      <c r="G135" s="192" t="s">
        <v>5393</v>
      </c>
      <c r="I135" s="195"/>
      <c r="J135" s="193"/>
      <c r="K135" s="195"/>
      <c r="M135" s="195"/>
      <c r="O135" s="195"/>
      <c r="Q135" s="195"/>
      <c r="S135" s="197"/>
    </row>
    <row r="136" spans="1:19">
      <c r="A136" s="189">
        <v>135</v>
      </c>
      <c r="B136" s="190" t="s">
        <v>5394</v>
      </c>
      <c r="C136" s="190"/>
      <c r="D136" s="190" t="s">
        <v>5395</v>
      </c>
      <c r="E136" s="190" t="s">
        <v>5396</v>
      </c>
      <c r="F136" s="191" t="s">
        <v>5397</v>
      </c>
      <c r="G136" s="192" t="s">
        <v>4094</v>
      </c>
      <c r="I136" s="195"/>
      <c r="J136" s="193"/>
      <c r="K136" s="195"/>
      <c r="M136" s="195"/>
      <c r="O136" s="195"/>
      <c r="Q136" s="195"/>
      <c r="S136" s="197"/>
    </row>
    <row r="137" spans="1:19">
      <c r="A137" s="189">
        <v>136</v>
      </c>
      <c r="B137" s="190" t="s">
        <v>5398</v>
      </c>
      <c r="C137" s="190"/>
      <c r="D137" s="190" t="s">
        <v>5399</v>
      </c>
      <c r="E137" s="190" t="s">
        <v>5400</v>
      </c>
      <c r="F137" s="191" t="s">
        <v>5401</v>
      </c>
      <c r="G137" s="192" t="s">
        <v>431</v>
      </c>
      <c r="I137" s="195"/>
      <c r="J137" s="193"/>
      <c r="K137" s="195"/>
      <c r="M137" s="195"/>
      <c r="O137" s="195"/>
      <c r="Q137" s="195"/>
      <c r="S137" s="197"/>
    </row>
    <row r="138" spans="1:19">
      <c r="A138" s="189">
        <v>137</v>
      </c>
      <c r="B138" s="190" t="s">
        <v>5402</v>
      </c>
      <c r="C138" s="190"/>
      <c r="D138" s="190" t="s">
        <v>5403</v>
      </c>
      <c r="E138" s="190" t="s">
        <v>5404</v>
      </c>
      <c r="F138" s="191" t="s">
        <v>5405</v>
      </c>
      <c r="G138" s="192" t="s">
        <v>781</v>
      </c>
      <c r="I138" s="195"/>
      <c r="J138" s="193"/>
      <c r="K138" s="195"/>
      <c r="M138" s="195"/>
      <c r="O138" s="195"/>
      <c r="Q138" s="195"/>
      <c r="S138" s="197"/>
    </row>
    <row r="139" spans="1:19">
      <c r="A139" s="189">
        <v>138</v>
      </c>
      <c r="B139" s="190" t="s">
        <v>5406</v>
      </c>
      <c r="C139" s="190"/>
      <c r="D139" s="190" t="s">
        <v>5407</v>
      </c>
      <c r="E139" s="190" t="s">
        <v>5408</v>
      </c>
      <c r="F139" s="191" t="s">
        <v>5409</v>
      </c>
      <c r="G139" s="192" t="s">
        <v>5410</v>
      </c>
      <c r="I139" s="195"/>
      <c r="J139" s="193"/>
      <c r="K139" s="195"/>
      <c r="M139" s="195"/>
      <c r="O139" s="195"/>
      <c r="Q139" s="195"/>
      <c r="S139" s="197"/>
    </row>
    <row r="140" spans="1:19">
      <c r="A140" s="189">
        <v>139</v>
      </c>
      <c r="B140" s="190" t="s">
        <v>5411</v>
      </c>
      <c r="C140" s="190"/>
      <c r="D140" s="190" t="s">
        <v>5412</v>
      </c>
      <c r="E140" s="190" t="s">
        <v>5413</v>
      </c>
      <c r="F140" s="191" t="s">
        <v>5414</v>
      </c>
      <c r="G140" s="192" t="s">
        <v>5415</v>
      </c>
      <c r="I140" s="195"/>
      <c r="J140" s="193"/>
      <c r="K140" s="195"/>
      <c r="M140" s="195"/>
      <c r="O140" s="195"/>
      <c r="Q140" s="195"/>
      <c r="S140" s="197"/>
    </row>
    <row r="141" spans="1:19">
      <c r="A141" s="189">
        <v>140</v>
      </c>
      <c r="B141" s="190" t="s">
        <v>5416</v>
      </c>
      <c r="C141" s="190"/>
      <c r="D141" s="190" t="s">
        <v>5417</v>
      </c>
      <c r="E141" s="190" t="s">
        <v>5418</v>
      </c>
      <c r="F141" s="191" t="s">
        <v>5419</v>
      </c>
      <c r="G141" s="192" t="s">
        <v>5420</v>
      </c>
      <c r="I141" s="195"/>
      <c r="J141" s="193"/>
      <c r="K141" s="195"/>
      <c r="M141" s="195"/>
      <c r="O141" s="195"/>
      <c r="Q141" s="195"/>
      <c r="S141" s="197"/>
    </row>
    <row r="142" spans="1:19">
      <c r="A142" s="189">
        <v>141</v>
      </c>
      <c r="B142" s="190" t="s">
        <v>5421</v>
      </c>
      <c r="C142" s="190"/>
      <c r="D142" s="190" t="s">
        <v>5422</v>
      </c>
      <c r="E142" s="190" t="s">
        <v>3591</v>
      </c>
      <c r="F142" s="191" t="s">
        <v>5423</v>
      </c>
      <c r="G142" s="192" t="s">
        <v>2495</v>
      </c>
      <c r="I142" s="195"/>
      <c r="J142" s="193"/>
      <c r="K142" s="195"/>
      <c r="M142" s="195"/>
      <c r="O142" s="195"/>
      <c r="Q142" s="195"/>
      <c r="S142" s="197"/>
    </row>
    <row r="143" spans="1:19">
      <c r="A143" s="189">
        <v>142</v>
      </c>
      <c r="B143" s="190" t="s">
        <v>5424</v>
      </c>
      <c r="C143" s="190"/>
      <c r="D143" s="190" t="s">
        <v>5425</v>
      </c>
      <c r="E143" s="190" t="s">
        <v>5426</v>
      </c>
      <c r="F143" s="191" t="s">
        <v>5427</v>
      </c>
      <c r="G143" s="192" t="s">
        <v>5428</v>
      </c>
      <c r="I143" s="195"/>
      <c r="J143" s="193"/>
      <c r="K143" s="195"/>
      <c r="M143" s="195"/>
      <c r="O143" s="195"/>
      <c r="Q143" s="195"/>
      <c r="S143" s="197"/>
    </row>
    <row r="144" spans="1:19">
      <c r="A144" s="189">
        <v>143</v>
      </c>
      <c r="B144" s="190" t="s">
        <v>5429</v>
      </c>
      <c r="C144" s="190"/>
      <c r="D144" s="190" t="s">
        <v>5430</v>
      </c>
      <c r="E144" s="190" t="s">
        <v>5431</v>
      </c>
      <c r="F144" s="191" t="s">
        <v>5432</v>
      </c>
      <c r="G144" s="192" t="s">
        <v>5433</v>
      </c>
      <c r="I144" s="195"/>
      <c r="J144" s="193"/>
      <c r="K144" s="195"/>
      <c r="M144" s="195"/>
      <c r="O144" s="195"/>
      <c r="Q144" s="195"/>
      <c r="S144" s="197"/>
    </row>
    <row r="145" spans="1:19">
      <c r="A145" s="189">
        <v>144</v>
      </c>
      <c r="B145" s="190" t="s">
        <v>5434</v>
      </c>
      <c r="C145" s="190"/>
      <c r="D145" s="190" t="s">
        <v>5435</v>
      </c>
      <c r="E145" s="190" t="s">
        <v>5436</v>
      </c>
      <c r="F145" s="191" t="s">
        <v>5437</v>
      </c>
      <c r="G145" s="192" t="s">
        <v>995</v>
      </c>
      <c r="I145" s="195"/>
      <c r="J145" s="193"/>
      <c r="K145" s="195"/>
      <c r="M145" s="195"/>
      <c r="O145" s="195"/>
      <c r="Q145" s="195"/>
      <c r="S145" s="197"/>
    </row>
    <row r="146" spans="1:19">
      <c r="A146" s="189">
        <v>145</v>
      </c>
      <c r="B146" s="190" t="s">
        <v>5438</v>
      </c>
      <c r="C146" s="190"/>
      <c r="D146" s="190" t="s">
        <v>5439</v>
      </c>
      <c r="E146" s="190" t="s">
        <v>5440</v>
      </c>
      <c r="F146" s="191" t="s">
        <v>5441</v>
      </c>
      <c r="G146" s="192" t="s">
        <v>5442</v>
      </c>
      <c r="I146" s="195"/>
      <c r="J146" s="193"/>
      <c r="K146" s="195"/>
      <c r="M146" s="195"/>
      <c r="O146" s="195"/>
      <c r="Q146" s="195"/>
      <c r="S146" s="197"/>
    </row>
    <row r="147" spans="1:19">
      <c r="A147" s="189">
        <v>146</v>
      </c>
      <c r="B147" s="190" t="s">
        <v>5443</v>
      </c>
      <c r="C147" s="190"/>
      <c r="D147" s="190" t="s">
        <v>5444</v>
      </c>
      <c r="E147" s="190" t="s">
        <v>5445</v>
      </c>
      <c r="F147" s="191" t="s">
        <v>5446</v>
      </c>
      <c r="G147" s="192" t="s">
        <v>1149</v>
      </c>
      <c r="I147" s="195"/>
      <c r="J147" s="193"/>
      <c r="K147" s="195"/>
      <c r="M147" s="195"/>
      <c r="O147" s="195"/>
      <c r="Q147" s="195"/>
      <c r="S147" s="197"/>
    </row>
    <row r="148" spans="1:19">
      <c r="A148" s="189">
        <v>147</v>
      </c>
      <c r="B148" s="190" t="s">
        <v>5447</v>
      </c>
      <c r="C148" s="190"/>
      <c r="D148" s="190" t="s">
        <v>5448</v>
      </c>
      <c r="E148" s="190" t="s">
        <v>5449</v>
      </c>
      <c r="F148" s="191" t="s">
        <v>5450</v>
      </c>
      <c r="G148" s="192" t="s">
        <v>5451</v>
      </c>
      <c r="I148" s="195"/>
      <c r="J148" s="193"/>
      <c r="K148" s="195"/>
      <c r="M148" s="195"/>
      <c r="O148" s="195"/>
      <c r="Q148" s="195"/>
      <c r="S148" s="197"/>
    </row>
    <row r="149" spans="1:19">
      <c r="A149" s="189">
        <v>148</v>
      </c>
      <c r="B149" s="190" t="s">
        <v>5452</v>
      </c>
      <c r="C149" s="190"/>
      <c r="D149" s="190" t="s">
        <v>5453</v>
      </c>
      <c r="E149" s="190" t="s">
        <v>5454</v>
      </c>
      <c r="F149" s="191" t="s">
        <v>5455</v>
      </c>
      <c r="G149" s="192" t="s">
        <v>4222</v>
      </c>
      <c r="I149" s="195"/>
      <c r="J149" s="193"/>
      <c r="K149" s="195"/>
      <c r="M149" s="195"/>
      <c r="O149" s="195"/>
      <c r="Q149" s="195"/>
      <c r="S149" s="197"/>
    </row>
    <row r="150" spans="1:19">
      <c r="A150" s="189">
        <v>149</v>
      </c>
      <c r="B150" s="190" t="s">
        <v>5456</v>
      </c>
      <c r="C150" s="190"/>
      <c r="D150" s="190" t="s">
        <v>5457</v>
      </c>
      <c r="E150" s="190" t="s">
        <v>5458</v>
      </c>
      <c r="F150" s="191" t="s">
        <v>5459</v>
      </c>
      <c r="G150" s="192" t="s">
        <v>5460</v>
      </c>
      <c r="I150" s="195"/>
      <c r="J150" s="193"/>
      <c r="K150" s="195"/>
      <c r="M150" s="195"/>
      <c r="O150" s="195"/>
      <c r="Q150" s="195"/>
      <c r="S150" s="197"/>
    </row>
    <row r="151" spans="1:19">
      <c r="A151" s="189">
        <v>150</v>
      </c>
      <c r="B151" s="190" t="s">
        <v>5461</v>
      </c>
      <c r="C151" s="190"/>
      <c r="D151" s="190" t="s">
        <v>5462</v>
      </c>
      <c r="E151" s="190" t="s">
        <v>5463</v>
      </c>
      <c r="F151" s="191" t="s">
        <v>5464</v>
      </c>
      <c r="G151" s="192" t="s">
        <v>5465</v>
      </c>
      <c r="I151" s="195"/>
      <c r="J151" s="193"/>
      <c r="K151" s="195"/>
      <c r="M151" s="195"/>
      <c r="O151" s="195"/>
      <c r="Q151" s="195"/>
      <c r="S151" s="197"/>
    </row>
    <row r="152" spans="1:19">
      <c r="A152" s="189">
        <v>151</v>
      </c>
      <c r="B152" s="190" t="s">
        <v>5466</v>
      </c>
      <c r="C152" s="190"/>
      <c r="D152" s="190" t="s">
        <v>5467</v>
      </c>
      <c r="E152" s="190" t="s">
        <v>5468</v>
      </c>
      <c r="F152" s="191" t="s">
        <v>5469</v>
      </c>
      <c r="G152" s="192" t="s">
        <v>1014</v>
      </c>
      <c r="I152" s="195"/>
      <c r="J152" s="193"/>
      <c r="K152" s="195"/>
      <c r="M152" s="195"/>
      <c r="O152" s="195"/>
      <c r="Q152" s="195"/>
      <c r="S152" s="197"/>
    </row>
    <row r="153" spans="1:19">
      <c r="A153" s="189">
        <v>152</v>
      </c>
      <c r="B153" s="190" t="s">
        <v>5470</v>
      </c>
      <c r="C153" s="190"/>
      <c r="D153" s="190" t="s">
        <v>5471</v>
      </c>
      <c r="E153" s="190" t="s">
        <v>5472</v>
      </c>
      <c r="F153" s="191" t="s">
        <v>5473</v>
      </c>
      <c r="G153" s="192" t="s">
        <v>5474</v>
      </c>
      <c r="I153" s="195"/>
      <c r="J153" s="193"/>
      <c r="K153" s="195"/>
      <c r="M153" s="195"/>
      <c r="O153" s="195"/>
      <c r="Q153" s="195"/>
      <c r="S153" s="197"/>
    </row>
    <row r="154" spans="1:19">
      <c r="A154" s="189">
        <v>153</v>
      </c>
      <c r="B154" s="190" t="s">
        <v>5475</v>
      </c>
      <c r="C154" s="190"/>
      <c r="D154" s="190" t="s">
        <v>5476</v>
      </c>
      <c r="E154" s="190" t="s">
        <v>5477</v>
      </c>
      <c r="F154" s="191" t="s">
        <v>5478</v>
      </c>
      <c r="G154" s="192" t="s">
        <v>5479</v>
      </c>
      <c r="I154" s="195"/>
      <c r="J154" s="193"/>
      <c r="K154" s="195"/>
      <c r="M154" s="195"/>
      <c r="O154" s="195"/>
      <c r="Q154" s="195"/>
      <c r="S154" s="197"/>
    </row>
    <row r="155" spans="1:19">
      <c r="A155" s="189">
        <v>154</v>
      </c>
      <c r="B155" s="190" t="s">
        <v>5480</v>
      </c>
      <c r="C155" s="190"/>
      <c r="D155" s="190" t="s">
        <v>5481</v>
      </c>
      <c r="E155" s="190" t="s">
        <v>5482</v>
      </c>
      <c r="F155" s="191" t="s">
        <v>5483</v>
      </c>
      <c r="G155" s="192" t="s">
        <v>5484</v>
      </c>
      <c r="I155" s="195"/>
      <c r="J155" s="193"/>
      <c r="K155" s="195"/>
      <c r="M155" s="195"/>
      <c r="O155" s="195"/>
      <c r="Q155" s="195"/>
      <c r="S155" s="197"/>
    </row>
    <row r="156" spans="1:19">
      <c r="A156" s="189">
        <v>155</v>
      </c>
      <c r="B156" s="190" t="s">
        <v>5485</v>
      </c>
      <c r="C156" s="190"/>
      <c r="D156" s="190" t="s">
        <v>5486</v>
      </c>
      <c r="E156" s="190" t="s">
        <v>5487</v>
      </c>
      <c r="F156" s="191" t="s">
        <v>5488</v>
      </c>
      <c r="G156" s="192" t="s">
        <v>5489</v>
      </c>
      <c r="I156" s="195"/>
      <c r="J156" s="193"/>
      <c r="K156" s="195"/>
      <c r="M156" s="195"/>
      <c r="O156" s="195"/>
      <c r="Q156" s="195"/>
      <c r="S156" s="197"/>
    </row>
    <row r="157" spans="1:19">
      <c r="A157" s="189">
        <v>156</v>
      </c>
      <c r="B157" s="190" t="s">
        <v>5490</v>
      </c>
      <c r="C157" s="190"/>
      <c r="D157" s="190" t="s">
        <v>5491</v>
      </c>
      <c r="E157" s="190" t="s">
        <v>5492</v>
      </c>
      <c r="F157" s="191" t="s">
        <v>5493</v>
      </c>
      <c r="G157" s="192" t="s">
        <v>5494</v>
      </c>
      <c r="I157" s="195"/>
      <c r="J157" s="193"/>
      <c r="K157" s="195"/>
      <c r="M157" s="195"/>
      <c r="O157" s="195"/>
      <c r="Q157" s="195"/>
      <c r="S157" s="197"/>
    </row>
    <row r="158" spans="1:19">
      <c r="A158" s="189">
        <v>157</v>
      </c>
      <c r="B158" s="190" t="s">
        <v>5495</v>
      </c>
      <c r="C158" s="190"/>
      <c r="D158" s="190" t="s">
        <v>5496</v>
      </c>
      <c r="E158" s="190" t="s">
        <v>5497</v>
      </c>
      <c r="F158" s="191" t="s">
        <v>5498</v>
      </c>
      <c r="G158" s="192" t="s">
        <v>5499</v>
      </c>
      <c r="I158" s="195"/>
      <c r="J158" s="193"/>
      <c r="K158" s="195"/>
      <c r="M158" s="195"/>
      <c r="O158" s="195"/>
      <c r="Q158" s="195"/>
      <c r="S158" s="197"/>
    </row>
    <row r="159" spans="1:19">
      <c r="A159" s="189">
        <v>158</v>
      </c>
      <c r="B159" s="190" t="s">
        <v>5500</v>
      </c>
      <c r="C159" s="190"/>
      <c r="D159" s="190" t="s">
        <v>5501</v>
      </c>
      <c r="E159" s="190" t="s">
        <v>5502</v>
      </c>
      <c r="F159" s="191" t="s">
        <v>5503</v>
      </c>
      <c r="G159" s="192" t="s">
        <v>5504</v>
      </c>
      <c r="I159" s="195"/>
      <c r="J159" s="193"/>
      <c r="K159" s="195"/>
      <c r="M159" s="195"/>
      <c r="O159" s="195"/>
      <c r="Q159" s="195"/>
      <c r="S159" s="197"/>
    </row>
    <row r="160" spans="1:19">
      <c r="A160" s="189">
        <v>159</v>
      </c>
      <c r="B160" s="190" t="s">
        <v>5505</v>
      </c>
      <c r="C160" s="190"/>
      <c r="D160" s="190" t="s">
        <v>5506</v>
      </c>
      <c r="E160" s="190" t="s">
        <v>5507</v>
      </c>
      <c r="F160" s="191" t="s">
        <v>5508</v>
      </c>
      <c r="G160" s="192" t="s">
        <v>861</v>
      </c>
      <c r="I160" s="195"/>
      <c r="J160" s="193"/>
      <c r="K160" s="195"/>
      <c r="M160" s="195"/>
      <c r="O160" s="195"/>
      <c r="Q160" s="195"/>
      <c r="S160" s="197"/>
    </row>
    <row r="161" spans="1:19">
      <c r="A161" s="189">
        <v>160</v>
      </c>
      <c r="B161" s="190" t="s">
        <v>5509</v>
      </c>
      <c r="C161" s="190"/>
      <c r="D161" s="190" t="s">
        <v>5510</v>
      </c>
      <c r="E161" s="190" t="s">
        <v>5511</v>
      </c>
      <c r="F161" s="191" t="s">
        <v>5512</v>
      </c>
      <c r="G161" s="192" t="s">
        <v>5513</v>
      </c>
      <c r="I161" s="195"/>
      <c r="J161" s="193"/>
      <c r="K161" s="195"/>
      <c r="M161" s="195"/>
      <c r="O161" s="195"/>
      <c r="Q161" s="195"/>
      <c r="S161" s="197"/>
    </row>
    <row r="162" spans="1:19">
      <c r="A162" s="189">
        <v>161</v>
      </c>
      <c r="B162" s="190" t="s">
        <v>5514</v>
      </c>
      <c r="C162" s="190"/>
      <c r="D162" s="190" t="s">
        <v>5515</v>
      </c>
      <c r="E162" s="190" t="s">
        <v>5516</v>
      </c>
      <c r="F162" s="191" t="s">
        <v>5517</v>
      </c>
      <c r="G162" s="192" t="s">
        <v>5518</v>
      </c>
      <c r="I162" s="195"/>
      <c r="J162" s="193"/>
      <c r="K162" s="195"/>
      <c r="M162" s="195"/>
      <c r="O162" s="195"/>
      <c r="Q162" s="195"/>
      <c r="S162" s="197"/>
    </row>
    <row r="163" spans="1:19">
      <c r="A163" s="189">
        <v>162</v>
      </c>
      <c r="B163" s="190" t="s">
        <v>5519</v>
      </c>
      <c r="C163" s="190"/>
      <c r="D163" s="190" t="s">
        <v>5520</v>
      </c>
      <c r="E163" s="190" t="s">
        <v>5521</v>
      </c>
      <c r="F163" s="191" t="s">
        <v>5522</v>
      </c>
      <c r="G163" s="192" t="s">
        <v>5523</v>
      </c>
      <c r="I163" s="195"/>
      <c r="J163" s="193"/>
      <c r="K163" s="195"/>
      <c r="M163" s="195"/>
      <c r="O163" s="195"/>
      <c r="Q163" s="195"/>
      <c r="S163" s="197"/>
    </row>
    <row r="164" spans="1:19">
      <c r="A164" s="198">
        <v>163</v>
      </c>
      <c r="B164" s="199" t="s">
        <v>5524</v>
      </c>
      <c r="C164" s="199"/>
      <c r="D164" s="199" t="s">
        <v>5525</v>
      </c>
      <c r="E164" s="199" t="s">
        <v>5526</v>
      </c>
      <c r="F164" s="200" t="s">
        <v>5527</v>
      </c>
      <c r="G164" s="192" t="s">
        <v>5528</v>
      </c>
      <c r="I164" s="195"/>
      <c r="J164" s="193"/>
      <c r="K164" s="195"/>
      <c r="M164" s="195"/>
      <c r="O164" s="195"/>
      <c r="Q164" s="195"/>
      <c r="S164" s="197"/>
    </row>
    <row r="165" spans="1:19">
      <c r="G165" s="192" t="s">
        <v>5529</v>
      </c>
      <c r="I165" s="195"/>
      <c r="J165" s="193"/>
      <c r="K165" s="195"/>
      <c r="M165" s="195"/>
      <c r="O165" s="195"/>
      <c r="Q165" s="195"/>
      <c r="S165" s="197"/>
    </row>
    <row r="166" spans="1:19">
      <c r="G166" s="192" t="s">
        <v>5530</v>
      </c>
      <c r="I166" s="195"/>
      <c r="J166" s="193"/>
      <c r="K166" s="195"/>
      <c r="M166" s="195"/>
      <c r="O166" s="195"/>
      <c r="Q166" s="195"/>
      <c r="S166" s="197"/>
    </row>
    <row r="167" spans="1:19">
      <c r="G167" s="192" t="s">
        <v>370</v>
      </c>
      <c r="I167" s="195"/>
      <c r="J167" s="193"/>
      <c r="K167" s="195"/>
      <c r="M167" s="195"/>
      <c r="O167" s="195"/>
      <c r="Q167" s="195"/>
      <c r="S167" s="197"/>
    </row>
    <row r="168" spans="1:19">
      <c r="G168" s="192" t="s">
        <v>5531</v>
      </c>
      <c r="I168" s="195"/>
      <c r="J168" s="193"/>
      <c r="K168" s="195"/>
      <c r="M168" s="195"/>
      <c r="O168" s="195"/>
      <c r="Q168" s="195"/>
      <c r="S168" s="197"/>
    </row>
    <row r="169" spans="1:19">
      <c r="G169" s="192" t="s">
        <v>5532</v>
      </c>
      <c r="I169" s="195"/>
      <c r="J169" s="193"/>
      <c r="K169" s="195"/>
      <c r="M169" s="195"/>
      <c r="O169" s="195"/>
      <c r="Q169" s="195"/>
      <c r="S169" s="197"/>
    </row>
    <row r="170" spans="1:19">
      <c r="G170" s="192" t="s">
        <v>5533</v>
      </c>
      <c r="I170" s="195"/>
      <c r="J170" s="193"/>
      <c r="K170" s="195"/>
      <c r="M170" s="195"/>
      <c r="O170" s="195"/>
      <c r="Q170" s="195"/>
      <c r="S170" s="197"/>
    </row>
    <row r="171" spans="1:19">
      <c r="G171" s="192" t="s">
        <v>134</v>
      </c>
      <c r="I171" s="195"/>
      <c r="J171" s="193"/>
      <c r="K171" s="195"/>
      <c r="M171" s="195"/>
      <c r="O171" s="195"/>
      <c r="Q171" s="195"/>
      <c r="S171" s="197"/>
    </row>
    <row r="172" spans="1:19">
      <c r="G172" s="192" t="s">
        <v>95</v>
      </c>
      <c r="I172" s="195"/>
      <c r="J172" s="193"/>
      <c r="K172" s="195"/>
      <c r="M172" s="195"/>
      <c r="O172" s="195"/>
      <c r="Q172" s="195"/>
      <c r="S172" s="197"/>
    </row>
    <row r="173" spans="1:19">
      <c r="G173" s="192" t="s">
        <v>851</v>
      </c>
      <c r="I173" s="195"/>
      <c r="J173" s="193"/>
      <c r="K173" s="195"/>
      <c r="M173" s="195"/>
      <c r="O173" s="195"/>
      <c r="Q173" s="195"/>
      <c r="S173" s="197"/>
    </row>
    <row r="174" spans="1:19">
      <c r="G174" s="192" t="s">
        <v>5534</v>
      </c>
      <c r="I174" s="195"/>
      <c r="J174" s="193"/>
      <c r="K174" s="195"/>
      <c r="M174" s="195"/>
      <c r="O174" s="195"/>
      <c r="Q174" s="195"/>
      <c r="S174" s="197"/>
    </row>
    <row r="175" spans="1:19">
      <c r="G175" s="192" t="s">
        <v>5535</v>
      </c>
      <c r="I175" s="195"/>
      <c r="J175" s="193"/>
      <c r="K175" s="195"/>
      <c r="M175" s="195"/>
      <c r="O175" s="195"/>
      <c r="Q175" s="195"/>
      <c r="S175" s="197"/>
    </row>
    <row r="176" spans="1:19">
      <c r="G176" s="192" t="s">
        <v>5536</v>
      </c>
      <c r="I176" s="195"/>
      <c r="J176" s="193"/>
      <c r="K176" s="195"/>
      <c r="M176" s="195"/>
      <c r="O176" s="195"/>
      <c r="Q176" s="195"/>
      <c r="S176" s="197"/>
    </row>
    <row r="177" spans="7:19">
      <c r="G177" s="192" t="s">
        <v>5537</v>
      </c>
      <c r="I177" s="195"/>
      <c r="J177" s="193"/>
      <c r="K177" s="195"/>
      <c r="M177" s="195"/>
      <c r="O177" s="195"/>
      <c r="Q177" s="195"/>
      <c r="S177" s="197"/>
    </row>
    <row r="178" spans="7:19">
      <c r="G178" s="192" t="s">
        <v>2933</v>
      </c>
      <c r="I178" s="195"/>
      <c r="J178" s="193"/>
      <c r="K178" s="195"/>
      <c r="M178" s="195"/>
      <c r="O178" s="195"/>
      <c r="Q178" s="195"/>
      <c r="S178" s="197"/>
    </row>
    <row r="179" spans="7:19">
      <c r="G179" s="192" t="s">
        <v>5538</v>
      </c>
      <c r="I179" s="195"/>
      <c r="J179" s="193"/>
      <c r="K179" s="195"/>
      <c r="M179" s="195"/>
      <c r="O179" s="195"/>
      <c r="Q179" s="195"/>
      <c r="S179" s="197"/>
    </row>
    <row r="180" spans="7:19">
      <c r="G180" s="192" t="s">
        <v>5539</v>
      </c>
      <c r="I180" s="195"/>
      <c r="J180" s="193"/>
      <c r="K180" s="195"/>
      <c r="M180" s="195"/>
      <c r="O180" s="195"/>
      <c r="Q180" s="195"/>
      <c r="S180" s="197"/>
    </row>
    <row r="181" spans="7:19">
      <c r="G181" s="192" t="s">
        <v>5540</v>
      </c>
      <c r="I181" s="195"/>
      <c r="J181" s="193"/>
      <c r="K181" s="195"/>
      <c r="M181" s="195"/>
      <c r="O181" s="195"/>
      <c r="Q181" s="195"/>
      <c r="S181" s="197"/>
    </row>
    <row r="182" spans="7:19">
      <c r="G182" s="192" t="s">
        <v>5541</v>
      </c>
      <c r="I182" s="195"/>
      <c r="J182" s="193"/>
      <c r="K182" s="195"/>
      <c r="M182" s="195"/>
      <c r="O182" s="195"/>
      <c r="Q182" s="195"/>
      <c r="S182" s="197"/>
    </row>
    <row r="183" spans="7:19">
      <c r="G183" s="192" t="s">
        <v>5542</v>
      </c>
      <c r="I183" s="195"/>
      <c r="J183" s="193"/>
      <c r="K183" s="195"/>
      <c r="M183" s="195"/>
      <c r="O183" s="195"/>
      <c r="Q183" s="195"/>
      <c r="S183" s="197"/>
    </row>
    <row r="184" spans="7:19">
      <c r="G184" s="192" t="s">
        <v>5543</v>
      </c>
      <c r="I184" s="195"/>
      <c r="J184" s="193"/>
      <c r="K184" s="195"/>
      <c r="M184" s="195"/>
      <c r="O184" s="195"/>
      <c r="Q184" s="195"/>
      <c r="S184" s="197"/>
    </row>
    <row r="185" spans="7:19">
      <c r="G185" s="192" t="s">
        <v>5544</v>
      </c>
      <c r="I185" s="195"/>
      <c r="J185" s="193"/>
      <c r="K185" s="195"/>
      <c r="M185" s="195"/>
      <c r="O185" s="195"/>
      <c r="Q185" s="195"/>
      <c r="S185" s="197"/>
    </row>
    <row r="186" spans="7:19">
      <c r="G186" s="192" t="s">
        <v>5545</v>
      </c>
      <c r="I186" s="195"/>
      <c r="J186" s="193"/>
      <c r="K186" s="195"/>
      <c r="M186" s="195"/>
      <c r="O186" s="195"/>
      <c r="Q186" s="195"/>
      <c r="S186" s="197"/>
    </row>
    <row r="187" spans="7:19">
      <c r="G187" s="192" t="s">
        <v>5546</v>
      </c>
      <c r="I187" s="195"/>
      <c r="J187" s="193"/>
      <c r="K187" s="195"/>
      <c r="M187" s="195"/>
      <c r="O187" s="195"/>
      <c r="Q187" s="195"/>
      <c r="S187" s="197"/>
    </row>
    <row r="188" spans="7:19">
      <c r="G188" s="192" t="s">
        <v>5547</v>
      </c>
      <c r="I188" s="195"/>
      <c r="J188" s="193"/>
      <c r="K188" s="195"/>
      <c r="M188" s="195"/>
      <c r="O188" s="195"/>
      <c r="Q188" s="195"/>
      <c r="S188" s="197"/>
    </row>
    <row r="189" spans="7:19">
      <c r="G189" s="192" t="s">
        <v>5548</v>
      </c>
      <c r="I189" s="195"/>
      <c r="J189" s="193"/>
      <c r="K189" s="195"/>
      <c r="M189" s="195"/>
      <c r="O189" s="195"/>
      <c r="Q189" s="195"/>
      <c r="S189" s="197"/>
    </row>
    <row r="190" spans="7:19">
      <c r="G190" s="192" t="s">
        <v>5549</v>
      </c>
      <c r="I190" s="195"/>
      <c r="J190" s="193"/>
      <c r="K190" s="195"/>
      <c r="M190" s="195"/>
      <c r="O190" s="195"/>
      <c r="Q190" s="195"/>
      <c r="S190" s="197"/>
    </row>
    <row r="191" spans="7:19">
      <c r="G191" s="192" t="s">
        <v>5550</v>
      </c>
      <c r="I191" s="195"/>
      <c r="J191" s="193"/>
      <c r="K191" s="195"/>
      <c r="M191" s="195"/>
      <c r="O191" s="195"/>
      <c r="Q191" s="195"/>
      <c r="S191" s="197"/>
    </row>
    <row r="192" spans="7:19">
      <c r="G192" s="192" t="s">
        <v>5551</v>
      </c>
      <c r="I192" s="195"/>
      <c r="J192" s="193"/>
      <c r="K192" s="195"/>
      <c r="M192" s="195"/>
      <c r="O192" s="195"/>
      <c r="Q192" s="195"/>
      <c r="S192" s="197"/>
    </row>
    <row r="193" spans="7:19">
      <c r="G193" s="192" t="s">
        <v>5552</v>
      </c>
      <c r="I193" s="195"/>
      <c r="J193" s="193"/>
      <c r="K193" s="195"/>
      <c r="M193" s="195"/>
      <c r="O193" s="195"/>
      <c r="Q193" s="195"/>
      <c r="S193" s="197"/>
    </row>
    <row r="194" spans="7:19">
      <c r="G194" s="192" t="s">
        <v>5553</v>
      </c>
      <c r="I194" s="195"/>
      <c r="J194" s="193"/>
      <c r="K194" s="195"/>
      <c r="M194" s="195"/>
      <c r="O194" s="195"/>
      <c r="Q194" s="195"/>
      <c r="S194" s="197"/>
    </row>
    <row r="195" spans="7:19">
      <c r="G195" s="192" t="s">
        <v>5554</v>
      </c>
      <c r="I195" s="195"/>
      <c r="J195" s="193"/>
      <c r="K195" s="195"/>
      <c r="M195" s="195"/>
      <c r="O195" s="195"/>
      <c r="Q195" s="195"/>
      <c r="S195" s="197"/>
    </row>
    <row r="196" spans="7:19">
      <c r="G196" s="192" t="s">
        <v>665</v>
      </c>
      <c r="I196" s="195"/>
      <c r="J196" s="193"/>
      <c r="K196" s="195"/>
      <c r="M196" s="195"/>
      <c r="O196" s="195"/>
      <c r="Q196" s="195"/>
      <c r="S196" s="197"/>
    </row>
    <row r="197" spans="7:19">
      <c r="G197" s="192" t="s">
        <v>5555</v>
      </c>
      <c r="I197" s="195"/>
      <c r="J197" s="193"/>
      <c r="K197" s="195"/>
      <c r="M197" s="195"/>
      <c r="O197" s="195"/>
      <c r="Q197" s="195"/>
      <c r="S197" s="197"/>
    </row>
    <row r="198" spans="7:19">
      <c r="G198" s="192" t="s">
        <v>5556</v>
      </c>
      <c r="I198" s="195"/>
      <c r="J198" s="193"/>
      <c r="K198" s="195"/>
      <c r="M198" s="195"/>
      <c r="O198" s="195"/>
      <c r="Q198" s="195"/>
      <c r="S198" s="197"/>
    </row>
    <row r="199" spans="7:19">
      <c r="G199" s="192" t="s">
        <v>5557</v>
      </c>
      <c r="I199" s="195"/>
      <c r="J199" s="193"/>
      <c r="K199" s="195"/>
      <c r="M199" s="195"/>
      <c r="O199" s="195"/>
      <c r="Q199" s="195"/>
      <c r="S199" s="197"/>
    </row>
    <row r="200" spans="7:19">
      <c r="G200" s="192" t="s">
        <v>5558</v>
      </c>
      <c r="I200" s="195"/>
      <c r="J200" s="193"/>
      <c r="K200" s="195"/>
      <c r="M200" s="195"/>
      <c r="O200" s="195"/>
      <c r="Q200" s="195"/>
      <c r="S200" s="197"/>
    </row>
    <row r="201" spans="7:19">
      <c r="G201" s="192" t="s">
        <v>5559</v>
      </c>
      <c r="I201" s="195"/>
      <c r="J201" s="193"/>
      <c r="K201" s="195"/>
      <c r="M201" s="195"/>
      <c r="O201" s="195"/>
      <c r="Q201" s="195"/>
      <c r="S201" s="197"/>
    </row>
    <row r="202" spans="7:19">
      <c r="G202" s="192" t="s">
        <v>5560</v>
      </c>
      <c r="I202" s="195"/>
      <c r="J202" s="193"/>
      <c r="K202" s="195"/>
      <c r="M202" s="195"/>
      <c r="O202" s="195"/>
      <c r="Q202" s="195"/>
      <c r="S202" s="197"/>
    </row>
    <row r="203" spans="7:19">
      <c r="G203" s="192" t="s">
        <v>5561</v>
      </c>
      <c r="I203" s="195"/>
      <c r="J203" s="193"/>
      <c r="K203" s="195"/>
      <c r="M203" s="195"/>
      <c r="O203" s="195"/>
      <c r="Q203" s="195"/>
      <c r="S203" s="197"/>
    </row>
    <row r="204" spans="7:19">
      <c r="G204" s="192" t="s">
        <v>5562</v>
      </c>
      <c r="I204" s="195"/>
      <c r="J204" s="193"/>
      <c r="K204" s="195"/>
      <c r="M204" s="195"/>
      <c r="O204" s="195"/>
      <c r="Q204" s="195"/>
      <c r="S204" s="197"/>
    </row>
    <row r="205" spans="7:19">
      <c r="G205" s="192" t="s">
        <v>5563</v>
      </c>
      <c r="I205" s="195"/>
      <c r="J205" s="193"/>
      <c r="K205" s="195"/>
      <c r="M205" s="195"/>
      <c r="O205" s="195"/>
      <c r="Q205" s="195"/>
      <c r="S205" s="197"/>
    </row>
    <row r="206" spans="7:19">
      <c r="G206" s="192" t="s">
        <v>5564</v>
      </c>
      <c r="I206" s="195"/>
      <c r="J206" s="193"/>
      <c r="K206" s="195"/>
      <c r="M206" s="195"/>
      <c r="O206" s="195"/>
      <c r="Q206" s="195"/>
      <c r="S206" s="197"/>
    </row>
    <row r="207" spans="7:19">
      <c r="G207" s="192" t="s">
        <v>5565</v>
      </c>
      <c r="I207" s="195"/>
      <c r="J207" s="193"/>
      <c r="K207" s="195"/>
      <c r="M207" s="195"/>
      <c r="O207" s="195"/>
      <c r="Q207" s="195"/>
      <c r="S207" s="197"/>
    </row>
    <row r="208" spans="7:19">
      <c r="G208" s="192" t="s">
        <v>5566</v>
      </c>
      <c r="I208" s="195"/>
      <c r="J208" s="193"/>
      <c r="K208" s="195"/>
      <c r="M208" s="195"/>
      <c r="O208" s="195"/>
      <c r="Q208" s="195"/>
      <c r="S208" s="197"/>
    </row>
    <row r="209" spans="7:19">
      <c r="G209" s="192" t="s">
        <v>5567</v>
      </c>
      <c r="I209" s="195"/>
      <c r="J209" s="193"/>
      <c r="K209" s="195"/>
      <c r="M209" s="195"/>
      <c r="O209" s="195"/>
      <c r="Q209" s="195"/>
      <c r="S209" s="197"/>
    </row>
    <row r="210" spans="7:19">
      <c r="G210" s="192" t="s">
        <v>5568</v>
      </c>
      <c r="I210" s="195"/>
      <c r="J210" s="193"/>
      <c r="K210" s="195"/>
      <c r="M210" s="195"/>
      <c r="O210" s="195"/>
      <c r="Q210" s="195"/>
      <c r="S210" s="197"/>
    </row>
    <row r="211" spans="7:19">
      <c r="G211" s="192" t="s">
        <v>5569</v>
      </c>
      <c r="I211" s="195"/>
      <c r="J211" s="193"/>
      <c r="K211" s="195"/>
      <c r="M211" s="195"/>
      <c r="O211" s="195"/>
      <c r="Q211" s="195"/>
      <c r="S211" s="197"/>
    </row>
    <row r="212" spans="7:19">
      <c r="G212" s="192" t="s">
        <v>5570</v>
      </c>
      <c r="I212" s="195"/>
      <c r="J212" s="193"/>
      <c r="K212" s="195"/>
      <c r="M212" s="195"/>
      <c r="O212" s="195"/>
      <c r="Q212" s="195"/>
      <c r="S212" s="197"/>
    </row>
    <row r="213" spans="7:19">
      <c r="G213" s="192" t="s">
        <v>5360</v>
      </c>
      <c r="I213" s="195"/>
      <c r="J213" s="193"/>
      <c r="K213" s="195"/>
      <c r="M213" s="195"/>
      <c r="O213" s="195"/>
      <c r="Q213" s="195"/>
      <c r="S213" s="197"/>
    </row>
    <row r="214" spans="7:19">
      <c r="G214" s="192" t="s">
        <v>5571</v>
      </c>
      <c r="I214" s="195"/>
      <c r="J214" s="193"/>
      <c r="K214" s="195"/>
      <c r="M214" s="195"/>
      <c r="O214" s="195"/>
      <c r="Q214" s="195"/>
      <c r="S214" s="197"/>
    </row>
    <row r="215" spans="7:19">
      <c r="G215" s="192" t="s">
        <v>5572</v>
      </c>
      <c r="I215" s="195"/>
      <c r="J215" s="193"/>
      <c r="K215" s="195"/>
      <c r="M215" s="195"/>
      <c r="O215" s="195"/>
      <c r="Q215" s="195"/>
      <c r="S215" s="197"/>
    </row>
    <row r="216" spans="7:19">
      <c r="G216" s="192" t="s">
        <v>2945</v>
      </c>
      <c r="I216" s="195"/>
      <c r="J216" s="193"/>
      <c r="K216" s="195"/>
      <c r="M216" s="195"/>
      <c r="O216" s="195"/>
      <c r="Q216" s="195"/>
      <c r="S216" s="197"/>
    </row>
    <row r="217" spans="7:19">
      <c r="G217" s="192" t="s">
        <v>5573</v>
      </c>
      <c r="I217" s="195"/>
      <c r="J217" s="193"/>
      <c r="K217" s="195"/>
      <c r="M217" s="195"/>
      <c r="O217" s="195"/>
      <c r="Q217" s="195"/>
      <c r="S217" s="197"/>
    </row>
    <row r="218" spans="7:19">
      <c r="G218" s="192" t="s">
        <v>5574</v>
      </c>
      <c r="I218" s="195"/>
      <c r="J218" s="193"/>
      <c r="K218" s="195"/>
      <c r="M218" s="195"/>
      <c r="O218" s="195"/>
      <c r="Q218" s="195"/>
      <c r="S218" s="197"/>
    </row>
    <row r="219" spans="7:19">
      <c r="G219" s="192" t="s">
        <v>5575</v>
      </c>
      <c r="I219" s="195"/>
      <c r="J219" s="193"/>
      <c r="K219" s="195"/>
      <c r="M219" s="195"/>
      <c r="O219" s="195"/>
      <c r="Q219" s="195"/>
      <c r="S219" s="197"/>
    </row>
    <row r="220" spans="7:19">
      <c r="G220" s="192" t="s">
        <v>5576</v>
      </c>
      <c r="I220" s="195"/>
      <c r="J220" s="193"/>
      <c r="K220" s="195"/>
      <c r="M220" s="195"/>
      <c r="O220" s="195"/>
      <c r="Q220" s="195"/>
      <c r="S220" s="197"/>
    </row>
    <row r="221" spans="7:19">
      <c r="G221" s="192" t="s">
        <v>5577</v>
      </c>
      <c r="I221" s="195"/>
      <c r="J221" s="193"/>
      <c r="K221" s="195"/>
      <c r="M221" s="195"/>
      <c r="O221" s="195"/>
      <c r="Q221" s="195"/>
      <c r="S221" s="197"/>
    </row>
    <row r="222" spans="7:19">
      <c r="G222" s="192" t="s">
        <v>5578</v>
      </c>
      <c r="I222" s="195"/>
      <c r="J222" s="193"/>
      <c r="K222" s="195"/>
      <c r="M222" s="195"/>
      <c r="O222" s="195"/>
      <c r="Q222" s="195"/>
      <c r="S222" s="197"/>
    </row>
    <row r="223" spans="7:19">
      <c r="G223" s="192" t="s">
        <v>5579</v>
      </c>
      <c r="I223" s="195"/>
      <c r="J223" s="193"/>
      <c r="K223" s="195"/>
      <c r="M223" s="195"/>
      <c r="O223" s="195"/>
      <c r="Q223" s="195"/>
      <c r="S223" s="197"/>
    </row>
    <row r="224" spans="7:19">
      <c r="G224" s="192" t="s">
        <v>5580</v>
      </c>
      <c r="I224" s="195"/>
      <c r="J224" s="193"/>
      <c r="K224" s="195"/>
      <c r="M224" s="195"/>
      <c r="O224" s="195"/>
      <c r="Q224" s="195"/>
      <c r="S224" s="197"/>
    </row>
    <row r="225" spans="7:19">
      <c r="G225" s="192" t="s">
        <v>5581</v>
      </c>
      <c r="I225" s="195"/>
      <c r="J225" s="193"/>
      <c r="K225" s="195"/>
      <c r="M225" s="195"/>
      <c r="O225" s="195"/>
      <c r="Q225" s="195"/>
      <c r="S225" s="197"/>
    </row>
    <row r="226" spans="7:19">
      <c r="G226" s="192" t="s">
        <v>5582</v>
      </c>
      <c r="I226" s="195"/>
      <c r="J226" s="193"/>
      <c r="K226" s="195"/>
      <c r="M226" s="195"/>
      <c r="O226" s="195"/>
      <c r="Q226" s="195"/>
      <c r="S226" s="197"/>
    </row>
    <row r="227" spans="7:19">
      <c r="G227" s="192" t="s">
        <v>5583</v>
      </c>
      <c r="I227" s="195"/>
      <c r="J227" s="193"/>
      <c r="K227" s="195"/>
      <c r="M227" s="195"/>
      <c r="O227" s="195"/>
      <c r="Q227" s="195"/>
      <c r="S227" s="197"/>
    </row>
    <row r="228" spans="7:19">
      <c r="G228" s="192" t="s">
        <v>5584</v>
      </c>
      <c r="I228" s="195"/>
      <c r="J228" s="193"/>
      <c r="K228" s="195"/>
      <c r="M228" s="195"/>
      <c r="O228" s="195"/>
      <c r="Q228" s="195"/>
      <c r="S228" s="197"/>
    </row>
    <row r="229" spans="7:19">
      <c r="G229" s="192" t="s">
        <v>5585</v>
      </c>
      <c r="I229" s="195"/>
      <c r="J229" s="193"/>
      <c r="K229" s="195"/>
      <c r="M229" s="195"/>
      <c r="O229" s="195"/>
      <c r="Q229" s="195"/>
      <c r="S229" s="197"/>
    </row>
    <row r="230" spans="7:19">
      <c r="G230" s="192" t="s">
        <v>5586</v>
      </c>
      <c r="I230" s="195"/>
      <c r="J230" s="193"/>
      <c r="K230" s="195"/>
      <c r="M230" s="195"/>
      <c r="O230" s="195"/>
      <c r="Q230" s="195"/>
      <c r="S230" s="197"/>
    </row>
    <row r="231" spans="7:19">
      <c r="G231" s="192" t="s">
        <v>5587</v>
      </c>
      <c r="I231" s="195"/>
      <c r="J231" s="193"/>
      <c r="K231" s="195"/>
      <c r="M231" s="195"/>
      <c r="O231" s="195"/>
      <c r="Q231" s="195"/>
      <c r="S231" s="197"/>
    </row>
    <row r="232" spans="7:19">
      <c r="G232" s="192" t="s">
        <v>5588</v>
      </c>
      <c r="I232" s="195"/>
      <c r="J232" s="193"/>
      <c r="K232" s="195"/>
      <c r="M232" s="195"/>
      <c r="O232" s="195"/>
      <c r="Q232" s="195"/>
      <c r="S232" s="197"/>
    </row>
    <row r="233" spans="7:19">
      <c r="G233" s="192" t="s">
        <v>5589</v>
      </c>
      <c r="I233" s="195"/>
      <c r="J233" s="193"/>
      <c r="K233" s="195"/>
      <c r="M233" s="195"/>
      <c r="O233" s="195"/>
      <c r="Q233" s="195"/>
      <c r="S233" s="197"/>
    </row>
    <row r="234" spans="7:19">
      <c r="G234" s="192" t="s">
        <v>5590</v>
      </c>
      <c r="I234" s="195"/>
      <c r="J234" s="193"/>
      <c r="K234" s="195"/>
      <c r="M234" s="195"/>
      <c r="O234" s="195"/>
      <c r="Q234" s="195"/>
      <c r="S234" s="197"/>
    </row>
    <row r="235" spans="7:19">
      <c r="G235" s="192" t="s">
        <v>5591</v>
      </c>
      <c r="I235" s="195"/>
      <c r="J235" s="193"/>
      <c r="K235" s="195"/>
      <c r="M235" s="195"/>
      <c r="O235" s="195"/>
      <c r="Q235" s="195"/>
      <c r="S235" s="197"/>
    </row>
    <row r="236" spans="7:19">
      <c r="G236" s="192" t="s">
        <v>5592</v>
      </c>
      <c r="I236" s="195"/>
      <c r="J236" s="193"/>
      <c r="K236" s="195"/>
      <c r="M236" s="195"/>
      <c r="O236" s="195"/>
      <c r="Q236" s="195"/>
      <c r="S236" s="197"/>
    </row>
    <row r="237" spans="7:19">
      <c r="G237" s="192" t="s">
        <v>5593</v>
      </c>
      <c r="I237" s="195"/>
      <c r="J237" s="193"/>
      <c r="K237" s="195"/>
      <c r="M237" s="195"/>
      <c r="O237" s="195"/>
      <c r="Q237" s="195"/>
      <c r="S237" s="197"/>
    </row>
    <row r="238" spans="7:19">
      <c r="G238" s="192" t="s">
        <v>5594</v>
      </c>
      <c r="I238" s="195"/>
      <c r="J238" s="193"/>
      <c r="K238" s="195"/>
      <c r="M238" s="195"/>
      <c r="O238" s="195"/>
      <c r="Q238" s="195"/>
      <c r="S238" s="197"/>
    </row>
    <row r="239" spans="7:19">
      <c r="G239" s="192" t="s">
        <v>5595</v>
      </c>
      <c r="I239" s="195"/>
      <c r="J239" s="193"/>
      <c r="K239" s="195"/>
      <c r="M239" s="195"/>
      <c r="O239" s="195"/>
      <c r="Q239" s="195"/>
      <c r="S239" s="197"/>
    </row>
    <row r="240" spans="7:19">
      <c r="G240" s="192" t="s">
        <v>5596</v>
      </c>
      <c r="I240" s="195"/>
      <c r="J240" s="193"/>
      <c r="K240" s="195"/>
      <c r="M240" s="195"/>
      <c r="O240" s="195"/>
      <c r="Q240" s="195"/>
      <c r="S240" s="197"/>
    </row>
    <row r="241" spans="7:19">
      <c r="G241" s="192" t="s">
        <v>5597</v>
      </c>
      <c r="I241" s="195"/>
      <c r="J241" s="193"/>
      <c r="K241" s="195"/>
      <c r="M241" s="195"/>
      <c r="O241" s="195"/>
      <c r="Q241" s="195"/>
      <c r="S241" s="197"/>
    </row>
    <row r="242" spans="7:19">
      <c r="G242" s="192" t="s">
        <v>5598</v>
      </c>
      <c r="I242" s="195"/>
      <c r="J242" s="193"/>
      <c r="K242" s="195"/>
      <c r="M242" s="195"/>
      <c r="O242" s="195"/>
      <c r="Q242" s="195"/>
      <c r="S242" s="197"/>
    </row>
    <row r="243" spans="7:19">
      <c r="G243" s="192" t="s">
        <v>5599</v>
      </c>
      <c r="I243" s="195"/>
      <c r="J243" s="193"/>
      <c r="K243" s="195"/>
      <c r="M243" s="195"/>
      <c r="O243" s="195"/>
      <c r="Q243" s="195"/>
      <c r="S243" s="197"/>
    </row>
    <row r="244" spans="7:19">
      <c r="G244" s="192" t="s">
        <v>5600</v>
      </c>
      <c r="I244" s="195"/>
      <c r="J244" s="193"/>
      <c r="K244" s="195"/>
      <c r="M244" s="195"/>
      <c r="O244" s="195"/>
      <c r="Q244" s="195"/>
      <c r="S244" s="197"/>
    </row>
    <row r="245" spans="7:19">
      <c r="G245" s="192" t="s">
        <v>5601</v>
      </c>
      <c r="I245" s="195"/>
      <c r="J245" s="193"/>
      <c r="K245" s="195"/>
      <c r="M245" s="195"/>
      <c r="O245" s="195"/>
      <c r="Q245" s="195"/>
      <c r="S245" s="197"/>
    </row>
    <row r="246" spans="7:19">
      <c r="G246" s="192" t="s">
        <v>5602</v>
      </c>
      <c r="I246" s="195"/>
      <c r="J246" s="193"/>
      <c r="K246" s="195"/>
      <c r="M246" s="195"/>
      <c r="O246" s="195"/>
      <c r="Q246" s="195"/>
      <c r="S246" s="197"/>
    </row>
    <row r="247" spans="7:19">
      <c r="G247" s="192" t="s">
        <v>5603</v>
      </c>
      <c r="I247" s="195"/>
      <c r="J247" s="193"/>
      <c r="K247" s="195"/>
      <c r="M247" s="195"/>
      <c r="O247" s="195"/>
      <c r="Q247" s="195"/>
      <c r="S247" s="197"/>
    </row>
    <row r="248" spans="7:19">
      <c r="G248" s="192" t="s">
        <v>5604</v>
      </c>
      <c r="I248" s="195"/>
      <c r="J248" s="193"/>
      <c r="K248" s="195"/>
      <c r="M248" s="195"/>
      <c r="O248" s="195"/>
      <c r="Q248" s="195"/>
      <c r="S248" s="197"/>
    </row>
    <row r="249" spans="7:19">
      <c r="G249" s="192" t="s">
        <v>5605</v>
      </c>
      <c r="I249" s="195"/>
      <c r="J249" s="193"/>
      <c r="K249" s="195"/>
      <c r="M249" s="195"/>
      <c r="O249" s="195"/>
      <c r="Q249" s="195"/>
      <c r="S249" s="197"/>
    </row>
    <row r="250" spans="7:19">
      <c r="G250" s="192" t="s">
        <v>5606</v>
      </c>
      <c r="I250" s="195"/>
      <c r="J250" s="193"/>
      <c r="K250" s="195"/>
      <c r="M250" s="195"/>
      <c r="O250" s="195"/>
      <c r="Q250" s="195"/>
      <c r="S250" s="197"/>
    </row>
    <row r="251" spans="7:19">
      <c r="G251" s="192" t="s">
        <v>5607</v>
      </c>
      <c r="I251" s="195"/>
      <c r="J251" s="193"/>
      <c r="K251" s="195"/>
      <c r="M251" s="195"/>
      <c r="O251" s="195"/>
      <c r="Q251" s="195"/>
      <c r="S251" s="197"/>
    </row>
    <row r="252" spans="7:19">
      <c r="G252" s="192" t="s">
        <v>5608</v>
      </c>
      <c r="I252" s="195"/>
      <c r="J252" s="193"/>
      <c r="K252" s="195"/>
      <c r="M252" s="195"/>
      <c r="O252" s="195"/>
      <c r="Q252" s="195"/>
      <c r="S252" s="197"/>
    </row>
    <row r="253" spans="7:19">
      <c r="G253" s="192" t="s">
        <v>5609</v>
      </c>
      <c r="I253" s="195"/>
      <c r="J253" s="193"/>
      <c r="K253" s="195"/>
      <c r="M253" s="195"/>
      <c r="O253" s="195"/>
      <c r="Q253" s="195"/>
      <c r="S253" s="197"/>
    </row>
    <row r="254" spans="7:19">
      <c r="G254" s="192" t="s">
        <v>5610</v>
      </c>
      <c r="I254" s="195"/>
      <c r="J254" s="193"/>
      <c r="K254" s="195"/>
      <c r="M254" s="195"/>
      <c r="O254" s="195"/>
      <c r="Q254" s="195"/>
      <c r="S254" s="197"/>
    </row>
    <row r="255" spans="7:19">
      <c r="G255" s="192" t="s">
        <v>5611</v>
      </c>
      <c r="I255" s="195"/>
      <c r="J255" s="193"/>
      <c r="K255" s="195"/>
      <c r="M255" s="195"/>
      <c r="O255" s="195"/>
      <c r="Q255" s="195"/>
      <c r="S255" s="197"/>
    </row>
    <row r="256" spans="7:19">
      <c r="G256" s="192" t="s">
        <v>5612</v>
      </c>
      <c r="I256" s="195"/>
      <c r="J256" s="193"/>
      <c r="K256" s="195"/>
      <c r="M256" s="195"/>
      <c r="O256" s="195"/>
      <c r="Q256" s="195"/>
      <c r="S256" s="197"/>
    </row>
    <row r="257" spans="7:19">
      <c r="G257" s="192" t="s">
        <v>5613</v>
      </c>
      <c r="I257" s="195"/>
      <c r="J257" s="193"/>
      <c r="K257" s="195"/>
      <c r="M257" s="195"/>
      <c r="O257" s="195"/>
      <c r="Q257" s="195"/>
      <c r="S257" s="197"/>
    </row>
    <row r="258" spans="7:19">
      <c r="G258" s="201" t="s">
        <v>5614</v>
      </c>
      <c r="I258" s="195"/>
      <c r="J258" s="193"/>
      <c r="K258" s="195"/>
      <c r="M258" s="195"/>
      <c r="O258" s="195"/>
      <c r="Q258" s="195"/>
      <c r="S258" s="197"/>
    </row>
    <row r="259" spans="7:19" ht="14.25">
      <c r="I259" s="195"/>
      <c r="J259" s="193"/>
      <c r="K259" s="195"/>
      <c r="M259" s="195"/>
      <c r="O259" s="195"/>
      <c r="Q259" s="195"/>
      <c r="S259" s="197"/>
    </row>
    <row r="260" spans="7:19" ht="14.25">
      <c r="I260" s="195"/>
      <c r="J260" s="193"/>
      <c r="K260" s="195"/>
      <c r="M260" s="195"/>
      <c r="O260" s="195"/>
      <c r="Q260" s="195"/>
      <c r="S260" s="197"/>
    </row>
    <row r="261" spans="7:19" ht="14.25">
      <c r="I261" s="195"/>
      <c r="J261" s="193"/>
      <c r="K261" s="195"/>
      <c r="M261" s="195"/>
      <c r="O261" s="195"/>
      <c r="Q261" s="195"/>
      <c r="S261" s="197"/>
    </row>
    <row r="262" spans="7:19" ht="14.25">
      <c r="I262" s="195"/>
      <c r="J262" s="193"/>
      <c r="K262" s="195"/>
      <c r="M262" s="195"/>
      <c r="O262" s="195"/>
      <c r="Q262" s="195"/>
      <c r="S262" s="197"/>
    </row>
    <row r="263" spans="7:19" ht="14.25">
      <c r="I263" s="195"/>
      <c r="J263" s="193"/>
      <c r="K263" s="195"/>
      <c r="M263" s="195"/>
      <c r="O263" s="195"/>
      <c r="Q263" s="195"/>
      <c r="S263" s="197"/>
    </row>
    <row r="264" spans="7:19" ht="14.25">
      <c r="I264" s="195"/>
      <c r="J264" s="193"/>
      <c r="K264" s="195"/>
      <c r="M264" s="195"/>
      <c r="O264" s="195"/>
      <c r="Q264" s="195"/>
      <c r="S264" s="197"/>
    </row>
    <row r="265" spans="7:19" ht="14.25">
      <c r="I265" s="195"/>
      <c r="J265" s="193"/>
      <c r="K265" s="195"/>
      <c r="M265" s="195"/>
      <c r="O265" s="195"/>
      <c r="Q265" s="195"/>
      <c r="S265" s="197"/>
    </row>
    <row r="266" spans="7:19" ht="14.25">
      <c r="I266" s="195"/>
      <c r="J266" s="193"/>
      <c r="K266" s="195"/>
      <c r="M266" s="195"/>
      <c r="O266" s="195"/>
      <c r="Q266" s="195"/>
      <c r="S266" s="197"/>
    </row>
    <row r="267" spans="7:19" ht="14.25">
      <c r="I267" s="195"/>
      <c r="J267" s="193"/>
      <c r="K267" s="195"/>
      <c r="M267" s="195"/>
      <c r="O267" s="195"/>
      <c r="Q267" s="195"/>
      <c r="S267" s="197"/>
    </row>
    <row r="268" spans="7:19" ht="14.25">
      <c r="I268" s="195"/>
      <c r="J268" s="193"/>
      <c r="K268" s="195"/>
      <c r="M268" s="195"/>
      <c r="O268" s="195"/>
      <c r="Q268" s="195"/>
      <c r="S268" s="197"/>
    </row>
    <row r="269" spans="7:19" ht="14.25">
      <c r="I269" s="195"/>
      <c r="J269" s="193"/>
      <c r="K269" s="195"/>
      <c r="M269" s="195"/>
      <c r="O269" s="195"/>
      <c r="Q269" s="195"/>
      <c r="S269" s="197"/>
    </row>
    <row r="270" spans="7:19" ht="14.25">
      <c r="I270" s="195"/>
      <c r="J270" s="193"/>
      <c r="K270" s="195"/>
      <c r="M270" s="195"/>
      <c r="O270" s="195"/>
      <c r="Q270" s="195"/>
      <c r="S270" s="197"/>
    </row>
    <row r="271" spans="7:19" ht="14.25">
      <c r="I271" s="195"/>
      <c r="J271" s="193"/>
      <c r="K271" s="195"/>
      <c r="M271" s="195"/>
      <c r="O271" s="195"/>
      <c r="Q271" s="195"/>
      <c r="S271" s="197"/>
    </row>
    <row r="272" spans="7:19" ht="14.25">
      <c r="I272" s="195"/>
      <c r="J272" s="193"/>
      <c r="K272" s="195"/>
      <c r="M272" s="195"/>
      <c r="O272" s="195"/>
      <c r="Q272" s="195"/>
      <c r="S272" s="197"/>
    </row>
    <row r="273" spans="9:19" ht="14.25">
      <c r="I273" s="195"/>
      <c r="J273" s="193"/>
      <c r="K273" s="195"/>
      <c r="M273" s="195"/>
      <c r="O273" s="195"/>
      <c r="Q273" s="195"/>
      <c r="S273" s="197"/>
    </row>
    <row r="274" spans="9:19" ht="14.25">
      <c r="I274" s="195"/>
      <c r="J274" s="193"/>
      <c r="K274" s="195"/>
      <c r="M274" s="195"/>
      <c r="O274" s="195"/>
      <c r="Q274" s="195"/>
      <c r="S274" s="197"/>
    </row>
    <row r="275" spans="9:19" ht="14.25">
      <c r="I275" s="195"/>
      <c r="J275" s="193"/>
      <c r="K275" s="195"/>
      <c r="M275" s="195"/>
      <c r="O275" s="195"/>
      <c r="Q275" s="195"/>
      <c r="S275" s="197"/>
    </row>
    <row r="276" spans="9:19" ht="14.25">
      <c r="I276" s="195"/>
      <c r="J276" s="193"/>
      <c r="K276" s="195"/>
      <c r="M276" s="195"/>
      <c r="O276" s="195"/>
      <c r="Q276" s="195"/>
      <c r="S276" s="197"/>
    </row>
    <row r="277" spans="9:19" ht="14.25">
      <c r="I277" s="195"/>
      <c r="J277" s="193"/>
      <c r="K277" s="195"/>
      <c r="M277" s="195"/>
      <c r="O277" s="195"/>
      <c r="Q277" s="195"/>
      <c r="S277" s="197"/>
    </row>
    <row r="278" spans="9:19" ht="14.25">
      <c r="I278" s="195"/>
      <c r="J278" s="193"/>
      <c r="K278" s="195"/>
      <c r="M278" s="195"/>
      <c r="O278" s="195"/>
      <c r="Q278" s="195"/>
      <c r="S278" s="197"/>
    </row>
    <row r="279" spans="9:19" ht="14.25">
      <c r="I279" s="195"/>
      <c r="J279" s="193"/>
      <c r="K279" s="195"/>
      <c r="M279" s="195"/>
      <c r="O279" s="195"/>
      <c r="Q279" s="195"/>
      <c r="S279" s="197"/>
    </row>
    <row r="280" spans="9:19" ht="14.25">
      <c r="I280" s="195"/>
      <c r="J280" s="193"/>
      <c r="K280" s="195"/>
      <c r="M280" s="195"/>
      <c r="O280" s="195"/>
      <c r="Q280" s="195"/>
      <c r="S280" s="197"/>
    </row>
    <row r="281" spans="9:19" ht="14.25">
      <c r="I281" s="195"/>
      <c r="J281" s="193"/>
      <c r="K281" s="195"/>
      <c r="M281" s="195"/>
      <c r="O281" s="195"/>
      <c r="Q281" s="195"/>
      <c r="S281" s="197"/>
    </row>
    <row r="282" spans="9:19" ht="14.25">
      <c r="I282" s="195"/>
      <c r="J282" s="193"/>
      <c r="K282" s="195"/>
      <c r="M282" s="195"/>
      <c r="O282" s="195"/>
      <c r="Q282" s="195"/>
      <c r="S282" s="197"/>
    </row>
    <row r="283" spans="9:19" ht="14.25">
      <c r="I283" s="195"/>
      <c r="J283" s="193"/>
      <c r="K283" s="195"/>
      <c r="M283" s="195"/>
      <c r="O283" s="195"/>
      <c r="Q283" s="195"/>
      <c r="S283" s="197"/>
    </row>
    <row r="284" spans="9:19" ht="14.25">
      <c r="I284" s="195"/>
      <c r="J284" s="193"/>
      <c r="K284" s="195"/>
      <c r="M284" s="195"/>
      <c r="O284" s="195"/>
      <c r="Q284" s="195"/>
      <c r="S284" s="197"/>
    </row>
    <row r="285" spans="9:19" ht="14.25">
      <c r="I285" s="195"/>
      <c r="J285" s="193"/>
      <c r="K285" s="195"/>
      <c r="M285" s="195"/>
      <c r="O285" s="195"/>
      <c r="Q285" s="195"/>
      <c r="S285" s="197"/>
    </row>
    <row r="286" spans="9:19" ht="14.25">
      <c r="I286" s="195"/>
      <c r="J286" s="193"/>
      <c r="K286" s="195"/>
      <c r="M286" s="195"/>
      <c r="O286" s="195"/>
      <c r="Q286" s="195"/>
      <c r="S286" s="197"/>
    </row>
    <row r="287" spans="9:19" ht="14.25">
      <c r="I287" s="195"/>
      <c r="J287" s="193"/>
      <c r="K287" s="195"/>
      <c r="M287" s="195"/>
      <c r="O287" s="195"/>
      <c r="Q287" s="195"/>
      <c r="S287" s="197"/>
    </row>
    <row r="288" spans="9:19" ht="14.25">
      <c r="I288" s="195"/>
      <c r="J288" s="193"/>
      <c r="K288" s="195"/>
      <c r="M288" s="195"/>
      <c r="O288" s="195"/>
      <c r="Q288" s="195"/>
      <c r="S288" s="197"/>
    </row>
    <row r="289" spans="9:19" ht="14.25">
      <c r="I289" s="195"/>
      <c r="J289" s="193"/>
      <c r="K289" s="195"/>
      <c r="M289" s="195"/>
      <c r="O289" s="195"/>
      <c r="Q289" s="195"/>
      <c r="S289" s="197"/>
    </row>
    <row r="290" spans="9:19" ht="14.25">
      <c r="I290" s="195"/>
      <c r="J290" s="193"/>
      <c r="K290" s="195"/>
      <c r="M290" s="195"/>
      <c r="O290" s="195"/>
      <c r="Q290" s="195"/>
      <c r="S290" s="197"/>
    </row>
    <row r="291" spans="9:19" ht="14.25">
      <c r="I291" s="195"/>
      <c r="J291" s="193"/>
      <c r="K291" s="195"/>
      <c r="M291" s="195"/>
      <c r="O291" s="195"/>
      <c r="Q291" s="195"/>
      <c r="S291" s="197"/>
    </row>
    <row r="292" spans="9:19" ht="14.25">
      <c r="I292" s="195"/>
      <c r="J292" s="193"/>
      <c r="K292" s="195"/>
      <c r="M292" s="195"/>
      <c r="O292" s="195"/>
      <c r="Q292" s="195"/>
      <c r="S292" s="197"/>
    </row>
    <row r="293" spans="9:19" ht="14.25">
      <c r="I293" s="195"/>
      <c r="J293" s="193"/>
      <c r="K293" s="195"/>
      <c r="M293" s="195"/>
      <c r="O293" s="195"/>
      <c r="Q293" s="195"/>
      <c r="S293" s="197"/>
    </row>
    <row r="294" spans="9:19" ht="14.25">
      <c r="I294" s="195"/>
      <c r="J294" s="193"/>
      <c r="K294" s="195"/>
      <c r="M294" s="195"/>
      <c r="O294" s="195"/>
      <c r="Q294" s="195"/>
      <c r="S294" s="197"/>
    </row>
    <row r="295" spans="9:19" ht="14.25">
      <c r="I295" s="195"/>
      <c r="J295" s="193"/>
      <c r="K295" s="195"/>
      <c r="M295" s="195"/>
      <c r="O295" s="195"/>
      <c r="Q295" s="195"/>
      <c r="S295" s="197"/>
    </row>
    <row r="296" spans="9:19" ht="14.25">
      <c r="I296" s="195"/>
      <c r="J296" s="193"/>
      <c r="K296" s="195"/>
      <c r="M296" s="195"/>
      <c r="O296" s="195"/>
      <c r="Q296" s="195"/>
      <c r="S296" s="197"/>
    </row>
    <row r="297" spans="9:19" ht="14.25">
      <c r="I297" s="195"/>
      <c r="J297" s="193"/>
      <c r="K297" s="195"/>
      <c r="M297" s="195"/>
      <c r="O297" s="195"/>
      <c r="Q297" s="195"/>
      <c r="S297" s="197"/>
    </row>
    <row r="298" spans="9:19" ht="14.25">
      <c r="I298" s="195"/>
      <c r="J298" s="193"/>
      <c r="K298" s="195"/>
      <c r="M298" s="195"/>
      <c r="O298" s="195"/>
      <c r="Q298" s="195"/>
      <c r="S298" s="197"/>
    </row>
    <row r="299" spans="9:19" ht="14.25">
      <c r="I299" s="195"/>
      <c r="J299" s="193"/>
      <c r="K299" s="195"/>
      <c r="M299" s="195"/>
      <c r="O299" s="195"/>
      <c r="Q299" s="195"/>
      <c r="S299" s="197"/>
    </row>
    <row r="300" spans="9:19" ht="14.25">
      <c r="I300" s="195"/>
      <c r="J300" s="193"/>
      <c r="K300" s="195"/>
      <c r="M300" s="195"/>
      <c r="O300" s="195"/>
      <c r="Q300" s="195"/>
      <c r="S300" s="197"/>
    </row>
    <row r="301" spans="9:19" ht="14.25">
      <c r="I301" s="195"/>
      <c r="J301" s="193"/>
      <c r="K301" s="195"/>
      <c r="M301" s="195"/>
      <c r="O301" s="195"/>
      <c r="Q301" s="195"/>
      <c r="S301" s="197"/>
    </row>
    <row r="302" spans="9:19" ht="14.25">
      <c r="I302" s="195"/>
      <c r="J302" s="193"/>
      <c r="K302" s="195"/>
      <c r="M302" s="195"/>
      <c r="O302" s="195"/>
      <c r="Q302" s="195"/>
      <c r="S302" s="197"/>
    </row>
    <row r="303" spans="9:19" ht="14.25">
      <c r="I303" s="195"/>
      <c r="J303" s="193"/>
      <c r="K303" s="195"/>
      <c r="M303" s="195"/>
      <c r="O303" s="195"/>
      <c r="Q303" s="195"/>
      <c r="S303" s="197"/>
    </row>
    <row r="304" spans="9:19" ht="14.25">
      <c r="I304" s="195"/>
      <c r="J304" s="193"/>
      <c r="K304" s="195"/>
      <c r="M304" s="195"/>
      <c r="O304" s="195"/>
      <c r="Q304" s="195"/>
      <c r="S304" s="197"/>
    </row>
    <row r="305" spans="9:19" ht="14.25">
      <c r="I305" s="195"/>
      <c r="J305" s="193"/>
      <c r="K305" s="195"/>
      <c r="M305" s="195"/>
      <c r="O305" s="195"/>
      <c r="Q305" s="195"/>
      <c r="S305" s="197"/>
    </row>
    <row r="306" spans="9:19" ht="14.25">
      <c r="I306" s="195"/>
      <c r="J306" s="193"/>
      <c r="K306" s="195"/>
      <c r="M306" s="195"/>
      <c r="O306" s="195"/>
      <c r="Q306" s="195"/>
      <c r="S306" s="197"/>
    </row>
    <row r="307" spans="9:19" ht="14.25">
      <c r="I307" s="195"/>
      <c r="J307" s="193"/>
      <c r="K307" s="195"/>
      <c r="M307" s="195"/>
      <c r="O307" s="195"/>
      <c r="Q307" s="195"/>
      <c r="S307" s="197"/>
    </row>
    <row r="308" spans="9:19" ht="14.25">
      <c r="I308" s="195"/>
      <c r="J308" s="193"/>
      <c r="K308" s="195"/>
      <c r="M308" s="195"/>
      <c r="O308" s="195"/>
      <c r="Q308" s="195"/>
      <c r="S308" s="197"/>
    </row>
    <row r="309" spans="9:19" ht="14.25">
      <c r="I309" s="195"/>
      <c r="J309" s="193"/>
      <c r="K309" s="195"/>
      <c r="M309" s="195"/>
      <c r="O309" s="195"/>
      <c r="Q309" s="195"/>
      <c r="S309" s="197"/>
    </row>
    <row r="310" spans="9:19" ht="14.25">
      <c r="I310" s="195"/>
      <c r="J310" s="193"/>
      <c r="K310" s="195"/>
      <c r="M310" s="195"/>
      <c r="O310" s="195"/>
      <c r="Q310" s="195"/>
      <c r="S310" s="197"/>
    </row>
    <row r="311" spans="9:19" ht="14.25">
      <c r="I311" s="195"/>
      <c r="J311" s="193"/>
      <c r="K311" s="195"/>
      <c r="M311" s="195"/>
      <c r="O311" s="195"/>
      <c r="Q311" s="195"/>
      <c r="S311" s="197"/>
    </row>
    <row r="312" spans="9:19" ht="14.25">
      <c r="I312" s="195"/>
      <c r="J312" s="193"/>
      <c r="K312" s="195"/>
      <c r="M312" s="195"/>
      <c r="O312" s="195"/>
      <c r="Q312" s="195"/>
      <c r="S312" s="197"/>
    </row>
    <row r="313" spans="9:19" ht="14.25">
      <c r="I313" s="195"/>
      <c r="J313" s="193"/>
      <c r="K313" s="195"/>
      <c r="M313" s="195"/>
      <c r="O313" s="195"/>
      <c r="Q313" s="195"/>
      <c r="S313" s="197"/>
    </row>
    <row r="314" spans="9:19" ht="14.25">
      <c r="I314" s="195"/>
      <c r="J314" s="193"/>
      <c r="K314" s="195"/>
      <c r="M314" s="195"/>
      <c r="O314" s="195"/>
      <c r="Q314" s="195"/>
      <c r="S314" s="197"/>
    </row>
    <row r="315" spans="9:19" ht="14.25">
      <c r="I315" s="195"/>
      <c r="J315" s="193"/>
      <c r="K315" s="195"/>
      <c r="M315" s="195"/>
      <c r="O315" s="195"/>
      <c r="Q315" s="195"/>
      <c r="S315" s="197"/>
    </row>
    <row r="316" spans="9:19" ht="14.25">
      <c r="I316" s="195"/>
      <c r="J316" s="193"/>
      <c r="K316" s="195"/>
      <c r="M316" s="195"/>
      <c r="O316" s="195"/>
      <c r="Q316" s="195"/>
      <c r="S316" s="197"/>
    </row>
    <row r="317" spans="9:19" ht="14.25">
      <c r="I317" s="195"/>
      <c r="J317" s="193"/>
      <c r="K317" s="195"/>
      <c r="M317" s="195"/>
      <c r="O317" s="195"/>
      <c r="Q317" s="195"/>
      <c r="S317" s="197"/>
    </row>
    <row r="318" spans="9:19" ht="14.25">
      <c r="I318" s="195"/>
      <c r="J318" s="193"/>
      <c r="K318" s="195"/>
      <c r="M318" s="195"/>
      <c r="O318" s="195"/>
      <c r="Q318" s="195"/>
      <c r="S318" s="197"/>
    </row>
    <row r="319" spans="9:19" ht="14.25">
      <c r="I319" s="195"/>
      <c r="J319" s="193"/>
      <c r="K319" s="195"/>
      <c r="M319" s="195"/>
      <c r="O319" s="195"/>
      <c r="Q319" s="195"/>
      <c r="S319" s="197"/>
    </row>
    <row r="320" spans="9:19" ht="14.25">
      <c r="I320" s="195"/>
      <c r="J320" s="193"/>
      <c r="K320" s="195"/>
      <c r="M320" s="195"/>
      <c r="O320" s="195"/>
      <c r="Q320" s="195"/>
      <c r="S320" s="197"/>
    </row>
    <row r="321" spans="9:19" ht="14.25">
      <c r="I321" s="195"/>
      <c r="J321" s="193"/>
      <c r="K321" s="195"/>
      <c r="M321" s="195"/>
      <c r="O321" s="195"/>
      <c r="Q321" s="195"/>
      <c r="S321" s="197"/>
    </row>
    <row r="322" spans="9:19" ht="14.25">
      <c r="I322" s="195"/>
      <c r="J322" s="193"/>
      <c r="K322" s="195"/>
      <c r="M322" s="195"/>
      <c r="O322" s="195"/>
      <c r="Q322" s="195"/>
      <c r="S322" s="197"/>
    </row>
    <row r="323" spans="9:19" ht="14.25">
      <c r="I323" s="195"/>
      <c r="J323" s="193"/>
      <c r="K323" s="195"/>
      <c r="M323" s="195"/>
      <c r="O323" s="195"/>
      <c r="Q323" s="195"/>
      <c r="S323" s="197"/>
    </row>
    <row r="324" spans="9:19" ht="14.25">
      <c r="I324" s="195"/>
      <c r="J324" s="193"/>
      <c r="K324" s="195"/>
      <c r="M324" s="195"/>
      <c r="O324" s="195"/>
      <c r="Q324" s="195"/>
      <c r="S324" s="197"/>
    </row>
    <row r="325" spans="9:19" ht="14.25">
      <c r="I325" s="195"/>
      <c r="J325" s="193"/>
      <c r="K325" s="195"/>
      <c r="M325" s="195"/>
      <c r="O325" s="195"/>
      <c r="Q325" s="195"/>
      <c r="S325" s="197"/>
    </row>
    <row r="326" spans="9:19" ht="14.25">
      <c r="I326" s="195"/>
      <c r="J326" s="193"/>
      <c r="K326" s="195"/>
      <c r="M326" s="195"/>
      <c r="O326" s="195"/>
      <c r="Q326" s="195"/>
      <c r="S326" s="197"/>
    </row>
    <row r="327" spans="9:19" ht="14.25">
      <c r="I327" s="195"/>
      <c r="J327" s="193"/>
      <c r="K327" s="195"/>
      <c r="M327" s="195"/>
      <c r="O327" s="195"/>
      <c r="Q327" s="195"/>
      <c r="S327" s="197"/>
    </row>
    <row r="328" spans="9:19" ht="14.25">
      <c r="I328" s="195"/>
      <c r="J328" s="193"/>
      <c r="K328" s="195"/>
      <c r="M328" s="195"/>
      <c r="O328" s="195"/>
      <c r="Q328" s="195"/>
      <c r="S328" s="197"/>
    </row>
    <row r="329" spans="9:19" ht="14.25">
      <c r="I329" s="195"/>
      <c r="J329" s="193"/>
      <c r="K329" s="195"/>
      <c r="M329" s="195"/>
      <c r="O329" s="195"/>
      <c r="Q329" s="195"/>
      <c r="S329" s="197"/>
    </row>
    <row r="330" spans="9:19" ht="14.25">
      <c r="I330" s="195"/>
      <c r="J330" s="193"/>
      <c r="K330" s="195"/>
      <c r="M330" s="195"/>
      <c r="O330" s="195"/>
      <c r="Q330" s="195"/>
      <c r="S330" s="197"/>
    </row>
    <row r="331" spans="9:19" ht="14.25">
      <c r="I331" s="195"/>
      <c r="J331" s="193"/>
      <c r="K331" s="195"/>
      <c r="M331" s="195"/>
      <c r="O331" s="195"/>
      <c r="Q331" s="195"/>
      <c r="S331" s="197"/>
    </row>
    <row r="332" spans="9:19" ht="14.25">
      <c r="I332" s="195"/>
      <c r="J332" s="193"/>
      <c r="K332" s="195"/>
      <c r="M332" s="195"/>
      <c r="O332" s="195"/>
      <c r="Q332" s="195"/>
      <c r="S332" s="197"/>
    </row>
    <row r="333" spans="9:19" ht="14.25">
      <c r="I333" s="195"/>
      <c r="J333" s="193"/>
      <c r="K333" s="195"/>
      <c r="M333" s="195"/>
      <c r="O333" s="195"/>
      <c r="Q333" s="195"/>
      <c r="S333" s="197"/>
    </row>
    <row r="334" spans="9:19" ht="14.25">
      <c r="I334" s="195"/>
      <c r="J334" s="193"/>
      <c r="K334" s="195"/>
      <c r="M334" s="195"/>
      <c r="O334" s="195"/>
      <c r="Q334" s="195"/>
      <c r="S334" s="197"/>
    </row>
    <row r="335" spans="9:19" ht="14.25">
      <c r="I335" s="195"/>
      <c r="J335" s="193"/>
      <c r="K335" s="195"/>
      <c r="M335" s="195"/>
      <c r="O335" s="195"/>
      <c r="Q335" s="195"/>
      <c r="S335" s="197"/>
    </row>
    <row r="336" spans="9:19" ht="14.25">
      <c r="I336" s="195"/>
      <c r="J336" s="193"/>
      <c r="K336" s="195"/>
      <c r="M336" s="195"/>
      <c r="O336" s="195"/>
      <c r="Q336" s="195"/>
      <c r="S336" s="197"/>
    </row>
    <row r="337" spans="9:19" ht="14.25">
      <c r="I337" s="195"/>
      <c r="J337" s="193"/>
      <c r="K337" s="195"/>
      <c r="M337" s="195"/>
      <c r="O337" s="195"/>
      <c r="Q337" s="195"/>
      <c r="S337" s="197"/>
    </row>
    <row r="338" spans="9:19" ht="14.25">
      <c r="I338" s="195"/>
      <c r="J338" s="193"/>
      <c r="K338" s="195"/>
      <c r="M338" s="195"/>
      <c r="O338" s="195"/>
      <c r="Q338" s="195"/>
      <c r="S338" s="197"/>
    </row>
    <row r="339" spans="9:19" ht="14.25">
      <c r="I339" s="195"/>
      <c r="J339" s="193"/>
      <c r="K339" s="195"/>
      <c r="M339" s="195"/>
      <c r="O339" s="195"/>
      <c r="Q339" s="195"/>
      <c r="S339" s="197"/>
    </row>
    <row r="340" spans="9:19" ht="14.25">
      <c r="I340" s="195"/>
      <c r="J340" s="193"/>
      <c r="K340" s="195"/>
      <c r="M340" s="195"/>
      <c r="O340" s="195"/>
      <c r="Q340" s="195"/>
      <c r="S340" s="197"/>
    </row>
    <row r="341" spans="9:19" ht="14.25">
      <c r="I341" s="195"/>
      <c r="J341" s="193"/>
      <c r="K341" s="195"/>
      <c r="M341" s="195"/>
      <c r="O341" s="195"/>
      <c r="Q341" s="195"/>
      <c r="S341" s="197"/>
    </row>
    <row r="342" spans="9:19" ht="14.25">
      <c r="I342" s="195"/>
      <c r="J342" s="193"/>
      <c r="K342" s="195"/>
      <c r="M342" s="195"/>
      <c r="O342" s="195"/>
      <c r="Q342" s="195"/>
      <c r="S342" s="197"/>
    </row>
    <row r="343" spans="9:19" ht="14.25">
      <c r="I343" s="195"/>
      <c r="J343" s="193"/>
      <c r="K343" s="195"/>
      <c r="M343" s="195"/>
      <c r="O343" s="195"/>
      <c r="Q343" s="195"/>
      <c r="S343" s="197"/>
    </row>
    <row r="344" spans="9:19" ht="14.25">
      <c r="I344" s="195"/>
      <c r="J344" s="193"/>
      <c r="K344" s="195"/>
      <c r="M344" s="195"/>
      <c r="O344" s="195"/>
      <c r="Q344" s="195"/>
      <c r="S344" s="197"/>
    </row>
    <row r="345" spans="9:19" ht="14.25">
      <c r="I345" s="195"/>
      <c r="J345" s="193"/>
      <c r="K345" s="195"/>
      <c r="M345" s="195"/>
      <c r="O345" s="195"/>
      <c r="Q345" s="195"/>
      <c r="S345" s="197"/>
    </row>
    <row r="346" spans="9:19" ht="14.25">
      <c r="I346" s="195"/>
      <c r="J346" s="193"/>
      <c r="K346" s="195"/>
      <c r="M346" s="195"/>
      <c r="O346" s="195"/>
      <c r="Q346" s="195"/>
      <c r="S346" s="197"/>
    </row>
    <row r="347" spans="9:19" ht="14.25">
      <c r="I347" s="195"/>
      <c r="J347" s="193"/>
      <c r="K347" s="195"/>
      <c r="M347" s="195"/>
      <c r="O347" s="195"/>
      <c r="Q347" s="195"/>
      <c r="S347" s="197"/>
    </row>
    <row r="348" spans="9:19" ht="14.25">
      <c r="I348" s="195"/>
      <c r="J348" s="193"/>
      <c r="K348" s="195"/>
      <c r="M348" s="195"/>
      <c r="O348" s="195"/>
      <c r="Q348" s="195"/>
      <c r="S348" s="197"/>
    </row>
    <row r="349" spans="9:19" ht="14.25">
      <c r="I349" s="195"/>
      <c r="J349" s="193"/>
      <c r="K349" s="195"/>
      <c r="M349" s="195"/>
      <c r="O349" s="195"/>
      <c r="Q349" s="195"/>
      <c r="S349" s="197"/>
    </row>
    <row r="350" spans="9:19" ht="14.25">
      <c r="I350" s="195"/>
      <c r="J350" s="193"/>
      <c r="K350" s="195"/>
      <c r="M350" s="195"/>
      <c r="O350" s="195"/>
      <c r="Q350" s="195"/>
      <c r="S350" s="197"/>
    </row>
    <row r="351" spans="9:19" ht="14.25">
      <c r="I351" s="195"/>
      <c r="J351" s="193"/>
      <c r="K351" s="195"/>
      <c r="M351" s="195"/>
      <c r="O351" s="195"/>
      <c r="Q351" s="195"/>
      <c r="S351" s="197"/>
    </row>
    <row r="352" spans="9:19" ht="14.25">
      <c r="I352" s="195"/>
      <c r="J352" s="193"/>
      <c r="K352" s="195"/>
      <c r="M352" s="195"/>
      <c r="O352" s="195"/>
      <c r="Q352" s="195"/>
      <c r="S352" s="197"/>
    </row>
    <row r="353" spans="9:19" ht="14.25">
      <c r="I353" s="195"/>
      <c r="J353" s="193"/>
      <c r="K353" s="195"/>
      <c r="M353" s="195"/>
      <c r="O353" s="195"/>
      <c r="Q353" s="195"/>
      <c r="S353" s="197"/>
    </row>
    <row r="354" spans="9:19" ht="14.25">
      <c r="I354" s="195"/>
      <c r="J354" s="193"/>
      <c r="K354" s="195"/>
      <c r="M354" s="195"/>
      <c r="O354" s="195"/>
      <c r="Q354" s="195"/>
      <c r="S354" s="197"/>
    </row>
    <row r="355" spans="9:19" ht="14.25">
      <c r="I355" s="195"/>
      <c r="J355" s="193"/>
      <c r="K355" s="195"/>
      <c r="M355" s="195"/>
      <c r="O355" s="195"/>
      <c r="Q355" s="195"/>
      <c r="S355" s="197"/>
    </row>
    <row r="356" spans="9:19" ht="14.25">
      <c r="I356" s="195"/>
      <c r="J356" s="193"/>
      <c r="K356" s="195"/>
      <c r="M356" s="195"/>
      <c r="O356" s="195"/>
      <c r="Q356" s="195"/>
      <c r="S356" s="197"/>
    </row>
    <row r="357" spans="9:19" ht="14.25">
      <c r="I357" s="195"/>
      <c r="J357" s="193"/>
      <c r="K357" s="195"/>
      <c r="M357" s="195"/>
      <c r="O357" s="195"/>
      <c r="Q357" s="195"/>
      <c r="S357" s="197"/>
    </row>
    <row r="358" spans="9:19" ht="14.25">
      <c r="I358" s="195"/>
      <c r="J358" s="193"/>
      <c r="K358" s="195"/>
      <c r="M358" s="195"/>
      <c r="O358" s="195"/>
      <c r="Q358" s="195"/>
      <c r="S358" s="197"/>
    </row>
    <row r="359" spans="9:19" ht="14.25">
      <c r="I359" s="195"/>
      <c r="J359" s="193"/>
      <c r="K359" s="195"/>
      <c r="M359" s="195"/>
      <c r="O359" s="195"/>
      <c r="Q359" s="195"/>
      <c r="S359" s="197"/>
    </row>
    <row r="360" spans="9:19" ht="14.25">
      <c r="I360" s="195"/>
      <c r="J360" s="193"/>
      <c r="K360" s="195"/>
      <c r="M360" s="195"/>
      <c r="O360" s="195"/>
      <c r="Q360" s="195"/>
      <c r="S360" s="197"/>
    </row>
    <row r="361" spans="9:19" ht="14.25">
      <c r="I361" s="195"/>
      <c r="J361" s="193"/>
      <c r="K361" s="195"/>
      <c r="M361" s="195"/>
      <c r="O361" s="195"/>
      <c r="Q361" s="195"/>
      <c r="S361" s="197"/>
    </row>
    <row r="362" spans="9:19" ht="14.25">
      <c r="I362" s="195"/>
      <c r="J362" s="193"/>
      <c r="K362" s="195"/>
      <c r="M362" s="195"/>
      <c r="O362" s="195"/>
      <c r="Q362" s="195"/>
      <c r="S362" s="197"/>
    </row>
    <row r="363" spans="9:19" ht="14.25">
      <c r="I363" s="195"/>
      <c r="J363" s="193"/>
      <c r="K363" s="195"/>
      <c r="M363" s="195"/>
      <c r="O363" s="195"/>
      <c r="Q363" s="195"/>
      <c r="S363" s="197"/>
    </row>
    <row r="364" spans="9:19" ht="14.25">
      <c r="I364" s="195"/>
      <c r="J364" s="193"/>
      <c r="K364" s="195"/>
      <c r="M364" s="195"/>
      <c r="O364" s="195"/>
      <c r="Q364" s="195"/>
      <c r="S364" s="197"/>
    </row>
    <row r="365" spans="9:19" ht="14.25">
      <c r="I365" s="195"/>
      <c r="J365" s="193"/>
      <c r="K365" s="195"/>
      <c r="M365" s="195"/>
      <c r="O365" s="195"/>
      <c r="Q365" s="195"/>
      <c r="S365" s="197"/>
    </row>
    <row r="366" spans="9:19" ht="14.25">
      <c r="I366" s="195"/>
      <c r="J366" s="193"/>
      <c r="K366" s="195"/>
      <c r="M366" s="195"/>
      <c r="O366" s="195"/>
      <c r="Q366" s="195"/>
      <c r="S366" s="197"/>
    </row>
    <row r="367" spans="9:19" ht="14.25">
      <c r="I367" s="195"/>
      <c r="J367" s="193"/>
      <c r="K367" s="195"/>
      <c r="M367" s="195"/>
      <c r="O367" s="195"/>
      <c r="Q367" s="195"/>
      <c r="S367" s="197"/>
    </row>
    <row r="368" spans="9:19" ht="14.25">
      <c r="I368" s="195"/>
      <c r="J368" s="193"/>
      <c r="K368" s="195"/>
      <c r="M368" s="195"/>
      <c r="O368" s="195"/>
      <c r="Q368" s="195"/>
      <c r="S368" s="197"/>
    </row>
    <row r="369" spans="9:19" ht="14.25">
      <c r="I369" s="195"/>
      <c r="J369" s="193"/>
      <c r="K369" s="195"/>
      <c r="M369" s="195"/>
      <c r="O369" s="195"/>
      <c r="Q369" s="195"/>
      <c r="S369" s="197"/>
    </row>
    <row r="370" spans="9:19" ht="14.25">
      <c r="I370" s="195"/>
      <c r="J370" s="193"/>
      <c r="K370" s="195"/>
      <c r="M370" s="195"/>
      <c r="O370" s="195"/>
      <c r="Q370" s="195"/>
      <c r="S370" s="197"/>
    </row>
    <row r="371" spans="9:19" ht="14.25">
      <c r="I371" s="195"/>
      <c r="J371" s="193"/>
      <c r="K371" s="195"/>
      <c r="M371" s="195"/>
      <c r="O371" s="195"/>
      <c r="Q371" s="195"/>
      <c r="S371" s="197"/>
    </row>
    <row r="372" spans="9:19" ht="14.25">
      <c r="I372" s="195"/>
      <c r="J372" s="193"/>
      <c r="K372" s="195"/>
      <c r="M372" s="195"/>
      <c r="O372" s="195"/>
      <c r="Q372" s="195"/>
      <c r="S372" s="197"/>
    </row>
    <row r="373" spans="9:19" ht="14.25">
      <c r="I373" s="195"/>
      <c r="J373" s="193"/>
      <c r="K373" s="195"/>
      <c r="M373" s="195"/>
      <c r="O373" s="195"/>
      <c r="Q373" s="195"/>
      <c r="S373" s="197"/>
    </row>
    <row r="374" spans="9:19" ht="14.25">
      <c r="I374" s="195"/>
      <c r="J374" s="193"/>
      <c r="K374" s="195"/>
      <c r="M374" s="195"/>
      <c r="O374" s="195"/>
      <c r="Q374" s="195"/>
      <c r="S374" s="197"/>
    </row>
    <row r="375" spans="9:19" ht="14.25">
      <c r="I375" s="195"/>
      <c r="J375" s="193"/>
      <c r="K375" s="195"/>
      <c r="M375" s="195"/>
      <c r="O375" s="195"/>
      <c r="Q375" s="195"/>
      <c r="S375" s="197"/>
    </row>
    <row r="376" spans="9:19" ht="14.25">
      <c r="I376" s="195"/>
      <c r="J376" s="193"/>
      <c r="K376" s="195"/>
      <c r="M376" s="195"/>
      <c r="O376" s="195"/>
      <c r="Q376" s="195"/>
      <c r="S376" s="197"/>
    </row>
    <row r="377" spans="9:19" ht="14.25">
      <c r="I377" s="195"/>
      <c r="J377" s="193"/>
      <c r="K377" s="195"/>
      <c r="M377" s="195"/>
      <c r="O377" s="195"/>
      <c r="Q377" s="195"/>
      <c r="S377" s="197"/>
    </row>
    <row r="378" spans="9:19" ht="14.25">
      <c r="I378" s="195"/>
      <c r="J378" s="193"/>
      <c r="K378" s="195"/>
      <c r="M378" s="195"/>
      <c r="O378" s="195"/>
      <c r="Q378" s="195"/>
      <c r="S378" s="197"/>
    </row>
    <row r="379" spans="9:19" ht="14.25">
      <c r="I379" s="195"/>
      <c r="J379" s="193"/>
      <c r="K379" s="195"/>
      <c r="M379" s="195"/>
      <c r="O379" s="195"/>
      <c r="Q379" s="195"/>
      <c r="S379" s="197"/>
    </row>
    <row r="380" spans="9:19" ht="14.25">
      <c r="I380" s="195"/>
      <c r="J380" s="193"/>
      <c r="K380" s="195"/>
      <c r="M380" s="195"/>
      <c r="O380" s="195"/>
      <c r="Q380" s="195"/>
      <c r="S380" s="197"/>
    </row>
    <row r="381" spans="9:19" ht="14.25">
      <c r="I381" s="195"/>
      <c r="J381" s="193"/>
      <c r="K381" s="195"/>
      <c r="M381" s="195"/>
      <c r="O381" s="195"/>
      <c r="Q381" s="195"/>
      <c r="S381" s="197"/>
    </row>
    <row r="382" spans="9:19" ht="14.25">
      <c r="I382" s="195"/>
      <c r="J382" s="193"/>
      <c r="K382" s="195"/>
      <c r="M382" s="195"/>
      <c r="O382" s="195"/>
      <c r="Q382" s="195"/>
      <c r="S382" s="197"/>
    </row>
    <row r="383" spans="9:19" ht="14.25">
      <c r="I383" s="195"/>
      <c r="J383" s="193"/>
      <c r="K383" s="195"/>
      <c r="M383" s="195"/>
      <c r="O383" s="195"/>
      <c r="Q383" s="195"/>
      <c r="S383" s="197"/>
    </row>
    <row r="384" spans="9:19" ht="14.25">
      <c r="I384" s="195"/>
      <c r="J384" s="193"/>
      <c r="K384" s="195"/>
      <c r="M384" s="195"/>
      <c r="O384" s="195"/>
      <c r="Q384" s="195"/>
      <c r="S384" s="197"/>
    </row>
    <row r="385" spans="9:19" ht="14.25">
      <c r="I385" s="195"/>
      <c r="J385" s="193"/>
      <c r="K385" s="195"/>
      <c r="M385" s="195"/>
      <c r="O385" s="195"/>
      <c r="Q385" s="195"/>
      <c r="S385" s="197"/>
    </row>
    <row r="386" spans="9:19" ht="14.25">
      <c r="I386" s="195"/>
      <c r="J386" s="193"/>
      <c r="K386" s="195"/>
      <c r="M386" s="195"/>
      <c r="O386" s="195"/>
      <c r="Q386" s="195"/>
      <c r="S386" s="197"/>
    </row>
    <row r="387" spans="9:19" ht="14.25">
      <c r="I387" s="195"/>
      <c r="J387" s="193"/>
      <c r="K387" s="195"/>
      <c r="M387" s="195"/>
      <c r="O387" s="195"/>
      <c r="Q387" s="195"/>
      <c r="S387" s="197"/>
    </row>
    <row r="388" spans="9:19" ht="14.25">
      <c r="I388" s="195"/>
      <c r="J388" s="193"/>
      <c r="K388" s="195"/>
      <c r="M388" s="195"/>
      <c r="O388" s="195"/>
      <c r="Q388" s="195"/>
      <c r="S388" s="197"/>
    </row>
    <row r="389" spans="9:19" ht="14.25">
      <c r="I389" s="195"/>
      <c r="J389" s="193"/>
      <c r="K389" s="195"/>
      <c r="M389" s="195"/>
      <c r="O389" s="195"/>
      <c r="Q389" s="195"/>
      <c r="S389" s="197"/>
    </row>
    <row r="390" spans="9:19" ht="14.25">
      <c r="I390" s="195"/>
      <c r="J390" s="193"/>
      <c r="K390" s="195"/>
      <c r="M390" s="195"/>
      <c r="O390" s="195"/>
      <c r="Q390" s="195"/>
      <c r="S390" s="197"/>
    </row>
    <row r="391" spans="9:19" ht="14.25">
      <c r="I391" s="195"/>
      <c r="J391" s="193"/>
      <c r="K391" s="195"/>
      <c r="M391" s="195"/>
      <c r="O391" s="195"/>
      <c r="Q391" s="195"/>
      <c r="S391" s="197"/>
    </row>
    <row r="392" spans="9:19" ht="14.25">
      <c r="I392" s="195"/>
      <c r="J392" s="193"/>
      <c r="K392" s="195"/>
      <c r="M392" s="195"/>
      <c r="O392" s="195"/>
      <c r="Q392" s="195"/>
      <c r="S392" s="197"/>
    </row>
    <row r="393" spans="9:19" ht="14.25">
      <c r="I393" s="195"/>
      <c r="J393" s="193"/>
      <c r="K393" s="195"/>
      <c r="M393" s="195"/>
      <c r="O393" s="195"/>
      <c r="Q393" s="195"/>
      <c r="S393" s="197"/>
    </row>
    <row r="394" spans="9:19" ht="14.25">
      <c r="I394" s="195"/>
      <c r="J394" s="193"/>
      <c r="K394" s="195"/>
      <c r="M394" s="195"/>
      <c r="O394" s="195"/>
      <c r="Q394" s="195"/>
      <c r="S394" s="197"/>
    </row>
    <row r="395" spans="9:19" ht="14.25">
      <c r="I395" s="195"/>
      <c r="J395" s="193"/>
      <c r="K395" s="195"/>
      <c r="M395" s="195"/>
      <c r="O395" s="195"/>
      <c r="Q395" s="195"/>
      <c r="S395" s="197"/>
    </row>
    <row r="396" spans="9:19" ht="14.25">
      <c r="I396" s="195"/>
      <c r="J396" s="193"/>
      <c r="K396" s="195"/>
      <c r="M396" s="195"/>
      <c r="O396" s="195"/>
      <c r="Q396" s="195"/>
      <c r="S396" s="197"/>
    </row>
    <row r="397" spans="9:19" ht="14.25">
      <c r="I397" s="195"/>
      <c r="J397" s="193"/>
      <c r="K397" s="195"/>
      <c r="M397" s="195"/>
      <c r="O397" s="195"/>
      <c r="Q397" s="195"/>
      <c r="S397" s="197"/>
    </row>
    <row r="398" spans="9:19" ht="14.25">
      <c r="I398" s="195"/>
      <c r="J398" s="193"/>
      <c r="K398" s="195"/>
      <c r="M398" s="195"/>
      <c r="O398" s="195"/>
      <c r="Q398" s="195"/>
      <c r="S398" s="197"/>
    </row>
    <row r="399" spans="9:19" ht="14.25">
      <c r="I399" s="195"/>
      <c r="J399" s="193"/>
      <c r="K399" s="195"/>
      <c r="M399" s="195"/>
      <c r="O399" s="195"/>
      <c r="Q399" s="195"/>
      <c r="S399" s="197"/>
    </row>
    <row r="400" spans="9:19" ht="14.25">
      <c r="I400" s="195"/>
      <c r="J400" s="193"/>
      <c r="K400" s="195"/>
      <c r="M400" s="195"/>
      <c r="O400" s="195"/>
      <c r="Q400" s="195"/>
      <c r="S400" s="197"/>
    </row>
    <row r="401" spans="9:19" ht="14.25">
      <c r="I401" s="195"/>
      <c r="J401" s="193"/>
      <c r="K401" s="195"/>
      <c r="M401" s="195"/>
      <c r="O401" s="195"/>
      <c r="Q401" s="195"/>
      <c r="S401" s="197"/>
    </row>
    <row r="402" spans="9:19" ht="14.25">
      <c r="I402" s="195"/>
      <c r="J402" s="193"/>
      <c r="K402" s="195"/>
      <c r="M402" s="195"/>
      <c r="O402" s="195"/>
      <c r="Q402" s="195"/>
      <c r="S402" s="197"/>
    </row>
    <row r="403" spans="9:19" ht="14.25">
      <c r="I403" s="195"/>
      <c r="J403" s="193"/>
      <c r="K403" s="195"/>
      <c r="M403" s="195"/>
      <c r="O403" s="195"/>
      <c r="Q403" s="195"/>
      <c r="S403" s="197"/>
    </row>
    <row r="404" spans="9:19" ht="14.25">
      <c r="I404" s="195"/>
      <c r="J404" s="193"/>
      <c r="K404" s="195"/>
      <c r="M404" s="195"/>
      <c r="O404" s="195"/>
      <c r="Q404" s="195"/>
      <c r="S404" s="197"/>
    </row>
    <row r="405" spans="9:19" ht="14.25">
      <c r="I405" s="195"/>
      <c r="J405" s="193"/>
      <c r="K405" s="195"/>
      <c r="M405" s="195"/>
      <c r="O405" s="195"/>
      <c r="Q405" s="195"/>
      <c r="S405" s="197"/>
    </row>
    <row r="406" spans="9:19" ht="14.25">
      <c r="I406" s="195"/>
      <c r="J406" s="193"/>
      <c r="K406" s="195"/>
      <c r="M406" s="195"/>
      <c r="O406" s="195"/>
      <c r="Q406" s="195"/>
      <c r="S406" s="197"/>
    </row>
    <row r="407" spans="9:19" ht="14.25">
      <c r="I407" s="195"/>
      <c r="J407" s="193"/>
      <c r="K407" s="195"/>
      <c r="M407" s="195"/>
      <c r="O407" s="195"/>
      <c r="Q407" s="195"/>
      <c r="S407" s="197"/>
    </row>
    <row r="408" spans="9:19" ht="14.25">
      <c r="I408" s="195"/>
      <c r="J408" s="193"/>
      <c r="K408" s="195"/>
      <c r="M408" s="195"/>
      <c r="O408" s="195"/>
      <c r="Q408" s="195"/>
      <c r="S408" s="197"/>
    </row>
    <row r="409" spans="9:19" ht="14.25">
      <c r="I409" s="195"/>
      <c r="J409" s="193"/>
      <c r="K409" s="195"/>
      <c r="M409" s="195"/>
      <c r="O409" s="195"/>
      <c r="Q409" s="195"/>
      <c r="S409" s="197"/>
    </row>
    <row r="410" spans="9:19" ht="14.25">
      <c r="I410" s="195"/>
      <c r="J410" s="193"/>
      <c r="K410" s="195"/>
      <c r="M410" s="195"/>
      <c r="O410" s="195"/>
      <c r="Q410" s="195"/>
      <c r="S410" s="197"/>
    </row>
    <row r="411" spans="9:19" ht="14.25">
      <c r="I411" s="195"/>
      <c r="J411" s="193"/>
      <c r="K411" s="195"/>
      <c r="M411" s="195"/>
      <c r="O411" s="195"/>
      <c r="Q411" s="195"/>
      <c r="S411" s="197"/>
    </row>
    <row r="412" spans="9:19" ht="14.25">
      <c r="I412" s="195"/>
      <c r="J412" s="193"/>
      <c r="K412" s="195"/>
      <c r="M412" s="195"/>
      <c r="O412" s="195"/>
      <c r="Q412" s="195"/>
      <c r="S412" s="197"/>
    </row>
    <row r="413" spans="9:19" ht="14.25">
      <c r="I413" s="195"/>
      <c r="J413" s="193"/>
      <c r="K413" s="195"/>
      <c r="M413" s="195"/>
      <c r="O413" s="195"/>
      <c r="Q413" s="195"/>
      <c r="S413" s="197"/>
    </row>
    <row r="414" spans="9:19" ht="14.25">
      <c r="I414" s="195"/>
      <c r="J414" s="193"/>
      <c r="K414" s="195"/>
      <c r="M414" s="195"/>
      <c r="O414" s="195"/>
      <c r="Q414" s="195"/>
      <c r="S414" s="197"/>
    </row>
    <row r="415" spans="9:19" ht="14.25">
      <c r="I415" s="195"/>
      <c r="J415" s="193"/>
      <c r="K415" s="195"/>
      <c r="M415" s="195"/>
      <c r="O415" s="195"/>
      <c r="Q415" s="195"/>
      <c r="S415" s="197"/>
    </row>
    <row r="416" spans="9:19" ht="14.25">
      <c r="I416" s="195"/>
      <c r="J416" s="193"/>
      <c r="K416" s="195"/>
      <c r="M416" s="195"/>
      <c r="O416" s="195"/>
      <c r="Q416" s="195"/>
      <c r="S416" s="197"/>
    </row>
    <row r="417" spans="9:19" ht="14.25">
      <c r="I417" s="195"/>
      <c r="J417" s="193"/>
      <c r="K417" s="195"/>
      <c r="M417" s="195"/>
      <c r="O417" s="195"/>
      <c r="Q417" s="195"/>
      <c r="S417" s="197"/>
    </row>
    <row r="418" spans="9:19" ht="14.25">
      <c r="I418" s="195"/>
      <c r="J418" s="193"/>
      <c r="K418" s="195"/>
      <c r="M418" s="195"/>
      <c r="O418" s="195"/>
      <c r="Q418" s="195"/>
      <c r="S418" s="197"/>
    </row>
    <row r="419" spans="9:19" ht="14.25">
      <c r="I419" s="195"/>
      <c r="J419" s="193"/>
      <c r="K419" s="195"/>
      <c r="M419" s="195"/>
      <c r="O419" s="195"/>
      <c r="Q419" s="195"/>
      <c r="S419" s="197"/>
    </row>
    <row r="420" spans="9:19" ht="14.25">
      <c r="I420" s="195"/>
      <c r="J420" s="193"/>
      <c r="K420" s="195"/>
      <c r="M420" s="195"/>
      <c r="O420" s="195"/>
      <c r="Q420" s="195"/>
      <c r="S420" s="197"/>
    </row>
    <row r="421" spans="9:19" ht="14.25">
      <c r="I421" s="195"/>
      <c r="J421" s="193"/>
      <c r="K421" s="195"/>
      <c r="M421" s="195"/>
      <c r="O421" s="195"/>
      <c r="Q421" s="195"/>
      <c r="S421" s="197"/>
    </row>
    <row r="422" spans="9:19" ht="14.25">
      <c r="I422" s="195"/>
      <c r="J422" s="193"/>
      <c r="K422" s="195"/>
      <c r="M422" s="195"/>
      <c r="O422" s="195"/>
      <c r="Q422" s="195"/>
      <c r="S422" s="197"/>
    </row>
    <row r="423" spans="9:19" ht="14.25">
      <c r="I423" s="195"/>
      <c r="J423" s="193"/>
      <c r="K423" s="195"/>
      <c r="M423" s="195"/>
      <c r="O423" s="195"/>
      <c r="Q423" s="195"/>
      <c r="S423" s="197"/>
    </row>
    <row r="424" spans="9:19" ht="14.25">
      <c r="I424" s="195"/>
      <c r="J424" s="193"/>
      <c r="K424" s="195"/>
      <c r="M424" s="195"/>
      <c r="O424" s="195"/>
      <c r="Q424" s="195"/>
      <c r="S424" s="197"/>
    </row>
    <row r="425" spans="9:19" ht="14.25">
      <c r="I425" s="195"/>
      <c r="J425" s="193"/>
      <c r="K425" s="195"/>
      <c r="M425" s="195"/>
      <c r="O425" s="195"/>
      <c r="Q425" s="195"/>
      <c r="S425" s="197"/>
    </row>
    <row r="426" spans="9:19" ht="14.25">
      <c r="I426" s="195"/>
      <c r="J426" s="193"/>
      <c r="K426" s="195"/>
      <c r="M426" s="195"/>
      <c r="O426" s="195"/>
      <c r="Q426" s="195"/>
      <c r="S426" s="197"/>
    </row>
    <row r="427" spans="9:19" ht="14.25">
      <c r="I427" s="195"/>
      <c r="J427" s="193"/>
      <c r="K427" s="195"/>
      <c r="M427" s="195"/>
      <c r="O427" s="195"/>
      <c r="Q427" s="195"/>
      <c r="S427" s="197"/>
    </row>
    <row r="428" spans="9:19" ht="14.25">
      <c r="I428" s="195"/>
      <c r="J428" s="193"/>
      <c r="K428" s="195"/>
      <c r="M428" s="195"/>
      <c r="O428" s="195"/>
      <c r="Q428" s="195"/>
      <c r="S428" s="197"/>
    </row>
    <row r="429" spans="9:19" ht="14.25">
      <c r="I429" s="195"/>
      <c r="J429" s="193"/>
      <c r="K429" s="195"/>
      <c r="M429" s="195"/>
      <c r="O429" s="195"/>
      <c r="Q429" s="195"/>
      <c r="S429" s="197"/>
    </row>
    <row r="430" spans="9:19" ht="14.25">
      <c r="I430" s="195"/>
      <c r="J430" s="193"/>
      <c r="K430" s="195"/>
      <c r="M430" s="195"/>
      <c r="O430" s="195"/>
      <c r="Q430" s="195"/>
      <c r="S430" s="197"/>
    </row>
    <row r="431" spans="9:19" ht="14.25">
      <c r="I431" s="195"/>
      <c r="J431" s="193"/>
      <c r="K431" s="195"/>
      <c r="M431" s="195"/>
      <c r="O431" s="195"/>
      <c r="Q431" s="195"/>
      <c r="S431" s="197"/>
    </row>
    <row r="432" spans="9:19" ht="14.25">
      <c r="I432" s="195"/>
      <c r="J432" s="193"/>
      <c r="K432" s="195"/>
      <c r="M432" s="195"/>
      <c r="O432" s="195"/>
      <c r="Q432" s="195"/>
      <c r="S432" s="197"/>
    </row>
    <row r="433" spans="9:19" ht="14.25">
      <c r="I433" s="195"/>
      <c r="J433" s="193"/>
      <c r="K433" s="195"/>
      <c r="M433" s="195"/>
      <c r="O433" s="195"/>
      <c r="Q433" s="195"/>
      <c r="S433" s="197"/>
    </row>
    <row r="434" spans="9:19" ht="14.25">
      <c r="I434" s="195"/>
      <c r="J434" s="193"/>
      <c r="K434" s="195"/>
      <c r="M434" s="195"/>
      <c r="O434" s="195"/>
      <c r="Q434" s="195"/>
      <c r="S434" s="197"/>
    </row>
    <row r="435" spans="9:19" ht="14.25">
      <c r="I435" s="195"/>
      <c r="J435" s="193"/>
      <c r="K435" s="195"/>
      <c r="M435" s="195"/>
      <c r="O435" s="195"/>
      <c r="Q435" s="195"/>
      <c r="S435" s="197"/>
    </row>
    <row r="436" spans="9:19" ht="14.25">
      <c r="I436" s="195"/>
      <c r="J436" s="193"/>
      <c r="K436" s="195"/>
      <c r="M436" s="195"/>
      <c r="O436" s="195"/>
      <c r="Q436" s="195"/>
      <c r="S436" s="197"/>
    </row>
    <row r="437" spans="9:19" ht="14.25">
      <c r="I437" s="195"/>
      <c r="J437" s="193"/>
      <c r="K437" s="195"/>
      <c r="M437" s="195"/>
      <c r="O437" s="195"/>
      <c r="Q437" s="195"/>
      <c r="S437" s="197"/>
    </row>
    <row r="438" spans="9:19" ht="14.25">
      <c r="I438" s="195"/>
      <c r="J438" s="193"/>
      <c r="K438" s="195"/>
      <c r="M438" s="195"/>
      <c r="O438" s="195"/>
      <c r="Q438" s="195"/>
      <c r="S438" s="197"/>
    </row>
    <row r="439" spans="9:19" ht="14.25">
      <c r="I439" s="195"/>
      <c r="J439" s="193"/>
      <c r="K439" s="195"/>
      <c r="M439" s="195"/>
      <c r="O439" s="195"/>
      <c r="Q439" s="195"/>
      <c r="S439" s="197"/>
    </row>
    <row r="440" spans="9:19" ht="14.25">
      <c r="I440" s="195"/>
      <c r="J440" s="193"/>
      <c r="K440" s="195"/>
      <c r="M440" s="195"/>
      <c r="O440" s="195"/>
      <c r="Q440" s="195"/>
      <c r="S440" s="197"/>
    </row>
    <row r="441" spans="9:19" ht="14.25">
      <c r="I441" s="195"/>
      <c r="J441" s="193"/>
      <c r="K441" s="195"/>
      <c r="M441" s="195"/>
      <c r="O441" s="195"/>
      <c r="Q441" s="195"/>
      <c r="S441" s="197"/>
    </row>
    <row r="442" spans="9:19" ht="14.25">
      <c r="I442" s="195"/>
      <c r="J442" s="193"/>
      <c r="K442" s="195"/>
      <c r="M442" s="195"/>
      <c r="O442" s="195"/>
      <c r="Q442" s="195"/>
      <c r="S442" s="197"/>
    </row>
    <row r="443" spans="9:19" ht="14.25">
      <c r="I443" s="195"/>
      <c r="J443" s="193"/>
      <c r="K443" s="195"/>
      <c r="M443" s="195"/>
      <c r="O443" s="195"/>
      <c r="Q443" s="195"/>
      <c r="S443" s="197"/>
    </row>
    <row r="444" spans="9:19" ht="14.25">
      <c r="I444" s="195"/>
      <c r="J444" s="193"/>
      <c r="K444" s="195"/>
      <c r="M444" s="195"/>
      <c r="O444" s="195"/>
      <c r="Q444" s="195"/>
      <c r="S444" s="197"/>
    </row>
    <row r="445" spans="9:19" ht="14.25">
      <c r="I445" s="195"/>
      <c r="J445" s="193"/>
      <c r="K445" s="195"/>
      <c r="M445" s="195"/>
      <c r="O445" s="195"/>
      <c r="Q445" s="195"/>
      <c r="S445" s="197"/>
    </row>
    <row r="446" spans="9:19" ht="14.25">
      <c r="I446" s="195"/>
      <c r="J446" s="193"/>
      <c r="K446" s="195"/>
      <c r="M446" s="195"/>
      <c r="O446" s="195"/>
      <c r="Q446" s="195"/>
      <c r="S446" s="197"/>
    </row>
    <row r="447" spans="9:19" ht="14.25">
      <c r="I447" s="195"/>
      <c r="J447" s="193"/>
      <c r="K447" s="195"/>
      <c r="M447" s="195"/>
      <c r="O447" s="195"/>
      <c r="Q447" s="195"/>
      <c r="S447" s="197"/>
    </row>
    <row r="448" spans="9:19" ht="14.25">
      <c r="I448" s="195"/>
      <c r="J448" s="193"/>
      <c r="K448" s="195"/>
      <c r="M448" s="195"/>
      <c r="O448" s="195"/>
      <c r="Q448" s="195"/>
      <c r="S448" s="197"/>
    </row>
    <row r="449" spans="9:19" ht="14.25">
      <c r="I449" s="195"/>
      <c r="J449" s="193"/>
      <c r="K449" s="195"/>
      <c r="M449" s="195"/>
      <c r="O449" s="195"/>
      <c r="Q449" s="195"/>
      <c r="S449" s="197"/>
    </row>
    <row r="450" spans="9:19" ht="14.25">
      <c r="I450" s="195"/>
      <c r="J450" s="193"/>
      <c r="K450" s="195"/>
      <c r="M450" s="195"/>
      <c r="O450" s="195"/>
      <c r="Q450" s="195"/>
      <c r="S450" s="197"/>
    </row>
    <row r="451" spans="9:19" ht="14.25">
      <c r="I451" s="195"/>
      <c r="J451" s="193"/>
      <c r="K451" s="195"/>
      <c r="M451" s="195"/>
      <c r="O451" s="195"/>
      <c r="Q451" s="195"/>
      <c r="S451" s="197"/>
    </row>
    <row r="452" spans="9:19" ht="14.25">
      <c r="I452" s="195"/>
      <c r="J452" s="193"/>
      <c r="K452" s="195"/>
      <c r="M452" s="195"/>
      <c r="O452" s="195"/>
      <c r="Q452" s="195"/>
      <c r="S452" s="197"/>
    </row>
    <row r="453" spans="9:19" ht="14.25">
      <c r="I453" s="195"/>
      <c r="J453" s="193"/>
      <c r="K453" s="195"/>
      <c r="M453" s="195"/>
      <c r="O453" s="195"/>
      <c r="Q453" s="195"/>
      <c r="S453" s="197"/>
    </row>
    <row r="454" spans="9:19" ht="14.25">
      <c r="I454" s="195"/>
      <c r="J454" s="193"/>
      <c r="K454" s="195"/>
      <c r="M454" s="195"/>
      <c r="O454" s="195"/>
      <c r="Q454" s="195"/>
      <c r="S454" s="197"/>
    </row>
    <row r="455" spans="9:19" ht="14.25">
      <c r="I455" s="195"/>
      <c r="J455" s="193"/>
      <c r="K455" s="195"/>
      <c r="M455" s="195"/>
      <c r="O455" s="195"/>
      <c r="Q455" s="195"/>
      <c r="S455" s="197"/>
    </row>
    <row r="456" spans="9:19" ht="14.25">
      <c r="I456" s="195"/>
      <c r="J456" s="193"/>
      <c r="K456" s="195"/>
      <c r="M456" s="195"/>
      <c r="O456" s="195"/>
      <c r="Q456" s="195"/>
      <c r="S456" s="197"/>
    </row>
    <row r="457" spans="9:19" ht="14.25">
      <c r="I457" s="195"/>
      <c r="J457" s="193"/>
      <c r="K457" s="195"/>
      <c r="M457" s="195"/>
      <c r="O457" s="195"/>
      <c r="Q457" s="195"/>
      <c r="S457" s="197"/>
    </row>
    <row r="458" spans="9:19" ht="14.25">
      <c r="I458" s="195"/>
      <c r="J458" s="193"/>
      <c r="K458" s="195"/>
      <c r="M458" s="195"/>
      <c r="O458" s="195"/>
      <c r="Q458" s="195"/>
      <c r="S458" s="197"/>
    </row>
    <row r="459" spans="9:19" ht="14.25">
      <c r="I459" s="195"/>
      <c r="J459" s="193"/>
      <c r="K459" s="195"/>
      <c r="M459" s="195"/>
      <c r="O459" s="195"/>
      <c r="Q459" s="195"/>
      <c r="S459" s="197"/>
    </row>
    <row r="460" spans="9:19" ht="14.25">
      <c r="I460" s="195"/>
      <c r="J460" s="193"/>
      <c r="K460" s="195"/>
      <c r="M460" s="195"/>
      <c r="O460" s="195"/>
      <c r="Q460" s="195"/>
      <c r="S460" s="197"/>
    </row>
    <row r="461" spans="9:19" ht="14.25">
      <c r="I461" s="195"/>
      <c r="J461" s="193"/>
      <c r="K461" s="195"/>
      <c r="M461" s="195"/>
      <c r="O461" s="195"/>
      <c r="Q461" s="195"/>
      <c r="S461" s="197"/>
    </row>
    <row r="462" spans="9:19" ht="14.25">
      <c r="I462" s="195"/>
      <c r="J462" s="193"/>
      <c r="K462" s="195"/>
      <c r="M462" s="195"/>
      <c r="O462" s="195"/>
      <c r="Q462" s="195"/>
      <c r="S462" s="197"/>
    </row>
    <row r="463" spans="9:19" ht="14.25">
      <c r="I463" s="195"/>
      <c r="J463" s="193"/>
      <c r="K463" s="195"/>
      <c r="M463" s="195"/>
      <c r="O463" s="195"/>
      <c r="Q463" s="195"/>
      <c r="S463" s="197"/>
    </row>
    <row r="464" spans="9:19" ht="14.25">
      <c r="I464" s="195"/>
      <c r="J464" s="193"/>
      <c r="K464" s="195"/>
      <c r="M464" s="195"/>
      <c r="O464" s="195"/>
      <c r="Q464" s="195"/>
      <c r="S464" s="197"/>
    </row>
    <row r="465" spans="9:19" ht="14.25">
      <c r="I465" s="195"/>
      <c r="J465" s="193"/>
      <c r="K465" s="195"/>
      <c r="M465" s="195"/>
      <c r="O465" s="195"/>
      <c r="Q465" s="195"/>
      <c r="S465" s="197"/>
    </row>
    <row r="466" spans="9:19" ht="14.25">
      <c r="I466" s="195"/>
      <c r="J466" s="193"/>
      <c r="K466" s="195"/>
      <c r="M466" s="195"/>
      <c r="O466" s="195"/>
      <c r="Q466" s="195"/>
      <c r="S466" s="197"/>
    </row>
    <row r="467" spans="9:19" ht="14.25">
      <c r="I467" s="195"/>
      <c r="J467" s="193"/>
      <c r="K467" s="195"/>
      <c r="M467" s="195"/>
      <c r="O467" s="195"/>
      <c r="Q467" s="195"/>
      <c r="S467" s="197"/>
    </row>
    <row r="468" spans="9:19" ht="14.25">
      <c r="I468" s="195"/>
      <c r="J468" s="193"/>
      <c r="K468" s="195"/>
      <c r="M468" s="195"/>
      <c r="O468" s="195"/>
      <c r="Q468" s="195"/>
      <c r="S468" s="197"/>
    </row>
    <row r="469" spans="9:19" ht="14.25">
      <c r="I469" s="195"/>
      <c r="J469" s="193"/>
      <c r="K469" s="195"/>
      <c r="M469" s="195"/>
      <c r="O469" s="195"/>
      <c r="Q469" s="195"/>
      <c r="S469" s="197"/>
    </row>
    <row r="470" spans="9:19" ht="14.25">
      <c r="I470" s="195"/>
      <c r="J470" s="193"/>
      <c r="K470" s="195"/>
      <c r="M470" s="195"/>
      <c r="O470" s="195"/>
      <c r="Q470" s="195"/>
      <c r="S470" s="197"/>
    </row>
    <row r="471" spans="9:19" ht="14.25">
      <c r="I471" s="195"/>
      <c r="J471" s="193"/>
      <c r="K471" s="195"/>
      <c r="M471" s="195"/>
      <c r="O471" s="195"/>
      <c r="Q471" s="195"/>
      <c r="S471" s="197"/>
    </row>
    <row r="472" spans="9:19" ht="14.25">
      <c r="I472" s="195"/>
      <c r="J472" s="193"/>
      <c r="K472" s="195"/>
      <c r="M472" s="195"/>
      <c r="O472" s="195"/>
      <c r="Q472" s="195"/>
      <c r="S472" s="197"/>
    </row>
    <row r="473" spans="9:19" ht="14.25">
      <c r="I473" s="195"/>
      <c r="J473" s="193"/>
      <c r="K473" s="195"/>
      <c r="M473" s="195"/>
      <c r="O473" s="195"/>
      <c r="Q473" s="195"/>
      <c r="S473" s="197"/>
    </row>
    <row r="474" spans="9:19" ht="14.25">
      <c r="I474" s="195"/>
      <c r="J474" s="193"/>
      <c r="K474" s="195"/>
      <c r="M474" s="195"/>
      <c r="O474" s="195"/>
      <c r="Q474" s="195"/>
      <c r="S474" s="197"/>
    </row>
    <row r="475" spans="9:19" ht="14.25">
      <c r="I475" s="195"/>
      <c r="J475" s="193"/>
      <c r="K475" s="195"/>
      <c r="M475" s="195"/>
      <c r="O475" s="195"/>
      <c r="Q475" s="195"/>
      <c r="S475" s="197"/>
    </row>
    <row r="476" spans="9:19" ht="14.25">
      <c r="I476" s="195"/>
      <c r="J476" s="193"/>
      <c r="K476" s="195"/>
      <c r="M476" s="195"/>
      <c r="O476" s="195"/>
      <c r="Q476" s="195"/>
      <c r="S476" s="197"/>
    </row>
    <row r="477" spans="9:19" ht="14.25">
      <c r="I477" s="195"/>
      <c r="J477" s="193"/>
      <c r="K477" s="195"/>
      <c r="M477" s="195"/>
      <c r="O477" s="195"/>
      <c r="Q477" s="195"/>
      <c r="S477" s="197"/>
    </row>
    <row r="478" spans="9:19" ht="14.25">
      <c r="I478" s="195"/>
      <c r="J478" s="193"/>
      <c r="K478" s="195"/>
      <c r="M478" s="195"/>
      <c r="O478" s="195"/>
      <c r="Q478" s="195"/>
      <c r="S478" s="197"/>
    </row>
    <row r="479" spans="9:19" ht="14.25">
      <c r="I479" s="195"/>
      <c r="J479" s="193"/>
      <c r="K479" s="195"/>
      <c r="M479" s="195"/>
      <c r="O479" s="195"/>
      <c r="Q479" s="195"/>
      <c r="S479" s="197"/>
    </row>
    <row r="480" spans="9:19" ht="14.25">
      <c r="I480" s="195"/>
      <c r="J480" s="193"/>
      <c r="K480" s="195"/>
      <c r="M480" s="195"/>
      <c r="O480" s="195"/>
      <c r="Q480" s="195"/>
      <c r="S480" s="197"/>
    </row>
    <row r="481" spans="9:19" ht="14.25">
      <c r="I481" s="195"/>
      <c r="J481" s="193"/>
      <c r="K481" s="195"/>
      <c r="M481" s="195"/>
      <c r="O481" s="195"/>
      <c r="Q481" s="195"/>
      <c r="S481" s="197"/>
    </row>
    <row r="482" spans="9:19" ht="14.25">
      <c r="I482" s="195"/>
      <c r="J482" s="193"/>
      <c r="K482" s="195"/>
      <c r="M482" s="195"/>
      <c r="O482" s="195"/>
      <c r="Q482" s="195"/>
      <c r="S482" s="197"/>
    </row>
    <row r="483" spans="9:19" ht="14.25">
      <c r="I483" s="195"/>
      <c r="J483" s="193"/>
      <c r="K483" s="195"/>
      <c r="M483" s="195"/>
      <c r="O483" s="195"/>
      <c r="Q483" s="195"/>
      <c r="S483" s="197"/>
    </row>
    <row r="484" spans="9:19" ht="14.25">
      <c r="I484" s="195"/>
      <c r="J484" s="193"/>
      <c r="K484" s="195"/>
      <c r="M484" s="195"/>
      <c r="O484" s="195"/>
      <c r="Q484" s="195"/>
      <c r="S484" s="197"/>
    </row>
    <row r="485" spans="9:19" ht="14.25">
      <c r="I485" s="195"/>
      <c r="J485" s="193"/>
      <c r="K485" s="195"/>
      <c r="M485" s="195"/>
      <c r="O485" s="195"/>
      <c r="Q485" s="195"/>
      <c r="S485" s="197"/>
    </row>
    <row r="486" spans="9:19" ht="14.25">
      <c r="I486" s="195"/>
      <c r="J486" s="193"/>
      <c r="K486" s="195"/>
      <c r="M486" s="195"/>
      <c r="O486" s="195"/>
      <c r="Q486" s="195"/>
      <c r="S486" s="197"/>
    </row>
    <row r="487" spans="9:19" ht="14.25">
      <c r="I487" s="195"/>
      <c r="J487" s="193"/>
      <c r="K487" s="195"/>
      <c r="M487" s="195"/>
      <c r="O487" s="195"/>
      <c r="Q487" s="195"/>
      <c r="S487" s="197"/>
    </row>
    <row r="488" spans="9:19" ht="14.25">
      <c r="I488" s="195"/>
      <c r="J488" s="193"/>
      <c r="K488" s="195"/>
      <c r="M488" s="195"/>
      <c r="O488" s="195"/>
      <c r="Q488" s="195"/>
      <c r="S488" s="197"/>
    </row>
    <row r="489" spans="9:19" ht="14.25">
      <c r="I489" s="195"/>
      <c r="J489" s="193"/>
      <c r="K489" s="195"/>
      <c r="M489" s="195"/>
      <c r="O489" s="195"/>
      <c r="Q489" s="195"/>
      <c r="S489" s="197"/>
    </row>
    <row r="490" spans="9:19" ht="14.25">
      <c r="I490" s="195"/>
      <c r="J490" s="193"/>
      <c r="K490" s="195"/>
      <c r="M490" s="195"/>
      <c r="O490" s="195"/>
      <c r="Q490" s="195"/>
      <c r="S490" s="197"/>
    </row>
    <row r="491" spans="9:19" ht="14.25">
      <c r="I491" s="195"/>
      <c r="J491" s="193"/>
      <c r="K491" s="195"/>
      <c r="M491" s="195"/>
      <c r="O491" s="195"/>
      <c r="Q491" s="195"/>
      <c r="S491" s="197"/>
    </row>
    <row r="492" spans="9:19" ht="14.25">
      <c r="I492" s="195"/>
      <c r="J492" s="193"/>
      <c r="K492" s="195"/>
      <c r="M492" s="195"/>
      <c r="O492" s="195"/>
      <c r="Q492" s="195"/>
      <c r="S492" s="197"/>
    </row>
    <row r="493" spans="9:19" ht="14.25">
      <c r="I493" s="195"/>
      <c r="J493" s="193"/>
      <c r="K493" s="195"/>
      <c r="M493" s="195"/>
      <c r="O493" s="195"/>
      <c r="Q493" s="195"/>
      <c r="S493" s="197"/>
    </row>
    <row r="494" spans="9:19" ht="14.25">
      <c r="I494" s="195"/>
      <c r="J494" s="193"/>
      <c r="K494" s="195"/>
      <c r="M494" s="195"/>
      <c r="O494" s="195"/>
      <c r="Q494" s="195"/>
      <c r="S494" s="197"/>
    </row>
    <row r="495" spans="9:19" ht="14.25">
      <c r="I495" s="195"/>
      <c r="J495" s="193"/>
      <c r="K495" s="195"/>
      <c r="M495" s="195"/>
      <c r="O495" s="195"/>
      <c r="Q495" s="195"/>
      <c r="S495" s="197"/>
    </row>
    <row r="496" spans="9:19" ht="14.25">
      <c r="I496" s="195"/>
      <c r="J496" s="193"/>
      <c r="K496" s="195"/>
      <c r="M496" s="195"/>
      <c r="O496" s="195"/>
      <c r="Q496" s="195"/>
      <c r="S496" s="197"/>
    </row>
    <row r="497" spans="9:19" ht="14.25">
      <c r="I497" s="195"/>
      <c r="J497" s="193"/>
      <c r="K497" s="195"/>
      <c r="M497" s="195"/>
      <c r="O497" s="195"/>
      <c r="Q497" s="195"/>
      <c r="S497" s="197"/>
    </row>
    <row r="498" spans="9:19" ht="14.25">
      <c r="I498" s="195"/>
      <c r="J498" s="193"/>
      <c r="K498" s="195"/>
      <c r="M498" s="195"/>
      <c r="O498" s="195"/>
      <c r="Q498" s="195"/>
      <c r="S498" s="197"/>
    </row>
    <row r="499" spans="9:19" ht="14.25">
      <c r="I499" s="195"/>
      <c r="J499" s="193"/>
      <c r="K499" s="195"/>
      <c r="M499" s="195"/>
      <c r="O499" s="195"/>
      <c r="Q499" s="195"/>
      <c r="S499" s="197"/>
    </row>
    <row r="500" spans="9:19" ht="14.25">
      <c r="I500" s="195"/>
      <c r="J500" s="193"/>
      <c r="K500" s="195"/>
      <c r="M500" s="195"/>
      <c r="O500" s="195"/>
      <c r="Q500" s="195"/>
      <c r="S500" s="197"/>
    </row>
    <row r="501" spans="9:19" ht="14.25">
      <c r="I501" s="195"/>
      <c r="J501" s="193"/>
      <c r="K501" s="195"/>
      <c r="M501" s="195"/>
      <c r="O501" s="195"/>
      <c r="Q501" s="195"/>
      <c r="S501" s="197"/>
    </row>
    <row r="502" spans="9:19" ht="14.25">
      <c r="I502" s="195"/>
      <c r="J502" s="193"/>
      <c r="K502" s="195"/>
      <c r="M502" s="195"/>
      <c r="O502" s="195"/>
      <c r="Q502" s="195"/>
      <c r="S502" s="197"/>
    </row>
    <row r="503" spans="9:19" ht="14.25">
      <c r="I503" s="195"/>
      <c r="J503" s="193"/>
      <c r="K503" s="195"/>
      <c r="M503" s="195"/>
      <c r="O503" s="195"/>
      <c r="Q503" s="195"/>
      <c r="S503" s="197"/>
    </row>
    <row r="504" spans="9:19" ht="14.25">
      <c r="I504" s="195"/>
      <c r="J504" s="193"/>
      <c r="K504" s="195"/>
      <c r="M504" s="195"/>
      <c r="O504" s="195"/>
      <c r="Q504" s="195"/>
      <c r="S504" s="197"/>
    </row>
    <row r="505" spans="9:19" ht="14.25">
      <c r="I505" s="195"/>
      <c r="J505" s="193"/>
      <c r="K505" s="195"/>
      <c r="M505" s="195"/>
      <c r="O505" s="195"/>
      <c r="Q505" s="195"/>
      <c r="S505" s="197"/>
    </row>
    <row r="506" spans="9:19" ht="14.25">
      <c r="I506" s="195"/>
      <c r="J506" s="193"/>
      <c r="K506" s="195"/>
      <c r="M506" s="195"/>
      <c r="O506" s="195"/>
      <c r="Q506" s="195"/>
      <c r="S506" s="197"/>
    </row>
    <row r="507" spans="9:19" ht="14.25">
      <c r="I507" s="195"/>
      <c r="J507" s="193"/>
      <c r="K507" s="195"/>
      <c r="M507" s="195"/>
      <c r="O507" s="195"/>
      <c r="Q507" s="195"/>
      <c r="S507" s="197"/>
    </row>
    <row r="508" spans="9:19" ht="14.25">
      <c r="I508" s="195"/>
      <c r="J508" s="193"/>
      <c r="K508" s="195"/>
      <c r="M508" s="195"/>
      <c r="O508" s="195"/>
      <c r="Q508" s="195"/>
      <c r="S508" s="197"/>
    </row>
    <row r="509" spans="9:19" ht="14.25">
      <c r="I509" s="195"/>
      <c r="J509" s="193"/>
      <c r="K509" s="195"/>
      <c r="M509" s="195"/>
      <c r="O509" s="195"/>
      <c r="Q509" s="195"/>
      <c r="S509" s="197"/>
    </row>
    <row r="510" spans="9:19" ht="14.25">
      <c r="I510" s="195"/>
      <c r="J510" s="193"/>
      <c r="K510" s="195"/>
      <c r="M510" s="195"/>
      <c r="O510" s="195"/>
      <c r="Q510" s="195"/>
      <c r="S510" s="197"/>
    </row>
    <row r="511" spans="9:19" ht="14.25">
      <c r="I511" s="195"/>
      <c r="J511" s="193"/>
      <c r="K511" s="195"/>
      <c r="M511" s="195"/>
      <c r="O511" s="195"/>
      <c r="Q511" s="195"/>
      <c r="S511" s="197"/>
    </row>
    <row r="512" spans="9:19" ht="14.25">
      <c r="I512" s="195"/>
      <c r="J512" s="193"/>
      <c r="K512" s="195"/>
      <c r="M512" s="195"/>
      <c r="O512" s="195"/>
      <c r="Q512" s="195"/>
      <c r="S512" s="197"/>
    </row>
    <row r="513" spans="9:19" ht="14.25">
      <c r="I513" s="195"/>
      <c r="J513" s="193"/>
      <c r="K513" s="195"/>
      <c r="M513" s="195"/>
      <c r="O513" s="195"/>
      <c r="Q513" s="195"/>
      <c r="S513" s="197"/>
    </row>
    <row r="514" spans="9:19" ht="14.25">
      <c r="I514" s="195"/>
      <c r="J514" s="193"/>
      <c r="K514" s="195"/>
      <c r="M514" s="195"/>
      <c r="O514" s="195"/>
      <c r="Q514" s="195"/>
      <c r="S514" s="197"/>
    </row>
    <row r="515" spans="9:19" ht="14.25">
      <c r="I515" s="195"/>
      <c r="J515" s="193"/>
      <c r="K515" s="195"/>
      <c r="M515" s="195"/>
      <c r="O515" s="195"/>
      <c r="Q515" s="195"/>
      <c r="S515" s="197"/>
    </row>
    <row r="516" spans="9:19" ht="14.25">
      <c r="I516" s="195"/>
      <c r="J516" s="193"/>
      <c r="K516" s="195"/>
      <c r="M516" s="195"/>
      <c r="O516" s="195"/>
      <c r="Q516" s="195"/>
      <c r="S516" s="197"/>
    </row>
    <row r="517" spans="9:19" ht="14.25">
      <c r="I517" s="195"/>
      <c r="J517" s="193"/>
      <c r="K517" s="195"/>
      <c r="M517" s="195"/>
      <c r="O517" s="195"/>
      <c r="Q517" s="195"/>
      <c r="S517" s="197"/>
    </row>
    <row r="518" spans="9:19" ht="14.25">
      <c r="I518" s="195"/>
      <c r="J518" s="193"/>
      <c r="K518" s="195"/>
      <c r="M518" s="195"/>
      <c r="O518" s="195"/>
      <c r="Q518" s="195"/>
      <c r="S518" s="197"/>
    </row>
    <row r="519" spans="9:19" ht="14.25">
      <c r="I519" s="195"/>
      <c r="J519" s="193"/>
      <c r="K519" s="195"/>
      <c r="M519" s="195"/>
      <c r="O519" s="195"/>
      <c r="Q519" s="195"/>
      <c r="S519" s="197"/>
    </row>
    <row r="520" spans="9:19" ht="14.25">
      <c r="I520" s="195"/>
      <c r="J520" s="193"/>
      <c r="K520" s="195"/>
      <c r="M520" s="195"/>
      <c r="O520" s="195"/>
      <c r="Q520" s="195"/>
      <c r="S520" s="197"/>
    </row>
    <row r="521" spans="9:19" ht="14.25">
      <c r="I521" s="195"/>
      <c r="J521" s="193"/>
      <c r="K521" s="195"/>
      <c r="M521" s="195"/>
      <c r="O521" s="195"/>
      <c r="Q521" s="195"/>
      <c r="S521" s="197"/>
    </row>
    <row r="522" spans="9:19" ht="14.25">
      <c r="I522" s="195"/>
      <c r="J522" s="193"/>
      <c r="K522" s="195"/>
      <c r="M522" s="195"/>
      <c r="O522" s="195"/>
      <c r="Q522" s="195"/>
      <c r="S522" s="197"/>
    </row>
    <row r="523" spans="9:19" ht="14.25">
      <c r="I523" s="195"/>
      <c r="J523" s="193"/>
      <c r="K523" s="195"/>
      <c r="M523" s="195"/>
      <c r="O523" s="195"/>
      <c r="Q523" s="195"/>
      <c r="S523" s="197"/>
    </row>
    <row r="524" spans="9:19" ht="14.25">
      <c r="I524" s="195"/>
      <c r="J524" s="193"/>
      <c r="K524" s="195"/>
      <c r="M524" s="195"/>
      <c r="O524" s="195"/>
      <c r="Q524" s="195"/>
      <c r="S524" s="197"/>
    </row>
    <row r="525" spans="9:19" ht="14.25">
      <c r="I525" s="195"/>
      <c r="J525" s="193"/>
      <c r="K525" s="195"/>
      <c r="M525" s="195"/>
      <c r="O525" s="195"/>
      <c r="Q525" s="195"/>
      <c r="S525" s="197"/>
    </row>
    <row r="526" spans="9:19" ht="14.25">
      <c r="I526" s="195"/>
      <c r="J526" s="193"/>
      <c r="K526" s="195"/>
      <c r="M526" s="195"/>
      <c r="O526" s="195"/>
      <c r="Q526" s="195"/>
      <c r="S526" s="197"/>
    </row>
    <row r="527" spans="9:19" ht="14.25">
      <c r="I527" s="195"/>
      <c r="J527" s="193"/>
      <c r="K527" s="195"/>
      <c r="M527" s="195"/>
      <c r="O527" s="195"/>
      <c r="Q527" s="195"/>
      <c r="S527" s="197"/>
    </row>
    <row r="528" spans="9:19" ht="14.25">
      <c r="I528" s="195"/>
      <c r="J528" s="193"/>
      <c r="K528" s="195"/>
      <c r="M528" s="195"/>
      <c r="O528" s="195"/>
      <c r="Q528" s="195"/>
      <c r="S528" s="197"/>
    </row>
    <row r="529" spans="9:19" ht="14.25">
      <c r="I529" s="195"/>
      <c r="J529" s="193"/>
      <c r="K529" s="195"/>
      <c r="M529" s="195"/>
      <c r="O529" s="195"/>
      <c r="Q529" s="195"/>
      <c r="S529" s="197"/>
    </row>
    <row r="530" spans="9:19" ht="14.25">
      <c r="I530" s="195"/>
      <c r="J530" s="193"/>
      <c r="K530" s="195"/>
      <c r="M530" s="195"/>
      <c r="O530" s="195"/>
      <c r="Q530" s="195"/>
      <c r="S530" s="197"/>
    </row>
    <row r="531" spans="9:19" ht="14.25">
      <c r="I531" s="195"/>
      <c r="J531" s="193"/>
      <c r="K531" s="195"/>
      <c r="M531" s="195"/>
      <c r="O531" s="195"/>
      <c r="Q531" s="195"/>
      <c r="S531" s="197"/>
    </row>
    <row r="532" spans="9:19" ht="14.25">
      <c r="I532" s="195"/>
      <c r="J532" s="193"/>
      <c r="K532" s="195"/>
      <c r="M532" s="195"/>
      <c r="O532" s="195"/>
      <c r="Q532" s="195"/>
      <c r="S532" s="197"/>
    </row>
    <row r="533" spans="9:19" ht="14.25">
      <c r="I533" s="195"/>
      <c r="J533" s="193"/>
      <c r="K533" s="195"/>
      <c r="M533" s="195"/>
      <c r="O533" s="195"/>
      <c r="Q533" s="195"/>
      <c r="S533" s="197"/>
    </row>
    <row r="534" spans="9:19" ht="14.25">
      <c r="I534" s="195"/>
      <c r="J534" s="193"/>
      <c r="K534" s="195"/>
      <c r="M534" s="195"/>
      <c r="O534" s="195"/>
      <c r="Q534" s="195"/>
      <c r="S534" s="197"/>
    </row>
    <row r="535" spans="9:19" ht="14.25">
      <c r="I535" s="195"/>
      <c r="J535" s="193"/>
      <c r="K535" s="195"/>
      <c r="M535" s="195"/>
      <c r="O535" s="195"/>
      <c r="Q535" s="195"/>
      <c r="S535" s="197"/>
    </row>
    <row r="536" spans="9:19" ht="14.25">
      <c r="I536" s="195"/>
      <c r="J536" s="193"/>
      <c r="K536" s="195"/>
      <c r="M536" s="195"/>
      <c r="O536" s="195"/>
      <c r="Q536" s="195"/>
      <c r="S536" s="197"/>
    </row>
    <row r="537" spans="9:19" ht="14.25">
      <c r="I537" s="195"/>
      <c r="J537" s="193"/>
      <c r="K537" s="195"/>
      <c r="M537" s="195"/>
      <c r="O537" s="195"/>
      <c r="Q537" s="195"/>
      <c r="S537" s="197"/>
    </row>
    <row r="538" spans="9:19" ht="14.25">
      <c r="I538" s="195"/>
      <c r="J538" s="193"/>
      <c r="K538" s="195"/>
      <c r="M538" s="195"/>
      <c r="O538" s="195"/>
      <c r="Q538" s="195"/>
      <c r="S538" s="197"/>
    </row>
    <row r="539" spans="9:19" ht="14.25">
      <c r="I539" s="195"/>
      <c r="J539" s="193"/>
      <c r="K539" s="195"/>
      <c r="M539" s="195"/>
      <c r="O539" s="195"/>
      <c r="Q539" s="195"/>
      <c r="S539" s="197"/>
    </row>
    <row r="540" spans="9:19" ht="14.25">
      <c r="I540" s="195"/>
      <c r="J540" s="193"/>
      <c r="K540" s="195"/>
      <c r="M540" s="195"/>
      <c r="O540" s="195"/>
      <c r="Q540" s="195"/>
      <c r="S540" s="197"/>
    </row>
    <row r="541" spans="9:19" ht="14.25">
      <c r="I541" s="195"/>
      <c r="J541" s="193"/>
      <c r="K541" s="195"/>
      <c r="M541" s="195"/>
      <c r="O541" s="195"/>
      <c r="Q541" s="195"/>
      <c r="S541" s="197"/>
    </row>
    <row r="542" spans="9:19" ht="14.25">
      <c r="I542" s="195"/>
      <c r="J542" s="193"/>
      <c r="K542" s="195"/>
      <c r="M542" s="195"/>
      <c r="O542" s="195"/>
      <c r="Q542" s="195"/>
      <c r="S542" s="197"/>
    </row>
    <row r="543" spans="9:19" ht="14.25">
      <c r="I543" s="195"/>
      <c r="J543" s="193"/>
      <c r="K543" s="195"/>
      <c r="M543" s="195"/>
      <c r="O543" s="195"/>
      <c r="Q543" s="195"/>
      <c r="S543" s="197"/>
    </row>
    <row r="544" spans="9:19" ht="14.25">
      <c r="I544" s="195"/>
      <c r="J544" s="193"/>
      <c r="K544" s="195"/>
      <c r="M544" s="195"/>
      <c r="O544" s="195"/>
      <c r="Q544" s="195"/>
      <c r="S544" s="197"/>
    </row>
    <row r="545" spans="9:19" ht="14.25">
      <c r="I545" s="195"/>
      <c r="J545" s="193"/>
      <c r="K545" s="195"/>
      <c r="M545" s="195"/>
      <c r="O545" s="195"/>
      <c r="Q545" s="195"/>
      <c r="S545" s="197"/>
    </row>
    <row r="546" spans="9:19" ht="14.25">
      <c r="I546" s="195"/>
      <c r="J546" s="193"/>
      <c r="K546" s="195"/>
      <c r="M546" s="195"/>
      <c r="O546" s="195"/>
      <c r="Q546" s="195"/>
      <c r="S546" s="197"/>
    </row>
    <row r="547" spans="9:19" ht="14.25">
      <c r="I547" s="195"/>
      <c r="J547" s="193"/>
      <c r="K547" s="195"/>
      <c r="M547" s="195"/>
      <c r="O547" s="195"/>
      <c r="Q547" s="195"/>
      <c r="S547" s="197"/>
    </row>
    <row r="548" spans="9:19" ht="14.25">
      <c r="I548" s="195"/>
      <c r="J548" s="193"/>
      <c r="K548" s="195"/>
      <c r="M548" s="195"/>
      <c r="O548" s="195"/>
      <c r="Q548" s="195"/>
      <c r="S548" s="197"/>
    </row>
    <row r="549" spans="9:19" ht="14.25">
      <c r="I549" s="195"/>
      <c r="J549" s="193"/>
      <c r="K549" s="195"/>
      <c r="M549" s="195"/>
      <c r="O549" s="195"/>
      <c r="Q549" s="195"/>
      <c r="S549" s="197"/>
    </row>
    <row r="550" spans="9:19" ht="14.25">
      <c r="I550" s="195"/>
      <c r="J550" s="193"/>
      <c r="K550" s="195"/>
      <c r="M550" s="195"/>
      <c r="O550" s="195"/>
      <c r="Q550" s="195"/>
      <c r="S550" s="197"/>
    </row>
    <row r="551" spans="9:19" ht="14.25">
      <c r="I551" s="195"/>
      <c r="J551" s="193"/>
      <c r="K551" s="195"/>
      <c r="M551" s="195"/>
      <c r="O551" s="195"/>
      <c r="Q551" s="195"/>
      <c r="S551" s="197"/>
    </row>
    <row r="552" spans="9:19" ht="14.25">
      <c r="I552" s="195"/>
      <c r="J552" s="193"/>
      <c r="K552" s="195"/>
      <c r="M552" s="195"/>
      <c r="O552" s="195"/>
      <c r="Q552" s="195"/>
      <c r="S552" s="197"/>
    </row>
    <row r="553" spans="9:19" ht="14.25">
      <c r="I553" s="195"/>
      <c r="J553" s="193"/>
      <c r="K553" s="195"/>
      <c r="M553" s="195"/>
      <c r="O553" s="195"/>
      <c r="Q553" s="195"/>
      <c r="S553" s="197"/>
    </row>
    <row r="554" spans="9:19" ht="14.25">
      <c r="I554" s="195"/>
      <c r="J554" s="193"/>
      <c r="K554" s="195"/>
      <c r="M554" s="195"/>
      <c r="O554" s="195"/>
      <c r="Q554" s="195"/>
      <c r="S554" s="197"/>
    </row>
    <row r="555" spans="9:19" ht="14.25">
      <c r="I555" s="195"/>
      <c r="J555" s="193"/>
      <c r="K555" s="195"/>
      <c r="M555" s="195"/>
      <c r="O555" s="195"/>
      <c r="Q555" s="195"/>
      <c r="S555" s="197"/>
    </row>
    <row r="556" spans="9:19" ht="14.25">
      <c r="I556" s="195"/>
      <c r="J556" s="193"/>
      <c r="K556" s="195"/>
      <c r="M556" s="195"/>
      <c r="O556" s="195"/>
      <c r="Q556" s="195"/>
      <c r="S556" s="197"/>
    </row>
    <row r="557" spans="9:19" ht="14.25">
      <c r="I557" s="195"/>
      <c r="J557" s="193"/>
      <c r="K557" s="195"/>
      <c r="M557" s="195"/>
      <c r="O557" s="195"/>
      <c r="Q557" s="195"/>
      <c r="S557" s="197"/>
    </row>
    <row r="558" spans="9:19" ht="14.25">
      <c r="I558" s="195"/>
      <c r="J558" s="193"/>
      <c r="K558" s="195"/>
      <c r="M558" s="195"/>
      <c r="O558" s="195"/>
      <c r="Q558" s="195"/>
      <c r="S558" s="197"/>
    </row>
    <row r="559" spans="9:19" ht="14.25">
      <c r="I559" s="195"/>
      <c r="J559" s="193"/>
      <c r="K559" s="195"/>
      <c r="M559" s="195"/>
      <c r="O559" s="195"/>
      <c r="Q559" s="195"/>
      <c r="S559" s="197"/>
    </row>
    <row r="560" spans="9:19" ht="14.25">
      <c r="I560" s="195"/>
      <c r="J560" s="193"/>
      <c r="K560" s="195"/>
      <c r="M560" s="195"/>
      <c r="O560" s="195"/>
      <c r="Q560" s="195"/>
      <c r="S560" s="197"/>
    </row>
    <row r="561" spans="9:19" ht="14.25">
      <c r="I561" s="195"/>
      <c r="J561" s="193"/>
      <c r="K561" s="195"/>
      <c r="M561" s="195"/>
      <c r="O561" s="195"/>
      <c r="Q561" s="195"/>
      <c r="S561" s="197"/>
    </row>
    <row r="562" spans="9:19" ht="14.25">
      <c r="I562" s="195"/>
      <c r="J562" s="193"/>
      <c r="K562" s="195"/>
      <c r="M562" s="195"/>
      <c r="O562" s="195"/>
      <c r="Q562" s="195"/>
      <c r="S562" s="197"/>
    </row>
    <row r="563" spans="9:19" ht="14.25">
      <c r="I563" s="195"/>
      <c r="J563" s="193"/>
      <c r="K563" s="195"/>
      <c r="M563" s="195"/>
      <c r="O563" s="195"/>
      <c r="Q563" s="195"/>
      <c r="S563" s="197"/>
    </row>
    <row r="564" spans="9:19" ht="14.25">
      <c r="I564" s="195"/>
      <c r="J564" s="193"/>
      <c r="K564" s="195"/>
      <c r="M564" s="195"/>
      <c r="O564" s="195"/>
      <c r="Q564" s="195"/>
      <c r="S564" s="197"/>
    </row>
    <row r="565" spans="9:19" ht="14.25">
      <c r="I565" s="195"/>
      <c r="J565" s="193"/>
      <c r="K565" s="195"/>
      <c r="M565" s="195"/>
      <c r="O565" s="195"/>
      <c r="Q565" s="195"/>
      <c r="S565" s="197"/>
    </row>
    <row r="566" spans="9:19" ht="14.25">
      <c r="I566" s="195"/>
      <c r="J566" s="193"/>
      <c r="K566" s="195"/>
      <c r="M566" s="195"/>
      <c r="O566" s="195"/>
      <c r="Q566" s="195"/>
      <c r="S566" s="197"/>
    </row>
    <row r="567" spans="9:19" ht="14.25">
      <c r="I567" s="195"/>
      <c r="J567" s="193"/>
      <c r="K567" s="195"/>
      <c r="M567" s="195"/>
      <c r="O567" s="195"/>
      <c r="Q567" s="195"/>
      <c r="S567" s="197"/>
    </row>
    <row r="568" spans="9:19" ht="14.25">
      <c r="I568" s="195"/>
      <c r="J568" s="193"/>
      <c r="K568" s="195"/>
      <c r="M568" s="195"/>
      <c r="O568" s="195"/>
      <c r="Q568" s="195"/>
      <c r="S568" s="197"/>
    </row>
    <row r="569" spans="9:19" ht="14.25">
      <c r="I569" s="195"/>
      <c r="J569" s="193"/>
      <c r="K569" s="195"/>
      <c r="M569" s="195"/>
      <c r="O569" s="195"/>
      <c r="Q569" s="195"/>
      <c r="S569" s="197"/>
    </row>
    <row r="570" spans="9:19" ht="14.25">
      <c r="I570" s="195"/>
      <c r="J570" s="193"/>
      <c r="K570" s="195"/>
      <c r="M570" s="195"/>
      <c r="O570" s="195"/>
      <c r="Q570" s="195"/>
      <c r="S570" s="197"/>
    </row>
    <row r="571" spans="9:19" ht="14.25">
      <c r="I571" s="195"/>
      <c r="J571" s="193"/>
      <c r="K571" s="195"/>
      <c r="M571" s="195"/>
      <c r="O571" s="195"/>
      <c r="Q571" s="195"/>
      <c r="S571" s="197"/>
    </row>
    <row r="572" spans="9:19" ht="14.25">
      <c r="I572" s="195"/>
      <c r="J572" s="193"/>
      <c r="K572" s="195"/>
      <c r="M572" s="195"/>
      <c r="O572" s="195"/>
      <c r="Q572" s="195"/>
      <c r="S572" s="197"/>
    </row>
    <row r="573" spans="9:19" ht="14.25">
      <c r="I573" s="195"/>
      <c r="J573" s="193"/>
      <c r="K573" s="195"/>
      <c r="M573" s="195"/>
      <c r="O573" s="195"/>
      <c r="Q573" s="195"/>
      <c r="S573" s="197"/>
    </row>
    <row r="574" spans="9:19" ht="14.25">
      <c r="I574" s="195"/>
      <c r="J574" s="193"/>
      <c r="K574" s="195"/>
      <c r="M574" s="195"/>
      <c r="O574" s="195"/>
      <c r="Q574" s="195"/>
      <c r="S574" s="197"/>
    </row>
    <row r="575" spans="9:19" ht="14.25">
      <c r="I575" s="195"/>
      <c r="J575" s="193"/>
      <c r="K575" s="195"/>
      <c r="M575" s="195"/>
      <c r="O575" s="195"/>
      <c r="Q575" s="195"/>
      <c r="S575" s="197"/>
    </row>
    <row r="576" spans="9:19" ht="14.25">
      <c r="I576" s="195"/>
      <c r="J576" s="193"/>
      <c r="K576" s="195"/>
      <c r="M576" s="195"/>
      <c r="O576" s="195"/>
      <c r="Q576" s="195"/>
      <c r="S576" s="197"/>
    </row>
    <row r="577" spans="9:19" ht="14.25">
      <c r="I577" s="195"/>
      <c r="J577" s="193"/>
      <c r="K577" s="195"/>
      <c r="M577" s="195"/>
      <c r="O577" s="195"/>
      <c r="Q577" s="195"/>
      <c r="S577" s="197"/>
    </row>
    <row r="578" spans="9:19" ht="14.25">
      <c r="I578" s="195"/>
      <c r="J578" s="193"/>
      <c r="K578" s="195"/>
      <c r="M578" s="195"/>
      <c r="O578" s="195"/>
      <c r="Q578" s="195"/>
      <c r="S578" s="197"/>
    </row>
    <row r="579" spans="9:19" ht="14.25">
      <c r="I579" s="195"/>
      <c r="J579" s="193"/>
      <c r="K579" s="195"/>
      <c r="M579" s="195"/>
      <c r="O579" s="195"/>
      <c r="Q579" s="195"/>
      <c r="S579" s="197"/>
    </row>
    <row r="580" spans="9:19" ht="14.25">
      <c r="I580" s="195"/>
      <c r="J580" s="193"/>
      <c r="K580" s="195"/>
      <c r="M580" s="195"/>
      <c r="O580" s="195"/>
      <c r="Q580" s="195"/>
      <c r="S580" s="197"/>
    </row>
    <row r="581" spans="9:19" ht="14.25">
      <c r="I581" s="195"/>
      <c r="J581" s="193"/>
      <c r="K581" s="195"/>
      <c r="M581" s="195"/>
      <c r="O581" s="195"/>
      <c r="Q581" s="195"/>
      <c r="S581" s="197"/>
    </row>
    <row r="582" spans="9:19" ht="14.25">
      <c r="I582" s="195"/>
      <c r="J582" s="193"/>
      <c r="K582" s="195"/>
      <c r="M582" s="195"/>
      <c r="O582" s="195"/>
      <c r="Q582" s="195"/>
      <c r="S582" s="197"/>
    </row>
    <row r="583" spans="9:19" ht="14.25">
      <c r="I583" s="195"/>
      <c r="J583" s="193"/>
      <c r="K583" s="195"/>
      <c r="M583" s="195"/>
      <c r="O583" s="195"/>
      <c r="Q583" s="195"/>
      <c r="S583" s="197"/>
    </row>
    <row r="584" spans="9:19" ht="14.25">
      <c r="I584" s="195"/>
      <c r="J584" s="193"/>
      <c r="K584" s="195"/>
      <c r="M584" s="195"/>
      <c r="O584" s="195"/>
      <c r="Q584" s="195"/>
      <c r="S584" s="197"/>
    </row>
    <row r="585" spans="9:19" ht="14.25">
      <c r="I585" s="195"/>
      <c r="J585" s="193"/>
      <c r="K585" s="195"/>
      <c r="M585" s="195"/>
      <c r="O585" s="195"/>
      <c r="Q585" s="195"/>
      <c r="S585" s="197"/>
    </row>
    <row r="586" spans="9:19" ht="14.25">
      <c r="I586" s="195"/>
      <c r="J586" s="193"/>
      <c r="K586" s="195"/>
      <c r="M586" s="195"/>
      <c r="O586" s="195"/>
      <c r="Q586" s="195"/>
      <c r="S586" s="197"/>
    </row>
    <row r="587" spans="9:19" ht="14.25">
      <c r="I587" s="195"/>
      <c r="J587" s="193"/>
      <c r="K587" s="195"/>
      <c r="M587" s="195"/>
      <c r="O587" s="195"/>
      <c r="Q587" s="195"/>
      <c r="S587" s="197"/>
    </row>
    <row r="588" spans="9:19" ht="14.25">
      <c r="I588" s="195"/>
      <c r="J588" s="193"/>
      <c r="K588" s="195"/>
      <c r="M588" s="195"/>
      <c r="O588" s="195"/>
      <c r="Q588" s="195"/>
      <c r="S588" s="197"/>
    </row>
    <row r="589" spans="9:19" ht="14.25">
      <c r="I589" s="195"/>
      <c r="J589" s="193"/>
      <c r="K589" s="195"/>
      <c r="M589" s="195"/>
      <c r="O589" s="195"/>
      <c r="Q589" s="195"/>
      <c r="S589" s="197"/>
    </row>
    <row r="590" spans="9:19" ht="14.25">
      <c r="I590" s="195"/>
      <c r="J590" s="193"/>
      <c r="K590" s="195"/>
      <c r="M590" s="195"/>
      <c r="O590" s="195"/>
      <c r="Q590" s="195"/>
      <c r="S590" s="197"/>
    </row>
    <row r="591" spans="9:19" ht="14.25">
      <c r="I591" s="195"/>
      <c r="J591" s="193"/>
      <c r="K591" s="195"/>
      <c r="M591" s="195"/>
      <c r="O591" s="195"/>
      <c r="Q591" s="195"/>
      <c r="S591" s="197"/>
    </row>
    <row r="592" spans="9:19" ht="14.25">
      <c r="I592" s="195"/>
      <c r="J592" s="193"/>
      <c r="K592" s="195"/>
      <c r="M592" s="195"/>
      <c r="O592" s="195"/>
      <c r="Q592" s="195"/>
      <c r="S592" s="197"/>
    </row>
    <row r="593" spans="9:19" ht="14.25">
      <c r="I593" s="195"/>
      <c r="J593" s="193"/>
      <c r="K593" s="195"/>
      <c r="M593" s="195"/>
      <c r="O593" s="195"/>
      <c r="Q593" s="195"/>
      <c r="S593" s="197"/>
    </row>
    <row r="594" spans="9:19" ht="14.25">
      <c r="I594" s="195"/>
      <c r="J594" s="193"/>
      <c r="K594" s="195"/>
      <c r="M594" s="195"/>
      <c r="O594" s="195"/>
      <c r="Q594" s="195"/>
      <c r="S594" s="197"/>
    </row>
    <row r="595" spans="9:19" ht="14.25">
      <c r="I595" s="195"/>
      <c r="J595" s="193"/>
      <c r="K595" s="195"/>
      <c r="M595" s="195"/>
      <c r="O595" s="195"/>
      <c r="Q595" s="195"/>
      <c r="S595" s="197"/>
    </row>
    <row r="596" spans="9:19" ht="14.25">
      <c r="I596" s="195"/>
      <c r="J596" s="193"/>
      <c r="K596" s="195"/>
      <c r="M596" s="195"/>
      <c r="O596" s="195"/>
      <c r="Q596" s="195"/>
      <c r="S596" s="197"/>
    </row>
    <row r="597" spans="9:19" ht="14.25">
      <c r="I597" s="195"/>
      <c r="J597" s="193"/>
      <c r="K597" s="195"/>
      <c r="M597" s="195"/>
      <c r="O597" s="195"/>
      <c r="Q597" s="195"/>
      <c r="S597" s="197"/>
    </row>
    <row r="598" spans="9:19" ht="14.25">
      <c r="I598" s="195"/>
      <c r="J598" s="193"/>
      <c r="K598" s="195"/>
      <c r="M598" s="195"/>
      <c r="O598" s="195"/>
      <c r="Q598" s="195"/>
      <c r="S598" s="197"/>
    </row>
    <row r="599" spans="9:19" ht="14.25">
      <c r="I599" s="195"/>
      <c r="J599" s="193"/>
      <c r="K599" s="195"/>
      <c r="M599" s="195"/>
      <c r="O599" s="195"/>
      <c r="Q599" s="195"/>
      <c r="S599" s="197"/>
    </row>
    <row r="600" spans="9:19" ht="14.25">
      <c r="I600" s="195"/>
      <c r="J600" s="193"/>
      <c r="K600" s="195"/>
      <c r="M600" s="195"/>
      <c r="O600" s="195"/>
      <c r="Q600" s="195"/>
      <c r="S600" s="197"/>
    </row>
    <row r="601" spans="9:19" ht="14.25">
      <c r="I601" s="195"/>
      <c r="J601" s="193"/>
      <c r="K601" s="195"/>
      <c r="M601" s="195"/>
      <c r="O601" s="195"/>
      <c r="Q601" s="195"/>
      <c r="S601" s="197"/>
    </row>
    <row r="602" spans="9:19" ht="14.25">
      <c r="I602" s="195"/>
      <c r="J602" s="193"/>
      <c r="K602" s="195"/>
      <c r="M602" s="195"/>
      <c r="O602" s="195"/>
      <c r="Q602" s="195"/>
      <c r="S602" s="197"/>
    </row>
    <row r="603" spans="9:19" ht="14.25">
      <c r="I603" s="195"/>
      <c r="J603" s="193"/>
      <c r="K603" s="195"/>
      <c r="M603" s="195"/>
      <c r="O603" s="195"/>
      <c r="Q603" s="195"/>
      <c r="S603" s="197"/>
    </row>
    <row r="604" spans="9:19" ht="14.25">
      <c r="I604" s="195"/>
      <c r="J604" s="193"/>
      <c r="K604" s="195"/>
      <c r="M604" s="195"/>
      <c r="O604" s="195"/>
      <c r="Q604" s="195"/>
      <c r="S604" s="197"/>
    </row>
    <row r="605" spans="9:19" ht="14.25">
      <c r="I605" s="195"/>
      <c r="J605" s="193"/>
      <c r="K605" s="195"/>
      <c r="M605" s="195"/>
      <c r="O605" s="195"/>
      <c r="Q605" s="195"/>
      <c r="S605" s="197"/>
    </row>
    <row r="606" spans="9:19" ht="14.25">
      <c r="I606" s="195"/>
      <c r="J606" s="193"/>
      <c r="K606" s="195"/>
      <c r="M606" s="195"/>
      <c r="O606" s="195"/>
      <c r="Q606" s="195"/>
      <c r="S606" s="197"/>
    </row>
    <row r="607" spans="9:19" ht="14.25">
      <c r="I607" s="195"/>
      <c r="J607" s="193"/>
      <c r="K607" s="195"/>
      <c r="M607" s="195"/>
      <c r="O607" s="195"/>
      <c r="Q607" s="195"/>
      <c r="S607" s="197"/>
    </row>
    <row r="608" spans="9:19" ht="14.25">
      <c r="I608" s="195"/>
      <c r="J608" s="193"/>
      <c r="K608" s="195"/>
      <c r="M608" s="195"/>
      <c r="O608" s="195"/>
      <c r="Q608" s="195"/>
      <c r="S608" s="197"/>
    </row>
    <row r="609" spans="9:19" ht="14.25">
      <c r="I609" s="195"/>
      <c r="J609" s="193"/>
      <c r="K609" s="195"/>
      <c r="M609" s="195"/>
      <c r="O609" s="195"/>
      <c r="Q609" s="195"/>
      <c r="S609" s="197"/>
    </row>
    <row r="610" spans="9:19" ht="14.25">
      <c r="I610" s="195"/>
      <c r="J610" s="193"/>
      <c r="K610" s="195"/>
      <c r="M610" s="195"/>
      <c r="O610" s="195"/>
      <c r="Q610" s="195"/>
      <c r="S610" s="197"/>
    </row>
    <row r="611" spans="9:19" ht="14.25">
      <c r="I611" s="195"/>
      <c r="J611" s="193"/>
      <c r="K611" s="195"/>
      <c r="M611" s="195"/>
      <c r="O611" s="195"/>
      <c r="Q611" s="195"/>
      <c r="S611" s="197"/>
    </row>
    <row r="612" spans="9:19" ht="14.25">
      <c r="I612" s="195"/>
      <c r="J612" s="193"/>
      <c r="K612" s="195"/>
      <c r="M612" s="195"/>
      <c r="O612" s="195"/>
      <c r="Q612" s="195"/>
      <c r="S612" s="197"/>
    </row>
    <row r="613" spans="9:19" ht="14.25">
      <c r="I613" s="195"/>
      <c r="J613" s="193"/>
      <c r="K613" s="195"/>
      <c r="M613" s="195"/>
      <c r="O613" s="195"/>
      <c r="Q613" s="195"/>
      <c r="S613" s="197"/>
    </row>
    <row r="614" spans="9:19" ht="14.25">
      <c r="I614" s="195"/>
      <c r="J614" s="193"/>
      <c r="K614" s="195"/>
      <c r="M614" s="195"/>
      <c r="O614" s="195"/>
      <c r="Q614" s="195"/>
      <c r="S614" s="197"/>
    </row>
    <row r="615" spans="9:19" ht="14.25">
      <c r="I615" s="195"/>
      <c r="J615" s="193"/>
      <c r="K615" s="195"/>
      <c r="M615" s="195"/>
      <c r="O615" s="195"/>
      <c r="Q615" s="195"/>
      <c r="S615" s="197"/>
    </row>
    <row r="616" spans="9:19" ht="14.25">
      <c r="I616" s="195"/>
      <c r="J616" s="193"/>
      <c r="K616" s="195"/>
      <c r="M616" s="195"/>
      <c r="O616" s="195"/>
      <c r="Q616" s="195"/>
      <c r="S616" s="197"/>
    </row>
    <row r="617" spans="9:19" ht="14.25">
      <c r="I617" s="195"/>
      <c r="J617" s="193"/>
      <c r="K617" s="195"/>
      <c r="M617" s="195"/>
      <c r="O617" s="195"/>
      <c r="Q617" s="195"/>
      <c r="S617" s="197"/>
    </row>
    <row r="618" spans="9:19" ht="14.25">
      <c r="I618" s="195"/>
      <c r="J618" s="193"/>
      <c r="K618" s="195"/>
      <c r="M618" s="195"/>
      <c r="O618" s="195"/>
      <c r="Q618" s="195"/>
      <c r="S618" s="197"/>
    </row>
    <row r="619" spans="9:19" ht="14.25">
      <c r="I619" s="195"/>
      <c r="J619" s="193"/>
      <c r="K619" s="195"/>
      <c r="M619" s="195"/>
      <c r="O619" s="195"/>
      <c r="Q619" s="195"/>
      <c r="S619" s="197"/>
    </row>
    <row r="620" spans="9:19" ht="14.25">
      <c r="I620" s="195"/>
      <c r="J620" s="193"/>
      <c r="K620" s="195"/>
      <c r="M620" s="195"/>
      <c r="O620" s="195"/>
      <c r="Q620" s="195"/>
      <c r="S620" s="197"/>
    </row>
    <row r="621" spans="9:19" ht="14.25">
      <c r="I621" s="195"/>
      <c r="J621" s="193"/>
      <c r="K621" s="195"/>
      <c r="M621" s="195"/>
      <c r="O621" s="195"/>
      <c r="Q621" s="195"/>
      <c r="S621" s="197"/>
    </row>
    <row r="622" spans="9:19" ht="14.25">
      <c r="I622" s="195"/>
      <c r="J622" s="193"/>
      <c r="K622" s="195"/>
      <c r="M622" s="195"/>
      <c r="O622" s="195"/>
      <c r="Q622" s="195"/>
      <c r="S622" s="197"/>
    </row>
    <row r="623" spans="9:19" ht="14.25">
      <c r="I623" s="195"/>
      <c r="J623" s="193"/>
      <c r="K623" s="195"/>
      <c r="M623" s="195"/>
      <c r="O623" s="195"/>
      <c r="Q623" s="195"/>
      <c r="S623" s="197"/>
    </row>
    <row r="624" spans="9:19" ht="14.25">
      <c r="I624" s="195"/>
      <c r="J624" s="193"/>
      <c r="K624" s="195"/>
      <c r="M624" s="195"/>
      <c r="O624" s="195"/>
      <c r="Q624" s="195"/>
      <c r="S624" s="197"/>
    </row>
    <row r="625" spans="9:19" ht="14.25">
      <c r="I625" s="195"/>
      <c r="J625" s="193"/>
      <c r="K625" s="195"/>
      <c r="M625" s="195"/>
      <c r="O625" s="195"/>
      <c r="Q625" s="195"/>
      <c r="S625" s="197"/>
    </row>
    <row r="626" spans="9:19" ht="14.25">
      <c r="I626" s="195"/>
      <c r="J626" s="193"/>
      <c r="K626" s="195"/>
      <c r="M626" s="195"/>
      <c r="O626" s="195"/>
      <c r="Q626" s="195"/>
      <c r="S626" s="197"/>
    </row>
    <row r="627" spans="9:19" ht="14.25">
      <c r="I627" s="195"/>
      <c r="J627" s="193"/>
      <c r="K627" s="195"/>
      <c r="M627" s="195"/>
      <c r="O627" s="195"/>
      <c r="Q627" s="195"/>
      <c r="S627" s="197"/>
    </row>
    <row r="628" spans="9:19" ht="14.25">
      <c r="I628" s="195"/>
      <c r="J628" s="193"/>
      <c r="K628" s="195"/>
      <c r="M628" s="195"/>
      <c r="O628" s="195"/>
      <c r="Q628" s="195"/>
      <c r="S628" s="197"/>
    </row>
    <row r="629" spans="9:19" ht="14.25">
      <c r="I629" s="195"/>
      <c r="J629" s="193"/>
      <c r="K629" s="195"/>
      <c r="M629" s="195"/>
      <c r="O629" s="195"/>
      <c r="Q629" s="195"/>
      <c r="S629" s="197"/>
    </row>
    <row r="630" spans="9:19" ht="14.25">
      <c r="I630" s="195"/>
      <c r="J630" s="193"/>
      <c r="K630" s="195"/>
      <c r="M630" s="195"/>
      <c r="O630" s="195"/>
      <c r="Q630" s="195"/>
      <c r="S630" s="197"/>
    </row>
    <row r="631" spans="9:19" ht="14.25">
      <c r="I631" s="195"/>
      <c r="J631" s="193"/>
      <c r="K631" s="195"/>
      <c r="M631" s="195"/>
      <c r="O631" s="195"/>
      <c r="Q631" s="195"/>
      <c r="S631" s="197"/>
    </row>
    <row r="632" spans="9:19" ht="14.25">
      <c r="I632" s="195"/>
      <c r="J632" s="193"/>
      <c r="K632" s="195"/>
      <c r="M632" s="195"/>
      <c r="O632" s="195"/>
      <c r="Q632" s="195"/>
      <c r="S632" s="197"/>
    </row>
    <row r="633" spans="9:19" ht="14.25">
      <c r="I633" s="195"/>
      <c r="J633" s="193"/>
      <c r="K633" s="195"/>
      <c r="M633" s="195"/>
      <c r="O633" s="195"/>
      <c r="Q633" s="195"/>
      <c r="S633" s="197"/>
    </row>
    <row r="634" spans="9:19" ht="14.25">
      <c r="I634" s="195"/>
      <c r="J634" s="193"/>
      <c r="K634" s="195"/>
      <c r="M634" s="195"/>
      <c r="O634" s="195"/>
      <c r="Q634" s="195"/>
      <c r="S634" s="197"/>
    </row>
    <row r="635" spans="9:19" ht="14.25">
      <c r="I635" s="195"/>
      <c r="J635" s="193"/>
      <c r="K635" s="195"/>
      <c r="M635" s="195"/>
      <c r="O635" s="195"/>
      <c r="Q635" s="195"/>
      <c r="S635" s="197"/>
    </row>
    <row r="636" spans="9:19" ht="14.25">
      <c r="I636" s="195"/>
      <c r="J636" s="193"/>
      <c r="K636" s="195"/>
      <c r="M636" s="195"/>
      <c r="O636" s="195"/>
      <c r="Q636" s="195"/>
      <c r="S636" s="197"/>
    </row>
    <row r="637" spans="9:19" ht="14.25">
      <c r="I637" s="195"/>
      <c r="J637" s="193"/>
      <c r="K637" s="195"/>
      <c r="M637" s="195"/>
      <c r="O637" s="195"/>
      <c r="Q637" s="195"/>
      <c r="S637" s="197"/>
    </row>
    <row r="638" spans="9:19" ht="14.25">
      <c r="I638" s="195"/>
      <c r="J638" s="193"/>
      <c r="K638" s="195"/>
      <c r="M638" s="195"/>
      <c r="O638" s="195"/>
      <c r="Q638" s="195"/>
      <c r="S638" s="197"/>
    </row>
    <row r="639" spans="9:19" ht="14.25">
      <c r="I639" s="195"/>
      <c r="J639" s="193"/>
      <c r="K639" s="195"/>
      <c r="M639" s="195"/>
      <c r="O639" s="195"/>
      <c r="Q639" s="195"/>
      <c r="S639" s="197"/>
    </row>
    <row r="640" spans="9:19" ht="14.25">
      <c r="I640" s="195"/>
      <c r="J640" s="193"/>
      <c r="K640" s="195"/>
      <c r="M640" s="195"/>
      <c r="O640" s="195"/>
      <c r="Q640" s="195"/>
      <c r="S640" s="197"/>
    </row>
    <row r="641" spans="9:19" ht="14.25">
      <c r="I641" s="195"/>
      <c r="J641" s="193"/>
      <c r="K641" s="195"/>
      <c r="M641" s="195"/>
      <c r="O641" s="195"/>
      <c r="Q641" s="195"/>
      <c r="S641" s="197"/>
    </row>
    <row r="642" spans="9:19" ht="14.25">
      <c r="I642" s="195"/>
      <c r="J642" s="193"/>
      <c r="K642" s="195"/>
      <c r="M642" s="195"/>
      <c r="O642" s="195"/>
      <c r="Q642" s="195"/>
      <c r="S642" s="197"/>
    </row>
    <row r="643" spans="9:19" ht="14.25">
      <c r="I643" s="195"/>
      <c r="J643" s="193"/>
      <c r="K643" s="195"/>
      <c r="M643" s="195"/>
      <c r="O643" s="195"/>
      <c r="Q643" s="195"/>
      <c r="S643" s="197"/>
    </row>
    <row r="644" spans="9:19" ht="14.25">
      <c r="I644" s="195"/>
      <c r="J644" s="193"/>
      <c r="K644" s="195"/>
      <c r="M644" s="195"/>
      <c r="O644" s="195"/>
      <c r="Q644" s="195"/>
      <c r="S644" s="197"/>
    </row>
    <row r="645" spans="9:19" ht="14.25">
      <c r="I645" s="195"/>
      <c r="J645" s="193"/>
      <c r="K645" s="195"/>
      <c r="M645" s="195"/>
      <c r="O645" s="195"/>
      <c r="Q645" s="195"/>
      <c r="S645" s="197"/>
    </row>
    <row r="646" spans="9:19" ht="14.25">
      <c r="I646" s="195"/>
      <c r="J646" s="193"/>
      <c r="K646" s="195"/>
      <c r="M646" s="195"/>
      <c r="O646" s="195"/>
      <c r="Q646" s="195"/>
      <c r="S646" s="197"/>
    </row>
    <row r="647" spans="9:19" ht="14.25">
      <c r="I647" s="195"/>
      <c r="J647" s="193"/>
      <c r="K647" s="195"/>
      <c r="M647" s="195"/>
      <c r="O647" s="195"/>
      <c r="Q647" s="195"/>
      <c r="S647" s="197"/>
    </row>
    <row r="648" spans="9:19" ht="14.25">
      <c r="I648" s="195"/>
      <c r="J648" s="193"/>
      <c r="K648" s="195"/>
      <c r="M648" s="195"/>
      <c r="O648" s="195"/>
      <c r="Q648" s="195"/>
      <c r="S648" s="197"/>
    </row>
    <row r="649" spans="9:19" ht="14.25">
      <c r="I649" s="195"/>
      <c r="J649" s="193"/>
      <c r="K649" s="195"/>
      <c r="M649" s="195"/>
      <c r="O649" s="195"/>
      <c r="Q649" s="195"/>
      <c r="S649" s="197"/>
    </row>
    <row r="650" spans="9:19" ht="14.25">
      <c r="I650" s="195"/>
      <c r="J650" s="193"/>
      <c r="K650" s="195"/>
      <c r="M650" s="195"/>
      <c r="O650" s="195"/>
      <c r="Q650" s="195"/>
      <c r="S650" s="197"/>
    </row>
    <row r="651" spans="9:19" ht="14.25">
      <c r="I651" s="195"/>
      <c r="J651" s="193"/>
      <c r="K651" s="195"/>
      <c r="M651" s="195"/>
      <c r="O651" s="195"/>
      <c r="Q651" s="195"/>
      <c r="S651" s="197"/>
    </row>
    <row r="652" spans="9:19" ht="14.25">
      <c r="I652" s="195"/>
      <c r="J652" s="193"/>
      <c r="K652" s="195"/>
      <c r="M652" s="195"/>
      <c r="O652" s="195"/>
      <c r="Q652" s="195"/>
      <c r="S652" s="197"/>
    </row>
    <row r="653" spans="9:19" ht="14.25">
      <c r="I653" s="195"/>
      <c r="J653" s="193"/>
      <c r="K653" s="195"/>
      <c r="M653" s="195"/>
      <c r="O653" s="195"/>
      <c r="Q653" s="195"/>
      <c r="S653" s="197"/>
    </row>
    <row r="654" spans="9:19" ht="14.25">
      <c r="I654" s="195"/>
      <c r="J654" s="193"/>
      <c r="K654" s="195"/>
      <c r="M654" s="195"/>
      <c r="O654" s="195"/>
      <c r="Q654" s="195"/>
      <c r="S654" s="197"/>
    </row>
    <row r="655" spans="9:19" ht="14.25">
      <c r="I655" s="195"/>
      <c r="J655" s="193"/>
      <c r="K655" s="195"/>
      <c r="M655" s="195"/>
      <c r="O655" s="195"/>
      <c r="Q655" s="195"/>
      <c r="S655" s="197"/>
    </row>
    <row r="656" spans="9:19" ht="14.25">
      <c r="I656" s="195"/>
      <c r="J656" s="193"/>
      <c r="K656" s="195"/>
      <c r="M656" s="195"/>
      <c r="O656" s="195"/>
      <c r="Q656" s="195"/>
      <c r="S656" s="197"/>
    </row>
    <row r="657" spans="9:19" ht="14.25">
      <c r="I657" s="195"/>
      <c r="J657" s="193"/>
      <c r="K657" s="195"/>
      <c r="M657" s="195"/>
      <c r="O657" s="195"/>
      <c r="Q657" s="195"/>
      <c r="S657" s="197"/>
    </row>
    <row r="658" spans="9:19" ht="14.25">
      <c r="I658" s="195"/>
      <c r="J658" s="193"/>
      <c r="K658" s="195"/>
      <c r="M658" s="195"/>
      <c r="O658" s="195"/>
      <c r="Q658" s="195"/>
      <c r="S658" s="197"/>
    </row>
    <row r="659" spans="9:19" ht="14.25">
      <c r="I659" s="195"/>
      <c r="J659" s="193"/>
      <c r="K659" s="195"/>
      <c r="M659" s="195"/>
      <c r="O659" s="195"/>
      <c r="Q659" s="195"/>
      <c r="S659" s="197"/>
    </row>
    <row r="660" spans="9:19" ht="14.25">
      <c r="I660" s="195"/>
      <c r="J660" s="193"/>
      <c r="K660" s="195"/>
      <c r="M660" s="195"/>
      <c r="O660" s="195"/>
      <c r="Q660" s="195"/>
      <c r="S660" s="197"/>
    </row>
    <row r="661" spans="9:19" ht="14.25">
      <c r="I661" s="195"/>
      <c r="J661" s="193"/>
      <c r="K661" s="195"/>
      <c r="M661" s="195"/>
      <c r="O661" s="195"/>
      <c r="Q661" s="195"/>
      <c r="S661" s="197"/>
    </row>
    <row r="662" spans="9:19" ht="14.25">
      <c r="I662" s="195"/>
      <c r="J662" s="193"/>
      <c r="K662" s="195"/>
      <c r="M662" s="195"/>
      <c r="O662" s="195"/>
      <c r="Q662" s="195"/>
      <c r="S662" s="197"/>
    </row>
    <row r="663" spans="9:19" ht="14.25">
      <c r="I663" s="195"/>
      <c r="J663" s="193"/>
      <c r="K663" s="195"/>
      <c r="M663" s="195"/>
      <c r="O663" s="195"/>
      <c r="Q663" s="195"/>
      <c r="S663" s="197"/>
    </row>
    <row r="664" spans="9:19" ht="14.25">
      <c r="I664" s="195"/>
      <c r="J664" s="193"/>
      <c r="K664" s="195"/>
      <c r="M664" s="195"/>
      <c r="O664" s="195"/>
      <c r="Q664" s="195"/>
      <c r="S664" s="197"/>
    </row>
    <row r="665" spans="9:19" ht="14.25">
      <c r="I665" s="195"/>
      <c r="J665" s="193"/>
      <c r="K665" s="195"/>
      <c r="M665" s="195"/>
      <c r="O665" s="195"/>
      <c r="Q665" s="195"/>
      <c r="S665" s="197"/>
    </row>
    <row r="666" spans="9:19" ht="14.25">
      <c r="I666" s="195"/>
      <c r="J666" s="193"/>
      <c r="K666" s="195"/>
      <c r="M666" s="195"/>
      <c r="O666" s="195"/>
      <c r="Q666" s="195"/>
      <c r="S666" s="197"/>
    </row>
    <row r="667" spans="9:19" ht="14.25">
      <c r="I667" s="195"/>
      <c r="J667" s="193"/>
      <c r="K667" s="195"/>
      <c r="M667" s="195"/>
      <c r="O667" s="195"/>
      <c r="Q667" s="195"/>
      <c r="S667" s="197"/>
    </row>
    <row r="668" spans="9:19" ht="14.25">
      <c r="I668" s="195"/>
      <c r="J668" s="193"/>
      <c r="K668" s="195"/>
      <c r="M668" s="195"/>
      <c r="O668" s="195"/>
      <c r="Q668" s="195"/>
      <c r="S668" s="197"/>
    </row>
    <row r="669" spans="9:19" ht="14.25">
      <c r="I669" s="195"/>
      <c r="J669" s="193"/>
      <c r="K669" s="195"/>
      <c r="M669" s="195"/>
      <c r="O669" s="195"/>
      <c r="Q669" s="195"/>
      <c r="S669" s="197"/>
    </row>
    <row r="670" spans="9:19" ht="14.25">
      <c r="I670" s="195"/>
      <c r="J670" s="193"/>
      <c r="K670" s="195"/>
      <c r="M670" s="195"/>
      <c r="O670" s="195"/>
      <c r="Q670" s="195"/>
      <c r="S670" s="197"/>
    </row>
    <row r="671" spans="9:19" ht="14.25">
      <c r="I671" s="195"/>
      <c r="J671" s="193"/>
      <c r="K671" s="195"/>
      <c r="M671" s="195"/>
      <c r="O671" s="195"/>
      <c r="Q671" s="195"/>
      <c r="S671" s="197"/>
    </row>
    <row r="672" spans="9:19" ht="14.25">
      <c r="I672" s="195"/>
      <c r="J672" s="193"/>
      <c r="K672" s="195"/>
      <c r="M672" s="195"/>
      <c r="O672" s="195"/>
      <c r="Q672" s="195"/>
      <c r="S672" s="197"/>
    </row>
    <row r="673" spans="9:19" ht="14.25">
      <c r="I673" s="195"/>
      <c r="J673" s="193"/>
      <c r="K673" s="195"/>
      <c r="M673" s="195"/>
      <c r="O673" s="195"/>
      <c r="Q673" s="195"/>
      <c r="S673" s="197"/>
    </row>
    <row r="674" spans="9:19" ht="14.25">
      <c r="I674" s="195"/>
      <c r="J674" s="193"/>
      <c r="K674" s="195"/>
      <c r="M674" s="195"/>
      <c r="O674" s="195"/>
      <c r="Q674" s="195"/>
      <c r="S674" s="197"/>
    </row>
    <row r="675" spans="9:19" ht="14.25">
      <c r="I675" s="195"/>
      <c r="J675" s="193"/>
      <c r="K675" s="195"/>
      <c r="M675" s="195"/>
      <c r="O675" s="195"/>
      <c r="Q675" s="195"/>
      <c r="S675" s="197"/>
    </row>
    <row r="676" spans="9:19" ht="14.25">
      <c r="I676" s="195"/>
      <c r="J676" s="193"/>
      <c r="K676" s="195"/>
      <c r="M676" s="195"/>
      <c r="O676" s="195"/>
      <c r="Q676" s="195"/>
      <c r="S676" s="197"/>
    </row>
    <row r="677" spans="9:19" ht="14.25">
      <c r="I677" s="195"/>
      <c r="J677" s="193"/>
      <c r="K677" s="195"/>
      <c r="M677" s="195"/>
      <c r="O677" s="195"/>
      <c r="Q677" s="195"/>
      <c r="S677" s="197"/>
    </row>
    <row r="678" spans="9:19" ht="14.25">
      <c r="I678" s="195"/>
      <c r="J678" s="193"/>
      <c r="K678" s="195"/>
      <c r="M678" s="195"/>
      <c r="O678" s="195"/>
      <c r="Q678" s="195"/>
      <c r="S678" s="197"/>
    </row>
    <row r="679" spans="9:19" ht="14.25">
      <c r="I679" s="195"/>
      <c r="J679" s="193"/>
      <c r="K679" s="195"/>
      <c r="M679" s="195"/>
      <c r="O679" s="195"/>
      <c r="Q679" s="195"/>
      <c r="S679" s="197"/>
    </row>
    <row r="680" spans="9:19" ht="14.25">
      <c r="I680" s="195"/>
      <c r="J680" s="193"/>
      <c r="K680" s="195"/>
      <c r="M680" s="195"/>
      <c r="O680" s="195"/>
      <c r="Q680" s="195"/>
      <c r="S680" s="197"/>
    </row>
    <row r="681" spans="9:19" ht="14.25">
      <c r="I681" s="195"/>
      <c r="J681" s="193"/>
      <c r="K681" s="195"/>
      <c r="M681" s="195"/>
      <c r="O681" s="195"/>
      <c r="Q681" s="195"/>
      <c r="S681" s="197"/>
    </row>
    <row r="682" spans="9:19" ht="14.25">
      <c r="I682" s="195"/>
      <c r="J682" s="193"/>
      <c r="K682" s="195"/>
      <c r="M682" s="195"/>
      <c r="O682" s="195"/>
      <c r="Q682" s="195"/>
      <c r="S682" s="197"/>
    </row>
    <row r="683" spans="9:19" ht="14.25">
      <c r="I683" s="195"/>
      <c r="J683" s="193"/>
      <c r="K683" s="195"/>
      <c r="M683" s="195"/>
      <c r="O683" s="195"/>
      <c r="Q683" s="195"/>
      <c r="S683" s="197"/>
    </row>
    <row r="684" spans="9:19" ht="14.25">
      <c r="I684" s="195"/>
      <c r="J684" s="193"/>
      <c r="K684" s="195"/>
      <c r="M684" s="195"/>
      <c r="O684" s="195"/>
      <c r="Q684" s="195"/>
      <c r="S684" s="197"/>
    </row>
    <row r="685" spans="9:19" ht="14.25">
      <c r="I685" s="195"/>
      <c r="J685" s="193"/>
      <c r="K685" s="195"/>
      <c r="M685" s="195"/>
      <c r="O685" s="195"/>
      <c r="Q685" s="195"/>
      <c r="S685" s="197"/>
    </row>
    <row r="686" spans="9:19" ht="14.25">
      <c r="I686" s="195"/>
      <c r="J686" s="193"/>
      <c r="K686" s="195"/>
      <c r="M686" s="195"/>
      <c r="O686" s="195"/>
      <c r="Q686" s="195"/>
      <c r="S686" s="197"/>
    </row>
    <row r="687" spans="9:19" ht="14.25">
      <c r="I687" s="195"/>
      <c r="J687" s="193"/>
      <c r="K687" s="195"/>
      <c r="M687" s="195"/>
      <c r="O687" s="195"/>
      <c r="Q687" s="195"/>
      <c r="S687" s="197"/>
    </row>
    <row r="688" spans="9:19" ht="14.25">
      <c r="I688" s="195"/>
      <c r="J688" s="193"/>
      <c r="K688" s="195"/>
      <c r="M688" s="195"/>
      <c r="O688" s="195"/>
      <c r="Q688" s="195"/>
      <c r="S688" s="197"/>
    </row>
    <row r="689" spans="9:19" ht="14.25">
      <c r="I689" s="195"/>
      <c r="J689" s="193"/>
      <c r="K689" s="195"/>
      <c r="M689" s="195"/>
      <c r="O689" s="195"/>
      <c r="Q689" s="195"/>
      <c r="S689" s="197"/>
    </row>
    <row r="690" spans="9:19" ht="14.25">
      <c r="I690" s="195"/>
      <c r="J690" s="193"/>
      <c r="K690" s="195"/>
      <c r="M690" s="195"/>
      <c r="O690" s="195"/>
      <c r="Q690" s="195"/>
      <c r="S690" s="197"/>
    </row>
    <row r="691" spans="9:19" ht="14.25">
      <c r="I691" s="195"/>
      <c r="J691" s="193"/>
      <c r="K691" s="195"/>
      <c r="M691" s="195"/>
      <c r="O691" s="195"/>
      <c r="Q691" s="195"/>
      <c r="S691" s="197"/>
    </row>
    <row r="692" spans="9:19" ht="14.25">
      <c r="I692" s="195"/>
      <c r="J692" s="193"/>
      <c r="K692" s="195"/>
      <c r="M692" s="195"/>
      <c r="O692" s="195"/>
      <c r="Q692" s="195"/>
      <c r="S692" s="197"/>
    </row>
    <row r="693" spans="9:19" ht="14.25">
      <c r="I693" s="195"/>
      <c r="J693" s="193"/>
      <c r="K693" s="195"/>
      <c r="M693" s="195"/>
      <c r="O693" s="195"/>
      <c r="Q693" s="195"/>
      <c r="S693" s="197"/>
    </row>
    <row r="694" spans="9:19" ht="14.25">
      <c r="I694" s="195"/>
      <c r="J694" s="193"/>
      <c r="K694" s="195"/>
      <c r="M694" s="195"/>
      <c r="O694" s="195"/>
      <c r="Q694" s="195"/>
      <c r="S694" s="197"/>
    </row>
    <row r="695" spans="9:19" ht="14.25">
      <c r="I695" s="195"/>
      <c r="J695" s="193"/>
      <c r="K695" s="195"/>
      <c r="M695" s="195"/>
      <c r="O695" s="195"/>
      <c r="Q695" s="195"/>
      <c r="S695" s="197"/>
    </row>
    <row r="696" spans="9:19" ht="14.25">
      <c r="I696" s="195"/>
      <c r="J696" s="193"/>
      <c r="K696" s="195"/>
      <c r="M696" s="195"/>
      <c r="O696" s="195"/>
      <c r="Q696" s="195"/>
      <c r="S696" s="197"/>
    </row>
    <row r="697" spans="9:19" ht="14.25">
      <c r="I697" s="195"/>
      <c r="J697" s="193"/>
      <c r="K697" s="195"/>
      <c r="M697" s="195"/>
      <c r="O697" s="195"/>
      <c r="Q697" s="195"/>
      <c r="S697" s="197"/>
    </row>
    <row r="698" spans="9:19" ht="14.25">
      <c r="I698" s="195"/>
      <c r="J698" s="193"/>
      <c r="K698" s="195"/>
      <c r="M698" s="195"/>
      <c r="O698" s="195"/>
      <c r="Q698" s="195"/>
      <c r="S698" s="197"/>
    </row>
    <row r="699" spans="9:19" ht="14.25">
      <c r="I699" s="195"/>
      <c r="J699" s="193"/>
      <c r="K699" s="195"/>
      <c r="M699" s="195"/>
      <c r="O699" s="195"/>
      <c r="Q699" s="195"/>
      <c r="S699" s="197"/>
    </row>
    <row r="700" spans="9:19" ht="14.25">
      <c r="I700" s="195"/>
      <c r="J700" s="193"/>
      <c r="K700" s="195"/>
      <c r="M700" s="195"/>
      <c r="O700" s="195"/>
      <c r="Q700" s="195"/>
      <c r="S700" s="197"/>
    </row>
    <row r="701" spans="9:19" ht="14.25">
      <c r="I701" s="195"/>
      <c r="J701" s="193"/>
      <c r="K701" s="195"/>
      <c r="M701" s="195"/>
      <c r="O701" s="195"/>
      <c r="Q701" s="195"/>
      <c r="S701" s="197"/>
    </row>
    <row r="702" spans="9:19" ht="14.25">
      <c r="I702" s="195"/>
      <c r="J702" s="193"/>
      <c r="K702" s="195"/>
      <c r="M702" s="195"/>
      <c r="O702" s="195"/>
      <c r="Q702" s="195"/>
      <c r="S702" s="197"/>
    </row>
    <row r="703" spans="9:19" ht="14.25">
      <c r="I703" s="195"/>
      <c r="J703" s="193"/>
      <c r="K703" s="195"/>
      <c r="M703" s="195"/>
      <c r="O703" s="195"/>
      <c r="Q703" s="195"/>
      <c r="S703" s="197"/>
    </row>
    <row r="704" spans="9:19" ht="14.25">
      <c r="I704" s="195"/>
      <c r="J704" s="193"/>
      <c r="K704" s="195"/>
      <c r="M704" s="195"/>
      <c r="O704" s="195"/>
      <c r="Q704" s="195"/>
      <c r="S704" s="197"/>
    </row>
    <row r="705" spans="9:19" ht="14.25">
      <c r="I705" s="195"/>
      <c r="J705" s="193"/>
      <c r="K705" s="195"/>
      <c r="M705" s="195"/>
      <c r="O705" s="195"/>
      <c r="Q705" s="195"/>
      <c r="S705" s="197"/>
    </row>
    <row r="706" spans="9:19" ht="14.25">
      <c r="I706" s="195"/>
      <c r="J706" s="193"/>
      <c r="K706" s="195"/>
      <c r="M706" s="195"/>
      <c r="O706" s="195"/>
      <c r="Q706" s="195"/>
      <c r="S706" s="197"/>
    </row>
    <row r="707" spans="9:19" ht="14.25">
      <c r="I707" s="195"/>
      <c r="J707" s="193"/>
      <c r="K707" s="195"/>
      <c r="M707" s="195"/>
      <c r="O707" s="195"/>
      <c r="Q707" s="195"/>
      <c r="S707" s="197"/>
    </row>
    <row r="708" spans="9:19" ht="14.25">
      <c r="I708" s="195"/>
      <c r="J708" s="193"/>
      <c r="K708" s="195"/>
      <c r="M708" s="195"/>
      <c r="O708" s="195"/>
      <c r="Q708" s="195"/>
      <c r="S708" s="197"/>
    </row>
    <row r="709" spans="9:19" ht="14.25">
      <c r="I709" s="195"/>
      <c r="J709" s="193"/>
      <c r="K709" s="195"/>
      <c r="M709" s="195"/>
      <c r="O709" s="195"/>
      <c r="Q709" s="195"/>
      <c r="S709" s="197"/>
    </row>
    <row r="710" spans="9:19" ht="14.25">
      <c r="I710" s="195"/>
      <c r="J710" s="193"/>
      <c r="K710" s="195"/>
      <c r="M710" s="195"/>
      <c r="O710" s="195"/>
      <c r="Q710" s="195"/>
      <c r="S710" s="197"/>
    </row>
    <row r="711" spans="9:19" ht="14.25">
      <c r="I711" s="195"/>
      <c r="J711" s="193"/>
      <c r="K711" s="195"/>
      <c r="M711" s="195"/>
      <c r="O711" s="195"/>
      <c r="Q711" s="195"/>
      <c r="S711" s="197"/>
    </row>
    <row r="712" spans="9:19" ht="14.25">
      <c r="I712" s="195"/>
      <c r="J712" s="193"/>
      <c r="K712" s="195"/>
      <c r="M712" s="195"/>
      <c r="O712" s="195"/>
      <c r="Q712" s="195"/>
      <c r="S712" s="197"/>
    </row>
    <row r="713" spans="9:19" ht="14.25">
      <c r="I713" s="195"/>
      <c r="J713" s="193"/>
      <c r="K713" s="195"/>
      <c r="M713" s="195"/>
      <c r="O713" s="195"/>
      <c r="Q713" s="195"/>
      <c r="S713" s="197"/>
    </row>
    <row r="714" spans="9:19" ht="14.25">
      <c r="I714" s="195"/>
      <c r="J714" s="193"/>
      <c r="K714" s="195"/>
      <c r="M714" s="195"/>
      <c r="O714" s="195"/>
      <c r="Q714" s="195"/>
      <c r="S714" s="197"/>
    </row>
    <row r="715" spans="9:19" ht="14.25">
      <c r="I715" s="195"/>
      <c r="J715" s="193"/>
      <c r="K715" s="195"/>
      <c r="M715" s="195"/>
      <c r="O715" s="195"/>
      <c r="Q715" s="195"/>
      <c r="S715" s="197"/>
    </row>
    <row r="716" spans="9:19" ht="14.25">
      <c r="I716" s="195"/>
      <c r="J716" s="193"/>
      <c r="K716" s="195"/>
      <c r="M716" s="195"/>
      <c r="O716" s="195"/>
      <c r="Q716" s="195"/>
      <c r="S716" s="197"/>
    </row>
    <row r="717" spans="9:19" ht="14.25">
      <c r="I717" s="195"/>
      <c r="J717" s="193"/>
      <c r="K717" s="195"/>
      <c r="M717" s="195"/>
      <c r="O717" s="195"/>
      <c r="Q717" s="195"/>
      <c r="S717" s="197"/>
    </row>
    <row r="718" spans="9:19" ht="14.25">
      <c r="I718" s="195"/>
      <c r="J718" s="193"/>
      <c r="K718" s="195"/>
      <c r="M718" s="195"/>
      <c r="O718" s="195"/>
      <c r="Q718" s="195"/>
      <c r="S718" s="197"/>
    </row>
    <row r="719" spans="9:19" ht="14.25">
      <c r="I719" s="195"/>
      <c r="J719" s="193"/>
      <c r="K719" s="195"/>
      <c r="M719" s="195"/>
      <c r="O719" s="195"/>
      <c r="Q719" s="195"/>
      <c r="S719" s="197"/>
    </row>
    <row r="720" spans="9:19" ht="14.25">
      <c r="I720" s="195"/>
      <c r="J720" s="193"/>
      <c r="K720" s="195"/>
      <c r="M720" s="195"/>
      <c r="O720" s="195"/>
      <c r="Q720" s="195"/>
      <c r="S720" s="197"/>
    </row>
    <row r="721" spans="9:19" ht="14.25">
      <c r="I721" s="195"/>
      <c r="J721" s="193"/>
      <c r="K721" s="195"/>
      <c r="M721" s="195"/>
      <c r="O721" s="195"/>
      <c r="Q721" s="195"/>
      <c r="S721" s="197"/>
    </row>
    <row r="722" spans="9:19" ht="14.25">
      <c r="I722" s="195"/>
      <c r="J722" s="193"/>
      <c r="K722" s="195"/>
      <c r="M722" s="195"/>
      <c r="O722" s="195"/>
      <c r="Q722" s="195"/>
      <c r="S722" s="197"/>
    </row>
    <row r="723" spans="9:19" ht="14.25">
      <c r="I723" s="195"/>
      <c r="J723" s="193"/>
      <c r="K723" s="195"/>
      <c r="M723" s="195"/>
      <c r="O723" s="195"/>
      <c r="Q723" s="195"/>
      <c r="S723" s="197"/>
    </row>
    <row r="724" spans="9:19" ht="14.25">
      <c r="I724" s="195"/>
      <c r="J724" s="193"/>
      <c r="K724" s="195"/>
      <c r="M724" s="195"/>
      <c r="O724" s="195"/>
      <c r="Q724" s="195"/>
      <c r="S724" s="197"/>
    </row>
    <row r="725" spans="9:19" ht="14.25">
      <c r="I725" s="195"/>
      <c r="J725" s="193"/>
      <c r="K725" s="195"/>
      <c r="M725" s="195"/>
      <c r="O725" s="195"/>
      <c r="Q725" s="195"/>
      <c r="S725" s="197"/>
    </row>
    <row r="726" spans="9:19" ht="14.25">
      <c r="I726" s="195"/>
      <c r="J726" s="193"/>
      <c r="K726" s="195"/>
      <c r="M726" s="195"/>
      <c r="O726" s="195"/>
      <c r="Q726" s="195"/>
      <c r="S726" s="197"/>
    </row>
    <row r="727" spans="9:19" ht="14.25">
      <c r="I727" s="195"/>
      <c r="J727" s="193"/>
      <c r="K727" s="195"/>
      <c r="M727" s="195"/>
      <c r="O727" s="195"/>
      <c r="Q727" s="195"/>
      <c r="S727" s="197"/>
    </row>
    <row r="728" spans="9:19" ht="14.25">
      <c r="I728" s="195"/>
      <c r="J728" s="193"/>
      <c r="K728" s="195"/>
      <c r="M728" s="195"/>
      <c r="O728" s="195"/>
      <c r="Q728" s="195"/>
      <c r="S728" s="197"/>
    </row>
    <row r="729" spans="9:19" ht="14.25">
      <c r="I729" s="195"/>
      <c r="J729" s="193"/>
      <c r="K729" s="195"/>
      <c r="M729" s="195"/>
      <c r="O729" s="195"/>
      <c r="Q729" s="195"/>
      <c r="S729" s="197"/>
    </row>
    <row r="730" spans="9:19" ht="14.25">
      <c r="I730" s="195"/>
      <c r="J730" s="193"/>
      <c r="K730" s="195"/>
      <c r="M730" s="195"/>
      <c r="O730" s="195"/>
      <c r="Q730" s="195"/>
      <c r="S730" s="197"/>
    </row>
    <row r="731" spans="9:19" ht="14.25">
      <c r="I731" s="195"/>
      <c r="J731" s="193"/>
      <c r="K731" s="195"/>
      <c r="M731" s="195"/>
      <c r="O731" s="195"/>
      <c r="Q731" s="195"/>
      <c r="S731" s="197"/>
    </row>
    <row r="732" spans="9:19" ht="14.25">
      <c r="I732" s="195"/>
      <c r="J732" s="193"/>
      <c r="K732" s="195"/>
      <c r="M732" s="195"/>
      <c r="O732" s="195"/>
      <c r="Q732" s="195"/>
      <c r="S732" s="197"/>
    </row>
    <row r="733" spans="9:19" ht="14.25">
      <c r="I733" s="195"/>
      <c r="J733" s="193"/>
      <c r="K733" s="195"/>
      <c r="M733" s="195"/>
      <c r="O733" s="195"/>
      <c r="Q733" s="195"/>
      <c r="S733" s="197"/>
    </row>
    <row r="734" spans="9:19" ht="14.25">
      <c r="I734" s="195"/>
      <c r="J734" s="193"/>
      <c r="K734" s="195"/>
      <c r="M734" s="195"/>
      <c r="O734" s="195"/>
      <c r="Q734" s="195"/>
      <c r="S734" s="197"/>
    </row>
    <row r="735" spans="9:19" ht="14.25">
      <c r="I735" s="195"/>
      <c r="J735" s="193"/>
      <c r="K735" s="195"/>
      <c r="M735" s="195"/>
      <c r="O735" s="195"/>
      <c r="Q735" s="195"/>
      <c r="S735" s="197"/>
    </row>
    <row r="736" spans="9:19" ht="14.25">
      <c r="I736" s="195"/>
      <c r="J736" s="193"/>
      <c r="K736" s="195"/>
      <c r="M736" s="195"/>
      <c r="O736" s="195"/>
      <c r="Q736" s="195"/>
      <c r="S736" s="197"/>
    </row>
    <row r="737" spans="9:19" ht="14.25">
      <c r="I737" s="195"/>
      <c r="J737" s="193"/>
      <c r="K737" s="195"/>
      <c r="M737" s="195"/>
      <c r="O737" s="195"/>
      <c r="Q737" s="195"/>
      <c r="S737" s="197"/>
    </row>
    <row r="738" spans="9:19" ht="14.25">
      <c r="I738" s="195"/>
      <c r="J738" s="193"/>
      <c r="K738" s="195"/>
      <c r="M738" s="195"/>
      <c r="O738" s="195"/>
      <c r="Q738" s="195"/>
      <c r="S738" s="197"/>
    </row>
    <row r="739" spans="9:19" ht="14.25">
      <c r="I739" s="195"/>
      <c r="J739" s="193"/>
      <c r="K739" s="195"/>
      <c r="M739" s="195"/>
      <c r="O739" s="195"/>
      <c r="Q739" s="195"/>
      <c r="S739" s="197"/>
    </row>
    <row r="740" spans="9:19" ht="14.25">
      <c r="I740" s="195"/>
      <c r="J740" s="193"/>
      <c r="K740" s="195"/>
      <c r="M740" s="195"/>
      <c r="O740" s="195"/>
      <c r="Q740" s="195"/>
      <c r="S740" s="197"/>
    </row>
    <row r="741" spans="9:19" ht="14.25">
      <c r="I741" s="195"/>
      <c r="J741" s="193"/>
      <c r="K741" s="195"/>
      <c r="M741" s="195"/>
      <c r="O741" s="195"/>
      <c r="Q741" s="195"/>
      <c r="S741" s="197"/>
    </row>
    <row r="742" spans="9:19" ht="14.25">
      <c r="I742" s="195"/>
      <c r="J742" s="193"/>
      <c r="K742" s="195"/>
      <c r="M742" s="195"/>
      <c r="O742" s="195"/>
      <c r="Q742" s="195"/>
      <c r="S742" s="197"/>
    </row>
    <row r="743" spans="9:19" ht="14.25">
      <c r="I743" s="195"/>
      <c r="J743" s="193"/>
      <c r="K743" s="195"/>
      <c r="M743" s="195"/>
      <c r="O743" s="195"/>
      <c r="Q743" s="195"/>
      <c r="S743" s="197"/>
    </row>
    <row r="744" spans="9:19" ht="14.25">
      <c r="I744" s="195"/>
      <c r="J744" s="193"/>
      <c r="K744" s="195"/>
      <c r="M744" s="195"/>
      <c r="O744" s="195"/>
      <c r="Q744" s="195"/>
      <c r="S744" s="197"/>
    </row>
    <row r="745" spans="9:19" ht="14.25">
      <c r="I745" s="195"/>
      <c r="J745" s="193"/>
      <c r="K745" s="195"/>
      <c r="M745" s="195"/>
      <c r="O745" s="195"/>
      <c r="Q745" s="195"/>
      <c r="S745" s="197"/>
    </row>
    <row r="746" spans="9:19" ht="14.25">
      <c r="I746" s="195"/>
      <c r="J746" s="193"/>
      <c r="K746" s="195"/>
      <c r="M746" s="195"/>
      <c r="O746" s="195"/>
      <c r="Q746" s="195"/>
      <c r="S746" s="197"/>
    </row>
    <row r="747" spans="9:19" ht="14.25">
      <c r="I747" s="195"/>
      <c r="J747" s="193"/>
      <c r="K747" s="195"/>
      <c r="M747" s="195"/>
      <c r="O747" s="195"/>
      <c r="Q747" s="195"/>
      <c r="S747" s="197"/>
    </row>
    <row r="748" spans="9:19" ht="14.25">
      <c r="I748" s="195"/>
      <c r="J748" s="193"/>
      <c r="K748" s="195"/>
      <c r="M748" s="195"/>
      <c r="O748" s="195"/>
      <c r="Q748" s="195"/>
      <c r="S748" s="197"/>
    </row>
    <row r="749" spans="9:19" ht="14.25">
      <c r="I749" s="195"/>
      <c r="J749" s="193"/>
      <c r="K749" s="195"/>
      <c r="M749" s="195"/>
      <c r="O749" s="195"/>
      <c r="Q749" s="195"/>
      <c r="S749" s="197"/>
    </row>
    <row r="750" spans="9:19" ht="14.25">
      <c r="I750" s="195"/>
      <c r="J750" s="193"/>
      <c r="K750" s="195"/>
      <c r="M750" s="195"/>
      <c r="O750" s="195"/>
      <c r="Q750" s="195"/>
      <c r="S750" s="197"/>
    </row>
    <row r="751" spans="9:19" ht="14.25">
      <c r="I751" s="195"/>
      <c r="J751" s="193"/>
      <c r="K751" s="195"/>
      <c r="M751" s="195"/>
      <c r="O751" s="195"/>
      <c r="Q751" s="195"/>
      <c r="S751" s="197"/>
    </row>
    <row r="752" spans="9:19" ht="14.25">
      <c r="I752" s="195"/>
      <c r="J752" s="193"/>
      <c r="K752" s="195"/>
      <c r="M752" s="195"/>
      <c r="O752" s="195"/>
      <c r="Q752" s="195"/>
      <c r="S752" s="197"/>
    </row>
    <row r="753" spans="9:19" ht="14.25">
      <c r="I753" s="195"/>
      <c r="J753" s="193"/>
      <c r="K753" s="195"/>
      <c r="M753" s="195"/>
      <c r="O753" s="195"/>
      <c r="Q753" s="195"/>
      <c r="S753" s="197"/>
    </row>
    <row r="754" spans="9:19" ht="14.25">
      <c r="I754" s="195"/>
      <c r="J754" s="193"/>
      <c r="K754" s="195"/>
      <c r="M754" s="195"/>
      <c r="O754" s="195"/>
      <c r="Q754" s="195"/>
      <c r="S754" s="197"/>
    </row>
    <row r="755" spans="9:19" ht="14.25">
      <c r="I755" s="195"/>
      <c r="J755" s="193"/>
      <c r="K755" s="195"/>
      <c r="M755" s="195"/>
      <c r="O755" s="195"/>
      <c r="Q755" s="195"/>
      <c r="S755" s="197"/>
    </row>
    <row r="756" spans="9:19" ht="14.25">
      <c r="I756" s="195"/>
      <c r="J756" s="193"/>
      <c r="K756" s="195"/>
      <c r="M756" s="195"/>
      <c r="O756" s="195"/>
      <c r="Q756" s="195"/>
      <c r="S756" s="197"/>
    </row>
    <row r="757" spans="9:19" ht="14.25">
      <c r="I757" s="195"/>
      <c r="J757" s="193"/>
      <c r="K757" s="195"/>
      <c r="M757" s="195"/>
      <c r="O757" s="195"/>
      <c r="Q757" s="195"/>
      <c r="S757" s="197"/>
    </row>
    <row r="758" spans="9:19" ht="14.25">
      <c r="I758" s="195"/>
      <c r="J758" s="193"/>
      <c r="K758" s="195"/>
      <c r="M758" s="195"/>
      <c r="O758" s="195"/>
      <c r="Q758" s="195"/>
      <c r="S758" s="197"/>
    </row>
    <row r="759" spans="9:19" ht="14.25">
      <c r="I759" s="195"/>
      <c r="J759" s="193"/>
      <c r="K759" s="195"/>
      <c r="M759" s="195"/>
      <c r="O759" s="195"/>
      <c r="Q759" s="195"/>
      <c r="S759" s="197"/>
    </row>
    <row r="760" spans="9:19" ht="14.25">
      <c r="I760" s="195"/>
      <c r="J760" s="193"/>
      <c r="K760" s="195"/>
      <c r="M760" s="195"/>
      <c r="O760" s="195"/>
      <c r="Q760" s="195"/>
      <c r="S760" s="197"/>
    </row>
    <row r="761" spans="9:19" ht="14.25">
      <c r="I761" s="195"/>
      <c r="J761" s="193"/>
      <c r="K761" s="195"/>
      <c r="M761" s="195"/>
      <c r="O761" s="195"/>
      <c r="Q761" s="195"/>
      <c r="S761" s="197"/>
    </row>
    <row r="762" spans="9:19" ht="14.25">
      <c r="I762" s="195"/>
      <c r="J762" s="193"/>
      <c r="K762" s="195"/>
      <c r="M762" s="195"/>
      <c r="O762" s="195"/>
      <c r="Q762" s="195"/>
      <c r="S762" s="197"/>
    </row>
    <row r="763" spans="9:19" ht="14.25">
      <c r="I763" s="195"/>
      <c r="J763" s="193"/>
      <c r="K763" s="195"/>
      <c r="M763" s="195"/>
      <c r="O763" s="195"/>
      <c r="Q763" s="195"/>
      <c r="S763" s="197"/>
    </row>
    <row r="764" spans="9:19" ht="14.25">
      <c r="I764" s="195"/>
      <c r="J764" s="193"/>
      <c r="K764" s="195"/>
      <c r="M764" s="195"/>
      <c r="O764" s="195"/>
      <c r="Q764" s="195"/>
      <c r="S764" s="197"/>
    </row>
    <row r="765" spans="9:19" ht="14.25">
      <c r="I765" s="195"/>
      <c r="J765" s="193"/>
      <c r="K765" s="195"/>
      <c r="M765" s="195"/>
      <c r="O765" s="195"/>
      <c r="Q765" s="195"/>
      <c r="S765" s="197"/>
    </row>
    <row r="766" spans="9:19" ht="14.25">
      <c r="I766" s="195"/>
      <c r="J766" s="193"/>
      <c r="K766" s="195"/>
      <c r="M766" s="195"/>
      <c r="O766" s="195"/>
      <c r="Q766" s="195"/>
      <c r="S766" s="197"/>
    </row>
    <row r="767" spans="9:19" ht="14.25">
      <c r="I767" s="195"/>
      <c r="J767" s="193"/>
      <c r="K767" s="195"/>
      <c r="M767" s="195"/>
      <c r="O767" s="195"/>
      <c r="Q767" s="195"/>
      <c r="S767" s="197"/>
    </row>
    <row r="768" spans="9:19" ht="14.25">
      <c r="I768" s="195"/>
      <c r="J768" s="193"/>
      <c r="K768" s="195"/>
      <c r="M768" s="195"/>
      <c r="O768" s="195"/>
      <c r="Q768" s="195"/>
      <c r="S768" s="197"/>
    </row>
    <row r="769" spans="9:19" ht="14.25">
      <c r="I769" s="195"/>
      <c r="J769" s="193"/>
      <c r="K769" s="195"/>
      <c r="M769" s="195"/>
      <c r="O769" s="195"/>
      <c r="Q769" s="195"/>
      <c r="S769" s="197"/>
    </row>
    <row r="770" spans="9:19" ht="14.25">
      <c r="I770" s="195"/>
      <c r="J770" s="193"/>
      <c r="K770" s="195"/>
      <c r="M770" s="195"/>
      <c r="O770" s="195"/>
      <c r="Q770" s="195"/>
      <c r="S770" s="197"/>
    </row>
    <row r="771" spans="9:19" ht="14.25">
      <c r="I771" s="195"/>
      <c r="J771" s="193"/>
      <c r="K771" s="195"/>
      <c r="M771" s="195"/>
      <c r="O771" s="195"/>
      <c r="Q771" s="195"/>
      <c r="S771" s="197"/>
    </row>
    <row r="772" spans="9:19" ht="14.25">
      <c r="I772" s="195"/>
      <c r="J772" s="193"/>
      <c r="K772" s="195"/>
      <c r="M772" s="195"/>
      <c r="O772" s="195"/>
      <c r="Q772" s="195"/>
      <c r="S772" s="197"/>
    </row>
    <row r="773" spans="9:19" ht="14.25">
      <c r="I773" s="195"/>
      <c r="J773" s="193"/>
      <c r="K773" s="195"/>
      <c r="M773" s="195"/>
      <c r="O773" s="195"/>
      <c r="Q773" s="195"/>
      <c r="S773" s="197"/>
    </row>
    <row r="774" spans="9:19" ht="14.25">
      <c r="I774" s="195"/>
      <c r="J774" s="193"/>
      <c r="K774" s="195"/>
      <c r="M774" s="195"/>
      <c r="O774" s="195"/>
      <c r="Q774" s="195"/>
      <c r="S774" s="197"/>
    </row>
    <row r="775" spans="9:19" ht="14.25">
      <c r="I775" s="195"/>
      <c r="J775" s="193"/>
      <c r="K775" s="195"/>
      <c r="M775" s="195"/>
      <c r="O775" s="195"/>
      <c r="Q775" s="195"/>
      <c r="S775" s="197"/>
    </row>
    <row r="776" spans="9:19" ht="14.25">
      <c r="I776" s="195"/>
      <c r="J776" s="193"/>
      <c r="K776" s="195"/>
      <c r="M776" s="195"/>
      <c r="O776" s="195"/>
      <c r="Q776" s="195"/>
      <c r="S776" s="197"/>
    </row>
    <row r="777" spans="9:19" ht="14.25">
      <c r="I777" s="195"/>
      <c r="J777" s="193"/>
      <c r="K777" s="195"/>
      <c r="M777" s="195"/>
      <c r="O777" s="195"/>
      <c r="Q777" s="195"/>
      <c r="S777" s="197"/>
    </row>
    <row r="778" spans="9:19" ht="14.25">
      <c r="I778" s="195"/>
      <c r="J778" s="193"/>
      <c r="K778" s="195"/>
      <c r="M778" s="195"/>
      <c r="O778" s="195"/>
      <c r="Q778" s="195"/>
      <c r="S778" s="197"/>
    </row>
    <row r="779" spans="9:19" ht="14.25">
      <c r="I779" s="195"/>
      <c r="J779" s="193"/>
      <c r="K779" s="195"/>
      <c r="M779" s="195"/>
      <c r="O779" s="195"/>
      <c r="Q779" s="195"/>
      <c r="S779" s="197"/>
    </row>
    <row r="780" spans="9:19" ht="14.25">
      <c r="I780" s="195"/>
      <c r="J780" s="193"/>
      <c r="K780" s="195"/>
      <c r="M780" s="195"/>
      <c r="O780" s="195"/>
      <c r="Q780" s="195"/>
      <c r="S780" s="197"/>
    </row>
    <row r="781" spans="9:19" ht="14.25">
      <c r="I781" s="195"/>
      <c r="J781" s="193"/>
      <c r="K781" s="195"/>
      <c r="M781" s="195"/>
      <c r="O781" s="195"/>
      <c r="Q781" s="195"/>
      <c r="S781" s="197"/>
    </row>
    <row r="782" spans="9:19" ht="14.25">
      <c r="I782" s="195"/>
      <c r="J782" s="193"/>
      <c r="K782" s="195"/>
      <c r="M782" s="195"/>
      <c r="O782" s="195"/>
      <c r="Q782" s="195"/>
      <c r="S782" s="197"/>
    </row>
    <row r="783" spans="9:19" ht="14.25">
      <c r="I783" s="195"/>
      <c r="J783" s="193"/>
      <c r="K783" s="195"/>
      <c r="M783" s="195"/>
      <c r="O783" s="195"/>
      <c r="Q783" s="195"/>
      <c r="S783" s="197"/>
    </row>
    <row r="784" spans="9:19" ht="14.25">
      <c r="I784" s="195"/>
      <c r="J784" s="193"/>
      <c r="K784" s="195"/>
      <c r="M784" s="195"/>
      <c r="O784" s="195"/>
      <c r="Q784" s="195"/>
      <c r="S784" s="197"/>
    </row>
    <row r="785" spans="9:19" ht="14.25">
      <c r="I785" s="195"/>
      <c r="J785" s="193"/>
      <c r="K785" s="195"/>
      <c r="M785" s="195"/>
      <c r="O785" s="195"/>
      <c r="Q785" s="195"/>
      <c r="S785" s="197"/>
    </row>
    <row r="786" spans="9:19" ht="14.25">
      <c r="I786" s="195"/>
      <c r="J786" s="193"/>
      <c r="K786" s="195"/>
      <c r="M786" s="195"/>
      <c r="O786" s="195"/>
      <c r="Q786" s="195"/>
      <c r="S786" s="197"/>
    </row>
    <row r="787" spans="9:19" ht="14.25">
      <c r="I787" s="195"/>
      <c r="J787" s="193"/>
      <c r="K787" s="195"/>
      <c r="M787" s="195"/>
      <c r="O787" s="195"/>
      <c r="Q787" s="195"/>
      <c r="S787" s="197"/>
    </row>
    <row r="788" spans="9:19" ht="14.25">
      <c r="I788" s="195"/>
      <c r="J788" s="193"/>
      <c r="K788" s="195"/>
      <c r="M788" s="195"/>
      <c r="O788" s="195"/>
      <c r="Q788" s="195"/>
      <c r="S788" s="197"/>
    </row>
    <row r="789" spans="9:19" ht="14.25">
      <c r="I789" s="195"/>
      <c r="J789" s="193"/>
      <c r="K789" s="195"/>
      <c r="M789" s="195"/>
      <c r="O789" s="195"/>
      <c r="Q789" s="195"/>
      <c r="S789" s="197"/>
    </row>
    <row r="790" spans="9:19" ht="14.25">
      <c r="I790" s="195"/>
      <c r="J790" s="193"/>
      <c r="K790" s="195"/>
      <c r="M790" s="195"/>
      <c r="O790" s="195"/>
      <c r="Q790" s="195"/>
      <c r="S790" s="197"/>
    </row>
    <row r="791" spans="9:19" ht="14.25">
      <c r="I791" s="195"/>
      <c r="J791" s="193"/>
      <c r="K791" s="195"/>
      <c r="M791" s="195"/>
      <c r="O791" s="195"/>
      <c r="Q791" s="195"/>
      <c r="S791" s="197"/>
    </row>
    <row r="792" spans="9:19" ht="14.25">
      <c r="I792" s="195"/>
      <c r="J792" s="193"/>
      <c r="K792" s="195"/>
      <c r="M792" s="195"/>
      <c r="O792" s="195"/>
      <c r="Q792" s="195"/>
      <c r="S792" s="197"/>
    </row>
    <row r="793" spans="9:19" ht="14.25">
      <c r="I793" s="195"/>
      <c r="J793" s="193"/>
      <c r="K793" s="195"/>
      <c r="M793" s="195"/>
      <c r="O793" s="195"/>
      <c r="Q793" s="195"/>
      <c r="S793" s="197"/>
    </row>
    <row r="794" spans="9:19" ht="14.25">
      <c r="I794" s="195"/>
      <c r="J794" s="193"/>
      <c r="K794" s="195"/>
      <c r="M794" s="195"/>
      <c r="O794" s="195"/>
      <c r="Q794" s="195"/>
      <c r="S794" s="197"/>
    </row>
    <row r="795" spans="9:19" ht="14.25">
      <c r="I795" s="195"/>
      <c r="J795" s="193"/>
      <c r="K795" s="195"/>
      <c r="M795" s="195"/>
      <c r="O795" s="195"/>
      <c r="Q795" s="195"/>
      <c r="S795" s="197"/>
    </row>
    <row r="796" spans="9:19" ht="14.25">
      <c r="I796" s="195"/>
      <c r="J796" s="193"/>
      <c r="K796" s="195"/>
      <c r="M796" s="195"/>
      <c r="O796" s="195"/>
      <c r="Q796" s="195"/>
      <c r="S796" s="197"/>
    </row>
    <row r="797" spans="9:19" ht="14.25">
      <c r="I797" s="195"/>
      <c r="J797" s="193"/>
      <c r="K797" s="195"/>
      <c r="M797" s="195"/>
      <c r="O797" s="195"/>
      <c r="Q797" s="195"/>
      <c r="S797" s="197"/>
    </row>
    <row r="798" spans="9:19" ht="14.25">
      <c r="I798" s="195"/>
      <c r="J798" s="193"/>
      <c r="K798" s="195"/>
      <c r="M798" s="195"/>
      <c r="O798" s="195"/>
      <c r="Q798" s="195"/>
      <c r="S798" s="197"/>
    </row>
    <row r="799" spans="9:19" ht="14.25">
      <c r="I799" s="195"/>
      <c r="J799" s="193"/>
      <c r="K799" s="195"/>
      <c r="M799" s="195"/>
      <c r="O799" s="195"/>
      <c r="Q799" s="195"/>
      <c r="S799" s="197"/>
    </row>
    <row r="800" spans="9:19" ht="14.25">
      <c r="I800" s="195"/>
      <c r="J800" s="193"/>
      <c r="K800" s="195"/>
      <c r="M800" s="195"/>
      <c r="O800" s="195"/>
      <c r="Q800" s="195"/>
      <c r="S800" s="197"/>
    </row>
    <row r="801" spans="9:19" ht="14.25">
      <c r="I801" s="195"/>
      <c r="J801" s="193"/>
      <c r="K801" s="195"/>
      <c r="M801" s="195"/>
      <c r="O801" s="195"/>
      <c r="Q801" s="195"/>
      <c r="S801" s="197"/>
    </row>
    <row r="802" spans="9:19" ht="14.25">
      <c r="I802" s="195"/>
      <c r="J802" s="193"/>
      <c r="K802" s="195"/>
      <c r="M802" s="195"/>
      <c r="O802" s="195"/>
      <c r="Q802" s="195"/>
      <c r="S802" s="197"/>
    </row>
    <row r="803" spans="9:19" ht="14.25">
      <c r="I803" s="195"/>
      <c r="J803" s="193"/>
      <c r="K803" s="195"/>
      <c r="M803" s="195"/>
      <c r="O803" s="195"/>
      <c r="Q803" s="195"/>
      <c r="S803" s="197"/>
    </row>
    <row r="804" spans="9:19" ht="14.25">
      <c r="I804" s="195"/>
      <c r="J804" s="193"/>
      <c r="K804" s="195"/>
      <c r="M804" s="195"/>
      <c r="O804" s="195"/>
      <c r="Q804" s="195"/>
      <c r="S804" s="197"/>
    </row>
    <row r="805" spans="9:19" ht="14.25">
      <c r="I805" s="195"/>
      <c r="J805" s="193"/>
      <c r="K805" s="195"/>
      <c r="M805" s="195"/>
      <c r="O805" s="195"/>
      <c r="Q805" s="195"/>
      <c r="S805" s="197"/>
    </row>
    <row r="806" spans="9:19" ht="14.25">
      <c r="I806" s="195"/>
      <c r="J806" s="193"/>
      <c r="K806" s="195"/>
      <c r="M806" s="195"/>
      <c r="O806" s="195"/>
      <c r="Q806" s="195"/>
      <c r="S806" s="197"/>
    </row>
    <row r="807" spans="9:19" ht="14.25">
      <c r="I807" s="195"/>
      <c r="J807" s="193"/>
      <c r="K807" s="195"/>
      <c r="M807" s="195"/>
      <c r="O807" s="195"/>
      <c r="Q807" s="195"/>
      <c r="S807" s="197"/>
    </row>
    <row r="808" spans="9:19" ht="14.25">
      <c r="I808" s="195"/>
      <c r="J808" s="193"/>
      <c r="K808" s="195"/>
      <c r="M808" s="195"/>
      <c r="O808" s="195"/>
      <c r="Q808" s="195"/>
      <c r="S808" s="197"/>
    </row>
    <row r="809" spans="9:19" ht="14.25">
      <c r="I809" s="195"/>
      <c r="J809" s="193"/>
      <c r="K809" s="195"/>
      <c r="M809" s="195"/>
      <c r="O809" s="195"/>
      <c r="Q809" s="195"/>
      <c r="S809" s="197"/>
    </row>
    <row r="810" spans="9:19" ht="14.25">
      <c r="I810" s="195"/>
      <c r="J810" s="193"/>
      <c r="K810" s="195"/>
      <c r="M810" s="195"/>
      <c r="O810" s="195"/>
      <c r="Q810" s="195"/>
      <c r="S810" s="197"/>
    </row>
    <row r="811" spans="9:19" ht="14.25">
      <c r="I811" s="195"/>
      <c r="J811" s="193"/>
      <c r="K811" s="195"/>
      <c r="M811" s="195"/>
      <c r="O811" s="195"/>
      <c r="Q811" s="195"/>
      <c r="S811" s="197"/>
    </row>
    <row r="812" spans="9:19" ht="14.25">
      <c r="I812" s="195"/>
      <c r="J812" s="193"/>
      <c r="K812" s="195"/>
      <c r="M812" s="195"/>
      <c r="O812" s="195"/>
      <c r="Q812" s="195"/>
      <c r="S812" s="197"/>
    </row>
    <row r="813" spans="9:19" ht="14.25">
      <c r="I813" s="195"/>
      <c r="J813" s="193"/>
      <c r="K813" s="195"/>
      <c r="M813" s="195"/>
      <c r="O813" s="195"/>
      <c r="Q813" s="195"/>
      <c r="S813" s="197"/>
    </row>
    <row r="814" spans="9:19" ht="14.25">
      <c r="I814" s="195"/>
      <c r="J814" s="193"/>
      <c r="K814" s="195"/>
      <c r="M814" s="195"/>
      <c r="O814" s="195"/>
      <c r="Q814" s="195"/>
      <c r="S814" s="197"/>
    </row>
    <row r="815" spans="9:19" ht="14.25">
      <c r="I815" s="195"/>
      <c r="J815" s="193"/>
      <c r="K815" s="195"/>
      <c r="M815" s="195"/>
      <c r="O815" s="195"/>
      <c r="Q815" s="195"/>
      <c r="S815" s="197"/>
    </row>
    <row r="816" spans="9:19" ht="14.25">
      <c r="I816" s="195"/>
      <c r="J816" s="193"/>
      <c r="K816" s="195"/>
      <c r="M816" s="195"/>
      <c r="O816" s="195"/>
      <c r="Q816" s="195"/>
      <c r="S816" s="197"/>
    </row>
    <row r="817" spans="9:19" ht="14.25">
      <c r="I817" s="195"/>
      <c r="J817" s="193"/>
      <c r="K817" s="195"/>
      <c r="M817" s="195"/>
      <c r="O817" s="195"/>
      <c r="Q817" s="195"/>
      <c r="S817" s="197"/>
    </row>
    <row r="818" spans="9:19" ht="14.25">
      <c r="I818" s="195"/>
      <c r="J818" s="193"/>
      <c r="K818" s="195"/>
      <c r="M818" s="195"/>
      <c r="O818" s="195"/>
      <c r="Q818" s="195"/>
      <c r="S818" s="197"/>
    </row>
    <row r="819" spans="9:19" ht="14.25">
      <c r="I819" s="195"/>
      <c r="J819" s="193"/>
      <c r="K819" s="195"/>
      <c r="M819" s="195"/>
      <c r="O819" s="195"/>
      <c r="Q819" s="195"/>
      <c r="S819" s="197"/>
    </row>
    <row r="820" spans="9:19" ht="14.25">
      <c r="I820" s="195"/>
      <c r="J820" s="193"/>
      <c r="K820" s="195"/>
      <c r="M820" s="195"/>
      <c r="O820" s="195"/>
      <c r="Q820" s="195"/>
      <c r="S820" s="197"/>
    </row>
    <row r="821" spans="9:19" ht="14.25">
      <c r="I821" s="195"/>
      <c r="J821" s="193"/>
      <c r="K821" s="195"/>
      <c r="M821" s="195"/>
      <c r="O821" s="195"/>
      <c r="Q821" s="195"/>
      <c r="S821" s="197"/>
    </row>
    <row r="822" spans="9:19" ht="14.25">
      <c r="I822" s="195"/>
      <c r="J822" s="193"/>
      <c r="K822" s="195"/>
      <c r="M822" s="195"/>
      <c r="O822" s="195"/>
      <c r="Q822" s="195"/>
      <c r="S822" s="197"/>
    </row>
    <row r="823" spans="9:19" ht="14.25">
      <c r="I823" s="195"/>
      <c r="J823" s="193"/>
      <c r="K823" s="195"/>
      <c r="M823" s="195"/>
      <c r="O823" s="195"/>
      <c r="Q823" s="195"/>
      <c r="S823" s="197"/>
    </row>
    <row r="824" spans="9:19" ht="14.25">
      <c r="I824" s="195"/>
      <c r="J824" s="193"/>
      <c r="K824" s="195"/>
      <c r="M824" s="195"/>
      <c r="O824" s="195"/>
      <c r="Q824" s="195"/>
      <c r="S824" s="197"/>
    </row>
    <row r="825" spans="9:19" ht="14.25">
      <c r="I825" s="195"/>
      <c r="J825" s="193"/>
      <c r="K825" s="195"/>
      <c r="M825" s="195"/>
      <c r="O825" s="195"/>
      <c r="Q825" s="195"/>
      <c r="S825" s="197"/>
    </row>
    <row r="826" spans="9:19" ht="14.25">
      <c r="I826" s="195"/>
      <c r="J826" s="193"/>
      <c r="K826" s="195"/>
      <c r="M826" s="195"/>
      <c r="O826" s="195"/>
      <c r="Q826" s="195"/>
      <c r="S826" s="197"/>
    </row>
    <row r="827" spans="9:19" ht="14.25">
      <c r="I827" s="195"/>
      <c r="J827" s="193"/>
      <c r="K827" s="195"/>
      <c r="M827" s="195"/>
      <c r="O827" s="195"/>
      <c r="Q827" s="195"/>
      <c r="S827" s="197"/>
    </row>
    <row r="828" spans="9:19" ht="14.25">
      <c r="I828" s="195"/>
      <c r="J828" s="193"/>
      <c r="K828" s="195"/>
      <c r="M828" s="195"/>
      <c r="O828" s="195"/>
      <c r="Q828" s="195"/>
      <c r="S828" s="197"/>
    </row>
    <row r="829" spans="9:19" ht="14.25">
      <c r="I829" s="195"/>
      <c r="J829" s="193"/>
      <c r="K829" s="195"/>
      <c r="M829" s="195"/>
      <c r="O829" s="195"/>
      <c r="Q829" s="195"/>
      <c r="S829" s="197"/>
    </row>
    <row r="830" spans="9:19" ht="14.25">
      <c r="I830" s="195"/>
      <c r="J830" s="193"/>
      <c r="K830" s="195"/>
      <c r="M830" s="195"/>
      <c r="O830" s="195"/>
      <c r="Q830" s="195"/>
      <c r="S830" s="197"/>
    </row>
    <row r="831" spans="9:19" ht="14.25">
      <c r="I831" s="195"/>
      <c r="J831" s="193"/>
      <c r="K831" s="195"/>
      <c r="M831" s="195"/>
      <c r="O831" s="195"/>
      <c r="Q831" s="195"/>
      <c r="S831" s="197"/>
    </row>
    <row r="832" spans="9:19" ht="14.25">
      <c r="I832" s="195"/>
      <c r="J832" s="193"/>
      <c r="K832" s="195"/>
      <c r="M832" s="195"/>
      <c r="O832" s="195"/>
      <c r="Q832" s="195"/>
      <c r="S832" s="197"/>
    </row>
    <row r="833" spans="9:19" ht="14.25">
      <c r="I833" s="195"/>
      <c r="J833" s="193"/>
      <c r="K833" s="195"/>
      <c r="M833" s="195"/>
      <c r="O833" s="195"/>
      <c r="Q833" s="195"/>
      <c r="S833" s="197"/>
    </row>
    <row r="834" spans="9:19" ht="14.25">
      <c r="I834" s="195"/>
      <c r="J834" s="193"/>
      <c r="K834" s="195"/>
      <c r="M834" s="195"/>
      <c r="O834" s="195"/>
      <c r="Q834" s="195"/>
      <c r="S834" s="197"/>
    </row>
    <row r="835" spans="9:19" ht="14.25">
      <c r="I835" s="195"/>
      <c r="J835" s="193"/>
      <c r="K835" s="195"/>
      <c r="M835" s="195"/>
      <c r="O835" s="195"/>
      <c r="Q835" s="195"/>
      <c r="S835" s="197"/>
    </row>
    <row r="836" spans="9:19" ht="14.25">
      <c r="I836" s="195"/>
      <c r="J836" s="193"/>
      <c r="K836" s="195"/>
      <c r="M836" s="195"/>
      <c r="O836" s="195"/>
      <c r="Q836" s="195"/>
      <c r="S836" s="197"/>
    </row>
    <row r="837" spans="9:19" ht="14.25">
      <c r="I837" s="195"/>
      <c r="J837" s="193"/>
      <c r="K837" s="195"/>
      <c r="M837" s="195"/>
      <c r="O837" s="195"/>
      <c r="Q837" s="195"/>
      <c r="S837" s="197"/>
    </row>
    <row r="838" spans="9:19" ht="14.25">
      <c r="I838" s="195"/>
      <c r="J838" s="193"/>
      <c r="K838" s="195"/>
      <c r="M838" s="195"/>
      <c r="O838" s="195"/>
      <c r="Q838" s="195"/>
      <c r="S838" s="197"/>
    </row>
    <row r="839" spans="9:19" ht="14.25">
      <c r="I839" s="195"/>
      <c r="J839" s="193"/>
      <c r="K839" s="195"/>
      <c r="M839" s="195"/>
      <c r="O839" s="195"/>
      <c r="Q839" s="195"/>
      <c r="S839" s="197"/>
    </row>
    <row r="840" spans="9:19" ht="14.25">
      <c r="I840" s="195"/>
      <c r="J840" s="193"/>
      <c r="K840" s="195"/>
      <c r="M840" s="195"/>
      <c r="O840" s="195"/>
      <c r="Q840" s="195"/>
      <c r="S840" s="197"/>
    </row>
    <row r="841" spans="9:19" ht="14.25">
      <c r="I841" s="195"/>
      <c r="J841" s="193"/>
      <c r="K841" s="195"/>
      <c r="M841" s="195"/>
      <c r="O841" s="195"/>
      <c r="Q841" s="195"/>
      <c r="S841" s="197"/>
    </row>
    <row r="842" spans="9:19" ht="14.25">
      <c r="I842" s="195"/>
      <c r="J842" s="193"/>
      <c r="K842" s="195"/>
      <c r="M842" s="195"/>
      <c r="O842" s="195"/>
      <c r="Q842" s="195"/>
      <c r="S842" s="197"/>
    </row>
    <row r="843" spans="9:19" ht="14.25">
      <c r="I843" s="195"/>
      <c r="J843" s="193"/>
      <c r="K843" s="195"/>
      <c r="M843" s="195"/>
      <c r="O843" s="195"/>
      <c r="Q843" s="195"/>
      <c r="S843" s="197"/>
    </row>
    <row r="844" spans="9:19" ht="14.25">
      <c r="I844" s="195"/>
      <c r="J844" s="193"/>
      <c r="K844" s="195"/>
      <c r="M844" s="195"/>
      <c r="O844" s="195"/>
      <c r="Q844" s="195"/>
      <c r="S844" s="197"/>
    </row>
    <row r="845" spans="9:19" ht="14.25">
      <c r="I845" s="195"/>
      <c r="J845" s="193"/>
      <c r="K845" s="195"/>
      <c r="M845" s="195"/>
      <c r="O845" s="195"/>
      <c r="Q845" s="195"/>
      <c r="S845" s="197"/>
    </row>
    <row r="846" spans="9:19" ht="14.25">
      <c r="I846" s="195"/>
      <c r="J846" s="193"/>
      <c r="K846" s="195"/>
      <c r="M846" s="195"/>
      <c r="O846" s="195"/>
      <c r="Q846" s="195"/>
      <c r="S846" s="197"/>
    </row>
    <row r="847" spans="9:19" ht="14.25">
      <c r="I847" s="195"/>
      <c r="J847" s="193"/>
      <c r="K847" s="195"/>
      <c r="M847" s="195"/>
      <c r="O847" s="195"/>
      <c r="Q847" s="195"/>
      <c r="S847" s="197"/>
    </row>
    <row r="848" spans="9:19" ht="14.25">
      <c r="I848" s="195"/>
      <c r="J848" s="193"/>
      <c r="K848" s="195"/>
      <c r="M848" s="195"/>
      <c r="O848" s="195"/>
      <c r="Q848" s="195"/>
      <c r="S848" s="197"/>
    </row>
    <row r="849" spans="9:19" ht="14.25">
      <c r="I849" s="195"/>
      <c r="J849" s="193"/>
      <c r="K849" s="195"/>
      <c r="M849" s="195"/>
      <c r="O849" s="195"/>
      <c r="Q849" s="195"/>
      <c r="S849" s="197"/>
    </row>
    <row r="850" spans="9:19" ht="14.25">
      <c r="I850" s="195"/>
      <c r="J850" s="193"/>
      <c r="K850" s="195"/>
      <c r="M850" s="195"/>
      <c r="O850" s="195"/>
      <c r="Q850" s="195"/>
      <c r="S850" s="197"/>
    </row>
    <row r="851" spans="9:19" ht="14.25">
      <c r="I851" s="195"/>
      <c r="J851" s="193"/>
      <c r="K851" s="195"/>
      <c r="M851" s="195"/>
      <c r="O851" s="195"/>
      <c r="Q851" s="195"/>
      <c r="S851" s="197"/>
    </row>
    <row r="852" spans="9:19" ht="14.25">
      <c r="I852" s="195"/>
      <c r="J852" s="193"/>
      <c r="K852" s="195"/>
      <c r="M852" s="195"/>
      <c r="O852" s="195"/>
      <c r="Q852" s="195"/>
      <c r="S852" s="197"/>
    </row>
    <row r="853" spans="9:19" ht="14.25">
      <c r="I853" s="195"/>
      <c r="J853" s="193"/>
      <c r="K853" s="195"/>
      <c r="M853" s="195"/>
      <c r="O853" s="195"/>
      <c r="Q853" s="195"/>
      <c r="S853" s="197"/>
    </row>
    <row r="854" spans="9:19" ht="14.25">
      <c r="I854" s="195"/>
      <c r="J854" s="193"/>
      <c r="K854" s="195"/>
      <c r="M854" s="195"/>
      <c r="O854" s="195"/>
      <c r="Q854" s="195"/>
      <c r="S854" s="197"/>
    </row>
    <row r="855" spans="9:19" ht="14.25">
      <c r="I855" s="195"/>
      <c r="J855" s="193"/>
      <c r="K855" s="195"/>
      <c r="M855" s="195"/>
      <c r="O855" s="195"/>
      <c r="Q855" s="195"/>
      <c r="S855" s="197"/>
    </row>
    <row r="856" spans="9:19" ht="14.25">
      <c r="I856" s="195"/>
      <c r="J856" s="193"/>
      <c r="K856" s="195"/>
      <c r="M856" s="195"/>
      <c r="O856" s="195"/>
      <c r="Q856" s="195"/>
      <c r="S856" s="197"/>
    </row>
    <row r="857" spans="9:19" ht="14.25">
      <c r="I857" s="195"/>
      <c r="J857" s="193"/>
      <c r="K857" s="195"/>
      <c r="M857" s="195"/>
      <c r="O857" s="195"/>
      <c r="Q857" s="195"/>
      <c r="S857" s="197"/>
    </row>
    <row r="858" spans="9:19" ht="14.25">
      <c r="I858" s="195"/>
      <c r="J858" s="193"/>
      <c r="K858" s="195"/>
      <c r="M858" s="195"/>
      <c r="O858" s="195"/>
      <c r="Q858" s="195"/>
      <c r="S858" s="197"/>
    </row>
    <row r="859" spans="9:19" ht="14.25">
      <c r="I859" s="195"/>
      <c r="J859" s="193"/>
      <c r="K859" s="195"/>
      <c r="M859" s="195"/>
      <c r="O859" s="195"/>
      <c r="Q859" s="195"/>
      <c r="S859" s="197"/>
    </row>
    <row r="860" spans="9:19" ht="14.25">
      <c r="I860" s="195"/>
      <c r="J860" s="193"/>
      <c r="K860" s="195"/>
      <c r="M860" s="195"/>
      <c r="O860" s="195"/>
      <c r="Q860" s="195"/>
      <c r="S860" s="197"/>
    </row>
    <row r="861" spans="9:19" ht="14.25">
      <c r="I861" s="195"/>
      <c r="J861" s="193"/>
      <c r="K861" s="195"/>
      <c r="M861" s="195"/>
      <c r="O861" s="195"/>
      <c r="Q861" s="195"/>
      <c r="S861" s="197"/>
    </row>
    <row r="862" spans="9:19" ht="14.25">
      <c r="I862" s="195"/>
      <c r="J862" s="193"/>
      <c r="K862" s="195"/>
      <c r="M862" s="195"/>
      <c r="O862" s="195"/>
      <c r="Q862" s="195"/>
      <c r="S862" s="197"/>
    </row>
    <row r="863" spans="9:19" ht="14.25">
      <c r="I863" s="195"/>
      <c r="J863" s="193"/>
      <c r="K863" s="195"/>
      <c r="M863" s="195"/>
      <c r="O863" s="195"/>
      <c r="Q863" s="195"/>
      <c r="S863" s="197"/>
    </row>
    <row r="864" spans="9:19" ht="14.25">
      <c r="I864" s="195"/>
      <c r="J864" s="193"/>
      <c r="K864" s="195"/>
      <c r="M864" s="195"/>
      <c r="O864" s="195"/>
      <c r="Q864" s="195"/>
      <c r="S864" s="197"/>
    </row>
    <row r="865" spans="9:19" ht="14.25">
      <c r="I865" s="195"/>
      <c r="J865" s="193"/>
      <c r="K865" s="195"/>
      <c r="M865" s="195"/>
      <c r="O865" s="195"/>
      <c r="Q865" s="195"/>
      <c r="S865" s="197"/>
    </row>
    <row r="866" spans="9:19" ht="14.25">
      <c r="I866" s="195"/>
      <c r="J866" s="193"/>
      <c r="K866" s="195"/>
      <c r="M866" s="195"/>
      <c r="O866" s="195"/>
      <c r="Q866" s="195"/>
      <c r="S866" s="197"/>
    </row>
    <row r="867" spans="9:19" ht="14.25">
      <c r="I867" s="195"/>
      <c r="J867" s="193"/>
      <c r="K867" s="195"/>
      <c r="M867" s="195"/>
      <c r="O867" s="195"/>
      <c r="Q867" s="195"/>
      <c r="S867" s="197"/>
    </row>
    <row r="868" spans="9:19" ht="14.25">
      <c r="I868" s="195"/>
      <c r="J868" s="193"/>
      <c r="K868" s="195"/>
      <c r="M868" s="195"/>
      <c r="O868" s="195"/>
      <c r="Q868" s="195"/>
      <c r="S868" s="197"/>
    </row>
    <row r="869" spans="9:19" ht="14.25">
      <c r="I869" s="195"/>
      <c r="J869" s="193"/>
      <c r="K869" s="195"/>
      <c r="M869" s="195"/>
      <c r="O869" s="195"/>
      <c r="Q869" s="195"/>
      <c r="S869" s="197"/>
    </row>
    <row r="870" spans="9:19" ht="14.25">
      <c r="I870" s="195"/>
      <c r="J870" s="193"/>
      <c r="K870" s="195"/>
      <c r="M870" s="195"/>
      <c r="O870" s="195"/>
      <c r="Q870" s="195"/>
      <c r="S870" s="197"/>
    </row>
    <row r="871" spans="9:19" ht="14.25">
      <c r="I871" s="195"/>
      <c r="J871" s="193"/>
      <c r="K871" s="195"/>
      <c r="M871" s="195"/>
      <c r="O871" s="195"/>
      <c r="Q871" s="195"/>
      <c r="S871" s="197"/>
    </row>
    <row r="872" spans="9:19" ht="14.25">
      <c r="I872" s="195"/>
      <c r="J872" s="193"/>
      <c r="K872" s="195"/>
      <c r="M872" s="195"/>
      <c r="O872" s="195"/>
      <c r="Q872" s="195"/>
      <c r="S872" s="197"/>
    </row>
    <row r="873" spans="9:19" ht="14.25">
      <c r="I873" s="195"/>
      <c r="J873" s="193"/>
      <c r="K873" s="195"/>
      <c r="M873" s="195"/>
      <c r="O873" s="195"/>
      <c r="Q873" s="195"/>
      <c r="S873" s="197"/>
    </row>
    <row r="874" spans="9:19" ht="14.25">
      <c r="I874" s="195"/>
      <c r="J874" s="193"/>
      <c r="K874" s="195"/>
      <c r="M874" s="195"/>
      <c r="O874" s="195"/>
      <c r="Q874" s="195"/>
      <c r="S874" s="197"/>
    </row>
    <row r="875" spans="9:19" ht="14.25">
      <c r="I875" s="195"/>
      <c r="J875" s="193"/>
      <c r="K875" s="195"/>
      <c r="M875" s="195"/>
      <c r="O875" s="195"/>
      <c r="Q875" s="195"/>
      <c r="S875" s="197"/>
    </row>
    <row r="876" spans="9:19" ht="14.25">
      <c r="I876" s="195"/>
      <c r="J876" s="193"/>
      <c r="K876" s="195"/>
      <c r="M876" s="195"/>
      <c r="O876" s="195"/>
      <c r="Q876" s="195"/>
      <c r="S876" s="197"/>
    </row>
    <row r="877" spans="9:19" ht="14.25">
      <c r="I877" s="195"/>
      <c r="J877" s="193"/>
      <c r="K877" s="195"/>
      <c r="M877" s="195"/>
      <c r="O877" s="195"/>
      <c r="Q877" s="195"/>
      <c r="S877" s="197"/>
    </row>
    <row r="878" spans="9:19" ht="14.25">
      <c r="I878" s="195"/>
      <c r="J878" s="193"/>
      <c r="K878" s="195"/>
      <c r="M878" s="195"/>
      <c r="O878" s="195"/>
      <c r="Q878" s="195"/>
      <c r="S878" s="197"/>
    </row>
    <row r="879" spans="9:19" ht="14.25">
      <c r="I879" s="195"/>
      <c r="J879" s="193"/>
      <c r="K879" s="195"/>
      <c r="M879" s="195"/>
      <c r="O879" s="195"/>
      <c r="Q879" s="195"/>
      <c r="S879" s="197"/>
    </row>
    <row r="880" spans="9:19" ht="14.25">
      <c r="I880" s="195"/>
      <c r="J880" s="193"/>
      <c r="K880" s="195"/>
      <c r="M880" s="195"/>
      <c r="O880" s="195"/>
      <c r="Q880" s="195"/>
      <c r="S880" s="197"/>
    </row>
    <row r="881" spans="9:19" ht="14.25">
      <c r="I881" s="195"/>
      <c r="J881" s="193"/>
      <c r="K881" s="195"/>
      <c r="M881" s="195"/>
      <c r="O881" s="195"/>
      <c r="Q881" s="195"/>
      <c r="S881" s="197"/>
    </row>
    <row r="882" spans="9:19" ht="14.25">
      <c r="I882" s="195"/>
      <c r="J882" s="193"/>
      <c r="K882" s="195"/>
      <c r="M882" s="195"/>
      <c r="O882" s="195"/>
      <c r="Q882" s="195"/>
      <c r="S882" s="197"/>
    </row>
    <row r="883" spans="9:19" ht="14.25">
      <c r="I883" s="195"/>
      <c r="J883" s="193"/>
      <c r="K883" s="195"/>
      <c r="M883" s="195"/>
      <c r="O883" s="195"/>
      <c r="Q883" s="195"/>
      <c r="S883" s="197"/>
    </row>
    <row r="884" spans="9:19" ht="14.25">
      <c r="I884" s="195"/>
      <c r="J884" s="193"/>
      <c r="K884" s="195"/>
      <c r="M884" s="195"/>
      <c r="O884" s="195"/>
      <c r="Q884" s="195"/>
      <c r="S884" s="197"/>
    </row>
    <row r="885" spans="9:19" ht="14.25">
      <c r="I885" s="195"/>
      <c r="J885" s="193"/>
      <c r="K885" s="195"/>
      <c r="M885" s="195"/>
      <c r="O885" s="195"/>
      <c r="Q885" s="195"/>
      <c r="S885" s="197"/>
    </row>
    <row r="886" spans="9:19" ht="14.25">
      <c r="I886" s="195"/>
      <c r="J886" s="193"/>
      <c r="K886" s="195"/>
      <c r="M886" s="195"/>
      <c r="O886" s="195"/>
      <c r="Q886" s="195"/>
      <c r="S886" s="197"/>
    </row>
    <row r="887" spans="9:19" ht="14.25">
      <c r="I887" s="195"/>
      <c r="J887" s="193"/>
      <c r="K887" s="195"/>
      <c r="M887" s="195"/>
      <c r="O887" s="195"/>
      <c r="Q887" s="195"/>
      <c r="S887" s="197"/>
    </row>
    <row r="888" spans="9:19" ht="14.25">
      <c r="I888" s="195"/>
      <c r="J888" s="193"/>
      <c r="K888" s="195"/>
      <c r="M888" s="195"/>
      <c r="O888" s="195"/>
      <c r="Q888" s="195"/>
      <c r="S888" s="197"/>
    </row>
    <row r="889" spans="9:19" ht="14.25">
      <c r="I889" s="195"/>
      <c r="J889" s="193"/>
      <c r="K889" s="195"/>
      <c r="M889" s="195"/>
      <c r="O889" s="195"/>
      <c r="Q889" s="195"/>
      <c r="S889" s="197"/>
    </row>
    <row r="890" spans="9:19" ht="14.25">
      <c r="I890" s="195"/>
      <c r="J890" s="193"/>
      <c r="K890" s="195"/>
      <c r="M890" s="195"/>
      <c r="O890" s="195"/>
      <c r="Q890" s="195"/>
      <c r="S890" s="197"/>
    </row>
    <row r="891" spans="9:19" ht="14.25">
      <c r="I891" s="195"/>
      <c r="J891" s="193"/>
      <c r="K891" s="195"/>
      <c r="M891" s="195"/>
      <c r="O891" s="195"/>
      <c r="Q891" s="195"/>
      <c r="S891" s="197"/>
    </row>
    <row r="892" spans="9:19" ht="14.25">
      <c r="I892" s="195"/>
      <c r="J892" s="193"/>
      <c r="K892" s="195"/>
      <c r="M892" s="195"/>
      <c r="O892" s="195"/>
      <c r="Q892" s="195"/>
      <c r="S892" s="197"/>
    </row>
    <row r="893" spans="9:19" ht="14.25">
      <c r="I893" s="195"/>
      <c r="J893" s="193"/>
      <c r="K893" s="195"/>
      <c r="M893" s="195"/>
      <c r="O893" s="195"/>
      <c r="Q893" s="195"/>
      <c r="S893" s="197"/>
    </row>
    <row r="894" spans="9:19" ht="14.25">
      <c r="I894" s="195"/>
      <c r="J894" s="193"/>
      <c r="K894" s="195"/>
      <c r="M894" s="195"/>
      <c r="O894" s="195"/>
      <c r="Q894" s="195"/>
      <c r="S894" s="197"/>
    </row>
    <row r="895" spans="9:19" ht="14.25">
      <c r="I895" s="195"/>
      <c r="J895" s="193"/>
      <c r="K895" s="195"/>
      <c r="M895" s="195"/>
      <c r="O895" s="195"/>
      <c r="Q895" s="195"/>
      <c r="S895" s="197"/>
    </row>
    <row r="896" spans="9:19" ht="14.25">
      <c r="I896" s="195"/>
      <c r="J896" s="193"/>
      <c r="K896" s="195"/>
      <c r="M896" s="195"/>
      <c r="O896" s="195"/>
      <c r="Q896" s="195"/>
      <c r="S896" s="197"/>
    </row>
    <row r="897" spans="9:19" ht="14.25">
      <c r="I897" s="195"/>
      <c r="J897" s="193"/>
      <c r="K897" s="195"/>
      <c r="M897" s="195"/>
      <c r="O897" s="195"/>
      <c r="Q897" s="195"/>
      <c r="S897" s="197"/>
    </row>
    <row r="898" spans="9:19" ht="14.25">
      <c r="I898" s="195"/>
      <c r="J898" s="193"/>
      <c r="K898" s="195"/>
      <c r="M898" s="195"/>
      <c r="O898" s="195"/>
      <c r="Q898" s="195"/>
      <c r="S898" s="197"/>
    </row>
    <row r="899" spans="9:19" ht="14.25">
      <c r="I899" s="195"/>
      <c r="J899" s="193"/>
      <c r="K899" s="195"/>
      <c r="M899" s="195"/>
      <c r="O899" s="195"/>
      <c r="Q899" s="195"/>
      <c r="S899" s="197"/>
    </row>
    <row r="900" spans="9:19" ht="14.25">
      <c r="I900" s="195"/>
      <c r="J900" s="193"/>
      <c r="K900" s="195"/>
      <c r="M900" s="195"/>
      <c r="O900" s="195"/>
      <c r="Q900" s="195"/>
      <c r="S900" s="197"/>
    </row>
    <row r="901" spans="9:19" ht="14.25">
      <c r="I901" s="195"/>
      <c r="J901" s="193"/>
      <c r="K901" s="195"/>
      <c r="M901" s="195"/>
      <c r="O901" s="195"/>
      <c r="Q901" s="195"/>
      <c r="S901" s="197"/>
    </row>
    <row r="902" spans="9:19" ht="14.25">
      <c r="I902" s="195"/>
      <c r="J902" s="193"/>
      <c r="K902" s="195"/>
      <c r="M902" s="195"/>
      <c r="O902" s="195"/>
      <c r="Q902" s="195"/>
      <c r="S902" s="197"/>
    </row>
    <row r="903" spans="9:19" ht="14.25">
      <c r="I903" s="195"/>
      <c r="J903" s="193"/>
      <c r="K903" s="195"/>
      <c r="M903" s="195"/>
      <c r="O903" s="195"/>
      <c r="Q903" s="195"/>
      <c r="S903" s="197"/>
    </row>
    <row r="904" spans="9:19" ht="14.25">
      <c r="I904" s="195"/>
      <c r="J904" s="193"/>
      <c r="K904" s="195"/>
      <c r="M904" s="195"/>
      <c r="O904" s="195"/>
      <c r="Q904" s="195"/>
      <c r="S904" s="197"/>
    </row>
    <row r="905" spans="9:19" ht="14.25">
      <c r="I905" s="195"/>
      <c r="J905" s="193"/>
      <c r="K905" s="195"/>
      <c r="M905" s="195"/>
      <c r="O905" s="195"/>
      <c r="Q905" s="195"/>
      <c r="S905" s="197"/>
    </row>
    <row r="906" spans="9:19" ht="14.25">
      <c r="I906" s="195"/>
      <c r="J906" s="193"/>
      <c r="K906" s="195"/>
      <c r="M906" s="195"/>
      <c r="O906" s="195"/>
      <c r="Q906" s="195"/>
      <c r="S906" s="197"/>
    </row>
    <row r="907" spans="9:19" ht="14.25">
      <c r="I907" s="195"/>
      <c r="J907" s="193"/>
      <c r="K907" s="195"/>
      <c r="M907" s="195"/>
      <c r="O907" s="195"/>
      <c r="Q907" s="195"/>
      <c r="S907" s="197"/>
    </row>
    <row r="908" spans="9:19" ht="14.25">
      <c r="I908" s="195"/>
      <c r="J908" s="193"/>
      <c r="K908" s="195"/>
      <c r="M908" s="195"/>
      <c r="O908" s="195"/>
      <c r="Q908" s="195"/>
      <c r="S908" s="197"/>
    </row>
    <row r="909" spans="9:19" ht="14.25">
      <c r="I909" s="195"/>
      <c r="J909" s="193"/>
      <c r="K909" s="195"/>
      <c r="M909" s="195"/>
      <c r="O909" s="195"/>
      <c r="Q909" s="195"/>
      <c r="S909" s="197"/>
    </row>
    <row r="910" spans="9:19" ht="14.25">
      <c r="I910" s="195"/>
      <c r="J910" s="193"/>
      <c r="K910" s="195"/>
      <c r="M910" s="195"/>
      <c r="O910" s="195"/>
      <c r="Q910" s="195"/>
      <c r="S910" s="197"/>
    </row>
    <row r="911" spans="9:19" ht="14.25">
      <c r="I911" s="195"/>
      <c r="J911" s="193"/>
      <c r="K911" s="195"/>
      <c r="M911" s="195"/>
      <c r="O911" s="195"/>
      <c r="Q911" s="195"/>
      <c r="S911" s="197"/>
    </row>
    <row r="912" spans="9:19" ht="14.25">
      <c r="I912" s="195"/>
      <c r="J912" s="193"/>
      <c r="K912" s="195"/>
      <c r="M912" s="195"/>
      <c r="O912" s="195"/>
      <c r="Q912" s="195"/>
      <c r="S912" s="197"/>
    </row>
    <row r="913" spans="9:19" ht="14.25">
      <c r="I913" s="195"/>
      <c r="J913" s="193"/>
      <c r="K913" s="195"/>
      <c r="M913" s="195"/>
      <c r="O913" s="195"/>
      <c r="Q913" s="195"/>
      <c r="S913" s="197"/>
    </row>
    <row r="914" spans="9:19" ht="14.25">
      <c r="I914" s="195"/>
      <c r="J914" s="193"/>
      <c r="K914" s="195"/>
      <c r="M914" s="195"/>
      <c r="O914" s="195"/>
      <c r="Q914" s="195"/>
      <c r="S914" s="197"/>
    </row>
    <row r="915" spans="9:19" ht="14.25">
      <c r="I915" s="195"/>
      <c r="J915" s="193"/>
      <c r="K915" s="195"/>
      <c r="M915" s="195"/>
      <c r="O915" s="195"/>
      <c r="Q915" s="195"/>
      <c r="S915" s="197"/>
    </row>
    <row r="916" spans="9:19" ht="14.25">
      <c r="I916" s="195"/>
      <c r="J916" s="193"/>
      <c r="K916" s="195"/>
      <c r="M916" s="195"/>
      <c r="O916" s="195"/>
      <c r="Q916" s="195"/>
      <c r="S916" s="197"/>
    </row>
    <row r="917" spans="9:19" ht="14.25">
      <c r="I917" s="195"/>
      <c r="J917" s="193"/>
      <c r="K917" s="195"/>
      <c r="M917" s="195"/>
      <c r="O917" s="195"/>
      <c r="Q917" s="195"/>
      <c r="S917" s="197"/>
    </row>
    <row r="918" spans="9:19" ht="14.25">
      <c r="I918" s="195"/>
      <c r="J918" s="193"/>
      <c r="K918" s="195"/>
      <c r="M918" s="195"/>
      <c r="O918" s="195"/>
      <c r="Q918" s="195"/>
      <c r="S918" s="197"/>
    </row>
    <row r="919" spans="9:19" ht="14.25">
      <c r="I919" s="195"/>
      <c r="J919" s="193"/>
      <c r="K919" s="195"/>
      <c r="M919" s="195"/>
      <c r="O919" s="195"/>
      <c r="Q919" s="195"/>
      <c r="S919" s="197"/>
    </row>
    <row r="920" spans="9:19" ht="14.25">
      <c r="I920" s="195"/>
      <c r="J920" s="193"/>
      <c r="K920" s="195"/>
      <c r="M920" s="195"/>
      <c r="O920" s="195"/>
      <c r="Q920" s="195"/>
      <c r="S920" s="197"/>
    </row>
    <row r="921" spans="9:19" ht="14.25">
      <c r="I921" s="195"/>
      <c r="J921" s="193"/>
      <c r="K921" s="195"/>
      <c r="M921" s="195"/>
      <c r="O921" s="195"/>
      <c r="Q921" s="195"/>
      <c r="S921" s="197"/>
    </row>
    <row r="922" spans="9:19" ht="14.25">
      <c r="I922" s="195"/>
      <c r="J922" s="193"/>
      <c r="K922" s="195"/>
      <c r="M922" s="195"/>
      <c r="O922" s="195"/>
      <c r="Q922" s="195"/>
      <c r="S922" s="197"/>
    </row>
    <row r="923" spans="9:19" ht="14.25">
      <c r="I923" s="195"/>
      <c r="J923" s="193"/>
      <c r="K923" s="195"/>
      <c r="M923" s="195"/>
      <c r="O923" s="195"/>
      <c r="Q923" s="195"/>
      <c r="S923" s="197"/>
    </row>
    <row r="924" spans="9:19" ht="14.25">
      <c r="I924" s="195"/>
      <c r="J924" s="193"/>
      <c r="K924" s="195"/>
      <c r="M924" s="195"/>
      <c r="O924" s="195"/>
      <c r="Q924" s="195"/>
      <c r="S924" s="197"/>
    </row>
    <row r="925" spans="9:19" ht="14.25">
      <c r="I925" s="195"/>
      <c r="J925" s="193"/>
      <c r="K925" s="195"/>
      <c r="M925" s="195"/>
      <c r="O925" s="195"/>
      <c r="Q925" s="195"/>
      <c r="S925" s="197"/>
    </row>
    <row r="926" spans="9:19" ht="14.25">
      <c r="I926" s="195"/>
      <c r="J926" s="193"/>
      <c r="K926" s="195"/>
      <c r="M926" s="195"/>
      <c r="O926" s="195"/>
      <c r="Q926" s="195"/>
      <c r="S926" s="197"/>
    </row>
    <row r="927" spans="9:19" ht="14.25">
      <c r="I927" s="195"/>
      <c r="J927" s="193"/>
      <c r="K927" s="195"/>
      <c r="M927" s="195"/>
      <c r="O927" s="195"/>
      <c r="Q927" s="195"/>
      <c r="S927" s="197"/>
    </row>
    <row r="928" spans="9:19" ht="14.25">
      <c r="I928" s="195"/>
      <c r="J928" s="193"/>
      <c r="K928" s="195"/>
      <c r="M928" s="195"/>
      <c r="O928" s="195"/>
      <c r="Q928" s="195"/>
      <c r="S928" s="197"/>
    </row>
    <row r="929" spans="9:19" ht="14.25">
      <c r="I929" s="195"/>
      <c r="J929" s="193"/>
      <c r="K929" s="195"/>
      <c r="M929" s="195"/>
      <c r="O929" s="195"/>
      <c r="Q929" s="195"/>
      <c r="S929" s="197"/>
    </row>
    <row r="930" spans="9:19" ht="14.25">
      <c r="I930" s="195"/>
      <c r="J930" s="193"/>
      <c r="K930" s="195"/>
      <c r="M930" s="195"/>
      <c r="O930" s="195"/>
      <c r="Q930" s="195"/>
      <c r="S930" s="197"/>
    </row>
    <row r="931" spans="9:19" ht="14.25">
      <c r="I931" s="195"/>
      <c r="J931" s="193"/>
      <c r="K931" s="195"/>
      <c r="M931" s="195"/>
      <c r="O931" s="195"/>
      <c r="Q931" s="195"/>
      <c r="S931" s="197"/>
    </row>
    <row r="932" spans="9:19" ht="14.25">
      <c r="I932" s="195"/>
      <c r="J932" s="193"/>
      <c r="K932" s="195"/>
      <c r="M932" s="195"/>
      <c r="O932" s="195"/>
      <c r="Q932" s="195"/>
      <c r="S932" s="197"/>
    </row>
    <row r="933" spans="9:19" ht="14.25">
      <c r="I933" s="195"/>
      <c r="J933" s="193"/>
      <c r="K933" s="195"/>
      <c r="M933" s="195"/>
      <c r="O933" s="195"/>
      <c r="Q933" s="195"/>
      <c r="S933" s="197"/>
    </row>
    <row r="934" spans="9:19" ht="14.25">
      <c r="I934" s="195"/>
      <c r="J934" s="193"/>
      <c r="K934" s="195"/>
      <c r="M934" s="195"/>
      <c r="O934" s="195"/>
      <c r="Q934" s="195"/>
      <c r="S934" s="197"/>
    </row>
    <row r="935" spans="9:19" ht="14.25">
      <c r="I935" s="195"/>
      <c r="J935" s="193"/>
      <c r="K935" s="195"/>
      <c r="M935" s="195"/>
      <c r="O935" s="195"/>
      <c r="Q935" s="195"/>
      <c r="S935" s="197"/>
    </row>
    <row r="936" spans="9:19" ht="14.25">
      <c r="I936" s="195"/>
      <c r="J936" s="193"/>
      <c r="K936" s="195"/>
      <c r="M936" s="195"/>
      <c r="O936" s="195"/>
      <c r="Q936" s="195"/>
      <c r="S936" s="197"/>
    </row>
    <row r="937" spans="9:19" ht="14.25">
      <c r="I937" s="195"/>
      <c r="J937" s="193"/>
      <c r="K937" s="195"/>
      <c r="M937" s="195"/>
      <c r="O937" s="195"/>
      <c r="Q937" s="195"/>
      <c r="S937" s="197"/>
    </row>
    <row r="938" spans="9:19" ht="14.25">
      <c r="I938" s="195"/>
      <c r="J938" s="193"/>
      <c r="K938" s="195"/>
      <c r="M938" s="195"/>
      <c r="O938" s="195"/>
      <c r="Q938" s="195"/>
      <c r="S938" s="197"/>
    </row>
    <row r="939" spans="9:19" ht="14.25">
      <c r="I939" s="195"/>
      <c r="J939" s="193"/>
      <c r="K939" s="195"/>
      <c r="M939" s="195"/>
      <c r="O939" s="195"/>
      <c r="Q939" s="195"/>
      <c r="S939" s="197"/>
    </row>
    <row r="940" spans="9:19" ht="14.25">
      <c r="I940" s="195"/>
      <c r="J940" s="193"/>
      <c r="K940" s="195"/>
      <c r="M940" s="195"/>
      <c r="O940" s="195"/>
      <c r="Q940" s="195"/>
      <c r="S940" s="197"/>
    </row>
    <row r="941" spans="9:19" ht="14.25">
      <c r="I941" s="195"/>
      <c r="J941" s="193"/>
      <c r="K941" s="195"/>
      <c r="M941" s="195"/>
      <c r="O941" s="195"/>
      <c r="Q941" s="195"/>
      <c r="S941" s="197"/>
    </row>
    <row r="942" spans="9:19" ht="14.25">
      <c r="I942" s="195"/>
      <c r="J942" s="193"/>
      <c r="K942" s="195"/>
      <c r="M942" s="195"/>
      <c r="O942" s="195"/>
      <c r="Q942" s="195"/>
      <c r="S942" s="197"/>
    </row>
    <row r="943" spans="9:19" ht="14.25">
      <c r="I943" s="195"/>
      <c r="J943" s="193"/>
      <c r="K943" s="195"/>
      <c r="M943" s="195"/>
      <c r="O943" s="195"/>
      <c r="Q943" s="195"/>
      <c r="S943" s="197"/>
    </row>
    <row r="944" spans="9:19" ht="14.25">
      <c r="I944" s="195"/>
      <c r="J944" s="193"/>
      <c r="K944" s="195"/>
      <c r="M944" s="195"/>
      <c r="O944" s="195"/>
      <c r="Q944" s="195"/>
      <c r="S944" s="197"/>
    </row>
    <row r="945" spans="9:19" ht="14.25">
      <c r="I945" s="195"/>
      <c r="J945" s="193"/>
      <c r="K945" s="195"/>
      <c r="M945" s="195"/>
      <c r="O945" s="195"/>
      <c r="Q945" s="195"/>
      <c r="S945" s="197"/>
    </row>
    <row r="946" spans="9:19" ht="14.25">
      <c r="I946" s="195"/>
      <c r="J946" s="193"/>
      <c r="K946" s="195"/>
      <c r="M946" s="195"/>
      <c r="O946" s="195"/>
      <c r="Q946" s="195"/>
      <c r="S946" s="197"/>
    </row>
    <row r="947" spans="9:19" ht="14.25">
      <c r="I947" s="195"/>
      <c r="J947" s="193"/>
      <c r="K947" s="195"/>
      <c r="M947" s="195"/>
      <c r="O947" s="195"/>
      <c r="Q947" s="195"/>
      <c r="S947" s="197"/>
    </row>
    <row r="948" spans="9:19" ht="14.25">
      <c r="I948" s="195"/>
      <c r="J948" s="193"/>
      <c r="K948" s="195"/>
      <c r="M948" s="195"/>
      <c r="O948" s="195"/>
      <c r="Q948" s="195"/>
      <c r="S948" s="197"/>
    </row>
    <row r="949" spans="9:19" ht="14.25">
      <c r="I949" s="195"/>
      <c r="J949" s="193"/>
      <c r="K949" s="195"/>
      <c r="M949" s="195"/>
      <c r="O949" s="195"/>
      <c r="Q949" s="195"/>
      <c r="S949" s="197"/>
    </row>
    <row r="950" spans="9:19" ht="14.25">
      <c r="I950" s="195"/>
      <c r="J950" s="193"/>
      <c r="K950" s="195"/>
      <c r="M950" s="195"/>
      <c r="O950" s="195"/>
      <c r="Q950" s="195"/>
      <c r="S950" s="197"/>
    </row>
    <row r="951" spans="9:19" ht="14.25">
      <c r="I951" s="195"/>
      <c r="J951" s="193"/>
      <c r="K951" s="195"/>
      <c r="M951" s="195"/>
      <c r="O951" s="195"/>
      <c r="Q951" s="195"/>
      <c r="S951" s="197"/>
    </row>
    <row r="952" spans="9:19" ht="14.25">
      <c r="I952" s="195"/>
      <c r="J952" s="193"/>
      <c r="K952" s="195"/>
      <c r="M952" s="195"/>
      <c r="O952" s="195"/>
      <c r="Q952" s="195"/>
      <c r="S952" s="197"/>
    </row>
    <row r="953" spans="9:19" ht="14.25">
      <c r="I953" s="195"/>
      <c r="J953" s="193"/>
      <c r="K953" s="195"/>
      <c r="M953" s="195"/>
      <c r="O953" s="195"/>
      <c r="Q953" s="195"/>
      <c r="S953" s="197"/>
    </row>
    <row r="954" spans="9:19" ht="14.25">
      <c r="I954" s="195"/>
      <c r="J954" s="193"/>
      <c r="K954" s="195"/>
      <c r="M954" s="195"/>
      <c r="O954" s="195"/>
      <c r="Q954" s="195"/>
      <c r="S954" s="197"/>
    </row>
    <row r="955" spans="9:19" ht="14.25">
      <c r="I955" s="195"/>
      <c r="J955" s="193"/>
      <c r="K955" s="195"/>
      <c r="M955" s="195"/>
      <c r="O955" s="195"/>
      <c r="Q955" s="195"/>
      <c r="S955" s="197"/>
    </row>
    <row r="956" spans="9:19" ht="14.25">
      <c r="I956" s="195"/>
      <c r="J956" s="193"/>
      <c r="K956" s="195"/>
      <c r="M956" s="195"/>
      <c r="O956" s="195"/>
      <c r="Q956" s="195"/>
      <c r="S956" s="197"/>
    </row>
    <row r="957" spans="9:19" ht="14.25">
      <c r="I957" s="195"/>
      <c r="J957" s="193"/>
      <c r="K957" s="195"/>
      <c r="M957" s="195"/>
      <c r="O957" s="195"/>
      <c r="Q957" s="195"/>
      <c r="S957" s="197"/>
    </row>
    <row r="958" spans="9:19" ht="14.25">
      <c r="I958" s="195"/>
      <c r="J958" s="193"/>
      <c r="K958" s="195"/>
      <c r="M958" s="195"/>
      <c r="O958" s="195"/>
      <c r="Q958" s="195"/>
      <c r="S958" s="197"/>
    </row>
    <row r="959" spans="9:19" ht="14.25">
      <c r="I959" s="195"/>
      <c r="J959" s="193"/>
      <c r="K959" s="195"/>
      <c r="M959" s="195"/>
      <c r="O959" s="195"/>
      <c r="Q959" s="195"/>
      <c r="S959" s="197"/>
    </row>
    <row r="960" spans="9:19" ht="14.25">
      <c r="I960" s="195"/>
      <c r="J960" s="193"/>
      <c r="K960" s="195"/>
      <c r="M960" s="195"/>
      <c r="O960" s="195"/>
      <c r="Q960" s="195"/>
      <c r="S960" s="197"/>
    </row>
    <row r="961" spans="9:19" ht="14.25">
      <c r="I961" s="195"/>
      <c r="J961" s="193"/>
      <c r="K961" s="195"/>
      <c r="M961" s="195"/>
      <c r="O961" s="195"/>
      <c r="Q961" s="195"/>
      <c r="S961" s="197"/>
    </row>
    <row r="962" spans="9:19" ht="14.25">
      <c r="I962" s="195"/>
      <c r="J962" s="193"/>
      <c r="K962" s="195"/>
      <c r="M962" s="195"/>
      <c r="O962" s="195"/>
      <c r="Q962" s="195"/>
      <c r="S962" s="197"/>
    </row>
    <row r="963" spans="9:19" ht="14.25">
      <c r="I963" s="195"/>
      <c r="J963" s="193"/>
      <c r="K963" s="195"/>
      <c r="M963" s="195"/>
      <c r="O963" s="195"/>
      <c r="Q963" s="195"/>
      <c r="S963" s="197"/>
    </row>
    <row r="964" spans="9:19" ht="14.25">
      <c r="I964" s="195"/>
      <c r="J964" s="193"/>
      <c r="K964" s="195"/>
      <c r="M964" s="195"/>
      <c r="O964" s="195"/>
      <c r="Q964" s="195"/>
      <c r="S964" s="197"/>
    </row>
    <row r="965" spans="9:19" ht="14.25">
      <c r="I965" s="195"/>
      <c r="J965" s="193"/>
      <c r="K965" s="195"/>
      <c r="M965" s="195"/>
      <c r="O965" s="195"/>
      <c r="Q965" s="195"/>
      <c r="S965" s="197"/>
    </row>
    <row r="966" spans="9:19" ht="14.25">
      <c r="I966" s="195"/>
      <c r="J966" s="193"/>
      <c r="K966" s="195"/>
      <c r="M966" s="195"/>
      <c r="O966" s="195"/>
      <c r="Q966" s="195"/>
      <c r="S966" s="197"/>
    </row>
    <row r="967" spans="9:19" ht="14.25">
      <c r="I967" s="195"/>
      <c r="J967" s="193"/>
      <c r="K967" s="195"/>
      <c r="M967" s="195"/>
      <c r="O967" s="195"/>
      <c r="Q967" s="195"/>
      <c r="S967" s="197"/>
    </row>
    <row r="968" spans="9:19" ht="14.25">
      <c r="I968" s="195"/>
      <c r="J968" s="193"/>
      <c r="K968" s="195"/>
      <c r="M968" s="195"/>
      <c r="O968" s="195"/>
      <c r="Q968" s="195"/>
      <c r="S968" s="197"/>
    </row>
    <row r="969" spans="9:19" ht="14.25">
      <c r="I969" s="195"/>
      <c r="J969" s="193"/>
      <c r="K969" s="195"/>
      <c r="M969" s="195"/>
      <c r="O969" s="195"/>
      <c r="Q969" s="195"/>
      <c r="S969" s="197"/>
    </row>
    <row r="970" spans="9:19" ht="14.25">
      <c r="I970" s="195"/>
      <c r="J970" s="193"/>
      <c r="K970" s="195"/>
      <c r="M970" s="195"/>
      <c r="O970" s="195"/>
      <c r="Q970" s="195"/>
      <c r="S970" s="197"/>
    </row>
    <row r="971" spans="9:19" ht="14.25">
      <c r="I971" s="195"/>
      <c r="J971" s="193"/>
      <c r="K971" s="195"/>
      <c r="M971" s="195"/>
      <c r="O971" s="195"/>
      <c r="Q971" s="195"/>
      <c r="S971" s="197"/>
    </row>
    <row r="972" spans="9:19" ht="14.25">
      <c r="I972" s="195"/>
      <c r="J972" s="193"/>
      <c r="K972" s="195"/>
      <c r="M972" s="195"/>
      <c r="O972" s="195"/>
      <c r="Q972" s="195"/>
      <c r="S972" s="197"/>
    </row>
    <row r="973" spans="9:19" ht="14.25">
      <c r="I973" s="195"/>
      <c r="J973" s="193"/>
      <c r="K973" s="195"/>
      <c r="M973" s="195"/>
      <c r="O973" s="195"/>
      <c r="Q973" s="195"/>
      <c r="S973" s="197"/>
    </row>
    <row r="974" spans="9:19" ht="14.25">
      <c r="I974" s="195"/>
      <c r="J974" s="193"/>
      <c r="K974" s="195"/>
      <c r="M974" s="195"/>
      <c r="O974" s="195"/>
      <c r="Q974" s="195"/>
      <c r="S974" s="197"/>
    </row>
    <row r="975" spans="9:19" ht="14.25">
      <c r="I975" s="195"/>
      <c r="J975" s="193"/>
      <c r="K975" s="195"/>
      <c r="M975" s="195"/>
      <c r="O975" s="195"/>
      <c r="Q975" s="195"/>
      <c r="S975" s="197"/>
    </row>
    <row r="976" spans="9:19" ht="14.25">
      <c r="I976" s="195"/>
      <c r="J976" s="193"/>
      <c r="K976" s="195"/>
      <c r="M976" s="195"/>
      <c r="O976" s="195"/>
      <c r="Q976" s="195"/>
      <c r="S976" s="197"/>
    </row>
    <row r="977" spans="9:19" ht="14.25">
      <c r="I977" s="195"/>
      <c r="J977" s="193"/>
      <c r="K977" s="195"/>
      <c r="M977" s="195"/>
      <c r="O977" s="195"/>
      <c r="Q977" s="195"/>
      <c r="S977" s="197"/>
    </row>
    <row r="978" spans="9:19" ht="14.25">
      <c r="I978" s="195"/>
      <c r="J978" s="193"/>
      <c r="K978" s="195"/>
      <c r="M978" s="195"/>
      <c r="O978" s="195"/>
      <c r="Q978" s="195"/>
      <c r="S978" s="197"/>
    </row>
    <row r="979" spans="9:19" ht="14.25">
      <c r="I979" s="195"/>
      <c r="J979" s="193"/>
      <c r="K979" s="195"/>
      <c r="M979" s="195"/>
      <c r="O979" s="195"/>
      <c r="Q979" s="195"/>
      <c r="S979" s="197"/>
    </row>
    <row r="980" spans="9:19" ht="14.25">
      <c r="I980" s="195"/>
      <c r="J980" s="193"/>
      <c r="K980" s="195"/>
      <c r="M980" s="195"/>
      <c r="O980" s="195"/>
      <c r="Q980" s="195"/>
      <c r="S980" s="197"/>
    </row>
    <row r="981" spans="9:19" ht="14.25">
      <c r="I981" s="195"/>
      <c r="J981" s="193"/>
      <c r="K981" s="195"/>
      <c r="M981" s="195"/>
      <c r="O981" s="195"/>
      <c r="Q981" s="195"/>
      <c r="S981" s="197"/>
    </row>
    <row r="982" spans="9:19" ht="14.25">
      <c r="I982" s="195"/>
      <c r="J982" s="193"/>
      <c r="K982" s="195"/>
      <c r="M982" s="195"/>
      <c r="O982" s="195"/>
      <c r="Q982" s="195"/>
      <c r="S982" s="197"/>
    </row>
    <row r="983" spans="9:19" ht="14.25">
      <c r="I983" s="195"/>
      <c r="J983" s="193"/>
      <c r="K983" s="195"/>
      <c r="M983" s="195"/>
      <c r="O983" s="195"/>
      <c r="Q983" s="195"/>
      <c r="S983" s="197"/>
    </row>
    <row r="984" spans="9:19" ht="14.25">
      <c r="I984" s="195"/>
      <c r="J984" s="193"/>
      <c r="K984" s="195"/>
      <c r="M984" s="195"/>
      <c r="O984" s="195"/>
      <c r="Q984" s="195"/>
      <c r="S984" s="197"/>
    </row>
    <row r="985" spans="9:19" ht="14.25">
      <c r="I985" s="195"/>
      <c r="J985" s="193"/>
      <c r="K985" s="195"/>
      <c r="M985" s="195"/>
      <c r="O985" s="195"/>
      <c r="Q985" s="195"/>
      <c r="S985" s="197"/>
    </row>
    <row r="986" spans="9:19" ht="14.25">
      <c r="I986" s="195"/>
      <c r="J986" s="193"/>
      <c r="K986" s="195"/>
      <c r="M986" s="195"/>
      <c r="O986" s="195"/>
      <c r="Q986" s="195"/>
      <c r="S986" s="197"/>
    </row>
    <row r="987" spans="9:19" ht="14.25">
      <c r="I987" s="195"/>
      <c r="J987" s="193"/>
      <c r="K987" s="195"/>
      <c r="M987" s="195"/>
      <c r="O987" s="195"/>
      <c r="Q987" s="195"/>
      <c r="S987" s="197"/>
    </row>
    <row r="988" spans="9:19" ht="14.25">
      <c r="I988" s="195"/>
      <c r="J988" s="193"/>
      <c r="K988" s="195"/>
      <c r="M988" s="195"/>
      <c r="O988" s="195"/>
      <c r="Q988" s="195"/>
      <c r="S988" s="197"/>
    </row>
    <row r="989" spans="9:19" ht="14.25">
      <c r="I989" s="195"/>
      <c r="J989" s="193"/>
      <c r="K989" s="195"/>
      <c r="M989" s="195"/>
      <c r="O989" s="195"/>
      <c r="Q989" s="195"/>
      <c r="S989" s="197"/>
    </row>
    <row r="990" spans="9:19" ht="14.25">
      <c r="I990" s="195"/>
      <c r="J990" s="193"/>
      <c r="K990" s="195"/>
      <c r="M990" s="195"/>
      <c r="O990" s="195"/>
      <c r="Q990" s="195"/>
      <c r="S990" s="197"/>
    </row>
    <row r="991" spans="9:19" ht="14.25">
      <c r="I991" s="195"/>
      <c r="J991" s="193"/>
      <c r="K991" s="195"/>
      <c r="M991" s="195"/>
      <c r="O991" s="195"/>
      <c r="Q991" s="195"/>
      <c r="S991" s="197"/>
    </row>
    <row r="992" spans="9:19" ht="14.25">
      <c r="I992" s="195"/>
      <c r="J992" s="193"/>
      <c r="K992" s="195"/>
      <c r="M992" s="195"/>
      <c r="O992" s="195"/>
      <c r="Q992" s="195"/>
      <c r="S992" s="197"/>
    </row>
    <row r="993" spans="9:19" ht="14.25">
      <c r="I993" s="195"/>
      <c r="J993" s="193"/>
      <c r="K993" s="195"/>
      <c r="M993" s="195"/>
      <c r="O993" s="195"/>
      <c r="Q993" s="195"/>
      <c r="S993" s="197"/>
    </row>
    <row r="994" spans="9:19" ht="14.25">
      <c r="I994" s="195"/>
      <c r="J994" s="193"/>
      <c r="K994" s="195"/>
      <c r="M994" s="195"/>
      <c r="O994" s="195"/>
      <c r="Q994" s="195"/>
      <c r="S994" s="197"/>
    </row>
    <row r="995" spans="9:19" ht="14.25">
      <c r="I995" s="195"/>
      <c r="J995" s="193"/>
      <c r="K995" s="195"/>
      <c r="M995" s="195"/>
      <c r="O995" s="195"/>
      <c r="Q995" s="195"/>
      <c r="S995" s="197"/>
    </row>
    <row r="996" spans="9:19" ht="14.25">
      <c r="I996" s="195"/>
      <c r="J996" s="193"/>
      <c r="K996" s="195"/>
      <c r="M996" s="195"/>
      <c r="O996" s="195"/>
      <c r="Q996" s="195"/>
      <c r="S996" s="197"/>
    </row>
    <row r="997" spans="9:19" ht="14.25">
      <c r="I997" s="195"/>
      <c r="J997" s="193"/>
      <c r="K997" s="195"/>
      <c r="M997" s="195"/>
      <c r="O997" s="195"/>
      <c r="Q997" s="195"/>
      <c r="S997" s="197"/>
    </row>
    <row r="998" spans="9:19" ht="14.25">
      <c r="I998" s="195"/>
      <c r="J998" s="193"/>
      <c r="K998" s="195"/>
      <c r="M998" s="195"/>
      <c r="O998" s="195"/>
      <c r="Q998" s="195"/>
      <c r="S998" s="197"/>
    </row>
    <row r="999" spans="9:19" ht="14.25">
      <c r="I999" s="195"/>
      <c r="J999" s="193"/>
      <c r="K999" s="195"/>
      <c r="M999" s="195"/>
      <c r="O999" s="195"/>
      <c r="Q999" s="195"/>
      <c r="S999" s="197"/>
    </row>
    <row r="1000" spans="9:19" ht="14.25">
      <c r="I1000" s="195"/>
      <c r="J1000" s="193"/>
      <c r="K1000" s="195"/>
      <c r="M1000" s="195"/>
      <c r="O1000" s="195"/>
      <c r="Q1000" s="195"/>
      <c r="S1000" s="197"/>
    </row>
    <row r="1001" spans="9:19" ht="14.25">
      <c r="I1001" s="195"/>
      <c r="J1001" s="193"/>
      <c r="K1001" s="195"/>
      <c r="M1001" s="195"/>
      <c r="O1001" s="195"/>
      <c r="Q1001" s="195"/>
      <c r="S1001" s="202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1"/>
  <sheetViews>
    <sheetView workbookViewId="0"/>
  </sheetViews>
  <sheetFormatPr defaultColWidth="12.625" defaultRowHeight="15" customHeight="1"/>
  <cols>
    <col min="1" max="1" width="16.375" customWidth="1"/>
    <col min="4" max="4" width="16.875" customWidth="1"/>
    <col min="5" max="5" width="15.875" customWidth="1"/>
    <col min="6" max="8" width="20.125" customWidth="1"/>
    <col min="9" max="10" width="17.625" customWidth="1"/>
    <col min="11" max="12" width="14.625" customWidth="1"/>
    <col min="13" max="13" width="23.125" customWidth="1"/>
    <col min="14" max="14" width="19.625" customWidth="1"/>
  </cols>
  <sheetData>
    <row r="1" spans="1:31" ht="45" customHeight="1">
      <c r="A1" s="225" t="s">
        <v>5615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1"/>
    </row>
    <row r="2" spans="1:31" ht="36.75" customHeight="1">
      <c r="A2" s="203" t="s">
        <v>5616</v>
      </c>
      <c r="B2" s="203" t="s">
        <v>5617</v>
      </c>
      <c r="C2" s="203" t="s">
        <v>5618</v>
      </c>
      <c r="D2" s="203" t="s">
        <v>5619</v>
      </c>
      <c r="E2" s="204" t="s">
        <v>13</v>
      </c>
      <c r="F2" s="204" t="s">
        <v>5620</v>
      </c>
      <c r="G2" s="204" t="s">
        <v>4765</v>
      </c>
      <c r="H2" s="204" t="s">
        <v>5621</v>
      </c>
      <c r="I2" s="204" t="s">
        <v>5622</v>
      </c>
      <c r="J2" s="204" t="s">
        <v>5623</v>
      </c>
      <c r="K2" s="204" t="s">
        <v>5624</v>
      </c>
      <c r="L2" s="204" t="s">
        <v>5625</v>
      </c>
      <c r="M2" s="204" t="s">
        <v>5626</v>
      </c>
      <c r="N2" s="204" t="s">
        <v>71</v>
      </c>
      <c r="O2" s="203"/>
      <c r="P2" s="203"/>
      <c r="Q2" s="203"/>
    </row>
    <row r="3" spans="1:31" ht="34.5" customHeight="1">
      <c r="A3" s="79">
        <v>44833</v>
      </c>
      <c r="B3" s="205">
        <v>1</v>
      </c>
      <c r="C3" s="206" t="s">
        <v>2531</v>
      </c>
      <c r="D3" s="207" t="str">
        <f t="shared" ref="D3:D1001" si="0">IF(OR(C3="",B3=""),"","SRM-" &amp;C3 &amp; "-" &amp; TEXT(B3,"00000"))</f>
        <v>SRM-MA-00001</v>
      </c>
      <c r="E3" s="208" t="s">
        <v>2659</v>
      </c>
      <c r="F3" s="205" t="str">
        <f>IF(E3="","",VLOOKUP(E3,'ARAMA LİSTELERİ'!$C$3:$G$1001,5,))</f>
        <v>961 70 159 799</v>
      </c>
      <c r="G3" s="208" t="s">
        <v>4786</v>
      </c>
      <c r="H3" s="209"/>
      <c r="I3" s="79"/>
      <c r="J3" s="209"/>
      <c r="K3" s="209"/>
      <c r="L3" s="210" t="str">
        <f t="shared" ref="L3:L1001" si="1">IF(H3="","",IF((H3-(J3+K3))=0,"ÖDEME TAMAMLANDI",TEXT(H3-(K3+J3),"0.00 $") &amp; " kaldı."))</f>
        <v/>
      </c>
      <c r="M3" s="79"/>
      <c r="N3" s="207"/>
      <c r="O3" s="207"/>
      <c r="P3" s="207"/>
      <c r="Q3" s="207"/>
    </row>
    <row r="4" spans="1:31" ht="34.5" customHeight="1">
      <c r="A4" s="79">
        <v>44886</v>
      </c>
      <c r="B4" s="205">
        <v>2</v>
      </c>
      <c r="C4" s="206" t="s">
        <v>2531</v>
      </c>
      <c r="D4" s="207" t="str">
        <f t="shared" si="0"/>
        <v>SRM-MA-00002</v>
      </c>
      <c r="E4" s="208" t="s">
        <v>2995</v>
      </c>
      <c r="F4" s="205" t="str">
        <f>IF(E4="","",VLOOKUP(E4,'ARAMA LİSTELERİ'!$C$3:$G$1001,5,))</f>
        <v>352 621 201 204</v>
      </c>
      <c r="G4" s="208" t="s">
        <v>4786</v>
      </c>
      <c r="H4" s="209"/>
      <c r="I4" s="79"/>
      <c r="J4" s="209"/>
      <c r="K4" s="209"/>
      <c r="L4" s="210" t="str">
        <f t="shared" si="1"/>
        <v/>
      </c>
      <c r="M4" s="79"/>
      <c r="N4" s="207"/>
      <c r="O4" s="207"/>
      <c r="P4" s="207"/>
      <c r="Q4" s="207"/>
    </row>
    <row r="5" spans="1:31" ht="34.5" customHeight="1">
      <c r="A5" s="79">
        <v>44873</v>
      </c>
      <c r="B5" s="205">
        <v>3</v>
      </c>
      <c r="C5" s="206" t="s">
        <v>2531</v>
      </c>
      <c r="D5" s="207" t="str">
        <f t="shared" si="0"/>
        <v>SRM-MA-00003</v>
      </c>
      <c r="E5" s="208" t="s">
        <v>2715</v>
      </c>
      <c r="F5" s="205" t="str">
        <f>IF(E5="","",VLOOKUP(E5,'ARAMA LİSTELERİ'!$C$3:$G$1001,5,))</f>
        <v>965 9091 1866</v>
      </c>
      <c r="G5" s="208" t="s">
        <v>4786</v>
      </c>
      <c r="H5" s="209"/>
      <c r="I5" s="79"/>
      <c r="J5" s="209"/>
      <c r="K5" s="210"/>
      <c r="L5" s="210" t="str">
        <f t="shared" si="1"/>
        <v/>
      </c>
      <c r="M5" s="79"/>
      <c r="N5" s="207"/>
      <c r="O5" s="207"/>
      <c r="P5" s="207"/>
      <c r="Q5" s="207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</row>
    <row r="6" spans="1:31" ht="34.5" customHeight="1">
      <c r="A6" s="79">
        <v>44886</v>
      </c>
      <c r="B6" s="205">
        <v>4</v>
      </c>
      <c r="C6" s="206" t="s">
        <v>2531</v>
      </c>
      <c r="D6" s="207" t="str">
        <f t="shared" si="0"/>
        <v>SRM-MA-00004</v>
      </c>
      <c r="E6" s="208" t="s">
        <v>4063</v>
      </c>
      <c r="F6" s="205" t="str">
        <f>IF(E6="","",VLOOKUP(E6,'ARAMA LİSTELERİ'!$C$3:$G$1001,5,))</f>
        <v>961 3 203 828</v>
      </c>
      <c r="G6" s="208" t="s">
        <v>4779</v>
      </c>
      <c r="H6" s="210"/>
      <c r="I6" s="79"/>
      <c r="J6" s="210"/>
      <c r="K6" s="210"/>
      <c r="L6" s="210" t="str">
        <f t="shared" si="1"/>
        <v/>
      </c>
      <c r="M6" s="79"/>
      <c r="N6" s="207"/>
      <c r="O6" s="207"/>
      <c r="P6" s="207"/>
      <c r="Q6" s="207"/>
    </row>
    <row r="7" spans="1:31" ht="34.5" customHeight="1">
      <c r="A7" s="79">
        <v>44873</v>
      </c>
      <c r="B7" s="205">
        <v>5</v>
      </c>
      <c r="C7" s="206" t="s">
        <v>2531</v>
      </c>
      <c r="D7" s="207" t="str">
        <f t="shared" si="0"/>
        <v>SRM-MA-00005</v>
      </c>
      <c r="E7" s="208" t="s">
        <v>3791</v>
      </c>
      <c r="F7" s="205">
        <f>IF(E7="","",VLOOKUP(E7,'ARAMA LİSTELERİ'!$C$3:$G$1001,5,))</f>
        <v>4917622108634</v>
      </c>
      <c r="G7" s="208" t="s">
        <v>4786</v>
      </c>
      <c r="H7" s="210"/>
      <c r="I7" s="79"/>
      <c r="J7" s="210"/>
      <c r="K7" s="210"/>
      <c r="L7" s="210" t="str">
        <f t="shared" si="1"/>
        <v/>
      </c>
      <c r="M7" s="79"/>
      <c r="N7" s="207"/>
      <c r="O7" s="207"/>
      <c r="P7" s="207"/>
      <c r="Q7" s="207"/>
    </row>
    <row r="8" spans="1:31" ht="34.5" customHeight="1">
      <c r="A8" s="79">
        <v>44901</v>
      </c>
      <c r="B8" s="205">
        <v>6</v>
      </c>
      <c r="C8" s="206" t="s">
        <v>2531</v>
      </c>
      <c r="D8" s="207" t="str">
        <f t="shared" si="0"/>
        <v>SRM-MA-00006</v>
      </c>
      <c r="E8" s="208" t="s">
        <v>2646</v>
      </c>
      <c r="F8" s="205" t="str">
        <f>IF(E8="","",VLOOKUP(E8,'ARAMA LİSTELERİ'!$C$3:$G$1001,5,))</f>
        <v>965 9723 6518</v>
      </c>
      <c r="G8" s="208" t="s">
        <v>4792</v>
      </c>
      <c r="H8" s="210"/>
      <c r="I8" s="79"/>
      <c r="J8" s="210"/>
      <c r="K8" s="210"/>
      <c r="L8" s="210" t="str">
        <f t="shared" si="1"/>
        <v/>
      </c>
      <c r="M8" s="79"/>
      <c r="N8" s="207"/>
      <c r="O8" s="207"/>
      <c r="P8" s="207"/>
      <c r="Q8" s="207"/>
    </row>
    <row r="9" spans="1:31" ht="34.5" customHeight="1">
      <c r="A9" s="79">
        <v>44886</v>
      </c>
      <c r="B9" s="205">
        <v>7</v>
      </c>
      <c r="C9" s="206" t="s">
        <v>2531</v>
      </c>
      <c r="D9" s="207" t="str">
        <f t="shared" si="0"/>
        <v>SRM-MA-00007</v>
      </c>
      <c r="E9" s="208" t="s">
        <v>2723</v>
      </c>
      <c r="F9" s="205" t="str">
        <f>IF(E9="","",VLOOKUP(E9,'ARAMA LİSTELERİ'!$C$3:$G$1001,5,))</f>
        <v xml:space="preserve">965 99867592
</v>
      </c>
      <c r="G9" s="208" t="s">
        <v>4786</v>
      </c>
      <c r="H9" s="210"/>
      <c r="I9" s="79"/>
      <c r="J9" s="210"/>
      <c r="K9" s="210"/>
      <c r="L9" s="210" t="str">
        <f t="shared" si="1"/>
        <v/>
      </c>
      <c r="M9" s="79"/>
      <c r="N9" s="207"/>
      <c r="O9" s="207"/>
      <c r="P9" s="207"/>
      <c r="Q9" s="207"/>
    </row>
    <row r="10" spans="1:31" ht="34.5" customHeight="1">
      <c r="A10" s="79">
        <v>44812</v>
      </c>
      <c r="B10" s="205">
        <v>8</v>
      </c>
      <c r="C10" s="206" t="s">
        <v>2531</v>
      </c>
      <c r="D10" s="207" t="str">
        <f t="shared" si="0"/>
        <v>SRM-MA-00008</v>
      </c>
      <c r="E10" s="208" t="s">
        <v>2659</v>
      </c>
      <c r="F10" s="205" t="str">
        <f>IF(E10="","",VLOOKUP(E10,'ARAMA LİSTELERİ'!$C$3:$G$1001,5,))</f>
        <v>961 70 159 799</v>
      </c>
      <c r="G10" s="208" t="s">
        <v>4779</v>
      </c>
      <c r="H10" s="210"/>
      <c r="I10" s="79"/>
      <c r="J10" s="210"/>
      <c r="K10" s="210"/>
      <c r="L10" s="210" t="str">
        <f t="shared" si="1"/>
        <v/>
      </c>
      <c r="M10" s="79"/>
      <c r="N10" s="207"/>
      <c r="O10" s="207"/>
      <c r="P10" s="207"/>
      <c r="Q10" s="207"/>
    </row>
    <row r="11" spans="1:31" ht="34.5" customHeight="1">
      <c r="A11" s="79">
        <v>44859</v>
      </c>
      <c r="B11" s="205">
        <f t="shared" ref="B11:B1001" si="2">IF(A11="","",B10+1)</f>
        <v>9</v>
      </c>
      <c r="C11" s="206" t="str">
        <f t="shared" ref="C11:C1001" si="3">IF(A11="","",$C$3)</f>
        <v>MA</v>
      </c>
      <c r="D11" s="207" t="str">
        <f t="shared" si="0"/>
        <v>SRM-MA-00009</v>
      </c>
      <c r="E11" s="208" t="s">
        <v>2562</v>
      </c>
      <c r="F11" s="205" t="str">
        <f>'ARAMA LİSTELERİ'!G8</f>
        <v>00971 56 813 9843</v>
      </c>
      <c r="G11" s="208" t="s">
        <v>4779</v>
      </c>
      <c r="H11" s="210"/>
      <c r="I11" s="79"/>
      <c r="J11" s="210"/>
      <c r="K11" s="210"/>
      <c r="L11" s="210" t="str">
        <f t="shared" si="1"/>
        <v/>
      </c>
      <c r="M11" s="79"/>
      <c r="N11" s="207"/>
      <c r="O11" s="207"/>
      <c r="P11" s="207"/>
      <c r="Q11" s="207"/>
    </row>
    <row r="12" spans="1:31" ht="34.5" customHeight="1">
      <c r="A12" s="79">
        <v>44886</v>
      </c>
      <c r="B12" s="205">
        <f t="shared" si="2"/>
        <v>10</v>
      </c>
      <c r="C12" s="206" t="str">
        <f t="shared" si="3"/>
        <v>MA</v>
      </c>
      <c r="D12" s="207" t="str">
        <f t="shared" si="0"/>
        <v>SRM-MA-00010</v>
      </c>
      <c r="E12" s="208" t="s">
        <v>3045</v>
      </c>
      <c r="F12" s="205">
        <f>IF(E12="","",VLOOKUP(E12,'ARAMA LİSTELERİ'!C12:G2051,5,))</f>
        <v>4970222629593</v>
      </c>
      <c r="G12" s="208" t="s">
        <v>4786</v>
      </c>
      <c r="H12" s="210"/>
      <c r="I12" s="79"/>
      <c r="J12" s="210"/>
      <c r="K12" s="210"/>
      <c r="L12" s="210" t="str">
        <f t="shared" si="1"/>
        <v/>
      </c>
      <c r="M12" s="79"/>
      <c r="N12" s="207"/>
      <c r="O12" s="207"/>
      <c r="P12" s="207"/>
      <c r="Q12" s="207"/>
    </row>
    <row r="13" spans="1:31" ht="34.5" customHeight="1">
      <c r="A13" s="79">
        <v>44818</v>
      </c>
      <c r="B13" s="205">
        <f t="shared" si="2"/>
        <v>11</v>
      </c>
      <c r="C13" s="206" t="str">
        <f t="shared" si="3"/>
        <v>MA</v>
      </c>
      <c r="D13" s="207" t="str">
        <f t="shared" si="0"/>
        <v>SRM-MA-00011</v>
      </c>
      <c r="E13" s="208" t="s">
        <v>2654</v>
      </c>
      <c r="F13" s="205" t="str">
        <f>IF(E13="","",VLOOKUP(E13,'ARAMA LİSTELERİ'!C13:G2052,5,))</f>
        <v>965 6990 1631</v>
      </c>
      <c r="G13" s="208" t="s">
        <v>4779</v>
      </c>
      <c r="H13" s="210"/>
      <c r="I13" s="79"/>
      <c r="J13" s="210"/>
      <c r="K13" s="210"/>
      <c r="L13" s="210" t="str">
        <f t="shared" si="1"/>
        <v/>
      </c>
      <c r="M13" s="79"/>
      <c r="N13" s="207"/>
      <c r="O13" s="207"/>
      <c r="P13" s="207"/>
      <c r="Q13" s="207"/>
    </row>
    <row r="14" spans="1:31" ht="34.5" customHeight="1">
      <c r="A14" s="79">
        <v>44866</v>
      </c>
      <c r="B14" s="205">
        <f t="shared" si="2"/>
        <v>12</v>
      </c>
      <c r="C14" s="206" t="str">
        <f t="shared" si="3"/>
        <v>MA</v>
      </c>
      <c r="D14" s="207" t="str">
        <f t="shared" si="0"/>
        <v>SRM-MA-00012</v>
      </c>
      <c r="E14" s="208" t="s">
        <v>2622</v>
      </c>
      <c r="F14" s="205">
        <f>IF(E14="","",VLOOKUP(E14,'ARAMA LİSTELERİ'!C14:G2053,5,))</f>
        <v>96523262698</v>
      </c>
      <c r="G14" s="208" t="s">
        <v>4779</v>
      </c>
      <c r="H14" s="210"/>
      <c r="I14" s="79"/>
      <c r="J14" s="210"/>
      <c r="K14" s="210"/>
      <c r="L14" s="210" t="str">
        <f t="shared" si="1"/>
        <v/>
      </c>
      <c r="M14" s="79"/>
      <c r="N14" s="207"/>
      <c r="O14" s="207"/>
      <c r="P14" s="207"/>
      <c r="Q14" s="207"/>
    </row>
    <row r="15" spans="1:31" ht="34.5" customHeight="1">
      <c r="A15" s="79">
        <v>44824</v>
      </c>
      <c r="B15" s="205">
        <f t="shared" si="2"/>
        <v>13</v>
      </c>
      <c r="C15" s="206" t="str">
        <f t="shared" si="3"/>
        <v>MA</v>
      </c>
      <c r="D15" s="207" t="str">
        <f t="shared" si="0"/>
        <v>SRM-MA-00013</v>
      </c>
      <c r="E15" s="208" t="s">
        <v>350</v>
      </c>
      <c r="F15" s="205" t="str">
        <f>IF(E15="","",VLOOKUP(E15,'ARAMA LİSTELERİ'!C15:G2054,5,))</f>
        <v>968 9505 0166</v>
      </c>
      <c r="G15" s="208" t="s">
        <v>4779</v>
      </c>
      <c r="H15" s="210"/>
      <c r="I15" s="79"/>
      <c r="J15" s="210"/>
      <c r="K15" s="210"/>
      <c r="L15" s="210" t="str">
        <f t="shared" si="1"/>
        <v/>
      </c>
      <c r="M15" s="79"/>
      <c r="N15" s="207"/>
      <c r="O15" s="207"/>
      <c r="P15" s="207"/>
      <c r="Q15" s="207"/>
    </row>
    <row r="16" spans="1:31" ht="34.5" customHeight="1">
      <c r="A16" s="79">
        <v>44852</v>
      </c>
      <c r="B16" s="205">
        <f t="shared" si="2"/>
        <v>14</v>
      </c>
      <c r="C16" s="206" t="str">
        <f t="shared" si="3"/>
        <v>MA</v>
      </c>
      <c r="D16" s="207" t="str">
        <f t="shared" si="0"/>
        <v>SRM-MA-00014</v>
      </c>
      <c r="E16" s="208" t="s">
        <v>4216</v>
      </c>
      <c r="F16" s="205" t="str">
        <f>IF(E16="","",VLOOKUP(E16,'ARAMA LİSTELERİ'!C16:G2055,5,))</f>
        <v>380 66 441 1442</v>
      </c>
      <c r="G16" s="208" t="s">
        <v>4779</v>
      </c>
      <c r="H16" s="210"/>
      <c r="I16" s="79"/>
      <c r="J16" s="210"/>
      <c r="K16" s="210"/>
      <c r="L16" s="210" t="str">
        <f t="shared" si="1"/>
        <v/>
      </c>
      <c r="M16" s="79"/>
      <c r="N16" s="207"/>
      <c r="O16" s="207"/>
      <c r="P16" s="207"/>
      <c r="Q16" s="207"/>
    </row>
    <row r="17" spans="1:17" ht="34.5" customHeight="1">
      <c r="A17" s="79">
        <v>44824</v>
      </c>
      <c r="B17" s="205">
        <f t="shared" si="2"/>
        <v>15</v>
      </c>
      <c r="C17" s="206" t="str">
        <f t="shared" si="3"/>
        <v>MA</v>
      </c>
      <c r="D17" s="207" t="str">
        <f t="shared" si="0"/>
        <v>SRM-MA-00015</v>
      </c>
      <c r="E17" s="208" t="s">
        <v>2896</v>
      </c>
      <c r="F17" s="205" t="str">
        <f>IF(E17="","",VLOOKUP(E17,'ARAMA LİSTELERİ'!C17:G2056,5,))</f>
        <v>962 7 9601 1811</v>
      </c>
      <c r="G17" s="208" t="s">
        <v>4779</v>
      </c>
      <c r="H17" s="210"/>
      <c r="I17" s="79"/>
      <c r="J17" s="210"/>
      <c r="K17" s="210"/>
      <c r="L17" s="210" t="str">
        <f t="shared" si="1"/>
        <v/>
      </c>
      <c r="M17" s="79"/>
      <c r="N17" s="207"/>
      <c r="O17" s="207"/>
      <c r="P17" s="207"/>
      <c r="Q17" s="207"/>
    </row>
    <row r="18" spans="1:17" ht="34.5" customHeight="1">
      <c r="A18" s="79">
        <v>44812</v>
      </c>
      <c r="B18" s="205">
        <f t="shared" si="2"/>
        <v>16</v>
      </c>
      <c r="C18" s="206" t="str">
        <f t="shared" si="3"/>
        <v>MA</v>
      </c>
      <c r="D18" s="207" t="str">
        <f t="shared" si="0"/>
        <v>SRM-MA-00016</v>
      </c>
      <c r="E18" s="212" t="s">
        <v>2658</v>
      </c>
      <c r="F18" s="205">
        <f>IF(E18="","",VLOOKUP(E18,'ARAMA LİSTELERİ'!C18:G2057,5,))</f>
        <v>96552224355</v>
      </c>
      <c r="G18" s="208" t="s">
        <v>4779</v>
      </c>
      <c r="H18" s="210"/>
      <c r="I18" s="79"/>
      <c r="J18" s="210"/>
      <c r="K18" s="210"/>
      <c r="L18" s="210" t="str">
        <f t="shared" si="1"/>
        <v/>
      </c>
      <c r="M18" s="79"/>
      <c r="N18" s="207"/>
      <c r="O18" s="207"/>
      <c r="P18" s="207"/>
      <c r="Q18" s="207"/>
    </row>
    <row r="19" spans="1:17" ht="34.5" customHeight="1">
      <c r="A19" s="79">
        <v>44844</v>
      </c>
      <c r="B19" s="205">
        <f t="shared" si="2"/>
        <v>17</v>
      </c>
      <c r="C19" s="206" t="str">
        <f t="shared" si="3"/>
        <v>MA</v>
      </c>
      <c r="D19" s="207" t="str">
        <f t="shared" si="0"/>
        <v>SRM-MA-00017</v>
      </c>
      <c r="E19" s="208" t="s">
        <v>3665</v>
      </c>
      <c r="F19" s="205" t="str">
        <f>IF(E19="","",VLOOKUP(E19,'ARAMA LİSTELERİ'!C19:G2058,5,))</f>
        <v>231 55 545 5745</v>
      </c>
      <c r="G19" s="208" t="s">
        <v>4786</v>
      </c>
      <c r="H19" s="210"/>
      <c r="I19" s="79"/>
      <c r="J19" s="210"/>
      <c r="K19" s="210"/>
      <c r="L19" s="210" t="str">
        <f t="shared" si="1"/>
        <v/>
      </c>
      <c r="M19" s="79"/>
      <c r="N19" s="207"/>
      <c r="O19" s="207"/>
      <c r="P19" s="207"/>
      <c r="Q19" s="207"/>
    </row>
    <row r="20" spans="1:17" ht="34.5" customHeight="1">
      <c r="A20" s="79">
        <v>44790</v>
      </c>
      <c r="B20" s="205">
        <f t="shared" si="2"/>
        <v>18</v>
      </c>
      <c r="C20" s="206" t="str">
        <f t="shared" si="3"/>
        <v>MA</v>
      </c>
      <c r="D20" s="207" t="str">
        <f t="shared" si="0"/>
        <v>SRM-MA-00018</v>
      </c>
      <c r="E20" s="212" t="s">
        <v>2708</v>
      </c>
      <c r="F20" s="205" t="str">
        <f>IF(E20="","",VLOOKUP(E20,'ARAMA LİSTELERİ'!C20:G2059,5,))</f>
        <v>966 50 125 2923</v>
      </c>
      <c r="G20" s="208" t="s">
        <v>4779</v>
      </c>
      <c r="H20" s="210"/>
      <c r="I20" s="79"/>
      <c r="J20" s="210"/>
      <c r="K20" s="210"/>
      <c r="L20" s="210" t="str">
        <f t="shared" si="1"/>
        <v/>
      </c>
      <c r="M20" s="79"/>
      <c r="N20" s="207"/>
      <c r="O20" s="207"/>
      <c r="P20" s="207"/>
      <c r="Q20" s="207"/>
    </row>
    <row r="21" spans="1:17" ht="34.5" customHeight="1">
      <c r="A21" s="79">
        <v>44792</v>
      </c>
      <c r="B21" s="205">
        <f t="shared" si="2"/>
        <v>19</v>
      </c>
      <c r="C21" s="206" t="str">
        <f t="shared" si="3"/>
        <v>MA</v>
      </c>
      <c r="D21" s="207" t="str">
        <f t="shared" si="0"/>
        <v>SRM-MA-00019</v>
      </c>
      <c r="E21" s="212" t="s">
        <v>2574</v>
      </c>
      <c r="F21" s="205" t="str">
        <f>'ARAMA LİSTELERİ'!G11</f>
        <v>964 771 794 3004</v>
      </c>
      <c r="G21" s="208" t="s">
        <v>4779</v>
      </c>
      <c r="H21" s="210"/>
      <c r="I21" s="79"/>
      <c r="J21" s="210"/>
      <c r="K21" s="210"/>
      <c r="L21" s="210" t="str">
        <f t="shared" si="1"/>
        <v/>
      </c>
      <c r="M21" s="79"/>
      <c r="N21" s="207"/>
      <c r="O21" s="207"/>
      <c r="P21" s="207"/>
      <c r="Q21" s="207"/>
    </row>
    <row r="22" spans="1:17" ht="34.5" customHeight="1">
      <c r="A22" s="79">
        <v>44795</v>
      </c>
      <c r="B22" s="205">
        <f t="shared" si="2"/>
        <v>20</v>
      </c>
      <c r="C22" s="206" t="str">
        <f t="shared" si="3"/>
        <v>MA</v>
      </c>
      <c r="D22" s="207" t="str">
        <f t="shared" si="0"/>
        <v>SRM-MA-00020</v>
      </c>
      <c r="E22" s="212" t="s">
        <v>4218</v>
      </c>
      <c r="F22" s="205" t="str">
        <f>IF(E22="","",VLOOKUP(E22,'ARAMA LİSTELERİ'!C22:G2061,5,))</f>
        <v>218 91-6651604</v>
      </c>
      <c r="G22" s="208" t="s">
        <v>4779</v>
      </c>
      <c r="H22" s="210"/>
      <c r="I22" s="79"/>
      <c r="J22" s="210"/>
      <c r="K22" s="210"/>
      <c r="L22" s="210" t="str">
        <f t="shared" si="1"/>
        <v/>
      </c>
      <c r="M22" s="79"/>
      <c r="N22" s="207"/>
      <c r="O22" s="207"/>
      <c r="P22" s="207"/>
      <c r="Q22" s="207"/>
    </row>
    <row r="23" spans="1:17" ht="34.5" customHeight="1">
      <c r="A23" s="79">
        <v>44789</v>
      </c>
      <c r="B23" s="205">
        <f t="shared" si="2"/>
        <v>21</v>
      </c>
      <c r="C23" s="206" t="str">
        <f t="shared" si="3"/>
        <v>MA</v>
      </c>
      <c r="D23" s="207" t="str">
        <f t="shared" si="0"/>
        <v>SRM-MA-00021</v>
      </c>
      <c r="E23" s="212" t="s">
        <v>4219</v>
      </c>
      <c r="F23" s="205" t="str">
        <f>IF(E23="","",VLOOKUP(E23,'ARAMA LİSTELERİ'!C23:G2062,5,))</f>
        <v>964 771 307 6070</v>
      </c>
      <c r="G23" s="208" t="s">
        <v>4779</v>
      </c>
      <c r="H23" s="210"/>
      <c r="I23" s="79"/>
      <c r="J23" s="210"/>
      <c r="K23" s="210"/>
      <c r="L23" s="210" t="str">
        <f t="shared" si="1"/>
        <v/>
      </c>
      <c r="M23" s="79"/>
      <c r="N23" s="207"/>
      <c r="O23" s="207"/>
      <c r="P23" s="207"/>
      <c r="Q23" s="207"/>
    </row>
    <row r="24" spans="1:17" ht="34.5" customHeight="1">
      <c r="A24" s="79">
        <v>44841</v>
      </c>
      <c r="B24" s="205">
        <f t="shared" si="2"/>
        <v>22</v>
      </c>
      <c r="C24" s="206" t="str">
        <f t="shared" si="3"/>
        <v>MA</v>
      </c>
      <c r="D24" s="207" t="str">
        <f t="shared" si="0"/>
        <v>SRM-MA-00022</v>
      </c>
      <c r="E24" s="208" t="s">
        <v>3620</v>
      </c>
      <c r="F24" s="205" t="str">
        <f>IF(E24="","",VLOOKUP(E24,'ARAMA LİSTELERİ'!C24:G2063,5,))</f>
        <v>995 591 96 11 26</v>
      </c>
      <c r="G24" s="208" t="s">
        <v>4779</v>
      </c>
      <c r="H24" s="210"/>
      <c r="I24" s="79"/>
      <c r="J24" s="210"/>
      <c r="K24" s="210"/>
      <c r="L24" s="210" t="str">
        <f t="shared" si="1"/>
        <v/>
      </c>
      <c r="M24" s="79"/>
      <c r="N24" s="207"/>
      <c r="O24" s="207"/>
      <c r="P24" s="207"/>
      <c r="Q24" s="207"/>
    </row>
    <row r="25" spans="1:17" ht="34.5" customHeight="1">
      <c r="A25" s="79">
        <v>44799</v>
      </c>
      <c r="B25" s="205">
        <f t="shared" si="2"/>
        <v>23</v>
      </c>
      <c r="C25" s="206" t="str">
        <f t="shared" si="3"/>
        <v>MA</v>
      </c>
      <c r="D25" s="207" t="str">
        <f t="shared" si="0"/>
        <v>SRM-MA-00023</v>
      </c>
      <c r="E25" s="208" t="s">
        <v>634</v>
      </c>
      <c r="F25" s="205" t="str">
        <f>IF(E25="","",VLOOKUP(E25,'ARAMA LİSTELERİ'!C25:G2064,5,))</f>
        <v>971 52 639 0425</v>
      </c>
      <c r="G25" s="208" t="s">
        <v>4779</v>
      </c>
      <c r="H25" s="210"/>
      <c r="I25" s="79"/>
      <c r="J25" s="210"/>
      <c r="K25" s="210"/>
      <c r="L25" s="210" t="str">
        <f t="shared" si="1"/>
        <v/>
      </c>
      <c r="M25" s="79"/>
      <c r="N25" s="207"/>
      <c r="O25" s="207"/>
      <c r="P25" s="207"/>
      <c r="Q25" s="207"/>
    </row>
    <row r="26" spans="1:17" ht="34.5" customHeight="1">
      <c r="A26" s="79">
        <v>44819</v>
      </c>
      <c r="B26" s="205">
        <f t="shared" si="2"/>
        <v>24</v>
      </c>
      <c r="C26" s="206" t="str">
        <f t="shared" si="3"/>
        <v>MA</v>
      </c>
      <c r="D26" s="207" t="str">
        <f t="shared" si="0"/>
        <v>SRM-MA-00024</v>
      </c>
      <c r="E26" s="208" t="s">
        <v>4221</v>
      </c>
      <c r="F26" s="205" t="str">
        <f>IF(E26="","",VLOOKUP(E26,'ARAMA LİSTELERİ'!C26:G2065,5,))</f>
        <v>90 537 942 94 54</v>
      </c>
      <c r="G26" s="208" t="s">
        <v>4779</v>
      </c>
      <c r="H26" s="210"/>
      <c r="I26" s="79"/>
      <c r="J26" s="210"/>
      <c r="K26" s="210"/>
      <c r="L26" s="210" t="str">
        <f t="shared" si="1"/>
        <v/>
      </c>
      <c r="M26" s="79"/>
      <c r="N26" s="207"/>
      <c r="O26" s="207"/>
      <c r="P26" s="207"/>
      <c r="Q26" s="207"/>
    </row>
    <row r="27" spans="1:17" ht="34.5" customHeight="1">
      <c r="A27" s="79">
        <v>44893</v>
      </c>
      <c r="B27" s="205">
        <f t="shared" si="2"/>
        <v>25</v>
      </c>
      <c r="C27" s="206" t="str">
        <f t="shared" si="3"/>
        <v>MA</v>
      </c>
      <c r="D27" s="207" t="str">
        <f t="shared" si="0"/>
        <v>SRM-MA-00025</v>
      </c>
      <c r="E27" s="208" t="s">
        <v>118</v>
      </c>
      <c r="F27" s="205" t="str">
        <f>IF(E27="","",VLOOKUP(E27,'ARAMA LİSTELERİ'!C27:G2066,5,))</f>
        <v>968 9429 2593</v>
      </c>
      <c r="G27" s="208" t="s">
        <v>4792</v>
      </c>
      <c r="H27" s="210"/>
      <c r="I27" s="79"/>
      <c r="J27" s="210"/>
      <c r="K27" s="210"/>
      <c r="L27" s="210" t="str">
        <f t="shared" si="1"/>
        <v/>
      </c>
      <c r="M27" s="79"/>
      <c r="N27" s="207"/>
      <c r="O27" s="207"/>
      <c r="P27" s="207"/>
      <c r="Q27" s="207"/>
    </row>
    <row r="28" spans="1:17" ht="34.5" customHeight="1">
      <c r="A28" s="79">
        <v>44894</v>
      </c>
      <c r="B28" s="205">
        <f t="shared" si="2"/>
        <v>26</v>
      </c>
      <c r="C28" s="206" t="str">
        <f t="shared" si="3"/>
        <v>MA</v>
      </c>
      <c r="D28" s="207" t="str">
        <f t="shared" si="0"/>
        <v>SRM-MA-00026</v>
      </c>
      <c r="E28" s="208" t="s">
        <v>4421</v>
      </c>
      <c r="F28" s="205" t="str">
        <f>IF(E28="","",VLOOKUP(E28,'ARAMA LİSTELERİ'!C28:G2067,5,))</f>
        <v>968 9935 0900</v>
      </c>
      <c r="G28" s="208" t="s">
        <v>4773</v>
      </c>
      <c r="H28" s="209">
        <v>8150</v>
      </c>
      <c r="I28" s="79"/>
      <c r="J28" s="210"/>
      <c r="K28" s="210"/>
      <c r="L28" s="210" t="str">
        <f t="shared" si="1"/>
        <v>8.150 $ kaldı.</v>
      </c>
      <c r="M28" s="79"/>
      <c r="N28" s="207"/>
      <c r="O28" s="207"/>
      <c r="P28" s="207"/>
      <c r="Q28" s="207"/>
    </row>
    <row r="29" spans="1:17" ht="34.5" customHeight="1">
      <c r="A29" s="79">
        <v>44894</v>
      </c>
      <c r="B29" s="205">
        <f t="shared" si="2"/>
        <v>27</v>
      </c>
      <c r="C29" s="206" t="str">
        <f t="shared" si="3"/>
        <v>MA</v>
      </c>
      <c r="D29" s="207" t="str">
        <f t="shared" si="0"/>
        <v>SRM-MA-00027</v>
      </c>
      <c r="E29" s="208" t="s">
        <v>3924</v>
      </c>
      <c r="F29" s="205">
        <f>IF(E29="","",VLOOKUP(E29,'ARAMA LİSTELERİ'!C29:G2068,5,))</f>
        <v>49224151605</v>
      </c>
      <c r="G29" s="208" t="s">
        <v>4792</v>
      </c>
      <c r="H29" s="210"/>
      <c r="I29" s="79"/>
      <c r="J29" s="210"/>
      <c r="K29" s="210"/>
      <c r="L29" s="210" t="str">
        <f t="shared" si="1"/>
        <v/>
      </c>
      <c r="M29" s="79"/>
      <c r="N29" s="207"/>
      <c r="O29" s="207"/>
      <c r="P29" s="207"/>
      <c r="Q29" s="207"/>
    </row>
    <row r="30" spans="1:17" ht="34.5" customHeight="1">
      <c r="A30" s="79">
        <v>44897</v>
      </c>
      <c r="B30" s="205">
        <f t="shared" si="2"/>
        <v>28</v>
      </c>
      <c r="C30" s="206" t="str">
        <f t="shared" si="3"/>
        <v>MA</v>
      </c>
      <c r="D30" s="207" t="str">
        <f t="shared" si="0"/>
        <v>SRM-MA-00028</v>
      </c>
      <c r="E30" s="208" t="s">
        <v>2562</v>
      </c>
      <c r="F30" s="205" t="str">
        <f>'ARAMA LİSTELERİ'!G8</f>
        <v>00971 56 813 9843</v>
      </c>
      <c r="G30" s="208" t="s">
        <v>4792</v>
      </c>
      <c r="H30" s="210"/>
      <c r="I30" s="79"/>
      <c r="J30" s="210"/>
      <c r="K30" s="210"/>
      <c r="L30" s="210" t="str">
        <f t="shared" si="1"/>
        <v/>
      </c>
      <c r="M30" s="79"/>
      <c r="N30" s="207"/>
      <c r="O30" s="207"/>
      <c r="P30" s="207"/>
      <c r="Q30" s="207"/>
    </row>
    <row r="31" spans="1:17" ht="34.5" customHeight="1">
      <c r="A31" s="79">
        <v>44818</v>
      </c>
      <c r="B31" s="205">
        <f t="shared" si="2"/>
        <v>29</v>
      </c>
      <c r="C31" s="206" t="str">
        <f t="shared" si="3"/>
        <v>MA</v>
      </c>
      <c r="D31" s="207" t="str">
        <f t="shared" si="0"/>
        <v>SRM-MA-00029</v>
      </c>
      <c r="E31" s="208" t="s">
        <v>2562</v>
      </c>
      <c r="F31" s="205" t="str">
        <f>'ARAMA LİSTELERİ'!G8</f>
        <v>00971 56 813 9843</v>
      </c>
      <c r="G31" s="208" t="s">
        <v>4786</v>
      </c>
      <c r="H31" s="210"/>
      <c r="I31" s="79"/>
      <c r="J31" s="210"/>
      <c r="K31" s="210"/>
      <c r="L31" s="210" t="str">
        <f t="shared" si="1"/>
        <v/>
      </c>
      <c r="M31" s="79"/>
      <c r="N31" s="207"/>
      <c r="O31" s="207"/>
      <c r="P31" s="207"/>
      <c r="Q31" s="207"/>
    </row>
    <row r="32" spans="1:17" ht="34.5" customHeight="1">
      <c r="A32" s="79">
        <v>44901</v>
      </c>
      <c r="B32" s="205">
        <f t="shared" si="2"/>
        <v>30</v>
      </c>
      <c r="C32" s="206" t="str">
        <f t="shared" si="3"/>
        <v>MA</v>
      </c>
      <c r="D32" s="207" t="str">
        <f t="shared" si="0"/>
        <v>SRM-MA-00030</v>
      </c>
      <c r="E32" s="208" t="s">
        <v>2646</v>
      </c>
      <c r="F32" s="205" t="str">
        <f>IF(E32="","",VLOOKUP(E32,'ARAMA LİSTELERİ'!C32:G2071,5,))</f>
        <v>965 9723 6518</v>
      </c>
      <c r="G32" s="208" t="s">
        <v>4792</v>
      </c>
      <c r="H32" s="210"/>
      <c r="I32" s="79"/>
      <c r="J32" s="210"/>
      <c r="K32" s="210"/>
      <c r="L32" s="210" t="str">
        <f t="shared" si="1"/>
        <v/>
      </c>
      <c r="M32" s="79"/>
      <c r="N32" s="207"/>
      <c r="O32" s="207"/>
      <c r="P32" s="207"/>
      <c r="Q32" s="207"/>
    </row>
    <row r="33" spans="1:17" ht="34.5" customHeight="1">
      <c r="A33" s="79">
        <v>44901</v>
      </c>
      <c r="B33" s="205">
        <f t="shared" si="2"/>
        <v>31</v>
      </c>
      <c r="C33" s="206" t="str">
        <f t="shared" si="3"/>
        <v>MA</v>
      </c>
      <c r="D33" s="207" t="str">
        <f t="shared" si="0"/>
        <v>SRM-MA-00031</v>
      </c>
      <c r="E33" s="208" t="s">
        <v>4293</v>
      </c>
      <c r="F33" s="205" t="str">
        <f>IF(E33="","",VLOOKUP(E33,'ARAMA LİSTELERİ'!C33:G2072,5,))</f>
        <v>961 3 955 888</v>
      </c>
      <c r="G33" s="208" t="s">
        <v>4786</v>
      </c>
      <c r="H33" s="210"/>
      <c r="I33" s="79"/>
      <c r="J33" s="210"/>
      <c r="K33" s="210"/>
      <c r="L33" s="210" t="str">
        <f t="shared" si="1"/>
        <v/>
      </c>
      <c r="M33" s="79"/>
      <c r="N33" s="207"/>
      <c r="O33" s="207"/>
      <c r="P33" s="207"/>
      <c r="Q33" s="207"/>
    </row>
    <row r="34" spans="1:17" ht="34.5" customHeight="1">
      <c r="A34" s="79">
        <v>44904</v>
      </c>
      <c r="B34" s="205">
        <f t="shared" si="2"/>
        <v>32</v>
      </c>
      <c r="C34" s="206" t="str">
        <f t="shared" si="3"/>
        <v>MA</v>
      </c>
      <c r="D34" s="207" t="str">
        <f t="shared" si="0"/>
        <v>SRM-MA-00032</v>
      </c>
      <c r="E34" s="208" t="s">
        <v>4421</v>
      </c>
      <c r="F34" s="205" t="str">
        <f>IF(E34="","",VLOOKUP(E34,'ARAMA LİSTELERİ'!C34:G2073,5,))</f>
        <v>968 9935 0900</v>
      </c>
      <c r="G34" s="208" t="s">
        <v>4786</v>
      </c>
      <c r="H34" s="210"/>
      <c r="I34" s="79"/>
      <c r="J34" s="210"/>
      <c r="K34" s="210"/>
      <c r="L34" s="210" t="str">
        <f t="shared" si="1"/>
        <v/>
      </c>
      <c r="M34" s="79"/>
      <c r="N34" s="207"/>
      <c r="O34" s="207"/>
      <c r="P34" s="207"/>
      <c r="Q34" s="207"/>
    </row>
    <row r="35" spans="1:17" ht="34.5" customHeight="1">
      <c r="A35" s="79">
        <v>44907</v>
      </c>
      <c r="B35" s="205">
        <f t="shared" si="2"/>
        <v>33</v>
      </c>
      <c r="C35" s="206" t="str">
        <f t="shared" si="3"/>
        <v>MA</v>
      </c>
      <c r="D35" s="207" t="str">
        <f t="shared" si="0"/>
        <v>SRM-MA-00033</v>
      </c>
      <c r="E35" s="213" t="s">
        <v>4693</v>
      </c>
      <c r="F35" s="205" t="str">
        <f>'ARAMA LİSTELERİ'!G1073</f>
        <v>961 3 240 581</v>
      </c>
      <c r="G35" s="208" t="s">
        <v>4786</v>
      </c>
      <c r="H35" s="210"/>
      <c r="I35" s="79"/>
      <c r="J35" s="210"/>
      <c r="K35" s="210"/>
      <c r="L35" s="210" t="str">
        <f t="shared" si="1"/>
        <v/>
      </c>
      <c r="M35" s="79"/>
      <c r="N35" s="207"/>
      <c r="O35" s="207"/>
      <c r="P35" s="207"/>
      <c r="Q35" s="207"/>
    </row>
    <row r="36" spans="1:17" ht="34.5" customHeight="1">
      <c r="A36" s="79">
        <v>44907</v>
      </c>
      <c r="B36" s="205">
        <f t="shared" si="2"/>
        <v>34</v>
      </c>
      <c r="C36" s="206" t="str">
        <f t="shared" si="3"/>
        <v>MA</v>
      </c>
      <c r="D36" s="207" t="str">
        <f t="shared" si="0"/>
        <v>SRM-MA-00034</v>
      </c>
      <c r="E36" s="208" t="s">
        <v>388</v>
      </c>
      <c r="F36" s="205" t="str">
        <f>IF(E36="","",VLOOKUP(E36,'ARAMA LİSTELERİ'!C36:G2075,5,))</f>
        <v>961 71 782 295</v>
      </c>
      <c r="G36" s="208" t="s">
        <v>4786</v>
      </c>
      <c r="H36" s="210"/>
      <c r="I36" s="79"/>
      <c r="J36" s="210"/>
      <c r="K36" s="210"/>
      <c r="L36" s="210" t="str">
        <f t="shared" si="1"/>
        <v/>
      </c>
      <c r="M36" s="79"/>
      <c r="N36" s="207"/>
      <c r="O36" s="207"/>
      <c r="P36" s="207"/>
      <c r="Q36" s="207"/>
    </row>
    <row r="37" spans="1:17" ht="34.5" customHeight="1">
      <c r="A37" s="79">
        <v>44907</v>
      </c>
      <c r="B37" s="205">
        <f t="shared" si="2"/>
        <v>35</v>
      </c>
      <c r="C37" s="206" t="str">
        <f t="shared" si="3"/>
        <v>MA</v>
      </c>
      <c r="D37" s="207" t="str">
        <f t="shared" si="0"/>
        <v>SRM-MA-00035</v>
      </c>
      <c r="E37" s="208" t="s">
        <v>380</v>
      </c>
      <c r="F37" s="205" t="str">
        <f>IF(E37="","",VLOOKUP(E37,'ARAMA LİSTELERİ'!C37:G2076,5,))</f>
        <v>961 70 336 566</v>
      </c>
      <c r="G37" s="208" t="s">
        <v>4786</v>
      </c>
      <c r="H37" s="210"/>
      <c r="I37" s="79"/>
      <c r="J37" s="210"/>
      <c r="K37" s="210"/>
      <c r="L37" s="210" t="str">
        <f t="shared" si="1"/>
        <v/>
      </c>
      <c r="M37" s="79"/>
      <c r="N37" s="207"/>
      <c r="O37" s="207"/>
      <c r="P37" s="207"/>
      <c r="Q37" s="207"/>
    </row>
    <row r="38" spans="1:17" ht="34.5" customHeight="1">
      <c r="A38" s="79">
        <v>44908</v>
      </c>
      <c r="B38" s="205">
        <f t="shared" si="2"/>
        <v>36</v>
      </c>
      <c r="C38" s="206" t="str">
        <f t="shared" si="3"/>
        <v>MA</v>
      </c>
      <c r="D38" s="207" t="str">
        <f t="shared" si="0"/>
        <v>SRM-MA-00036</v>
      </c>
      <c r="E38" s="208" t="s">
        <v>4604</v>
      </c>
      <c r="F38" s="205" t="str">
        <f>'ARAMA LİSTELERİ'!G1042</f>
        <v>961 3 063 610</v>
      </c>
      <c r="G38" s="208" t="s">
        <v>4786</v>
      </c>
      <c r="H38" s="210"/>
      <c r="I38" s="79"/>
      <c r="J38" s="210"/>
      <c r="K38" s="210"/>
      <c r="L38" s="210" t="str">
        <f t="shared" si="1"/>
        <v/>
      </c>
      <c r="M38" s="79"/>
      <c r="N38" s="207"/>
      <c r="O38" s="207"/>
      <c r="P38" s="207"/>
      <c r="Q38" s="207"/>
    </row>
    <row r="39" spans="1:17" ht="34.5" customHeight="1">
      <c r="A39" s="79">
        <v>44908</v>
      </c>
      <c r="B39" s="205">
        <f t="shared" si="2"/>
        <v>37</v>
      </c>
      <c r="C39" s="206" t="str">
        <f t="shared" si="3"/>
        <v>MA</v>
      </c>
      <c r="D39" s="207" t="str">
        <f t="shared" si="0"/>
        <v>SRM-MA-00037</v>
      </c>
      <c r="E39" s="208" t="s">
        <v>380</v>
      </c>
      <c r="F39" s="205" t="str">
        <f>IF(E39="","",VLOOKUP(E39,'ARAMA LİSTELERİ'!C39:G2078,5,))</f>
        <v>961 70 336 566</v>
      </c>
      <c r="G39" s="208" t="s">
        <v>4786</v>
      </c>
      <c r="H39" s="210"/>
      <c r="I39" s="79"/>
      <c r="J39" s="210"/>
      <c r="K39" s="210"/>
      <c r="L39" s="210" t="str">
        <f t="shared" si="1"/>
        <v/>
      </c>
      <c r="M39" s="79"/>
      <c r="N39" s="207"/>
      <c r="O39" s="207"/>
      <c r="P39" s="207"/>
      <c r="Q39" s="207"/>
    </row>
    <row r="40" spans="1:17" ht="34.5" customHeight="1">
      <c r="A40" s="79">
        <v>44908</v>
      </c>
      <c r="B40" s="205">
        <f t="shared" si="2"/>
        <v>38</v>
      </c>
      <c r="C40" s="206" t="str">
        <f t="shared" si="3"/>
        <v>MA</v>
      </c>
      <c r="D40" s="207" t="str">
        <f t="shared" si="0"/>
        <v>SRM-MA-00038</v>
      </c>
      <c r="E40" s="208" t="s">
        <v>374</v>
      </c>
      <c r="F40" s="205" t="str">
        <f>IF(E40="","",VLOOKUP(E40,'ARAMA LİSTELERİ'!C40:G2079,5,))</f>
        <v>961 3 846 365</v>
      </c>
      <c r="G40" s="208" t="s">
        <v>4786</v>
      </c>
      <c r="H40" s="210"/>
      <c r="I40" s="79"/>
      <c r="J40" s="210"/>
      <c r="K40" s="210"/>
      <c r="L40" s="210" t="str">
        <f t="shared" si="1"/>
        <v/>
      </c>
      <c r="M40" s="79"/>
      <c r="N40" s="207"/>
      <c r="O40" s="207"/>
      <c r="P40" s="207"/>
      <c r="Q40" s="207"/>
    </row>
    <row r="41" spans="1:17" ht="34.5" customHeight="1">
      <c r="A41" s="79">
        <v>44911</v>
      </c>
      <c r="B41" s="205">
        <f t="shared" si="2"/>
        <v>39</v>
      </c>
      <c r="C41" s="206" t="str">
        <f t="shared" si="3"/>
        <v>MA</v>
      </c>
      <c r="D41" s="207" t="str">
        <f t="shared" si="0"/>
        <v>SRM-MA-00039</v>
      </c>
      <c r="E41" s="208" t="s">
        <v>4709</v>
      </c>
      <c r="F41" s="205" t="str">
        <f>IF(E41="","",VLOOKUP(E41,'ARAMA LİSTELERİ'!C41:G2080,5,))</f>
        <v>961 70 379 129</v>
      </c>
      <c r="G41" s="208" t="s">
        <v>4786</v>
      </c>
      <c r="H41" s="210"/>
      <c r="I41" s="79"/>
      <c r="J41" s="210"/>
      <c r="K41" s="210"/>
      <c r="L41" s="210" t="str">
        <f t="shared" si="1"/>
        <v/>
      </c>
      <c r="M41" s="79"/>
      <c r="N41" s="207"/>
      <c r="O41" s="207"/>
      <c r="P41" s="207"/>
      <c r="Q41" s="207"/>
    </row>
    <row r="42" spans="1:17" ht="34.5" customHeight="1">
      <c r="A42" s="79">
        <v>44915</v>
      </c>
      <c r="B42" s="205">
        <f t="shared" si="2"/>
        <v>40</v>
      </c>
      <c r="C42" s="206" t="str">
        <f t="shared" si="3"/>
        <v>MA</v>
      </c>
      <c r="D42" s="207" t="str">
        <f t="shared" si="0"/>
        <v>SRM-MA-00040</v>
      </c>
      <c r="E42" s="208" t="s">
        <v>292</v>
      </c>
      <c r="F42" s="205" t="s">
        <v>293</v>
      </c>
      <c r="G42" s="208" t="s">
        <v>4786</v>
      </c>
      <c r="H42" s="210"/>
      <c r="I42" s="79"/>
      <c r="J42" s="210"/>
      <c r="K42" s="210"/>
      <c r="L42" s="210" t="str">
        <f t="shared" si="1"/>
        <v/>
      </c>
      <c r="M42" s="79"/>
      <c r="N42" s="207"/>
      <c r="O42" s="207"/>
      <c r="P42" s="207"/>
      <c r="Q42" s="207"/>
    </row>
    <row r="43" spans="1:17" ht="34.5" customHeight="1">
      <c r="A43" s="79">
        <v>44921</v>
      </c>
      <c r="B43" s="205">
        <f t="shared" si="2"/>
        <v>41</v>
      </c>
      <c r="C43" s="206" t="str">
        <f t="shared" si="3"/>
        <v>MA</v>
      </c>
      <c r="D43" s="207" t="str">
        <f t="shared" si="0"/>
        <v>SRM-MA-00041</v>
      </c>
      <c r="E43" s="208" t="s">
        <v>5627</v>
      </c>
      <c r="F43" s="205" t="s">
        <v>485</v>
      </c>
      <c r="G43" s="208" t="s">
        <v>4786</v>
      </c>
      <c r="H43" s="210"/>
      <c r="I43" s="79"/>
      <c r="J43" s="210"/>
      <c r="K43" s="210"/>
      <c r="L43" s="210" t="str">
        <f t="shared" si="1"/>
        <v/>
      </c>
      <c r="M43" s="79"/>
      <c r="N43" s="207"/>
      <c r="O43" s="207"/>
      <c r="P43" s="207"/>
      <c r="Q43" s="207"/>
    </row>
    <row r="44" spans="1:17" ht="34.5" customHeight="1">
      <c r="A44" s="79">
        <v>44933</v>
      </c>
      <c r="B44" s="205">
        <f t="shared" si="2"/>
        <v>42</v>
      </c>
      <c r="C44" s="206" t="str">
        <f t="shared" si="3"/>
        <v>MA</v>
      </c>
      <c r="D44" s="207" t="str">
        <f t="shared" si="0"/>
        <v>SRM-MA-00042</v>
      </c>
      <c r="E44" s="208" t="s">
        <v>5628</v>
      </c>
      <c r="F44" s="205" t="s">
        <v>410</v>
      </c>
      <c r="G44" s="208" t="s">
        <v>4786</v>
      </c>
      <c r="H44" s="210"/>
      <c r="I44" s="79"/>
      <c r="J44" s="210"/>
      <c r="K44" s="210"/>
      <c r="L44" s="210" t="str">
        <f t="shared" si="1"/>
        <v/>
      </c>
      <c r="M44" s="79"/>
      <c r="N44" s="207"/>
      <c r="O44" s="207"/>
      <c r="P44" s="207"/>
      <c r="Q44" s="207"/>
    </row>
    <row r="45" spans="1:17" ht="34.5" customHeight="1">
      <c r="A45" s="79">
        <v>44942</v>
      </c>
      <c r="B45" s="205">
        <f t="shared" si="2"/>
        <v>43</v>
      </c>
      <c r="C45" s="206" t="str">
        <f t="shared" si="3"/>
        <v>MA</v>
      </c>
      <c r="D45" s="207" t="str">
        <f t="shared" si="0"/>
        <v>SRM-MA-00043</v>
      </c>
      <c r="E45" s="208" t="s">
        <v>847</v>
      </c>
      <c r="F45" s="205" t="str">
        <f>IF(E45="","",VLOOKUP(E45,'ARAMA LİSTELERİ'!C45:G2084,5,))</f>
        <v>49 172 2672428</v>
      </c>
      <c r="G45" s="208" t="s">
        <v>4779</v>
      </c>
      <c r="H45" s="210"/>
      <c r="I45" s="79"/>
      <c r="J45" s="210"/>
      <c r="K45" s="210"/>
      <c r="L45" s="210" t="str">
        <f t="shared" si="1"/>
        <v/>
      </c>
      <c r="M45" s="79"/>
      <c r="N45" s="207"/>
      <c r="O45" s="207"/>
      <c r="P45" s="207"/>
      <c r="Q45" s="207"/>
    </row>
    <row r="46" spans="1:17" ht="34.5" customHeight="1">
      <c r="A46" s="79">
        <v>44942</v>
      </c>
      <c r="B46" s="205">
        <f t="shared" si="2"/>
        <v>44</v>
      </c>
      <c r="C46" s="206" t="str">
        <f t="shared" si="3"/>
        <v>MA</v>
      </c>
      <c r="D46" s="207" t="str">
        <f t="shared" si="0"/>
        <v>SRM-MA-00044</v>
      </c>
      <c r="E46" s="212" t="s">
        <v>600</v>
      </c>
      <c r="F46" s="205" t="str">
        <f>IF(E46="","",VLOOKUP(E46,'ARAMA LİSTELERİ'!C46:G2085,5,))</f>
        <v>967 777 782 779</v>
      </c>
      <c r="G46" s="208" t="s">
        <v>4799</v>
      </c>
      <c r="H46" s="210"/>
      <c r="I46" s="79"/>
      <c r="J46" s="210"/>
      <c r="K46" s="210"/>
      <c r="L46" s="210" t="str">
        <f t="shared" si="1"/>
        <v/>
      </c>
      <c r="M46" s="79"/>
      <c r="N46" s="207"/>
      <c r="O46" s="207"/>
      <c r="P46" s="207"/>
      <c r="Q46" s="207"/>
    </row>
    <row r="47" spans="1:17" ht="34.5" customHeight="1">
      <c r="A47" s="79">
        <v>44949</v>
      </c>
      <c r="B47" s="205">
        <f t="shared" si="2"/>
        <v>45</v>
      </c>
      <c r="C47" s="206" t="str">
        <f t="shared" si="3"/>
        <v>MA</v>
      </c>
      <c r="D47" s="207" t="str">
        <f t="shared" si="0"/>
        <v>SRM-MA-00045</v>
      </c>
      <c r="E47" s="208" t="s">
        <v>4421</v>
      </c>
      <c r="F47" s="205" t="str">
        <f>IF(E47="","",VLOOKUP(E47,'ARAMA LİSTELERİ'!C47:G2086,5,))</f>
        <v>968 9935 0900</v>
      </c>
      <c r="G47" s="208" t="s">
        <v>4786</v>
      </c>
      <c r="H47" s="210"/>
      <c r="I47" s="79"/>
      <c r="J47" s="210"/>
      <c r="K47" s="210"/>
      <c r="L47" s="210" t="str">
        <f t="shared" si="1"/>
        <v/>
      </c>
      <c r="M47" s="79"/>
      <c r="N47" s="207"/>
      <c r="O47" s="207"/>
      <c r="P47" s="207"/>
      <c r="Q47" s="207"/>
    </row>
    <row r="48" spans="1:17" ht="34.5" customHeight="1">
      <c r="A48" s="79">
        <v>44967</v>
      </c>
      <c r="B48" s="205">
        <f t="shared" si="2"/>
        <v>46</v>
      </c>
      <c r="C48" s="206" t="str">
        <f t="shared" si="3"/>
        <v>MA</v>
      </c>
      <c r="D48" s="207" t="str">
        <f t="shared" si="0"/>
        <v>SRM-MA-00046</v>
      </c>
      <c r="E48" s="208" t="s">
        <v>4421</v>
      </c>
      <c r="F48" s="205" t="str">
        <f>IF(E47="","",VLOOKUP(E47,'ARAMA LİSTELERİ'!C47:G2086,5,))</f>
        <v>968 9935 0900</v>
      </c>
      <c r="G48" s="208" t="s">
        <v>4786</v>
      </c>
      <c r="H48" s="210"/>
      <c r="I48" s="79"/>
      <c r="J48" s="210"/>
      <c r="K48" s="210"/>
      <c r="L48" s="210" t="str">
        <f t="shared" si="1"/>
        <v/>
      </c>
      <c r="M48" s="79"/>
      <c r="N48" s="207"/>
      <c r="O48" s="207"/>
      <c r="P48" s="207"/>
      <c r="Q48" s="207"/>
    </row>
    <row r="49" spans="1:17" ht="34.5" customHeight="1">
      <c r="A49" s="79">
        <v>44970</v>
      </c>
      <c r="B49" s="205">
        <f t="shared" si="2"/>
        <v>47</v>
      </c>
      <c r="C49" s="206" t="str">
        <f t="shared" si="3"/>
        <v>MA</v>
      </c>
      <c r="D49" s="207" t="str">
        <f t="shared" si="0"/>
        <v>SRM-MA-00047</v>
      </c>
      <c r="E49" s="214" t="s">
        <v>5629</v>
      </c>
      <c r="F49" s="205" t="str">
        <f>IF(E47="","",VLOOKUP(E47,'ARAMA LİSTELERİ'!C47:G2086,5,))</f>
        <v>968 9935 0900</v>
      </c>
      <c r="G49" s="208" t="s">
        <v>4786</v>
      </c>
      <c r="H49" s="210"/>
      <c r="I49" s="79"/>
      <c r="J49" s="210"/>
      <c r="K49" s="210"/>
      <c r="L49" s="210" t="str">
        <f t="shared" si="1"/>
        <v/>
      </c>
      <c r="M49" s="79"/>
      <c r="N49" s="207"/>
      <c r="O49" s="207"/>
      <c r="P49" s="207"/>
      <c r="Q49" s="207"/>
    </row>
    <row r="50" spans="1:17" ht="34.5" customHeight="1">
      <c r="A50" s="79">
        <v>44970</v>
      </c>
      <c r="B50" s="205">
        <f t="shared" si="2"/>
        <v>48</v>
      </c>
      <c r="C50" s="206" t="str">
        <f t="shared" si="3"/>
        <v>MA</v>
      </c>
      <c r="D50" s="207" t="str">
        <f t="shared" si="0"/>
        <v>SRM-MA-00048</v>
      </c>
      <c r="E50" s="208" t="s">
        <v>5630</v>
      </c>
      <c r="F50" s="205" t="s">
        <v>5631</v>
      </c>
      <c r="G50" s="208" t="s">
        <v>4799</v>
      </c>
      <c r="H50" s="210"/>
      <c r="I50" s="79"/>
      <c r="J50" s="210"/>
      <c r="K50" s="210"/>
      <c r="L50" s="210" t="str">
        <f t="shared" si="1"/>
        <v/>
      </c>
      <c r="M50" s="79"/>
      <c r="N50" s="207"/>
      <c r="O50" s="207"/>
      <c r="P50" s="207"/>
      <c r="Q50" s="207"/>
    </row>
    <row r="51" spans="1:17" ht="34.5" customHeight="1">
      <c r="A51" s="79">
        <v>44977</v>
      </c>
      <c r="B51" s="205">
        <f t="shared" si="2"/>
        <v>49</v>
      </c>
      <c r="C51" s="206" t="str">
        <f t="shared" si="3"/>
        <v>MA</v>
      </c>
      <c r="D51" s="207" t="str">
        <f t="shared" si="0"/>
        <v>SRM-MA-00049</v>
      </c>
      <c r="E51" s="208" t="s">
        <v>714</v>
      </c>
      <c r="F51" s="205" t="s">
        <v>715</v>
      </c>
      <c r="G51" s="208" t="s">
        <v>4799</v>
      </c>
      <c r="H51" s="210"/>
      <c r="I51" s="79"/>
      <c r="J51" s="210"/>
      <c r="K51" s="210"/>
      <c r="L51" s="210" t="str">
        <f t="shared" si="1"/>
        <v/>
      </c>
      <c r="M51" s="79"/>
      <c r="N51" s="207"/>
      <c r="O51" s="207"/>
      <c r="P51" s="207"/>
      <c r="Q51" s="207"/>
    </row>
    <row r="52" spans="1:17" ht="34.5" customHeight="1">
      <c r="A52" s="79">
        <v>44991</v>
      </c>
      <c r="B52" s="205">
        <f t="shared" si="2"/>
        <v>50</v>
      </c>
      <c r="C52" s="206" t="str">
        <f t="shared" si="3"/>
        <v>MA</v>
      </c>
      <c r="D52" s="207" t="str">
        <f t="shared" si="0"/>
        <v>SRM-MA-00050</v>
      </c>
      <c r="E52" s="208" t="s">
        <v>5632</v>
      </c>
      <c r="F52" s="205" t="s">
        <v>417</v>
      </c>
      <c r="G52" s="208" t="s">
        <v>4786</v>
      </c>
      <c r="H52" s="210"/>
      <c r="I52" s="79"/>
      <c r="J52" s="210"/>
      <c r="K52" s="210"/>
      <c r="L52" s="210" t="str">
        <f t="shared" si="1"/>
        <v/>
      </c>
      <c r="M52" s="79"/>
      <c r="N52" s="207"/>
      <c r="O52" s="207"/>
      <c r="P52" s="207"/>
      <c r="Q52" s="207"/>
    </row>
    <row r="53" spans="1:17" ht="34.5" customHeight="1">
      <c r="A53" s="79">
        <v>44991</v>
      </c>
      <c r="B53" s="205">
        <f t="shared" si="2"/>
        <v>51</v>
      </c>
      <c r="C53" s="206" t="str">
        <f t="shared" si="3"/>
        <v>MA</v>
      </c>
      <c r="D53" s="207" t="str">
        <f t="shared" si="0"/>
        <v>SRM-MA-00051</v>
      </c>
      <c r="E53" s="208" t="s">
        <v>4066</v>
      </c>
      <c r="F53" s="205">
        <v>96170675424</v>
      </c>
      <c r="G53" s="208" t="s">
        <v>4779</v>
      </c>
      <c r="H53" s="210"/>
      <c r="I53" s="79"/>
      <c r="J53" s="210"/>
      <c r="K53" s="210"/>
      <c r="L53" s="210" t="str">
        <f t="shared" si="1"/>
        <v/>
      </c>
      <c r="M53" s="79"/>
      <c r="N53" s="207"/>
      <c r="O53" s="207"/>
      <c r="P53" s="207"/>
      <c r="Q53" s="207"/>
    </row>
    <row r="54" spans="1:17" ht="34.5" customHeight="1">
      <c r="A54" s="79">
        <v>44991</v>
      </c>
      <c r="B54" s="205">
        <f t="shared" si="2"/>
        <v>52</v>
      </c>
      <c r="C54" s="206" t="str">
        <f t="shared" si="3"/>
        <v>MA</v>
      </c>
      <c r="D54" s="207" t="str">
        <f t="shared" si="0"/>
        <v>SRM-MA-00052</v>
      </c>
      <c r="E54" s="208" t="s">
        <v>5633</v>
      </c>
      <c r="F54" s="205" t="s">
        <v>5638</v>
      </c>
      <c r="G54" s="208" t="s">
        <v>4779</v>
      </c>
      <c r="H54" s="210"/>
      <c r="I54" s="79"/>
      <c r="J54" s="210"/>
      <c r="K54" s="210"/>
      <c r="L54" s="210" t="str">
        <f t="shared" si="1"/>
        <v/>
      </c>
      <c r="M54" s="79"/>
      <c r="N54" s="207"/>
      <c r="O54" s="207"/>
      <c r="P54" s="207"/>
      <c r="Q54" s="207"/>
    </row>
    <row r="55" spans="1:17" ht="34.5" customHeight="1">
      <c r="A55" s="79">
        <v>45001</v>
      </c>
      <c r="B55" s="205">
        <f t="shared" si="2"/>
        <v>53</v>
      </c>
      <c r="C55" s="206" t="str">
        <f t="shared" si="3"/>
        <v>MA</v>
      </c>
      <c r="D55" s="207" t="str">
        <f t="shared" si="0"/>
        <v>SRM-MA-00053</v>
      </c>
      <c r="E55" s="208" t="s">
        <v>5634</v>
      </c>
      <c r="F55" s="205" t="e">
        <f>IF(E55="","",VLOOKUP(E55,'ARAMA LİSTELERİ'!C55:G2094,5,))</f>
        <v>#N/A</v>
      </c>
      <c r="G55" s="208" t="s">
        <v>4773</v>
      </c>
      <c r="H55" s="210"/>
      <c r="I55" s="79"/>
      <c r="J55" s="210"/>
      <c r="K55" s="210"/>
      <c r="L55" s="210" t="str">
        <f t="shared" si="1"/>
        <v/>
      </c>
      <c r="M55" s="79"/>
      <c r="N55" s="207"/>
      <c r="O55" s="207"/>
      <c r="P55" s="207"/>
      <c r="Q55" s="207"/>
    </row>
    <row r="56" spans="1:17" ht="34.5" customHeight="1">
      <c r="A56" s="79">
        <v>45001</v>
      </c>
      <c r="B56" s="205">
        <f t="shared" si="2"/>
        <v>54</v>
      </c>
      <c r="C56" s="206" t="str">
        <f t="shared" si="3"/>
        <v>MA</v>
      </c>
      <c r="D56" s="207" t="str">
        <f t="shared" si="0"/>
        <v>SRM-MA-00054</v>
      </c>
      <c r="E56" s="208" t="s">
        <v>5634</v>
      </c>
      <c r="F56" s="205" t="e">
        <f>IF(E56="","",VLOOKUP(E56,'ARAMA LİSTELERİ'!C56:G2095,5,))</f>
        <v>#N/A</v>
      </c>
      <c r="G56" s="208" t="s">
        <v>4792</v>
      </c>
      <c r="H56" s="210"/>
      <c r="I56" s="79"/>
      <c r="J56" s="210"/>
      <c r="K56" s="210"/>
      <c r="L56" s="210" t="str">
        <f t="shared" si="1"/>
        <v/>
      </c>
      <c r="M56" s="79"/>
      <c r="N56" s="207"/>
      <c r="O56" s="207"/>
      <c r="P56" s="207"/>
      <c r="Q56" s="207"/>
    </row>
    <row r="57" spans="1:17" ht="34.5" customHeight="1">
      <c r="A57" s="79">
        <v>45012</v>
      </c>
      <c r="B57" s="205">
        <f t="shared" si="2"/>
        <v>55</v>
      </c>
      <c r="C57" s="206" t="str">
        <f t="shared" si="3"/>
        <v>MA</v>
      </c>
      <c r="D57" s="207" t="str">
        <f t="shared" si="0"/>
        <v>SRM-MA-00055</v>
      </c>
      <c r="E57" s="208" t="s">
        <v>5635</v>
      </c>
      <c r="F57" s="205" t="e">
        <f>IF(E57="","",VLOOKUP(E57,'ARAMA LİSTELERİ'!C57:G2096,5,))</f>
        <v>#N/A</v>
      </c>
      <c r="G57" s="208" t="s">
        <v>4792</v>
      </c>
      <c r="H57" s="210"/>
      <c r="I57" s="79"/>
      <c r="J57" s="210"/>
      <c r="K57" s="210"/>
      <c r="L57" s="210" t="str">
        <f t="shared" si="1"/>
        <v/>
      </c>
      <c r="M57" s="79"/>
      <c r="N57" s="207"/>
      <c r="O57" s="207"/>
      <c r="P57" s="207"/>
      <c r="Q57" s="207"/>
    </row>
    <row r="58" spans="1:17" ht="34.5" customHeight="1">
      <c r="A58" s="79">
        <v>45014</v>
      </c>
      <c r="B58" s="205">
        <f t="shared" si="2"/>
        <v>56</v>
      </c>
      <c r="C58" s="206" t="str">
        <f t="shared" si="3"/>
        <v>MA</v>
      </c>
      <c r="D58" s="207" t="str">
        <f t="shared" si="0"/>
        <v>SRM-MA-00056</v>
      </c>
      <c r="E58" s="208" t="s">
        <v>5629</v>
      </c>
      <c r="F58" s="205" t="e">
        <f>IF(E58="","",VLOOKUP(E58,'ARAMA LİSTELERİ'!C58:G2097,5,))</f>
        <v>#N/A</v>
      </c>
      <c r="G58" s="208" t="s">
        <v>4792</v>
      </c>
      <c r="H58" s="210"/>
      <c r="I58" s="79"/>
      <c r="J58" s="210"/>
      <c r="K58" s="210"/>
      <c r="L58" s="210" t="str">
        <f t="shared" si="1"/>
        <v/>
      </c>
      <c r="M58" s="79"/>
      <c r="N58" s="207"/>
      <c r="O58" s="207"/>
      <c r="P58" s="207"/>
      <c r="Q58" s="207"/>
    </row>
    <row r="59" spans="1:17" ht="34.5" customHeight="1">
      <c r="A59" s="79">
        <v>45014</v>
      </c>
      <c r="B59" s="205">
        <f t="shared" si="2"/>
        <v>57</v>
      </c>
      <c r="C59" s="206" t="str">
        <f t="shared" si="3"/>
        <v>MA</v>
      </c>
      <c r="D59" s="207" t="str">
        <f t="shared" si="0"/>
        <v>SRM-MA-00057</v>
      </c>
      <c r="E59" s="208" t="s">
        <v>5636</v>
      </c>
      <c r="F59" s="205" t="e">
        <f>IF(E59="","",VLOOKUP(E59,'ARAMA LİSTELERİ'!C59:G2098,5,))</f>
        <v>#N/A</v>
      </c>
      <c r="G59" s="208" t="s">
        <v>4773</v>
      </c>
      <c r="H59" s="210"/>
      <c r="I59" s="79"/>
      <c r="J59" s="210"/>
      <c r="K59" s="210"/>
      <c r="L59" s="210" t="str">
        <f t="shared" si="1"/>
        <v/>
      </c>
      <c r="M59" s="79"/>
      <c r="N59" s="207"/>
      <c r="O59" s="207"/>
      <c r="P59" s="207"/>
      <c r="Q59" s="207"/>
    </row>
    <row r="60" spans="1:17" ht="34.5" customHeight="1">
      <c r="A60" s="79">
        <v>45028</v>
      </c>
      <c r="B60" s="205">
        <f t="shared" si="2"/>
        <v>58</v>
      </c>
      <c r="C60" s="206" t="str">
        <f t="shared" si="3"/>
        <v>MA</v>
      </c>
      <c r="D60" s="207" t="str">
        <f t="shared" si="0"/>
        <v>SRM-MA-00058</v>
      </c>
      <c r="E60" s="208" t="s">
        <v>5637</v>
      </c>
      <c r="F60" s="205" t="e">
        <f>IF(E60="","",VLOOKUP(E60,'ARAMA LİSTELERİ'!C60:G2099,5,))</f>
        <v>#N/A</v>
      </c>
      <c r="G60" s="208" t="s">
        <v>4792</v>
      </c>
      <c r="H60" s="210"/>
      <c r="I60" s="79"/>
      <c r="J60" s="210"/>
      <c r="K60" s="210"/>
      <c r="L60" s="210" t="str">
        <f t="shared" si="1"/>
        <v/>
      </c>
      <c r="M60" s="79"/>
      <c r="N60" s="207"/>
      <c r="O60" s="207"/>
      <c r="P60" s="207"/>
      <c r="Q60" s="207"/>
    </row>
    <row r="61" spans="1:17" ht="34.5" customHeight="1">
      <c r="A61" s="82"/>
      <c r="B61" s="205" t="str">
        <f t="shared" si="2"/>
        <v/>
      </c>
      <c r="C61" s="206" t="str">
        <f t="shared" si="3"/>
        <v/>
      </c>
      <c r="D61" s="207" t="str">
        <f t="shared" si="0"/>
        <v/>
      </c>
      <c r="E61" s="207"/>
      <c r="F61" s="205" t="str">
        <f>IF(E61="","",VLOOKUP(E61,'ARAMA LİSTELERİ'!C61:G2100,5,))</f>
        <v/>
      </c>
      <c r="G61" s="207"/>
      <c r="H61" s="210"/>
      <c r="I61" s="79"/>
      <c r="J61" s="210"/>
      <c r="K61" s="210"/>
      <c r="L61" s="210" t="str">
        <f t="shared" si="1"/>
        <v/>
      </c>
      <c r="M61" s="79"/>
      <c r="N61" s="207"/>
      <c r="O61" s="207"/>
      <c r="P61" s="207"/>
      <c r="Q61" s="207"/>
    </row>
    <row r="62" spans="1:17" ht="34.5" customHeight="1">
      <c r="A62" s="82"/>
      <c r="B62" s="205" t="str">
        <f t="shared" si="2"/>
        <v/>
      </c>
      <c r="C62" s="206" t="str">
        <f t="shared" si="3"/>
        <v/>
      </c>
      <c r="D62" s="207" t="str">
        <f t="shared" si="0"/>
        <v/>
      </c>
      <c r="E62" s="207"/>
      <c r="F62" s="205" t="str">
        <f>IF(E62="","",VLOOKUP(E62,'ARAMA LİSTELERİ'!C62:G2101,5,))</f>
        <v/>
      </c>
      <c r="G62" s="207"/>
      <c r="H62" s="210"/>
      <c r="I62" s="79"/>
      <c r="J62" s="210"/>
      <c r="K62" s="210"/>
      <c r="L62" s="210" t="str">
        <f t="shared" si="1"/>
        <v/>
      </c>
      <c r="M62" s="79"/>
      <c r="N62" s="207"/>
      <c r="O62" s="207"/>
      <c r="P62" s="207"/>
      <c r="Q62" s="207"/>
    </row>
    <row r="63" spans="1:17" ht="34.5" customHeight="1">
      <c r="A63" s="82"/>
      <c r="B63" s="205" t="str">
        <f t="shared" si="2"/>
        <v/>
      </c>
      <c r="C63" s="206" t="str">
        <f t="shared" si="3"/>
        <v/>
      </c>
      <c r="D63" s="207" t="str">
        <f t="shared" si="0"/>
        <v/>
      </c>
      <c r="E63" s="207"/>
      <c r="F63" s="205" t="str">
        <f>IF(E63="","",VLOOKUP(E63,'ARAMA LİSTELERİ'!C63:G2102,5,))</f>
        <v/>
      </c>
      <c r="G63" s="207"/>
      <c r="H63" s="210"/>
      <c r="I63" s="79"/>
      <c r="J63" s="210"/>
      <c r="K63" s="210"/>
      <c r="L63" s="210" t="str">
        <f t="shared" si="1"/>
        <v/>
      </c>
      <c r="M63" s="79"/>
      <c r="N63" s="207"/>
      <c r="O63" s="207"/>
      <c r="P63" s="207"/>
      <c r="Q63" s="207"/>
    </row>
    <row r="64" spans="1:17" ht="34.5" customHeight="1">
      <c r="A64" s="82"/>
      <c r="B64" s="205" t="str">
        <f t="shared" si="2"/>
        <v/>
      </c>
      <c r="C64" s="206" t="str">
        <f t="shared" si="3"/>
        <v/>
      </c>
      <c r="D64" s="207" t="str">
        <f t="shared" si="0"/>
        <v/>
      </c>
      <c r="E64" s="207"/>
      <c r="F64" s="205" t="str">
        <f>IF(E64="","",VLOOKUP(E64,'ARAMA LİSTELERİ'!C64:G2103,5,))</f>
        <v/>
      </c>
      <c r="G64" s="207"/>
      <c r="H64" s="210"/>
      <c r="I64" s="79"/>
      <c r="J64" s="210"/>
      <c r="K64" s="210"/>
      <c r="L64" s="210" t="str">
        <f t="shared" si="1"/>
        <v/>
      </c>
      <c r="M64" s="79"/>
      <c r="N64" s="207"/>
      <c r="O64" s="207"/>
      <c r="P64" s="207"/>
      <c r="Q64" s="207"/>
    </row>
    <row r="65" spans="1:17" ht="34.5" customHeight="1">
      <c r="A65" s="82"/>
      <c r="B65" s="205" t="str">
        <f t="shared" si="2"/>
        <v/>
      </c>
      <c r="C65" s="206" t="str">
        <f t="shared" si="3"/>
        <v/>
      </c>
      <c r="D65" s="207" t="str">
        <f t="shared" si="0"/>
        <v/>
      </c>
      <c r="E65" s="207"/>
      <c r="F65" s="205" t="str">
        <f>IF(E65="","",VLOOKUP(E65,'ARAMA LİSTELERİ'!C65:G2104,5,))</f>
        <v/>
      </c>
      <c r="G65" s="207"/>
      <c r="H65" s="210"/>
      <c r="I65" s="79"/>
      <c r="J65" s="210"/>
      <c r="K65" s="210"/>
      <c r="L65" s="210" t="str">
        <f t="shared" si="1"/>
        <v/>
      </c>
      <c r="M65" s="79"/>
      <c r="N65" s="207"/>
      <c r="O65" s="207"/>
      <c r="P65" s="207"/>
      <c r="Q65" s="207"/>
    </row>
    <row r="66" spans="1:17" ht="34.5" customHeight="1">
      <c r="A66" s="82"/>
      <c r="B66" s="205" t="str">
        <f t="shared" si="2"/>
        <v/>
      </c>
      <c r="C66" s="206" t="str">
        <f t="shared" si="3"/>
        <v/>
      </c>
      <c r="D66" s="207" t="str">
        <f t="shared" si="0"/>
        <v/>
      </c>
      <c r="E66" s="207"/>
      <c r="F66" s="205" t="str">
        <f>IF(E66="","",VLOOKUP(E66,'ARAMA LİSTELERİ'!C66:G2105,5,))</f>
        <v/>
      </c>
      <c r="G66" s="207"/>
      <c r="H66" s="210"/>
      <c r="I66" s="79"/>
      <c r="J66" s="210"/>
      <c r="K66" s="210"/>
      <c r="L66" s="210" t="str">
        <f t="shared" si="1"/>
        <v/>
      </c>
      <c r="M66" s="79"/>
      <c r="N66" s="207"/>
      <c r="O66" s="207"/>
      <c r="P66" s="207"/>
      <c r="Q66" s="207"/>
    </row>
    <row r="67" spans="1:17" ht="34.5" customHeight="1">
      <c r="A67" s="82"/>
      <c r="B67" s="205" t="str">
        <f t="shared" si="2"/>
        <v/>
      </c>
      <c r="C67" s="206" t="str">
        <f t="shared" si="3"/>
        <v/>
      </c>
      <c r="D67" s="207" t="str">
        <f t="shared" si="0"/>
        <v/>
      </c>
      <c r="E67" s="207"/>
      <c r="F67" s="205" t="str">
        <f>IF(E67="","",VLOOKUP(E67,'ARAMA LİSTELERİ'!C67:G2106,5,))</f>
        <v/>
      </c>
      <c r="G67" s="207"/>
      <c r="H67" s="210"/>
      <c r="I67" s="79"/>
      <c r="J67" s="210"/>
      <c r="K67" s="210"/>
      <c r="L67" s="210" t="str">
        <f t="shared" si="1"/>
        <v/>
      </c>
      <c r="M67" s="79"/>
      <c r="N67" s="207"/>
      <c r="O67" s="207"/>
      <c r="P67" s="207"/>
      <c r="Q67" s="207"/>
    </row>
    <row r="68" spans="1:17" ht="34.5" customHeight="1">
      <c r="A68" s="82"/>
      <c r="B68" s="205" t="str">
        <f t="shared" si="2"/>
        <v/>
      </c>
      <c r="C68" s="206" t="str">
        <f t="shared" si="3"/>
        <v/>
      </c>
      <c r="D68" s="207" t="str">
        <f t="shared" si="0"/>
        <v/>
      </c>
      <c r="E68" s="207"/>
      <c r="F68" s="205" t="str">
        <f>IF(E68="","",VLOOKUP(E68,'ARAMA LİSTELERİ'!C68:G2107,5,))</f>
        <v/>
      </c>
      <c r="G68" s="207"/>
      <c r="H68" s="210"/>
      <c r="I68" s="79"/>
      <c r="J68" s="210"/>
      <c r="K68" s="210"/>
      <c r="L68" s="210" t="str">
        <f t="shared" si="1"/>
        <v/>
      </c>
      <c r="M68" s="79"/>
      <c r="N68" s="207"/>
      <c r="O68" s="207"/>
      <c r="P68" s="207"/>
      <c r="Q68" s="207"/>
    </row>
    <row r="69" spans="1:17" ht="34.5" customHeight="1">
      <c r="A69" s="82"/>
      <c r="B69" s="205" t="str">
        <f t="shared" si="2"/>
        <v/>
      </c>
      <c r="C69" s="206" t="str">
        <f t="shared" si="3"/>
        <v/>
      </c>
      <c r="D69" s="207" t="str">
        <f t="shared" si="0"/>
        <v/>
      </c>
      <c r="E69" s="207"/>
      <c r="F69" s="205" t="str">
        <f>IF(E69="","",VLOOKUP(E69,'ARAMA LİSTELERİ'!C69:G2108,5,))</f>
        <v/>
      </c>
      <c r="G69" s="207"/>
      <c r="H69" s="210"/>
      <c r="I69" s="79"/>
      <c r="J69" s="210"/>
      <c r="K69" s="210"/>
      <c r="L69" s="210" t="str">
        <f t="shared" si="1"/>
        <v/>
      </c>
      <c r="M69" s="79"/>
      <c r="N69" s="207"/>
      <c r="O69" s="207"/>
      <c r="P69" s="207"/>
      <c r="Q69" s="207"/>
    </row>
    <row r="70" spans="1:17" ht="34.5" customHeight="1">
      <c r="A70" s="82"/>
      <c r="B70" s="205" t="str">
        <f t="shared" si="2"/>
        <v/>
      </c>
      <c r="C70" s="206" t="str">
        <f t="shared" si="3"/>
        <v/>
      </c>
      <c r="D70" s="207" t="str">
        <f t="shared" si="0"/>
        <v/>
      </c>
      <c r="E70" s="207"/>
      <c r="F70" s="205" t="str">
        <f>IF(E70="","",VLOOKUP(E70,'ARAMA LİSTELERİ'!C70:G2109,5,))</f>
        <v/>
      </c>
      <c r="G70" s="207"/>
      <c r="H70" s="210"/>
      <c r="I70" s="79"/>
      <c r="J70" s="210"/>
      <c r="K70" s="210"/>
      <c r="L70" s="210" t="str">
        <f t="shared" si="1"/>
        <v/>
      </c>
      <c r="M70" s="79"/>
      <c r="N70" s="207"/>
      <c r="O70" s="207"/>
      <c r="P70" s="207"/>
      <c r="Q70" s="207"/>
    </row>
    <row r="71" spans="1:17" ht="34.5" customHeight="1">
      <c r="A71" s="82"/>
      <c r="B71" s="205" t="str">
        <f t="shared" si="2"/>
        <v/>
      </c>
      <c r="C71" s="206" t="str">
        <f t="shared" si="3"/>
        <v/>
      </c>
      <c r="D71" s="207" t="str">
        <f t="shared" si="0"/>
        <v/>
      </c>
      <c r="E71" s="207"/>
      <c r="F71" s="205" t="str">
        <f>IF(E71="","",VLOOKUP(E71,'ARAMA LİSTELERİ'!C71:G2110,5,))</f>
        <v/>
      </c>
      <c r="G71" s="207"/>
      <c r="H71" s="210"/>
      <c r="I71" s="79"/>
      <c r="J71" s="210"/>
      <c r="K71" s="210"/>
      <c r="L71" s="210" t="str">
        <f t="shared" si="1"/>
        <v/>
      </c>
      <c r="M71" s="79"/>
      <c r="N71" s="207"/>
      <c r="O71" s="207"/>
      <c r="P71" s="207"/>
      <c r="Q71" s="207"/>
    </row>
    <row r="72" spans="1:17" ht="34.5" customHeight="1">
      <c r="A72" s="82"/>
      <c r="B72" s="205" t="str">
        <f t="shared" si="2"/>
        <v/>
      </c>
      <c r="C72" s="206" t="str">
        <f t="shared" si="3"/>
        <v/>
      </c>
      <c r="D72" s="207" t="str">
        <f t="shared" si="0"/>
        <v/>
      </c>
      <c r="E72" s="207"/>
      <c r="F72" s="205" t="str">
        <f>IF(E72="","",VLOOKUP(E72,'ARAMA LİSTELERİ'!C72:G2111,5,))</f>
        <v/>
      </c>
      <c r="G72" s="207"/>
      <c r="H72" s="210"/>
      <c r="I72" s="79"/>
      <c r="J72" s="210"/>
      <c r="K72" s="210"/>
      <c r="L72" s="210" t="str">
        <f t="shared" si="1"/>
        <v/>
      </c>
      <c r="M72" s="79"/>
      <c r="N72" s="207"/>
      <c r="O72" s="207"/>
      <c r="P72" s="207"/>
      <c r="Q72" s="207"/>
    </row>
    <row r="73" spans="1:17" ht="34.5" customHeight="1">
      <c r="A73" s="82"/>
      <c r="B73" s="205" t="str">
        <f t="shared" si="2"/>
        <v/>
      </c>
      <c r="C73" s="206" t="str">
        <f t="shared" si="3"/>
        <v/>
      </c>
      <c r="D73" s="207" t="str">
        <f t="shared" si="0"/>
        <v/>
      </c>
      <c r="E73" s="207"/>
      <c r="F73" s="205" t="str">
        <f>IF(E73="","",VLOOKUP(E73,'ARAMA LİSTELERİ'!C73:G2112,5,))</f>
        <v/>
      </c>
      <c r="G73" s="207"/>
      <c r="H73" s="210"/>
      <c r="I73" s="79"/>
      <c r="J73" s="210"/>
      <c r="K73" s="210"/>
      <c r="L73" s="210" t="str">
        <f t="shared" si="1"/>
        <v/>
      </c>
      <c r="M73" s="79"/>
      <c r="N73" s="207"/>
      <c r="O73" s="207"/>
      <c r="P73" s="207"/>
      <c r="Q73" s="207"/>
    </row>
    <row r="74" spans="1:17" ht="34.5" customHeight="1">
      <c r="A74" s="82"/>
      <c r="B74" s="205" t="str">
        <f t="shared" si="2"/>
        <v/>
      </c>
      <c r="C74" s="206" t="str">
        <f t="shared" si="3"/>
        <v/>
      </c>
      <c r="D74" s="207" t="str">
        <f t="shared" si="0"/>
        <v/>
      </c>
      <c r="E74" s="207"/>
      <c r="F74" s="205" t="str">
        <f>IF(E74="","",VLOOKUP(E74,'ARAMA LİSTELERİ'!C74:G2113,5,))</f>
        <v/>
      </c>
      <c r="G74" s="207"/>
      <c r="H74" s="210"/>
      <c r="I74" s="79"/>
      <c r="J74" s="210"/>
      <c r="K74" s="210"/>
      <c r="L74" s="210" t="str">
        <f t="shared" si="1"/>
        <v/>
      </c>
      <c r="M74" s="79"/>
      <c r="N74" s="207"/>
      <c r="O74" s="207"/>
      <c r="P74" s="207"/>
      <c r="Q74" s="207"/>
    </row>
    <row r="75" spans="1:17" ht="34.5" customHeight="1">
      <c r="A75" s="82"/>
      <c r="B75" s="205" t="str">
        <f t="shared" si="2"/>
        <v/>
      </c>
      <c r="C75" s="206" t="str">
        <f t="shared" si="3"/>
        <v/>
      </c>
      <c r="D75" s="207" t="str">
        <f t="shared" si="0"/>
        <v/>
      </c>
      <c r="E75" s="207"/>
      <c r="F75" s="205" t="str">
        <f>IF(E75="","",VLOOKUP(E75,'ARAMA LİSTELERİ'!C75:G2114,5,))</f>
        <v/>
      </c>
      <c r="G75" s="207"/>
      <c r="H75" s="210"/>
      <c r="I75" s="79"/>
      <c r="J75" s="210"/>
      <c r="K75" s="210"/>
      <c r="L75" s="210" t="str">
        <f t="shared" si="1"/>
        <v/>
      </c>
      <c r="M75" s="79"/>
      <c r="N75" s="207"/>
      <c r="O75" s="207"/>
      <c r="P75" s="207"/>
      <c r="Q75" s="207"/>
    </row>
    <row r="76" spans="1:17" ht="34.5" customHeight="1">
      <c r="A76" s="82"/>
      <c r="B76" s="205" t="str">
        <f t="shared" si="2"/>
        <v/>
      </c>
      <c r="C76" s="206" t="str">
        <f t="shared" si="3"/>
        <v/>
      </c>
      <c r="D76" s="207" t="str">
        <f t="shared" si="0"/>
        <v/>
      </c>
      <c r="E76" s="207"/>
      <c r="F76" s="205" t="str">
        <f>IF(E76="","",VLOOKUP(E76,'ARAMA LİSTELERİ'!C76:G2115,5,))</f>
        <v/>
      </c>
      <c r="G76" s="207"/>
      <c r="H76" s="210"/>
      <c r="I76" s="79"/>
      <c r="J76" s="210"/>
      <c r="K76" s="210"/>
      <c r="L76" s="210" t="str">
        <f t="shared" si="1"/>
        <v/>
      </c>
      <c r="M76" s="79"/>
      <c r="N76" s="207"/>
      <c r="O76" s="207"/>
      <c r="P76" s="207"/>
      <c r="Q76" s="207"/>
    </row>
    <row r="77" spans="1:17" ht="34.5" customHeight="1">
      <c r="A77" s="82"/>
      <c r="B77" s="205" t="str">
        <f t="shared" si="2"/>
        <v/>
      </c>
      <c r="C77" s="206" t="str">
        <f t="shared" si="3"/>
        <v/>
      </c>
      <c r="D77" s="207" t="str">
        <f t="shared" si="0"/>
        <v/>
      </c>
      <c r="E77" s="207"/>
      <c r="F77" s="205" t="str">
        <f>IF(E77="","",VLOOKUP(E77,'ARAMA LİSTELERİ'!C77:G2116,5,))</f>
        <v/>
      </c>
      <c r="G77" s="207"/>
      <c r="H77" s="210"/>
      <c r="I77" s="79"/>
      <c r="J77" s="210"/>
      <c r="K77" s="210"/>
      <c r="L77" s="210" t="str">
        <f t="shared" si="1"/>
        <v/>
      </c>
      <c r="M77" s="79"/>
      <c r="N77" s="207"/>
      <c r="O77" s="207"/>
      <c r="P77" s="207"/>
      <c r="Q77" s="207"/>
    </row>
    <row r="78" spans="1:17" ht="34.5" customHeight="1">
      <c r="A78" s="82"/>
      <c r="B78" s="205" t="str">
        <f t="shared" si="2"/>
        <v/>
      </c>
      <c r="C78" s="206" t="str">
        <f t="shared" si="3"/>
        <v/>
      </c>
      <c r="D78" s="207" t="str">
        <f t="shared" si="0"/>
        <v/>
      </c>
      <c r="E78" s="207"/>
      <c r="F78" s="205" t="str">
        <f>IF(E78="","",VLOOKUP(E78,'ARAMA LİSTELERİ'!C78:G2117,5,))</f>
        <v/>
      </c>
      <c r="G78" s="207"/>
      <c r="H78" s="210"/>
      <c r="I78" s="79"/>
      <c r="J78" s="210"/>
      <c r="K78" s="210"/>
      <c r="L78" s="210" t="str">
        <f t="shared" si="1"/>
        <v/>
      </c>
      <c r="M78" s="79"/>
      <c r="N78" s="207"/>
      <c r="O78" s="207"/>
      <c r="P78" s="207"/>
      <c r="Q78" s="207"/>
    </row>
    <row r="79" spans="1:17" ht="34.5" customHeight="1">
      <c r="A79" s="82"/>
      <c r="B79" s="205" t="str">
        <f t="shared" si="2"/>
        <v/>
      </c>
      <c r="C79" s="206" t="str">
        <f t="shared" si="3"/>
        <v/>
      </c>
      <c r="D79" s="207" t="str">
        <f t="shared" si="0"/>
        <v/>
      </c>
      <c r="E79" s="207"/>
      <c r="F79" s="205" t="str">
        <f>IF(E79="","",VLOOKUP(E79,'ARAMA LİSTELERİ'!C79:G2118,5,))</f>
        <v/>
      </c>
      <c r="G79" s="207"/>
      <c r="H79" s="210"/>
      <c r="I79" s="79"/>
      <c r="J79" s="210"/>
      <c r="K79" s="210"/>
      <c r="L79" s="210" t="str">
        <f t="shared" si="1"/>
        <v/>
      </c>
      <c r="M79" s="79"/>
      <c r="N79" s="207"/>
      <c r="O79" s="207"/>
      <c r="P79" s="207"/>
      <c r="Q79" s="207"/>
    </row>
    <row r="80" spans="1:17" ht="34.5" customHeight="1">
      <c r="A80" s="82"/>
      <c r="B80" s="205" t="str">
        <f t="shared" si="2"/>
        <v/>
      </c>
      <c r="C80" s="206" t="str">
        <f t="shared" si="3"/>
        <v/>
      </c>
      <c r="D80" s="207" t="str">
        <f t="shared" si="0"/>
        <v/>
      </c>
      <c r="E80" s="207"/>
      <c r="F80" s="205" t="str">
        <f>IF(E80="","",VLOOKUP(E80,'ARAMA LİSTELERİ'!C80:G2119,5,))</f>
        <v/>
      </c>
      <c r="G80" s="207"/>
      <c r="H80" s="210"/>
      <c r="I80" s="79"/>
      <c r="J80" s="210"/>
      <c r="K80" s="210"/>
      <c r="L80" s="210" t="str">
        <f t="shared" si="1"/>
        <v/>
      </c>
      <c r="M80" s="79"/>
      <c r="N80" s="207"/>
      <c r="O80" s="207"/>
      <c r="P80" s="207"/>
      <c r="Q80" s="207"/>
    </row>
    <row r="81" spans="1:17" ht="34.5" customHeight="1">
      <c r="A81" s="82"/>
      <c r="B81" s="205" t="str">
        <f t="shared" si="2"/>
        <v/>
      </c>
      <c r="C81" s="206" t="str">
        <f t="shared" si="3"/>
        <v/>
      </c>
      <c r="D81" s="207" t="str">
        <f t="shared" si="0"/>
        <v/>
      </c>
      <c r="E81" s="207"/>
      <c r="F81" s="205" t="str">
        <f>IF(E81="","",VLOOKUP(E81,'ARAMA LİSTELERİ'!C81:G2120,5,))</f>
        <v/>
      </c>
      <c r="G81" s="207"/>
      <c r="H81" s="210"/>
      <c r="I81" s="79"/>
      <c r="J81" s="210"/>
      <c r="K81" s="210"/>
      <c r="L81" s="210" t="str">
        <f t="shared" si="1"/>
        <v/>
      </c>
      <c r="M81" s="79"/>
      <c r="N81" s="207"/>
      <c r="O81" s="207"/>
      <c r="P81" s="207"/>
      <c r="Q81" s="207"/>
    </row>
    <row r="82" spans="1:17" ht="34.5" customHeight="1">
      <c r="A82" s="82"/>
      <c r="B82" s="205" t="str">
        <f t="shared" si="2"/>
        <v/>
      </c>
      <c r="C82" s="206" t="str">
        <f t="shared" si="3"/>
        <v/>
      </c>
      <c r="D82" s="207" t="str">
        <f t="shared" si="0"/>
        <v/>
      </c>
      <c r="E82" s="207"/>
      <c r="F82" s="205" t="str">
        <f>IF(E82="","",VLOOKUP(E82,'ARAMA LİSTELERİ'!C82:G2121,5,))</f>
        <v/>
      </c>
      <c r="G82" s="207"/>
      <c r="H82" s="210"/>
      <c r="I82" s="79"/>
      <c r="J82" s="210"/>
      <c r="K82" s="210"/>
      <c r="L82" s="210" t="str">
        <f t="shared" si="1"/>
        <v/>
      </c>
      <c r="M82" s="79"/>
      <c r="N82" s="207"/>
      <c r="O82" s="207"/>
      <c r="P82" s="207"/>
      <c r="Q82" s="207"/>
    </row>
    <row r="83" spans="1:17" ht="34.5" customHeight="1">
      <c r="A83" s="82"/>
      <c r="B83" s="205" t="str">
        <f t="shared" si="2"/>
        <v/>
      </c>
      <c r="C83" s="206" t="str">
        <f t="shared" si="3"/>
        <v/>
      </c>
      <c r="D83" s="207" t="str">
        <f t="shared" si="0"/>
        <v/>
      </c>
      <c r="E83" s="207"/>
      <c r="F83" s="205" t="str">
        <f>IF(E83="","",VLOOKUP(E83,'ARAMA LİSTELERİ'!C83:G2122,5,))</f>
        <v/>
      </c>
      <c r="G83" s="207"/>
      <c r="H83" s="210"/>
      <c r="I83" s="79"/>
      <c r="J83" s="210"/>
      <c r="K83" s="210"/>
      <c r="L83" s="210" t="str">
        <f t="shared" si="1"/>
        <v/>
      </c>
      <c r="M83" s="79"/>
      <c r="N83" s="207"/>
      <c r="O83" s="207"/>
      <c r="P83" s="207"/>
      <c r="Q83" s="207"/>
    </row>
    <row r="84" spans="1:17" ht="34.5" customHeight="1">
      <c r="A84" s="82"/>
      <c r="B84" s="205" t="str">
        <f t="shared" si="2"/>
        <v/>
      </c>
      <c r="C84" s="206" t="str">
        <f t="shared" si="3"/>
        <v/>
      </c>
      <c r="D84" s="207" t="str">
        <f t="shared" si="0"/>
        <v/>
      </c>
      <c r="E84" s="207"/>
      <c r="F84" s="205" t="str">
        <f>IF(E84="","",VLOOKUP(E84,'ARAMA LİSTELERİ'!C84:G2123,5,))</f>
        <v/>
      </c>
      <c r="G84" s="207"/>
      <c r="H84" s="210"/>
      <c r="I84" s="79"/>
      <c r="J84" s="210"/>
      <c r="K84" s="210"/>
      <c r="L84" s="210" t="str">
        <f t="shared" si="1"/>
        <v/>
      </c>
      <c r="M84" s="79"/>
      <c r="N84" s="207"/>
      <c r="O84" s="207"/>
      <c r="P84" s="207"/>
      <c r="Q84" s="207"/>
    </row>
    <row r="85" spans="1:17" ht="34.5" customHeight="1">
      <c r="A85" s="82"/>
      <c r="B85" s="205" t="str">
        <f t="shared" si="2"/>
        <v/>
      </c>
      <c r="C85" s="206" t="str">
        <f t="shared" si="3"/>
        <v/>
      </c>
      <c r="D85" s="207" t="str">
        <f t="shared" si="0"/>
        <v/>
      </c>
      <c r="E85" s="207"/>
      <c r="F85" s="205" t="str">
        <f>IF(E85="","",VLOOKUP(E85,'ARAMA LİSTELERİ'!C85:G2124,5,))</f>
        <v/>
      </c>
      <c r="G85" s="207"/>
      <c r="H85" s="210"/>
      <c r="I85" s="79"/>
      <c r="J85" s="210"/>
      <c r="K85" s="210"/>
      <c r="L85" s="210" t="str">
        <f t="shared" si="1"/>
        <v/>
      </c>
      <c r="M85" s="79"/>
      <c r="N85" s="207"/>
      <c r="O85" s="207"/>
      <c r="P85" s="207"/>
      <c r="Q85" s="207"/>
    </row>
    <row r="86" spans="1:17" ht="34.5" customHeight="1">
      <c r="A86" s="82"/>
      <c r="B86" s="205" t="str">
        <f t="shared" si="2"/>
        <v/>
      </c>
      <c r="C86" s="206" t="str">
        <f t="shared" si="3"/>
        <v/>
      </c>
      <c r="D86" s="207" t="str">
        <f t="shared" si="0"/>
        <v/>
      </c>
      <c r="E86" s="207"/>
      <c r="F86" s="205" t="str">
        <f>IF(E86="","",VLOOKUP(E86,'ARAMA LİSTELERİ'!C86:G2125,5,))</f>
        <v/>
      </c>
      <c r="G86" s="207"/>
      <c r="H86" s="210"/>
      <c r="I86" s="79"/>
      <c r="J86" s="210"/>
      <c r="K86" s="210"/>
      <c r="L86" s="210" t="str">
        <f t="shared" si="1"/>
        <v/>
      </c>
      <c r="M86" s="79"/>
      <c r="N86" s="207"/>
      <c r="O86" s="207"/>
      <c r="P86" s="207"/>
      <c r="Q86" s="207"/>
    </row>
    <row r="87" spans="1:17" ht="34.5" customHeight="1">
      <c r="A87" s="82"/>
      <c r="B87" s="205" t="str">
        <f t="shared" si="2"/>
        <v/>
      </c>
      <c r="C87" s="206" t="str">
        <f t="shared" si="3"/>
        <v/>
      </c>
      <c r="D87" s="207" t="str">
        <f t="shared" si="0"/>
        <v/>
      </c>
      <c r="E87" s="207"/>
      <c r="F87" s="205" t="str">
        <f>IF(E87="","",VLOOKUP(E87,'ARAMA LİSTELERİ'!C87:G2126,5,))</f>
        <v/>
      </c>
      <c r="G87" s="207"/>
      <c r="H87" s="210"/>
      <c r="I87" s="79"/>
      <c r="J87" s="210"/>
      <c r="K87" s="210"/>
      <c r="L87" s="210" t="str">
        <f t="shared" si="1"/>
        <v/>
      </c>
      <c r="M87" s="79"/>
      <c r="N87" s="207"/>
      <c r="O87" s="207"/>
      <c r="P87" s="207"/>
      <c r="Q87" s="207"/>
    </row>
    <row r="88" spans="1:17" ht="34.5" customHeight="1">
      <c r="A88" s="82"/>
      <c r="B88" s="205" t="str">
        <f t="shared" si="2"/>
        <v/>
      </c>
      <c r="C88" s="206" t="str">
        <f t="shared" si="3"/>
        <v/>
      </c>
      <c r="D88" s="207" t="str">
        <f t="shared" si="0"/>
        <v/>
      </c>
      <c r="E88" s="207"/>
      <c r="F88" s="205" t="str">
        <f>IF(E88="","",VLOOKUP(E88,'ARAMA LİSTELERİ'!C88:G2127,5,))</f>
        <v/>
      </c>
      <c r="G88" s="207"/>
      <c r="H88" s="210"/>
      <c r="I88" s="79"/>
      <c r="J88" s="210"/>
      <c r="K88" s="210"/>
      <c r="L88" s="210" t="str">
        <f t="shared" si="1"/>
        <v/>
      </c>
      <c r="M88" s="79"/>
      <c r="N88" s="207"/>
      <c r="O88" s="207"/>
      <c r="P88" s="207"/>
      <c r="Q88" s="207"/>
    </row>
    <row r="89" spans="1:17" ht="34.5" customHeight="1">
      <c r="A89" s="82"/>
      <c r="B89" s="205" t="str">
        <f t="shared" si="2"/>
        <v/>
      </c>
      <c r="C89" s="206" t="str">
        <f t="shared" si="3"/>
        <v/>
      </c>
      <c r="D89" s="207" t="str">
        <f t="shared" si="0"/>
        <v/>
      </c>
      <c r="E89" s="207"/>
      <c r="F89" s="205" t="str">
        <f>IF(E89="","",VLOOKUP(E89,'ARAMA LİSTELERİ'!C89:G2128,5,))</f>
        <v/>
      </c>
      <c r="G89" s="207"/>
      <c r="H89" s="210"/>
      <c r="I89" s="79"/>
      <c r="J89" s="210"/>
      <c r="K89" s="210"/>
      <c r="L89" s="210" t="str">
        <f t="shared" si="1"/>
        <v/>
      </c>
      <c r="M89" s="79"/>
      <c r="N89" s="207"/>
      <c r="O89" s="207"/>
      <c r="P89" s="207"/>
      <c r="Q89" s="207"/>
    </row>
    <row r="90" spans="1:17" ht="34.5" customHeight="1">
      <c r="A90" s="82"/>
      <c r="B90" s="205" t="str">
        <f t="shared" si="2"/>
        <v/>
      </c>
      <c r="C90" s="206" t="str">
        <f t="shared" si="3"/>
        <v/>
      </c>
      <c r="D90" s="207" t="str">
        <f t="shared" si="0"/>
        <v/>
      </c>
      <c r="E90" s="207"/>
      <c r="F90" s="205" t="str">
        <f>IF(E90="","",VLOOKUP(E90,'ARAMA LİSTELERİ'!C90:G2129,5,))</f>
        <v/>
      </c>
      <c r="G90" s="207"/>
      <c r="H90" s="210"/>
      <c r="I90" s="79"/>
      <c r="J90" s="210"/>
      <c r="K90" s="210"/>
      <c r="L90" s="210" t="str">
        <f t="shared" si="1"/>
        <v/>
      </c>
      <c r="M90" s="79"/>
      <c r="N90" s="207"/>
      <c r="O90" s="207"/>
      <c r="P90" s="207"/>
      <c r="Q90" s="207"/>
    </row>
    <row r="91" spans="1:17" ht="34.5" customHeight="1">
      <c r="A91" s="82"/>
      <c r="B91" s="205" t="str">
        <f t="shared" si="2"/>
        <v/>
      </c>
      <c r="C91" s="206" t="str">
        <f t="shared" si="3"/>
        <v/>
      </c>
      <c r="D91" s="207" t="str">
        <f t="shared" si="0"/>
        <v/>
      </c>
      <c r="E91" s="207"/>
      <c r="F91" s="205" t="str">
        <f>IF(E91="","",VLOOKUP(E91,'ARAMA LİSTELERİ'!C91:G2130,5,))</f>
        <v/>
      </c>
      <c r="G91" s="207"/>
      <c r="H91" s="210"/>
      <c r="I91" s="79"/>
      <c r="J91" s="210"/>
      <c r="K91" s="210"/>
      <c r="L91" s="210" t="str">
        <f t="shared" si="1"/>
        <v/>
      </c>
      <c r="M91" s="79"/>
      <c r="N91" s="207"/>
      <c r="O91" s="207"/>
      <c r="P91" s="207"/>
      <c r="Q91" s="207"/>
    </row>
    <row r="92" spans="1:17" ht="34.5" customHeight="1">
      <c r="A92" s="82"/>
      <c r="B92" s="205" t="str">
        <f t="shared" si="2"/>
        <v/>
      </c>
      <c r="C92" s="206" t="str">
        <f t="shared" si="3"/>
        <v/>
      </c>
      <c r="D92" s="207" t="str">
        <f t="shared" si="0"/>
        <v/>
      </c>
      <c r="E92" s="207"/>
      <c r="F92" s="205" t="str">
        <f>IF(E92="","",VLOOKUP(E92,'ARAMA LİSTELERİ'!C92:G2131,5,))</f>
        <v/>
      </c>
      <c r="G92" s="207"/>
      <c r="H92" s="210"/>
      <c r="I92" s="79"/>
      <c r="J92" s="210"/>
      <c r="K92" s="210"/>
      <c r="L92" s="210" t="str">
        <f t="shared" si="1"/>
        <v/>
      </c>
      <c r="M92" s="79"/>
      <c r="N92" s="207"/>
      <c r="O92" s="207"/>
      <c r="P92" s="207"/>
      <c r="Q92" s="207"/>
    </row>
    <row r="93" spans="1:17" ht="34.5" customHeight="1">
      <c r="A93" s="82"/>
      <c r="B93" s="205" t="str">
        <f t="shared" si="2"/>
        <v/>
      </c>
      <c r="C93" s="206" t="str">
        <f t="shared" si="3"/>
        <v/>
      </c>
      <c r="D93" s="207" t="str">
        <f t="shared" si="0"/>
        <v/>
      </c>
      <c r="E93" s="207"/>
      <c r="F93" s="205" t="str">
        <f>IF(E93="","",VLOOKUP(E93,'ARAMA LİSTELERİ'!C93:G2132,5,))</f>
        <v/>
      </c>
      <c r="G93" s="207"/>
      <c r="H93" s="210"/>
      <c r="I93" s="79"/>
      <c r="J93" s="210"/>
      <c r="K93" s="210"/>
      <c r="L93" s="210" t="str">
        <f t="shared" si="1"/>
        <v/>
      </c>
      <c r="M93" s="79"/>
      <c r="N93" s="207"/>
      <c r="O93" s="207"/>
      <c r="P93" s="207"/>
      <c r="Q93" s="207"/>
    </row>
    <row r="94" spans="1:17" ht="34.5" customHeight="1">
      <c r="A94" s="82"/>
      <c r="B94" s="205" t="str">
        <f t="shared" si="2"/>
        <v/>
      </c>
      <c r="C94" s="206" t="str">
        <f t="shared" si="3"/>
        <v/>
      </c>
      <c r="D94" s="207" t="str">
        <f t="shared" si="0"/>
        <v/>
      </c>
      <c r="E94" s="207"/>
      <c r="F94" s="205" t="str">
        <f>IF(E94="","",VLOOKUP(E94,'ARAMA LİSTELERİ'!C94:G2133,5,))</f>
        <v/>
      </c>
      <c r="G94" s="207"/>
      <c r="H94" s="210"/>
      <c r="I94" s="79"/>
      <c r="J94" s="210"/>
      <c r="K94" s="210"/>
      <c r="L94" s="210" t="str">
        <f t="shared" si="1"/>
        <v/>
      </c>
      <c r="M94" s="79"/>
      <c r="N94" s="207"/>
      <c r="O94" s="207"/>
      <c r="P94" s="207"/>
      <c r="Q94" s="207"/>
    </row>
    <row r="95" spans="1:17" ht="34.5" customHeight="1">
      <c r="A95" s="82"/>
      <c r="B95" s="205" t="str">
        <f t="shared" si="2"/>
        <v/>
      </c>
      <c r="C95" s="206" t="str">
        <f t="shared" si="3"/>
        <v/>
      </c>
      <c r="D95" s="207" t="str">
        <f t="shared" si="0"/>
        <v/>
      </c>
      <c r="E95" s="207"/>
      <c r="F95" s="205" t="str">
        <f>IF(E95="","",VLOOKUP(E95,'ARAMA LİSTELERİ'!C95:G2134,5,))</f>
        <v/>
      </c>
      <c r="G95" s="207"/>
      <c r="H95" s="210"/>
      <c r="I95" s="79"/>
      <c r="J95" s="210"/>
      <c r="K95" s="210"/>
      <c r="L95" s="210" t="str">
        <f t="shared" si="1"/>
        <v/>
      </c>
      <c r="M95" s="79"/>
      <c r="N95" s="207"/>
      <c r="O95" s="207"/>
      <c r="P95" s="207"/>
      <c r="Q95" s="207"/>
    </row>
    <row r="96" spans="1:17" ht="34.5" customHeight="1">
      <c r="A96" s="82"/>
      <c r="B96" s="205" t="str">
        <f t="shared" si="2"/>
        <v/>
      </c>
      <c r="C96" s="206" t="str">
        <f t="shared" si="3"/>
        <v/>
      </c>
      <c r="D96" s="207" t="str">
        <f t="shared" si="0"/>
        <v/>
      </c>
      <c r="E96" s="207"/>
      <c r="F96" s="205" t="str">
        <f>IF(E96="","",VLOOKUP(E96,'ARAMA LİSTELERİ'!C96:G2135,5,))</f>
        <v/>
      </c>
      <c r="G96" s="207"/>
      <c r="H96" s="210"/>
      <c r="I96" s="79"/>
      <c r="J96" s="210"/>
      <c r="K96" s="210"/>
      <c r="L96" s="210" t="str">
        <f t="shared" si="1"/>
        <v/>
      </c>
      <c r="M96" s="79"/>
      <c r="N96" s="207"/>
      <c r="O96" s="207"/>
      <c r="P96" s="207"/>
      <c r="Q96" s="207"/>
    </row>
    <row r="97" spans="1:17" ht="34.5" customHeight="1">
      <c r="A97" s="82"/>
      <c r="B97" s="205" t="str">
        <f t="shared" si="2"/>
        <v/>
      </c>
      <c r="C97" s="206" t="str">
        <f t="shared" si="3"/>
        <v/>
      </c>
      <c r="D97" s="207" t="str">
        <f t="shared" si="0"/>
        <v/>
      </c>
      <c r="E97" s="207"/>
      <c r="F97" s="205" t="str">
        <f>IF(E97="","",VLOOKUP(E97,'ARAMA LİSTELERİ'!C97:G2136,5,))</f>
        <v/>
      </c>
      <c r="G97" s="207"/>
      <c r="H97" s="210"/>
      <c r="I97" s="79"/>
      <c r="J97" s="210"/>
      <c r="K97" s="210"/>
      <c r="L97" s="210" t="str">
        <f t="shared" si="1"/>
        <v/>
      </c>
      <c r="M97" s="79"/>
      <c r="N97" s="207"/>
      <c r="O97" s="207"/>
      <c r="P97" s="207"/>
      <c r="Q97" s="207"/>
    </row>
    <row r="98" spans="1:17" ht="34.5" customHeight="1">
      <c r="A98" s="82"/>
      <c r="B98" s="205" t="str">
        <f t="shared" si="2"/>
        <v/>
      </c>
      <c r="C98" s="206" t="str">
        <f t="shared" si="3"/>
        <v/>
      </c>
      <c r="D98" s="207" t="str">
        <f t="shared" si="0"/>
        <v/>
      </c>
      <c r="E98" s="207"/>
      <c r="F98" s="205" t="str">
        <f>IF(E98="","",VLOOKUP(E98,'ARAMA LİSTELERİ'!C98:G2137,5,))</f>
        <v/>
      </c>
      <c r="G98" s="207"/>
      <c r="H98" s="210"/>
      <c r="I98" s="79"/>
      <c r="J98" s="210"/>
      <c r="K98" s="210"/>
      <c r="L98" s="210" t="str">
        <f t="shared" si="1"/>
        <v/>
      </c>
      <c r="M98" s="79"/>
      <c r="N98" s="207"/>
      <c r="O98" s="207"/>
      <c r="P98" s="207"/>
      <c r="Q98" s="207"/>
    </row>
    <row r="99" spans="1:17" ht="34.5" customHeight="1">
      <c r="A99" s="82"/>
      <c r="B99" s="205" t="str">
        <f t="shared" si="2"/>
        <v/>
      </c>
      <c r="C99" s="206" t="str">
        <f t="shared" si="3"/>
        <v/>
      </c>
      <c r="D99" s="207" t="str">
        <f t="shared" si="0"/>
        <v/>
      </c>
      <c r="E99" s="207"/>
      <c r="F99" s="205" t="str">
        <f>IF(E99="","",VLOOKUP(E99,'ARAMA LİSTELERİ'!C99:G2138,5,))</f>
        <v/>
      </c>
      <c r="G99" s="207"/>
      <c r="H99" s="210"/>
      <c r="I99" s="79"/>
      <c r="J99" s="210"/>
      <c r="K99" s="210"/>
      <c r="L99" s="210" t="str">
        <f t="shared" si="1"/>
        <v/>
      </c>
      <c r="M99" s="79"/>
      <c r="N99" s="207"/>
      <c r="O99" s="207"/>
      <c r="P99" s="207"/>
      <c r="Q99" s="207"/>
    </row>
    <row r="100" spans="1:17" ht="34.5" customHeight="1">
      <c r="A100" s="82"/>
      <c r="B100" s="205" t="str">
        <f t="shared" si="2"/>
        <v/>
      </c>
      <c r="C100" s="206" t="str">
        <f t="shared" si="3"/>
        <v/>
      </c>
      <c r="D100" s="207" t="str">
        <f t="shared" si="0"/>
        <v/>
      </c>
      <c r="E100" s="207"/>
      <c r="F100" s="205" t="str">
        <f>IF(E100="","",VLOOKUP(E100,'ARAMA LİSTELERİ'!C100:G2139,5,))</f>
        <v/>
      </c>
      <c r="G100" s="207"/>
      <c r="H100" s="210"/>
      <c r="I100" s="79"/>
      <c r="J100" s="210"/>
      <c r="K100" s="210"/>
      <c r="L100" s="210" t="str">
        <f t="shared" si="1"/>
        <v/>
      </c>
      <c r="M100" s="79"/>
      <c r="N100" s="207"/>
      <c r="O100" s="207"/>
      <c r="P100" s="207"/>
      <c r="Q100" s="207"/>
    </row>
    <row r="101" spans="1:17" ht="34.5" customHeight="1">
      <c r="A101" s="82"/>
      <c r="B101" s="205" t="str">
        <f t="shared" si="2"/>
        <v/>
      </c>
      <c r="C101" s="206" t="str">
        <f t="shared" si="3"/>
        <v/>
      </c>
      <c r="D101" s="207" t="str">
        <f t="shared" si="0"/>
        <v/>
      </c>
      <c r="E101" s="207"/>
      <c r="F101" s="205" t="str">
        <f>IF(E101="","",VLOOKUP(E101,'ARAMA LİSTELERİ'!C101:G2140,5,))</f>
        <v/>
      </c>
      <c r="G101" s="207"/>
      <c r="H101" s="210"/>
      <c r="I101" s="79"/>
      <c r="J101" s="210"/>
      <c r="K101" s="210"/>
      <c r="L101" s="210" t="str">
        <f t="shared" si="1"/>
        <v/>
      </c>
      <c r="M101" s="79"/>
      <c r="N101" s="207"/>
      <c r="O101" s="207"/>
      <c r="P101" s="207"/>
      <c r="Q101" s="207"/>
    </row>
    <row r="102" spans="1:17" ht="34.5" customHeight="1">
      <c r="A102" s="82"/>
      <c r="B102" s="205" t="str">
        <f t="shared" si="2"/>
        <v/>
      </c>
      <c r="C102" s="206" t="str">
        <f t="shared" si="3"/>
        <v/>
      </c>
      <c r="D102" s="207" t="str">
        <f t="shared" si="0"/>
        <v/>
      </c>
      <c r="E102" s="207"/>
      <c r="F102" s="205" t="str">
        <f>IF(E102="","",VLOOKUP(E102,'ARAMA LİSTELERİ'!C102:G2141,5,))</f>
        <v/>
      </c>
      <c r="G102" s="207"/>
      <c r="H102" s="210"/>
      <c r="I102" s="79"/>
      <c r="J102" s="210"/>
      <c r="K102" s="210"/>
      <c r="L102" s="210" t="str">
        <f t="shared" si="1"/>
        <v/>
      </c>
      <c r="M102" s="79"/>
      <c r="N102" s="207"/>
      <c r="O102" s="207"/>
      <c r="P102" s="207"/>
      <c r="Q102" s="207"/>
    </row>
    <row r="103" spans="1:17" ht="34.5" customHeight="1">
      <c r="A103" s="82"/>
      <c r="B103" s="205" t="str">
        <f t="shared" si="2"/>
        <v/>
      </c>
      <c r="C103" s="206" t="str">
        <f t="shared" si="3"/>
        <v/>
      </c>
      <c r="D103" s="207" t="str">
        <f t="shared" si="0"/>
        <v/>
      </c>
      <c r="E103" s="207"/>
      <c r="F103" s="205" t="str">
        <f>IF(E103="","",VLOOKUP(E103,'ARAMA LİSTELERİ'!C103:G2142,5,))</f>
        <v/>
      </c>
      <c r="G103" s="207"/>
      <c r="H103" s="210"/>
      <c r="I103" s="79"/>
      <c r="J103" s="210"/>
      <c r="K103" s="210"/>
      <c r="L103" s="210" t="str">
        <f t="shared" si="1"/>
        <v/>
      </c>
      <c r="M103" s="79"/>
      <c r="N103" s="207"/>
      <c r="O103" s="207"/>
      <c r="P103" s="207"/>
      <c r="Q103" s="207"/>
    </row>
    <row r="104" spans="1:17" ht="34.5" customHeight="1">
      <c r="A104" s="82"/>
      <c r="B104" s="205" t="str">
        <f t="shared" si="2"/>
        <v/>
      </c>
      <c r="C104" s="206" t="str">
        <f t="shared" si="3"/>
        <v/>
      </c>
      <c r="D104" s="207" t="str">
        <f t="shared" si="0"/>
        <v/>
      </c>
      <c r="E104" s="207"/>
      <c r="F104" s="205" t="str">
        <f>IF(E104="","",VLOOKUP(E104,'ARAMA LİSTELERİ'!C104:G2143,5,))</f>
        <v/>
      </c>
      <c r="G104" s="207"/>
      <c r="H104" s="210"/>
      <c r="I104" s="79"/>
      <c r="J104" s="210"/>
      <c r="K104" s="210"/>
      <c r="L104" s="210" t="str">
        <f t="shared" si="1"/>
        <v/>
      </c>
      <c r="M104" s="79"/>
      <c r="N104" s="207"/>
      <c r="O104" s="207"/>
      <c r="P104" s="207"/>
      <c r="Q104" s="207"/>
    </row>
    <row r="105" spans="1:17" ht="34.5" customHeight="1">
      <c r="A105" s="82"/>
      <c r="B105" s="205" t="str">
        <f t="shared" si="2"/>
        <v/>
      </c>
      <c r="C105" s="206" t="str">
        <f t="shared" si="3"/>
        <v/>
      </c>
      <c r="D105" s="207" t="str">
        <f t="shared" si="0"/>
        <v/>
      </c>
      <c r="E105" s="207"/>
      <c r="F105" s="205" t="str">
        <f>IF(E105="","",VLOOKUP(E105,'ARAMA LİSTELERİ'!C105:G2144,5,))</f>
        <v/>
      </c>
      <c r="G105" s="207"/>
      <c r="H105" s="210"/>
      <c r="I105" s="79"/>
      <c r="J105" s="210"/>
      <c r="K105" s="210"/>
      <c r="L105" s="210" t="str">
        <f t="shared" si="1"/>
        <v/>
      </c>
      <c r="M105" s="79"/>
      <c r="N105" s="207"/>
      <c r="O105" s="207"/>
      <c r="P105" s="207"/>
      <c r="Q105" s="207"/>
    </row>
    <row r="106" spans="1:17" ht="34.5" customHeight="1">
      <c r="A106" s="82"/>
      <c r="B106" s="205" t="str">
        <f t="shared" si="2"/>
        <v/>
      </c>
      <c r="C106" s="206" t="str">
        <f t="shared" si="3"/>
        <v/>
      </c>
      <c r="D106" s="207" t="str">
        <f t="shared" si="0"/>
        <v/>
      </c>
      <c r="E106" s="207"/>
      <c r="F106" s="205" t="str">
        <f>IF(E106="","",VLOOKUP(E106,'ARAMA LİSTELERİ'!C106:G2145,5,))</f>
        <v/>
      </c>
      <c r="G106" s="207"/>
      <c r="H106" s="210"/>
      <c r="I106" s="79"/>
      <c r="J106" s="210"/>
      <c r="K106" s="210"/>
      <c r="L106" s="210" t="str">
        <f t="shared" si="1"/>
        <v/>
      </c>
      <c r="M106" s="79"/>
      <c r="N106" s="207"/>
      <c r="O106" s="207"/>
      <c r="P106" s="207"/>
      <c r="Q106" s="207"/>
    </row>
    <row r="107" spans="1:17" ht="34.5" customHeight="1">
      <c r="A107" s="82"/>
      <c r="B107" s="205" t="str">
        <f t="shared" si="2"/>
        <v/>
      </c>
      <c r="C107" s="206" t="str">
        <f t="shared" si="3"/>
        <v/>
      </c>
      <c r="D107" s="207" t="str">
        <f t="shared" si="0"/>
        <v/>
      </c>
      <c r="E107" s="207"/>
      <c r="F107" s="205" t="str">
        <f>IF(E107="","",VLOOKUP(E107,'ARAMA LİSTELERİ'!C107:G2146,5,))</f>
        <v/>
      </c>
      <c r="G107" s="207"/>
      <c r="H107" s="210"/>
      <c r="I107" s="79"/>
      <c r="J107" s="210"/>
      <c r="K107" s="210"/>
      <c r="L107" s="210" t="str">
        <f t="shared" si="1"/>
        <v/>
      </c>
      <c r="M107" s="79"/>
      <c r="N107" s="207"/>
      <c r="O107" s="207"/>
      <c r="P107" s="207"/>
      <c r="Q107" s="207"/>
    </row>
    <row r="108" spans="1:17" ht="34.5" customHeight="1">
      <c r="A108" s="82"/>
      <c r="B108" s="205" t="str">
        <f t="shared" si="2"/>
        <v/>
      </c>
      <c r="C108" s="206" t="str">
        <f t="shared" si="3"/>
        <v/>
      </c>
      <c r="D108" s="207" t="str">
        <f t="shared" si="0"/>
        <v/>
      </c>
      <c r="E108" s="207"/>
      <c r="F108" s="205" t="str">
        <f>IF(E108="","",VLOOKUP(E108,'ARAMA LİSTELERİ'!C108:G2147,5,))</f>
        <v/>
      </c>
      <c r="G108" s="207"/>
      <c r="H108" s="210"/>
      <c r="I108" s="79"/>
      <c r="J108" s="210"/>
      <c r="K108" s="210"/>
      <c r="L108" s="210" t="str">
        <f t="shared" si="1"/>
        <v/>
      </c>
      <c r="M108" s="79"/>
      <c r="N108" s="207"/>
      <c r="O108" s="207"/>
      <c r="P108" s="207"/>
      <c r="Q108" s="207"/>
    </row>
    <row r="109" spans="1:17" ht="34.5" customHeight="1">
      <c r="A109" s="82"/>
      <c r="B109" s="205" t="str">
        <f t="shared" si="2"/>
        <v/>
      </c>
      <c r="C109" s="206" t="str">
        <f t="shared" si="3"/>
        <v/>
      </c>
      <c r="D109" s="207" t="str">
        <f t="shared" si="0"/>
        <v/>
      </c>
      <c r="E109" s="207"/>
      <c r="F109" s="205" t="str">
        <f>IF(E109="","",VLOOKUP(E109,'ARAMA LİSTELERİ'!C109:G2148,5,))</f>
        <v/>
      </c>
      <c r="G109" s="207"/>
      <c r="H109" s="210"/>
      <c r="I109" s="79"/>
      <c r="J109" s="210"/>
      <c r="K109" s="210"/>
      <c r="L109" s="210" t="str">
        <f t="shared" si="1"/>
        <v/>
      </c>
      <c r="M109" s="79"/>
      <c r="N109" s="207"/>
      <c r="O109" s="207"/>
      <c r="P109" s="207"/>
      <c r="Q109" s="207"/>
    </row>
    <row r="110" spans="1:17" ht="34.5" customHeight="1">
      <c r="A110" s="82"/>
      <c r="B110" s="205" t="str">
        <f t="shared" si="2"/>
        <v/>
      </c>
      <c r="C110" s="206" t="str">
        <f t="shared" si="3"/>
        <v/>
      </c>
      <c r="D110" s="207" t="str">
        <f t="shared" si="0"/>
        <v/>
      </c>
      <c r="E110" s="207"/>
      <c r="F110" s="205" t="str">
        <f>IF(E110="","",VLOOKUP(E110,'ARAMA LİSTELERİ'!C110:G2149,5,))</f>
        <v/>
      </c>
      <c r="G110" s="207"/>
      <c r="H110" s="210"/>
      <c r="I110" s="79"/>
      <c r="J110" s="210"/>
      <c r="K110" s="210"/>
      <c r="L110" s="210" t="str">
        <f t="shared" si="1"/>
        <v/>
      </c>
      <c r="M110" s="79"/>
      <c r="N110" s="207"/>
      <c r="O110" s="207"/>
      <c r="P110" s="207"/>
      <c r="Q110" s="207"/>
    </row>
    <row r="111" spans="1:17" ht="34.5" customHeight="1">
      <c r="A111" s="82"/>
      <c r="B111" s="205" t="str">
        <f t="shared" si="2"/>
        <v/>
      </c>
      <c r="C111" s="206" t="str">
        <f t="shared" si="3"/>
        <v/>
      </c>
      <c r="D111" s="207" t="str">
        <f t="shared" si="0"/>
        <v/>
      </c>
      <c r="E111" s="207"/>
      <c r="F111" s="205" t="str">
        <f>IF(E111="","",VLOOKUP(E111,'ARAMA LİSTELERİ'!C111:G2150,5,))</f>
        <v/>
      </c>
      <c r="G111" s="207"/>
      <c r="H111" s="210"/>
      <c r="I111" s="79"/>
      <c r="J111" s="210"/>
      <c r="K111" s="210"/>
      <c r="L111" s="210" t="str">
        <f t="shared" si="1"/>
        <v/>
      </c>
      <c r="M111" s="79"/>
      <c r="N111" s="207"/>
      <c r="O111" s="207"/>
      <c r="P111" s="207"/>
      <c r="Q111" s="207"/>
    </row>
    <row r="112" spans="1:17" ht="34.5" customHeight="1">
      <c r="A112" s="82"/>
      <c r="B112" s="205" t="str">
        <f t="shared" si="2"/>
        <v/>
      </c>
      <c r="C112" s="206" t="str">
        <f t="shared" si="3"/>
        <v/>
      </c>
      <c r="D112" s="207" t="str">
        <f t="shared" si="0"/>
        <v/>
      </c>
      <c r="E112" s="207"/>
      <c r="F112" s="205" t="str">
        <f>IF(E112="","",VLOOKUP(E112,'ARAMA LİSTELERİ'!C112:G2151,5,))</f>
        <v/>
      </c>
      <c r="G112" s="207"/>
      <c r="H112" s="210"/>
      <c r="I112" s="79"/>
      <c r="J112" s="210"/>
      <c r="K112" s="210"/>
      <c r="L112" s="210" t="str">
        <f t="shared" si="1"/>
        <v/>
      </c>
      <c r="M112" s="79"/>
      <c r="N112" s="207"/>
      <c r="O112" s="207"/>
      <c r="P112" s="207"/>
      <c r="Q112" s="207"/>
    </row>
    <row r="113" spans="1:17" ht="34.5" customHeight="1">
      <c r="A113" s="82"/>
      <c r="B113" s="205" t="str">
        <f t="shared" si="2"/>
        <v/>
      </c>
      <c r="C113" s="206" t="str">
        <f t="shared" si="3"/>
        <v/>
      </c>
      <c r="D113" s="207" t="str">
        <f t="shared" si="0"/>
        <v/>
      </c>
      <c r="E113" s="207"/>
      <c r="F113" s="205" t="str">
        <f>IF(E113="","",VLOOKUP(E113,'ARAMA LİSTELERİ'!C113:G2152,5,))</f>
        <v/>
      </c>
      <c r="G113" s="207"/>
      <c r="H113" s="210"/>
      <c r="I113" s="79"/>
      <c r="J113" s="210"/>
      <c r="K113" s="210"/>
      <c r="L113" s="210" t="str">
        <f t="shared" si="1"/>
        <v/>
      </c>
      <c r="M113" s="79"/>
      <c r="N113" s="207"/>
      <c r="O113" s="207"/>
      <c r="P113" s="207"/>
      <c r="Q113" s="207"/>
    </row>
    <row r="114" spans="1:17" ht="34.5" customHeight="1">
      <c r="A114" s="82"/>
      <c r="B114" s="205" t="str">
        <f t="shared" si="2"/>
        <v/>
      </c>
      <c r="C114" s="206" t="str">
        <f t="shared" si="3"/>
        <v/>
      </c>
      <c r="D114" s="207" t="str">
        <f t="shared" si="0"/>
        <v/>
      </c>
      <c r="E114" s="207"/>
      <c r="F114" s="205" t="str">
        <f>IF(E114="","",VLOOKUP(E114,'ARAMA LİSTELERİ'!C114:G2153,5,))</f>
        <v/>
      </c>
      <c r="G114" s="207"/>
      <c r="H114" s="210"/>
      <c r="I114" s="79"/>
      <c r="J114" s="210"/>
      <c r="K114" s="210"/>
      <c r="L114" s="210" t="str">
        <f t="shared" si="1"/>
        <v/>
      </c>
      <c r="M114" s="79"/>
      <c r="N114" s="207"/>
      <c r="O114" s="207"/>
      <c r="P114" s="207"/>
      <c r="Q114" s="207"/>
    </row>
    <row r="115" spans="1:17" ht="34.5" customHeight="1">
      <c r="A115" s="82"/>
      <c r="B115" s="205" t="str">
        <f t="shared" si="2"/>
        <v/>
      </c>
      <c r="C115" s="206" t="str">
        <f t="shared" si="3"/>
        <v/>
      </c>
      <c r="D115" s="207" t="str">
        <f t="shared" si="0"/>
        <v/>
      </c>
      <c r="E115" s="207"/>
      <c r="F115" s="205" t="str">
        <f>IF(E115="","",VLOOKUP(E115,'ARAMA LİSTELERİ'!C115:G2154,5,))</f>
        <v/>
      </c>
      <c r="G115" s="207"/>
      <c r="H115" s="210"/>
      <c r="I115" s="79"/>
      <c r="J115" s="210"/>
      <c r="K115" s="210"/>
      <c r="L115" s="210" t="str">
        <f t="shared" si="1"/>
        <v/>
      </c>
      <c r="M115" s="79"/>
      <c r="N115" s="207"/>
      <c r="O115" s="207"/>
      <c r="P115" s="207"/>
      <c r="Q115" s="207"/>
    </row>
    <row r="116" spans="1:17" ht="34.5" customHeight="1">
      <c r="A116" s="82"/>
      <c r="B116" s="205" t="str">
        <f t="shared" si="2"/>
        <v/>
      </c>
      <c r="C116" s="206" t="str">
        <f t="shared" si="3"/>
        <v/>
      </c>
      <c r="D116" s="207" t="str">
        <f t="shared" si="0"/>
        <v/>
      </c>
      <c r="E116" s="207"/>
      <c r="F116" s="205" t="str">
        <f>IF(E116="","",VLOOKUP(E116,'ARAMA LİSTELERİ'!C116:G2155,5,))</f>
        <v/>
      </c>
      <c r="G116" s="207"/>
      <c r="H116" s="210"/>
      <c r="I116" s="79"/>
      <c r="J116" s="210"/>
      <c r="K116" s="210"/>
      <c r="L116" s="210" t="str">
        <f t="shared" si="1"/>
        <v/>
      </c>
      <c r="M116" s="79"/>
      <c r="N116" s="207"/>
      <c r="O116" s="207"/>
      <c r="P116" s="207"/>
      <c r="Q116" s="207"/>
    </row>
    <row r="117" spans="1:17" ht="34.5" customHeight="1">
      <c r="A117" s="82"/>
      <c r="B117" s="205" t="str">
        <f t="shared" si="2"/>
        <v/>
      </c>
      <c r="C117" s="206" t="str">
        <f t="shared" si="3"/>
        <v/>
      </c>
      <c r="D117" s="207" t="str">
        <f t="shared" si="0"/>
        <v/>
      </c>
      <c r="E117" s="207"/>
      <c r="F117" s="205" t="str">
        <f>IF(E117="","",VLOOKUP(E117,'ARAMA LİSTELERİ'!C117:G2156,5,))</f>
        <v/>
      </c>
      <c r="G117" s="207"/>
      <c r="H117" s="210"/>
      <c r="I117" s="79"/>
      <c r="J117" s="210"/>
      <c r="K117" s="210"/>
      <c r="L117" s="210" t="str">
        <f t="shared" si="1"/>
        <v/>
      </c>
      <c r="M117" s="79"/>
      <c r="N117" s="207"/>
      <c r="O117" s="207"/>
      <c r="P117" s="207"/>
      <c r="Q117" s="207"/>
    </row>
    <row r="118" spans="1:17" ht="34.5" customHeight="1">
      <c r="A118" s="82"/>
      <c r="B118" s="205" t="str">
        <f t="shared" si="2"/>
        <v/>
      </c>
      <c r="C118" s="206" t="str">
        <f t="shared" si="3"/>
        <v/>
      </c>
      <c r="D118" s="207" t="str">
        <f t="shared" si="0"/>
        <v/>
      </c>
      <c r="E118" s="207"/>
      <c r="F118" s="205" t="str">
        <f>IF(E118="","",VLOOKUP(E118,'ARAMA LİSTELERİ'!C118:G2157,5,))</f>
        <v/>
      </c>
      <c r="G118" s="207"/>
      <c r="H118" s="210"/>
      <c r="I118" s="79"/>
      <c r="J118" s="210"/>
      <c r="K118" s="210"/>
      <c r="L118" s="210" t="str">
        <f t="shared" si="1"/>
        <v/>
      </c>
      <c r="M118" s="79"/>
      <c r="N118" s="207"/>
      <c r="O118" s="207"/>
      <c r="P118" s="207"/>
      <c r="Q118" s="207"/>
    </row>
    <row r="119" spans="1:17" ht="34.5" customHeight="1">
      <c r="A119" s="82"/>
      <c r="B119" s="205" t="str">
        <f t="shared" si="2"/>
        <v/>
      </c>
      <c r="C119" s="206" t="str">
        <f t="shared" si="3"/>
        <v/>
      </c>
      <c r="D119" s="207" t="str">
        <f t="shared" si="0"/>
        <v/>
      </c>
      <c r="E119" s="207"/>
      <c r="F119" s="205" t="str">
        <f>IF(E119="","",VLOOKUP(E119,'ARAMA LİSTELERİ'!C119:G2158,5,))</f>
        <v/>
      </c>
      <c r="G119" s="207"/>
      <c r="H119" s="210"/>
      <c r="I119" s="79"/>
      <c r="J119" s="210"/>
      <c r="K119" s="210"/>
      <c r="L119" s="210" t="str">
        <f t="shared" si="1"/>
        <v/>
      </c>
      <c r="M119" s="79"/>
      <c r="N119" s="207"/>
      <c r="O119" s="207"/>
      <c r="P119" s="207"/>
      <c r="Q119" s="207"/>
    </row>
    <row r="120" spans="1:17" ht="34.5" customHeight="1">
      <c r="A120" s="82"/>
      <c r="B120" s="205" t="str">
        <f t="shared" si="2"/>
        <v/>
      </c>
      <c r="C120" s="206" t="str">
        <f t="shared" si="3"/>
        <v/>
      </c>
      <c r="D120" s="207" t="str">
        <f t="shared" si="0"/>
        <v/>
      </c>
      <c r="E120" s="207"/>
      <c r="F120" s="205" t="str">
        <f>IF(E120="","",VLOOKUP(E120,'ARAMA LİSTELERİ'!C120:G2159,5,))</f>
        <v/>
      </c>
      <c r="G120" s="207"/>
      <c r="H120" s="210"/>
      <c r="I120" s="79"/>
      <c r="J120" s="210"/>
      <c r="K120" s="210"/>
      <c r="L120" s="210" t="str">
        <f t="shared" si="1"/>
        <v/>
      </c>
      <c r="M120" s="79"/>
      <c r="N120" s="207"/>
      <c r="O120" s="207"/>
      <c r="P120" s="207"/>
      <c r="Q120" s="207"/>
    </row>
    <row r="121" spans="1:17" ht="34.5" customHeight="1">
      <c r="A121" s="82"/>
      <c r="B121" s="205" t="str">
        <f t="shared" si="2"/>
        <v/>
      </c>
      <c r="C121" s="206" t="str">
        <f t="shared" si="3"/>
        <v/>
      </c>
      <c r="D121" s="207" t="str">
        <f t="shared" si="0"/>
        <v/>
      </c>
      <c r="E121" s="207"/>
      <c r="F121" s="205" t="str">
        <f>IF(E121="","",VLOOKUP(E121,'ARAMA LİSTELERİ'!C121:G2160,5,))</f>
        <v/>
      </c>
      <c r="G121" s="207"/>
      <c r="H121" s="210"/>
      <c r="I121" s="79"/>
      <c r="J121" s="210"/>
      <c r="K121" s="210"/>
      <c r="L121" s="210" t="str">
        <f t="shared" si="1"/>
        <v/>
      </c>
      <c r="M121" s="79"/>
      <c r="N121" s="207"/>
      <c r="O121" s="207"/>
      <c r="P121" s="207"/>
      <c r="Q121" s="207"/>
    </row>
    <row r="122" spans="1:17" ht="34.5" customHeight="1">
      <c r="A122" s="82"/>
      <c r="B122" s="205" t="str">
        <f t="shared" si="2"/>
        <v/>
      </c>
      <c r="C122" s="206" t="str">
        <f t="shared" si="3"/>
        <v/>
      </c>
      <c r="D122" s="207" t="str">
        <f t="shared" si="0"/>
        <v/>
      </c>
      <c r="E122" s="207"/>
      <c r="F122" s="205" t="str">
        <f>IF(E122="","",VLOOKUP(E122,'ARAMA LİSTELERİ'!C122:G2161,5,))</f>
        <v/>
      </c>
      <c r="G122" s="207"/>
      <c r="H122" s="210"/>
      <c r="I122" s="79"/>
      <c r="J122" s="210"/>
      <c r="K122" s="210"/>
      <c r="L122" s="210" t="str">
        <f t="shared" si="1"/>
        <v/>
      </c>
      <c r="M122" s="79"/>
      <c r="N122" s="207"/>
      <c r="O122" s="207"/>
      <c r="P122" s="207"/>
      <c r="Q122" s="207"/>
    </row>
    <row r="123" spans="1:17" ht="34.5" customHeight="1">
      <c r="A123" s="82"/>
      <c r="B123" s="205" t="str">
        <f t="shared" si="2"/>
        <v/>
      </c>
      <c r="C123" s="206" t="str">
        <f t="shared" si="3"/>
        <v/>
      </c>
      <c r="D123" s="207" t="str">
        <f t="shared" si="0"/>
        <v/>
      </c>
      <c r="E123" s="207"/>
      <c r="F123" s="205" t="str">
        <f>IF(E123="","",VLOOKUP(E123,'ARAMA LİSTELERİ'!C123:G2162,5,))</f>
        <v/>
      </c>
      <c r="G123" s="207"/>
      <c r="H123" s="210"/>
      <c r="I123" s="79"/>
      <c r="J123" s="210"/>
      <c r="K123" s="210"/>
      <c r="L123" s="210" t="str">
        <f t="shared" si="1"/>
        <v/>
      </c>
      <c r="M123" s="79"/>
      <c r="N123" s="207"/>
      <c r="O123" s="207"/>
      <c r="P123" s="207"/>
      <c r="Q123" s="207"/>
    </row>
    <row r="124" spans="1:17" ht="34.5" customHeight="1">
      <c r="A124" s="82"/>
      <c r="B124" s="205" t="str">
        <f t="shared" si="2"/>
        <v/>
      </c>
      <c r="C124" s="206" t="str">
        <f t="shared" si="3"/>
        <v/>
      </c>
      <c r="D124" s="207" t="str">
        <f t="shared" si="0"/>
        <v/>
      </c>
      <c r="E124" s="207"/>
      <c r="F124" s="205" t="str">
        <f>IF(E124="","",VLOOKUP(E124,'ARAMA LİSTELERİ'!C124:G2163,5,))</f>
        <v/>
      </c>
      <c r="G124" s="207"/>
      <c r="H124" s="210"/>
      <c r="I124" s="79"/>
      <c r="J124" s="210"/>
      <c r="K124" s="210"/>
      <c r="L124" s="210" t="str">
        <f t="shared" si="1"/>
        <v/>
      </c>
      <c r="M124" s="79"/>
      <c r="N124" s="207"/>
      <c r="O124" s="207"/>
      <c r="P124" s="207"/>
      <c r="Q124" s="207"/>
    </row>
    <row r="125" spans="1:17" ht="34.5" customHeight="1">
      <c r="A125" s="82"/>
      <c r="B125" s="205" t="str">
        <f t="shared" si="2"/>
        <v/>
      </c>
      <c r="C125" s="206" t="str">
        <f t="shared" si="3"/>
        <v/>
      </c>
      <c r="D125" s="207" t="str">
        <f t="shared" si="0"/>
        <v/>
      </c>
      <c r="E125" s="207"/>
      <c r="F125" s="205" t="str">
        <f>IF(E125="","",VLOOKUP(E125,'ARAMA LİSTELERİ'!C125:G2164,5,))</f>
        <v/>
      </c>
      <c r="G125" s="207"/>
      <c r="H125" s="210"/>
      <c r="I125" s="79"/>
      <c r="J125" s="210"/>
      <c r="K125" s="210"/>
      <c r="L125" s="210" t="str">
        <f t="shared" si="1"/>
        <v/>
      </c>
      <c r="M125" s="79"/>
      <c r="N125" s="207"/>
      <c r="O125" s="207"/>
      <c r="P125" s="207"/>
      <c r="Q125" s="207"/>
    </row>
    <row r="126" spans="1:17" ht="34.5" customHeight="1">
      <c r="A126" s="82"/>
      <c r="B126" s="205" t="str">
        <f t="shared" si="2"/>
        <v/>
      </c>
      <c r="C126" s="206" t="str">
        <f t="shared" si="3"/>
        <v/>
      </c>
      <c r="D126" s="207" t="str">
        <f t="shared" si="0"/>
        <v/>
      </c>
      <c r="E126" s="207"/>
      <c r="F126" s="205" t="str">
        <f>IF(E126="","",VLOOKUP(E126,'ARAMA LİSTELERİ'!C126:G2165,5,))</f>
        <v/>
      </c>
      <c r="G126" s="207"/>
      <c r="H126" s="210"/>
      <c r="I126" s="79"/>
      <c r="J126" s="210"/>
      <c r="K126" s="210"/>
      <c r="L126" s="210" t="str">
        <f t="shared" si="1"/>
        <v/>
      </c>
      <c r="M126" s="79"/>
      <c r="N126" s="207"/>
      <c r="O126" s="207"/>
      <c r="P126" s="207"/>
      <c r="Q126" s="207"/>
    </row>
    <row r="127" spans="1:17" ht="34.5" customHeight="1">
      <c r="A127" s="82"/>
      <c r="B127" s="205" t="str">
        <f t="shared" si="2"/>
        <v/>
      </c>
      <c r="C127" s="206" t="str">
        <f t="shared" si="3"/>
        <v/>
      </c>
      <c r="D127" s="207" t="str">
        <f t="shared" si="0"/>
        <v/>
      </c>
      <c r="E127" s="207"/>
      <c r="F127" s="205" t="str">
        <f>IF(E127="","",VLOOKUP(E127,'ARAMA LİSTELERİ'!C127:G2166,5,))</f>
        <v/>
      </c>
      <c r="G127" s="207"/>
      <c r="H127" s="210"/>
      <c r="I127" s="79"/>
      <c r="J127" s="210"/>
      <c r="K127" s="210"/>
      <c r="L127" s="210" t="str">
        <f t="shared" si="1"/>
        <v/>
      </c>
      <c r="M127" s="79"/>
      <c r="N127" s="207"/>
      <c r="O127" s="207"/>
      <c r="P127" s="207"/>
      <c r="Q127" s="207"/>
    </row>
    <row r="128" spans="1:17" ht="34.5" customHeight="1">
      <c r="A128" s="82"/>
      <c r="B128" s="205" t="str">
        <f t="shared" si="2"/>
        <v/>
      </c>
      <c r="C128" s="206" t="str">
        <f t="shared" si="3"/>
        <v/>
      </c>
      <c r="D128" s="207" t="str">
        <f t="shared" si="0"/>
        <v/>
      </c>
      <c r="E128" s="207"/>
      <c r="F128" s="205" t="str">
        <f>IF(E128="","",VLOOKUP(E128,'ARAMA LİSTELERİ'!C128:G2167,5,))</f>
        <v/>
      </c>
      <c r="G128" s="207"/>
      <c r="H128" s="210"/>
      <c r="I128" s="79"/>
      <c r="J128" s="210"/>
      <c r="K128" s="210"/>
      <c r="L128" s="210" t="str">
        <f t="shared" si="1"/>
        <v/>
      </c>
      <c r="M128" s="79"/>
      <c r="N128" s="207"/>
      <c r="O128" s="207"/>
      <c r="P128" s="207"/>
      <c r="Q128" s="207"/>
    </row>
    <row r="129" spans="1:17" ht="34.5" customHeight="1">
      <c r="A129" s="82"/>
      <c r="B129" s="205" t="str">
        <f t="shared" si="2"/>
        <v/>
      </c>
      <c r="C129" s="206" t="str">
        <f t="shared" si="3"/>
        <v/>
      </c>
      <c r="D129" s="207" t="str">
        <f t="shared" si="0"/>
        <v/>
      </c>
      <c r="E129" s="207"/>
      <c r="F129" s="205" t="str">
        <f>IF(E129="","",VLOOKUP(E129,'ARAMA LİSTELERİ'!C129:G2168,5,))</f>
        <v/>
      </c>
      <c r="G129" s="207"/>
      <c r="H129" s="210"/>
      <c r="I129" s="79"/>
      <c r="J129" s="210"/>
      <c r="K129" s="210"/>
      <c r="L129" s="210" t="str">
        <f t="shared" si="1"/>
        <v/>
      </c>
      <c r="M129" s="79"/>
      <c r="N129" s="207"/>
      <c r="O129" s="207"/>
      <c r="P129" s="207"/>
      <c r="Q129" s="207"/>
    </row>
    <row r="130" spans="1:17" ht="34.5" customHeight="1">
      <c r="A130" s="82"/>
      <c r="B130" s="205" t="str">
        <f t="shared" si="2"/>
        <v/>
      </c>
      <c r="C130" s="206" t="str">
        <f t="shared" si="3"/>
        <v/>
      </c>
      <c r="D130" s="207" t="str">
        <f t="shared" si="0"/>
        <v/>
      </c>
      <c r="E130" s="207"/>
      <c r="F130" s="205" t="str">
        <f>IF(E130="","",VLOOKUP(E130,'ARAMA LİSTELERİ'!C130:G2169,5,))</f>
        <v/>
      </c>
      <c r="G130" s="207"/>
      <c r="H130" s="210"/>
      <c r="I130" s="79"/>
      <c r="J130" s="210"/>
      <c r="K130" s="210"/>
      <c r="L130" s="210" t="str">
        <f t="shared" si="1"/>
        <v/>
      </c>
      <c r="M130" s="79"/>
      <c r="N130" s="207"/>
      <c r="O130" s="207"/>
      <c r="P130" s="207"/>
      <c r="Q130" s="207"/>
    </row>
    <row r="131" spans="1:17" ht="34.5" customHeight="1">
      <c r="A131" s="82"/>
      <c r="B131" s="205" t="str">
        <f t="shared" si="2"/>
        <v/>
      </c>
      <c r="C131" s="206" t="str">
        <f t="shared" si="3"/>
        <v/>
      </c>
      <c r="D131" s="207" t="str">
        <f t="shared" si="0"/>
        <v/>
      </c>
      <c r="E131" s="207"/>
      <c r="F131" s="205" t="str">
        <f>IF(E131="","",VLOOKUP(E131,'ARAMA LİSTELERİ'!C131:G2170,5,))</f>
        <v/>
      </c>
      <c r="G131" s="207"/>
      <c r="H131" s="210"/>
      <c r="I131" s="79"/>
      <c r="J131" s="210"/>
      <c r="K131" s="210"/>
      <c r="L131" s="210" t="str">
        <f t="shared" si="1"/>
        <v/>
      </c>
      <c r="M131" s="79"/>
      <c r="N131" s="207"/>
      <c r="O131" s="207"/>
      <c r="P131" s="207"/>
      <c r="Q131" s="207"/>
    </row>
    <row r="132" spans="1:17" ht="34.5" customHeight="1">
      <c r="A132" s="82"/>
      <c r="B132" s="205" t="str">
        <f t="shared" si="2"/>
        <v/>
      </c>
      <c r="C132" s="206" t="str">
        <f t="shared" si="3"/>
        <v/>
      </c>
      <c r="D132" s="207" t="str">
        <f t="shared" si="0"/>
        <v/>
      </c>
      <c r="E132" s="207"/>
      <c r="F132" s="205" t="str">
        <f>IF(E132="","",VLOOKUP(E132,'ARAMA LİSTELERİ'!C132:G2171,5,))</f>
        <v/>
      </c>
      <c r="G132" s="207"/>
      <c r="H132" s="210"/>
      <c r="I132" s="79"/>
      <c r="J132" s="210"/>
      <c r="K132" s="210"/>
      <c r="L132" s="210" t="str">
        <f t="shared" si="1"/>
        <v/>
      </c>
      <c r="M132" s="79"/>
      <c r="N132" s="207"/>
      <c r="O132" s="207"/>
      <c r="P132" s="207"/>
      <c r="Q132" s="207"/>
    </row>
    <row r="133" spans="1:17" ht="34.5" customHeight="1">
      <c r="A133" s="82"/>
      <c r="B133" s="205" t="str">
        <f t="shared" si="2"/>
        <v/>
      </c>
      <c r="C133" s="206" t="str">
        <f t="shared" si="3"/>
        <v/>
      </c>
      <c r="D133" s="207" t="str">
        <f t="shared" si="0"/>
        <v/>
      </c>
      <c r="E133" s="207"/>
      <c r="F133" s="205" t="str">
        <f>IF(E133="","",VLOOKUP(E133,'ARAMA LİSTELERİ'!C133:G2172,5,))</f>
        <v/>
      </c>
      <c r="G133" s="207"/>
      <c r="H133" s="210"/>
      <c r="I133" s="79"/>
      <c r="J133" s="210"/>
      <c r="K133" s="210"/>
      <c r="L133" s="210" t="str">
        <f t="shared" si="1"/>
        <v/>
      </c>
      <c r="M133" s="79"/>
      <c r="N133" s="207"/>
      <c r="O133" s="207"/>
      <c r="P133" s="207"/>
      <c r="Q133" s="207"/>
    </row>
    <row r="134" spans="1:17" ht="34.5" customHeight="1">
      <c r="A134" s="82"/>
      <c r="B134" s="205" t="str">
        <f t="shared" si="2"/>
        <v/>
      </c>
      <c r="C134" s="206" t="str">
        <f t="shared" si="3"/>
        <v/>
      </c>
      <c r="D134" s="207" t="str">
        <f t="shared" si="0"/>
        <v/>
      </c>
      <c r="E134" s="207"/>
      <c r="F134" s="205" t="str">
        <f>IF(E134="","",VLOOKUP(E134,'ARAMA LİSTELERİ'!C134:G2173,5,))</f>
        <v/>
      </c>
      <c r="G134" s="207"/>
      <c r="H134" s="210"/>
      <c r="I134" s="79"/>
      <c r="J134" s="210"/>
      <c r="K134" s="210"/>
      <c r="L134" s="210" t="str">
        <f t="shared" si="1"/>
        <v/>
      </c>
      <c r="M134" s="79"/>
      <c r="N134" s="207"/>
      <c r="O134" s="207"/>
      <c r="P134" s="207"/>
      <c r="Q134" s="207"/>
    </row>
    <row r="135" spans="1:17" ht="34.5" customHeight="1">
      <c r="A135" s="82"/>
      <c r="B135" s="205" t="str">
        <f t="shared" si="2"/>
        <v/>
      </c>
      <c r="C135" s="206" t="str">
        <f t="shared" si="3"/>
        <v/>
      </c>
      <c r="D135" s="207" t="str">
        <f t="shared" si="0"/>
        <v/>
      </c>
      <c r="E135" s="207"/>
      <c r="F135" s="205" t="str">
        <f>IF(E135="","",VLOOKUP(E135,'ARAMA LİSTELERİ'!C135:G2174,5,))</f>
        <v/>
      </c>
      <c r="G135" s="207"/>
      <c r="H135" s="210"/>
      <c r="I135" s="79"/>
      <c r="J135" s="210"/>
      <c r="K135" s="210"/>
      <c r="L135" s="210" t="str">
        <f t="shared" si="1"/>
        <v/>
      </c>
      <c r="M135" s="79"/>
      <c r="N135" s="207"/>
      <c r="O135" s="207"/>
      <c r="P135" s="207"/>
      <c r="Q135" s="207"/>
    </row>
    <row r="136" spans="1:17" ht="34.5" customHeight="1">
      <c r="A136" s="82"/>
      <c r="B136" s="205" t="str">
        <f t="shared" si="2"/>
        <v/>
      </c>
      <c r="C136" s="206" t="str">
        <f t="shared" si="3"/>
        <v/>
      </c>
      <c r="D136" s="207" t="str">
        <f t="shared" si="0"/>
        <v/>
      </c>
      <c r="E136" s="207"/>
      <c r="F136" s="205" t="str">
        <f>IF(E136="","",VLOOKUP(E136,'ARAMA LİSTELERİ'!C136:G2175,5,))</f>
        <v/>
      </c>
      <c r="G136" s="207"/>
      <c r="H136" s="210"/>
      <c r="I136" s="79"/>
      <c r="J136" s="210"/>
      <c r="K136" s="210"/>
      <c r="L136" s="210" t="str">
        <f t="shared" si="1"/>
        <v/>
      </c>
      <c r="M136" s="79"/>
      <c r="N136" s="207"/>
      <c r="O136" s="207"/>
      <c r="P136" s="207"/>
      <c r="Q136" s="207"/>
    </row>
    <row r="137" spans="1:17" ht="34.5" customHeight="1">
      <c r="A137" s="82"/>
      <c r="B137" s="205" t="str">
        <f t="shared" si="2"/>
        <v/>
      </c>
      <c r="C137" s="206" t="str">
        <f t="shared" si="3"/>
        <v/>
      </c>
      <c r="D137" s="207" t="str">
        <f t="shared" si="0"/>
        <v/>
      </c>
      <c r="E137" s="207"/>
      <c r="F137" s="205" t="str">
        <f>IF(E137="","",VLOOKUP(E137,'ARAMA LİSTELERİ'!C137:G2176,5,))</f>
        <v/>
      </c>
      <c r="G137" s="207"/>
      <c r="H137" s="210"/>
      <c r="I137" s="79"/>
      <c r="J137" s="210"/>
      <c r="K137" s="210"/>
      <c r="L137" s="210" t="str">
        <f t="shared" si="1"/>
        <v/>
      </c>
      <c r="M137" s="79"/>
      <c r="N137" s="207"/>
      <c r="O137" s="207"/>
      <c r="P137" s="207"/>
      <c r="Q137" s="207"/>
    </row>
    <row r="138" spans="1:17" ht="34.5" customHeight="1">
      <c r="A138" s="82"/>
      <c r="B138" s="205" t="str">
        <f t="shared" si="2"/>
        <v/>
      </c>
      <c r="C138" s="206" t="str">
        <f t="shared" si="3"/>
        <v/>
      </c>
      <c r="D138" s="207" t="str">
        <f t="shared" si="0"/>
        <v/>
      </c>
      <c r="E138" s="207"/>
      <c r="F138" s="205" t="str">
        <f>IF(E138="","",VLOOKUP(E138,'ARAMA LİSTELERİ'!C138:G2177,5,))</f>
        <v/>
      </c>
      <c r="G138" s="207"/>
      <c r="H138" s="210"/>
      <c r="I138" s="79"/>
      <c r="J138" s="210"/>
      <c r="K138" s="210"/>
      <c r="L138" s="210" t="str">
        <f t="shared" si="1"/>
        <v/>
      </c>
      <c r="M138" s="79"/>
      <c r="N138" s="207"/>
      <c r="O138" s="207"/>
      <c r="P138" s="207"/>
      <c r="Q138" s="207"/>
    </row>
    <row r="139" spans="1:17" ht="34.5" customHeight="1">
      <c r="A139" s="82"/>
      <c r="B139" s="205" t="str">
        <f t="shared" si="2"/>
        <v/>
      </c>
      <c r="C139" s="206" t="str">
        <f t="shared" si="3"/>
        <v/>
      </c>
      <c r="D139" s="207" t="str">
        <f t="shared" si="0"/>
        <v/>
      </c>
      <c r="E139" s="207"/>
      <c r="F139" s="205" t="str">
        <f>IF(E139="","",VLOOKUP(E139,'ARAMA LİSTELERİ'!C139:G2178,5,))</f>
        <v/>
      </c>
      <c r="G139" s="207"/>
      <c r="H139" s="210"/>
      <c r="I139" s="79"/>
      <c r="J139" s="210"/>
      <c r="K139" s="210"/>
      <c r="L139" s="210" t="str">
        <f t="shared" si="1"/>
        <v/>
      </c>
      <c r="M139" s="79"/>
      <c r="N139" s="207"/>
      <c r="O139" s="207"/>
      <c r="P139" s="207"/>
      <c r="Q139" s="207"/>
    </row>
    <row r="140" spans="1:17" ht="34.5" customHeight="1">
      <c r="A140" s="82"/>
      <c r="B140" s="205" t="str">
        <f t="shared" si="2"/>
        <v/>
      </c>
      <c r="C140" s="206" t="str">
        <f t="shared" si="3"/>
        <v/>
      </c>
      <c r="D140" s="207" t="str">
        <f t="shared" si="0"/>
        <v/>
      </c>
      <c r="E140" s="207"/>
      <c r="F140" s="205" t="str">
        <f>IF(E140="","",VLOOKUP(E140,'ARAMA LİSTELERİ'!C140:G2179,5,))</f>
        <v/>
      </c>
      <c r="G140" s="207"/>
      <c r="H140" s="210"/>
      <c r="I140" s="79"/>
      <c r="J140" s="210"/>
      <c r="K140" s="210"/>
      <c r="L140" s="210" t="str">
        <f t="shared" si="1"/>
        <v/>
      </c>
      <c r="M140" s="79"/>
      <c r="N140" s="207"/>
      <c r="O140" s="207"/>
      <c r="P140" s="207"/>
      <c r="Q140" s="207"/>
    </row>
    <row r="141" spans="1:17" ht="34.5" customHeight="1">
      <c r="A141" s="82"/>
      <c r="B141" s="205" t="str">
        <f t="shared" si="2"/>
        <v/>
      </c>
      <c r="C141" s="206" t="str">
        <f t="shared" si="3"/>
        <v/>
      </c>
      <c r="D141" s="207" t="str">
        <f t="shared" si="0"/>
        <v/>
      </c>
      <c r="E141" s="207"/>
      <c r="F141" s="205" t="str">
        <f>IF(E141="","",VLOOKUP(E141,'ARAMA LİSTELERİ'!C141:G2180,5,))</f>
        <v/>
      </c>
      <c r="G141" s="207"/>
      <c r="H141" s="210"/>
      <c r="I141" s="79"/>
      <c r="J141" s="210"/>
      <c r="K141" s="210"/>
      <c r="L141" s="210" t="str">
        <f t="shared" si="1"/>
        <v/>
      </c>
      <c r="M141" s="79"/>
      <c r="N141" s="207"/>
      <c r="O141" s="207"/>
      <c r="P141" s="207"/>
      <c r="Q141" s="207"/>
    </row>
    <row r="142" spans="1:17" ht="34.5" customHeight="1">
      <c r="A142" s="82"/>
      <c r="B142" s="205" t="str">
        <f t="shared" si="2"/>
        <v/>
      </c>
      <c r="C142" s="206" t="str">
        <f t="shared" si="3"/>
        <v/>
      </c>
      <c r="D142" s="207" t="str">
        <f t="shared" si="0"/>
        <v/>
      </c>
      <c r="E142" s="207"/>
      <c r="F142" s="205" t="str">
        <f>IF(E142="","",VLOOKUP(E142,'ARAMA LİSTELERİ'!C142:G2181,5,))</f>
        <v/>
      </c>
      <c r="G142" s="207"/>
      <c r="H142" s="210"/>
      <c r="I142" s="79"/>
      <c r="J142" s="210"/>
      <c r="K142" s="210"/>
      <c r="L142" s="210" t="str">
        <f t="shared" si="1"/>
        <v/>
      </c>
      <c r="M142" s="79"/>
      <c r="N142" s="207"/>
      <c r="O142" s="207"/>
      <c r="P142" s="207"/>
      <c r="Q142" s="207"/>
    </row>
    <row r="143" spans="1:17" ht="34.5" customHeight="1">
      <c r="A143" s="82"/>
      <c r="B143" s="205" t="str">
        <f t="shared" si="2"/>
        <v/>
      </c>
      <c r="C143" s="206" t="str">
        <f t="shared" si="3"/>
        <v/>
      </c>
      <c r="D143" s="207" t="str">
        <f t="shared" si="0"/>
        <v/>
      </c>
      <c r="E143" s="207"/>
      <c r="F143" s="205" t="str">
        <f>IF(E143="","",VLOOKUP(E143,'ARAMA LİSTELERİ'!C143:G2182,5,))</f>
        <v/>
      </c>
      <c r="G143" s="207"/>
      <c r="H143" s="210"/>
      <c r="I143" s="79"/>
      <c r="J143" s="210"/>
      <c r="K143" s="210"/>
      <c r="L143" s="210" t="str">
        <f t="shared" si="1"/>
        <v/>
      </c>
      <c r="M143" s="79"/>
      <c r="N143" s="207"/>
      <c r="O143" s="207"/>
      <c r="P143" s="207"/>
      <c r="Q143" s="207"/>
    </row>
    <row r="144" spans="1:17" ht="34.5" customHeight="1">
      <c r="A144" s="82"/>
      <c r="B144" s="205" t="str">
        <f t="shared" si="2"/>
        <v/>
      </c>
      <c r="C144" s="206" t="str">
        <f t="shared" si="3"/>
        <v/>
      </c>
      <c r="D144" s="207" t="str">
        <f t="shared" si="0"/>
        <v/>
      </c>
      <c r="E144" s="207"/>
      <c r="F144" s="205" t="str">
        <f>IF(E144="","",VLOOKUP(E144,'ARAMA LİSTELERİ'!C144:G2183,5,))</f>
        <v/>
      </c>
      <c r="G144" s="207"/>
      <c r="H144" s="210"/>
      <c r="I144" s="79"/>
      <c r="J144" s="210"/>
      <c r="K144" s="210"/>
      <c r="L144" s="210" t="str">
        <f t="shared" si="1"/>
        <v/>
      </c>
      <c r="M144" s="79"/>
      <c r="N144" s="207"/>
      <c r="O144" s="207"/>
      <c r="P144" s="207"/>
      <c r="Q144" s="207"/>
    </row>
    <row r="145" spans="1:17" ht="34.5" customHeight="1">
      <c r="A145" s="82"/>
      <c r="B145" s="205" t="str">
        <f t="shared" si="2"/>
        <v/>
      </c>
      <c r="C145" s="206" t="str">
        <f t="shared" si="3"/>
        <v/>
      </c>
      <c r="D145" s="207" t="str">
        <f t="shared" si="0"/>
        <v/>
      </c>
      <c r="E145" s="207"/>
      <c r="F145" s="205" t="str">
        <f>IF(E145="","",VLOOKUP(E145,'ARAMA LİSTELERİ'!C145:G2184,5,))</f>
        <v/>
      </c>
      <c r="G145" s="207"/>
      <c r="H145" s="210"/>
      <c r="I145" s="79"/>
      <c r="J145" s="210"/>
      <c r="K145" s="210"/>
      <c r="L145" s="210" t="str">
        <f t="shared" si="1"/>
        <v/>
      </c>
      <c r="M145" s="79"/>
      <c r="N145" s="207"/>
      <c r="O145" s="207"/>
      <c r="P145" s="207"/>
      <c r="Q145" s="207"/>
    </row>
    <row r="146" spans="1:17" ht="34.5" customHeight="1">
      <c r="A146" s="82"/>
      <c r="B146" s="205" t="str">
        <f t="shared" si="2"/>
        <v/>
      </c>
      <c r="C146" s="206" t="str">
        <f t="shared" si="3"/>
        <v/>
      </c>
      <c r="D146" s="207" t="str">
        <f t="shared" si="0"/>
        <v/>
      </c>
      <c r="E146" s="207"/>
      <c r="F146" s="205" t="str">
        <f>IF(E146="","",VLOOKUP(E146,'ARAMA LİSTELERİ'!C146:G2185,5,))</f>
        <v/>
      </c>
      <c r="G146" s="207"/>
      <c r="H146" s="210"/>
      <c r="I146" s="79"/>
      <c r="J146" s="210"/>
      <c r="K146" s="210"/>
      <c r="L146" s="210" t="str">
        <f t="shared" si="1"/>
        <v/>
      </c>
      <c r="M146" s="79"/>
      <c r="N146" s="207"/>
      <c r="O146" s="207"/>
      <c r="P146" s="207"/>
      <c r="Q146" s="207"/>
    </row>
    <row r="147" spans="1:17" ht="34.5" customHeight="1">
      <c r="A147" s="82"/>
      <c r="B147" s="205" t="str">
        <f t="shared" si="2"/>
        <v/>
      </c>
      <c r="C147" s="206" t="str">
        <f t="shared" si="3"/>
        <v/>
      </c>
      <c r="D147" s="207" t="str">
        <f t="shared" si="0"/>
        <v/>
      </c>
      <c r="E147" s="207"/>
      <c r="F147" s="205" t="str">
        <f>IF(E147="","",VLOOKUP(E147,'ARAMA LİSTELERİ'!C147:G2186,5,))</f>
        <v/>
      </c>
      <c r="G147" s="207"/>
      <c r="H147" s="210"/>
      <c r="I147" s="79"/>
      <c r="J147" s="210"/>
      <c r="K147" s="210"/>
      <c r="L147" s="210" t="str">
        <f t="shared" si="1"/>
        <v/>
      </c>
      <c r="M147" s="79"/>
      <c r="N147" s="207"/>
      <c r="O147" s="207"/>
      <c r="P147" s="207"/>
      <c r="Q147" s="207"/>
    </row>
    <row r="148" spans="1:17" ht="34.5" customHeight="1">
      <c r="A148" s="82"/>
      <c r="B148" s="205" t="str">
        <f t="shared" si="2"/>
        <v/>
      </c>
      <c r="C148" s="206" t="str">
        <f t="shared" si="3"/>
        <v/>
      </c>
      <c r="D148" s="207" t="str">
        <f t="shared" si="0"/>
        <v/>
      </c>
      <c r="E148" s="207"/>
      <c r="F148" s="205" t="str">
        <f>IF(E148="","",VLOOKUP(E148,'ARAMA LİSTELERİ'!C148:G2187,5,))</f>
        <v/>
      </c>
      <c r="G148" s="207"/>
      <c r="H148" s="210"/>
      <c r="I148" s="79"/>
      <c r="J148" s="210"/>
      <c r="K148" s="210"/>
      <c r="L148" s="210" t="str">
        <f t="shared" si="1"/>
        <v/>
      </c>
      <c r="M148" s="79"/>
      <c r="N148" s="207"/>
      <c r="O148" s="207"/>
      <c r="P148" s="207"/>
      <c r="Q148" s="207"/>
    </row>
    <row r="149" spans="1:17" ht="34.5" customHeight="1">
      <c r="A149" s="82"/>
      <c r="B149" s="205" t="str">
        <f t="shared" si="2"/>
        <v/>
      </c>
      <c r="C149" s="206" t="str">
        <f t="shared" si="3"/>
        <v/>
      </c>
      <c r="D149" s="207" t="str">
        <f t="shared" si="0"/>
        <v/>
      </c>
      <c r="E149" s="207"/>
      <c r="F149" s="205" t="str">
        <f>IF(E149="","",VLOOKUP(E149,'ARAMA LİSTELERİ'!C149:G2188,5,))</f>
        <v/>
      </c>
      <c r="G149" s="207"/>
      <c r="H149" s="210"/>
      <c r="I149" s="79"/>
      <c r="J149" s="210"/>
      <c r="K149" s="210"/>
      <c r="L149" s="210" t="str">
        <f t="shared" si="1"/>
        <v/>
      </c>
      <c r="M149" s="79"/>
      <c r="N149" s="207"/>
      <c r="O149" s="207"/>
      <c r="P149" s="207"/>
      <c r="Q149" s="207"/>
    </row>
    <row r="150" spans="1:17" ht="34.5" customHeight="1">
      <c r="A150" s="82"/>
      <c r="B150" s="205" t="str">
        <f t="shared" si="2"/>
        <v/>
      </c>
      <c r="C150" s="206" t="str">
        <f t="shared" si="3"/>
        <v/>
      </c>
      <c r="D150" s="207" t="str">
        <f t="shared" si="0"/>
        <v/>
      </c>
      <c r="E150" s="207"/>
      <c r="F150" s="205" t="str">
        <f>IF(E150="","",VLOOKUP(E150,'ARAMA LİSTELERİ'!C150:G2189,5,))</f>
        <v/>
      </c>
      <c r="G150" s="207"/>
      <c r="H150" s="210"/>
      <c r="I150" s="79"/>
      <c r="J150" s="210"/>
      <c r="K150" s="210"/>
      <c r="L150" s="210" t="str">
        <f t="shared" si="1"/>
        <v/>
      </c>
      <c r="M150" s="79"/>
      <c r="N150" s="207"/>
      <c r="O150" s="207"/>
      <c r="P150" s="207"/>
      <c r="Q150" s="207"/>
    </row>
    <row r="151" spans="1:17" ht="34.5" customHeight="1">
      <c r="A151" s="82"/>
      <c r="B151" s="205" t="str">
        <f t="shared" si="2"/>
        <v/>
      </c>
      <c r="C151" s="206" t="str">
        <f t="shared" si="3"/>
        <v/>
      </c>
      <c r="D151" s="207" t="str">
        <f t="shared" si="0"/>
        <v/>
      </c>
      <c r="E151" s="207"/>
      <c r="F151" s="205" t="str">
        <f>IF(E151="","",VLOOKUP(E151,'ARAMA LİSTELERİ'!C151:G2190,5,))</f>
        <v/>
      </c>
      <c r="G151" s="207"/>
      <c r="H151" s="210"/>
      <c r="I151" s="79"/>
      <c r="J151" s="210"/>
      <c r="K151" s="210"/>
      <c r="L151" s="210" t="str">
        <f t="shared" si="1"/>
        <v/>
      </c>
      <c r="M151" s="79"/>
      <c r="N151" s="207"/>
      <c r="O151" s="207"/>
      <c r="P151" s="207"/>
      <c r="Q151" s="207"/>
    </row>
    <row r="152" spans="1:17" ht="34.5" customHeight="1">
      <c r="A152" s="82"/>
      <c r="B152" s="205" t="str">
        <f t="shared" si="2"/>
        <v/>
      </c>
      <c r="C152" s="206" t="str">
        <f t="shared" si="3"/>
        <v/>
      </c>
      <c r="D152" s="207" t="str">
        <f t="shared" si="0"/>
        <v/>
      </c>
      <c r="E152" s="207"/>
      <c r="F152" s="205" t="str">
        <f>IF(E152="","",VLOOKUP(E152,'ARAMA LİSTELERİ'!C152:G2191,5,))</f>
        <v/>
      </c>
      <c r="G152" s="207"/>
      <c r="H152" s="210"/>
      <c r="I152" s="79"/>
      <c r="J152" s="210"/>
      <c r="K152" s="210"/>
      <c r="L152" s="210" t="str">
        <f t="shared" si="1"/>
        <v/>
      </c>
      <c r="M152" s="79"/>
      <c r="N152" s="207"/>
      <c r="O152" s="207"/>
      <c r="P152" s="207"/>
      <c r="Q152" s="207"/>
    </row>
    <row r="153" spans="1:17" ht="34.5" customHeight="1">
      <c r="A153" s="82"/>
      <c r="B153" s="205" t="str">
        <f t="shared" si="2"/>
        <v/>
      </c>
      <c r="C153" s="206" t="str">
        <f t="shared" si="3"/>
        <v/>
      </c>
      <c r="D153" s="207" t="str">
        <f t="shared" si="0"/>
        <v/>
      </c>
      <c r="E153" s="207"/>
      <c r="F153" s="205" t="str">
        <f>IF(E153="","",VLOOKUP(E153,'ARAMA LİSTELERİ'!C153:G2192,5,))</f>
        <v/>
      </c>
      <c r="G153" s="207"/>
      <c r="H153" s="210"/>
      <c r="I153" s="79"/>
      <c r="J153" s="210"/>
      <c r="K153" s="210"/>
      <c r="L153" s="210" t="str">
        <f t="shared" si="1"/>
        <v/>
      </c>
      <c r="M153" s="79"/>
      <c r="N153" s="207"/>
      <c r="O153" s="207"/>
      <c r="P153" s="207"/>
      <c r="Q153" s="207"/>
    </row>
    <row r="154" spans="1:17" ht="34.5" customHeight="1">
      <c r="A154" s="82"/>
      <c r="B154" s="205" t="str">
        <f t="shared" si="2"/>
        <v/>
      </c>
      <c r="C154" s="206" t="str">
        <f t="shared" si="3"/>
        <v/>
      </c>
      <c r="D154" s="207" t="str">
        <f t="shared" si="0"/>
        <v/>
      </c>
      <c r="E154" s="207"/>
      <c r="F154" s="205" t="str">
        <f>IF(E154="","",VLOOKUP(E154,'ARAMA LİSTELERİ'!C154:G2193,5,))</f>
        <v/>
      </c>
      <c r="G154" s="207"/>
      <c r="H154" s="210"/>
      <c r="I154" s="79"/>
      <c r="J154" s="210"/>
      <c r="K154" s="210"/>
      <c r="L154" s="210" t="str">
        <f t="shared" si="1"/>
        <v/>
      </c>
      <c r="M154" s="79"/>
      <c r="N154" s="207"/>
      <c r="O154" s="207"/>
      <c r="P154" s="207"/>
      <c r="Q154" s="207"/>
    </row>
    <row r="155" spans="1:17" ht="34.5" customHeight="1">
      <c r="A155" s="82"/>
      <c r="B155" s="205" t="str">
        <f t="shared" si="2"/>
        <v/>
      </c>
      <c r="C155" s="206" t="str">
        <f t="shared" si="3"/>
        <v/>
      </c>
      <c r="D155" s="207" t="str">
        <f t="shared" si="0"/>
        <v/>
      </c>
      <c r="E155" s="207"/>
      <c r="F155" s="205" t="str">
        <f>IF(E155="","",VLOOKUP(E155,'ARAMA LİSTELERİ'!C155:G2194,5,))</f>
        <v/>
      </c>
      <c r="G155" s="207"/>
      <c r="H155" s="210"/>
      <c r="I155" s="79"/>
      <c r="J155" s="210"/>
      <c r="K155" s="210"/>
      <c r="L155" s="210" t="str">
        <f t="shared" si="1"/>
        <v/>
      </c>
      <c r="M155" s="79"/>
      <c r="N155" s="207"/>
      <c r="O155" s="207"/>
      <c r="P155" s="207"/>
      <c r="Q155" s="207"/>
    </row>
    <row r="156" spans="1:17" ht="34.5" customHeight="1">
      <c r="A156" s="82"/>
      <c r="B156" s="205" t="str">
        <f t="shared" si="2"/>
        <v/>
      </c>
      <c r="C156" s="206" t="str">
        <f t="shared" si="3"/>
        <v/>
      </c>
      <c r="D156" s="207" t="str">
        <f t="shared" si="0"/>
        <v/>
      </c>
      <c r="E156" s="207"/>
      <c r="F156" s="205" t="str">
        <f>IF(E156="","",VLOOKUP(E156,'ARAMA LİSTELERİ'!C156:G2195,5,))</f>
        <v/>
      </c>
      <c r="G156" s="207"/>
      <c r="H156" s="210"/>
      <c r="I156" s="79"/>
      <c r="J156" s="210"/>
      <c r="K156" s="210"/>
      <c r="L156" s="210" t="str">
        <f t="shared" si="1"/>
        <v/>
      </c>
      <c r="M156" s="79"/>
      <c r="N156" s="207"/>
      <c r="O156" s="207"/>
      <c r="P156" s="207"/>
      <c r="Q156" s="207"/>
    </row>
    <row r="157" spans="1:17" ht="34.5" customHeight="1">
      <c r="A157" s="82"/>
      <c r="B157" s="205" t="str">
        <f t="shared" si="2"/>
        <v/>
      </c>
      <c r="C157" s="206" t="str">
        <f t="shared" si="3"/>
        <v/>
      </c>
      <c r="D157" s="207" t="str">
        <f t="shared" si="0"/>
        <v/>
      </c>
      <c r="E157" s="207"/>
      <c r="F157" s="205" t="str">
        <f>IF(E157="","",VLOOKUP(E157,'ARAMA LİSTELERİ'!C157:G2196,5,))</f>
        <v/>
      </c>
      <c r="G157" s="207"/>
      <c r="H157" s="210"/>
      <c r="I157" s="79"/>
      <c r="J157" s="210"/>
      <c r="K157" s="210"/>
      <c r="L157" s="210" t="str">
        <f t="shared" si="1"/>
        <v/>
      </c>
      <c r="M157" s="79"/>
      <c r="N157" s="207"/>
      <c r="O157" s="207"/>
      <c r="P157" s="207"/>
      <c r="Q157" s="207"/>
    </row>
    <row r="158" spans="1:17" ht="34.5" customHeight="1">
      <c r="A158" s="82"/>
      <c r="B158" s="205" t="str">
        <f t="shared" si="2"/>
        <v/>
      </c>
      <c r="C158" s="206" t="str">
        <f t="shared" si="3"/>
        <v/>
      </c>
      <c r="D158" s="207" t="str">
        <f t="shared" si="0"/>
        <v/>
      </c>
      <c r="E158" s="207"/>
      <c r="F158" s="205" t="str">
        <f>IF(E158="","",VLOOKUP(E158,'ARAMA LİSTELERİ'!C158:G2197,5,))</f>
        <v/>
      </c>
      <c r="G158" s="207"/>
      <c r="H158" s="210"/>
      <c r="I158" s="79"/>
      <c r="J158" s="210"/>
      <c r="K158" s="210"/>
      <c r="L158" s="210" t="str">
        <f t="shared" si="1"/>
        <v/>
      </c>
      <c r="M158" s="79"/>
      <c r="N158" s="207"/>
      <c r="O158" s="207"/>
      <c r="P158" s="207"/>
      <c r="Q158" s="207"/>
    </row>
    <row r="159" spans="1:17" ht="34.5" customHeight="1">
      <c r="A159" s="82"/>
      <c r="B159" s="205" t="str">
        <f t="shared" si="2"/>
        <v/>
      </c>
      <c r="C159" s="206" t="str">
        <f t="shared" si="3"/>
        <v/>
      </c>
      <c r="D159" s="207" t="str">
        <f t="shared" si="0"/>
        <v/>
      </c>
      <c r="E159" s="207"/>
      <c r="F159" s="205" t="str">
        <f>IF(E159="","",VLOOKUP(E159,'ARAMA LİSTELERİ'!C159:G2198,5,))</f>
        <v/>
      </c>
      <c r="G159" s="207"/>
      <c r="H159" s="210"/>
      <c r="I159" s="79"/>
      <c r="J159" s="210"/>
      <c r="K159" s="210"/>
      <c r="L159" s="210" t="str">
        <f t="shared" si="1"/>
        <v/>
      </c>
      <c r="M159" s="79"/>
      <c r="N159" s="207"/>
      <c r="O159" s="207"/>
      <c r="P159" s="207"/>
      <c r="Q159" s="207"/>
    </row>
    <row r="160" spans="1:17" ht="34.5" customHeight="1">
      <c r="A160" s="82"/>
      <c r="B160" s="205" t="str">
        <f t="shared" si="2"/>
        <v/>
      </c>
      <c r="C160" s="206" t="str">
        <f t="shared" si="3"/>
        <v/>
      </c>
      <c r="D160" s="207" t="str">
        <f t="shared" si="0"/>
        <v/>
      </c>
      <c r="E160" s="207"/>
      <c r="F160" s="205" t="str">
        <f>IF(E160="","",VLOOKUP(E160,'ARAMA LİSTELERİ'!C160:G2199,5,))</f>
        <v/>
      </c>
      <c r="G160" s="207"/>
      <c r="H160" s="210"/>
      <c r="I160" s="79"/>
      <c r="J160" s="210"/>
      <c r="K160" s="210"/>
      <c r="L160" s="210" t="str">
        <f t="shared" si="1"/>
        <v/>
      </c>
      <c r="M160" s="79"/>
      <c r="N160" s="207"/>
      <c r="O160" s="207"/>
      <c r="P160" s="207"/>
      <c r="Q160" s="207"/>
    </row>
    <row r="161" spans="1:17" ht="34.5" customHeight="1">
      <c r="A161" s="82"/>
      <c r="B161" s="205" t="str">
        <f t="shared" si="2"/>
        <v/>
      </c>
      <c r="C161" s="206" t="str">
        <f t="shared" si="3"/>
        <v/>
      </c>
      <c r="D161" s="207" t="str">
        <f t="shared" si="0"/>
        <v/>
      </c>
      <c r="E161" s="207"/>
      <c r="F161" s="205" t="str">
        <f>IF(E161="","",VLOOKUP(E161,'ARAMA LİSTELERİ'!C161:G2200,5,))</f>
        <v/>
      </c>
      <c r="G161" s="207"/>
      <c r="H161" s="210"/>
      <c r="I161" s="79"/>
      <c r="J161" s="210"/>
      <c r="K161" s="210"/>
      <c r="L161" s="210" t="str">
        <f t="shared" si="1"/>
        <v/>
      </c>
      <c r="M161" s="79"/>
      <c r="N161" s="207"/>
      <c r="O161" s="207"/>
      <c r="P161" s="207"/>
      <c r="Q161" s="207"/>
    </row>
    <row r="162" spans="1:17" ht="34.5" customHeight="1">
      <c r="A162" s="82"/>
      <c r="B162" s="205" t="str">
        <f t="shared" si="2"/>
        <v/>
      </c>
      <c r="C162" s="206" t="str">
        <f t="shared" si="3"/>
        <v/>
      </c>
      <c r="D162" s="207" t="str">
        <f t="shared" si="0"/>
        <v/>
      </c>
      <c r="E162" s="207"/>
      <c r="F162" s="205" t="str">
        <f>IF(E162="","",VLOOKUP(E162,'ARAMA LİSTELERİ'!C162:G2201,5,))</f>
        <v/>
      </c>
      <c r="G162" s="207"/>
      <c r="H162" s="210"/>
      <c r="I162" s="79"/>
      <c r="J162" s="210"/>
      <c r="K162" s="210"/>
      <c r="L162" s="210" t="str">
        <f t="shared" si="1"/>
        <v/>
      </c>
      <c r="M162" s="79"/>
      <c r="N162" s="207"/>
      <c r="O162" s="207"/>
      <c r="P162" s="207"/>
      <c r="Q162" s="207"/>
    </row>
    <row r="163" spans="1:17" ht="34.5" customHeight="1">
      <c r="A163" s="82"/>
      <c r="B163" s="205" t="str">
        <f t="shared" si="2"/>
        <v/>
      </c>
      <c r="C163" s="206" t="str">
        <f t="shared" si="3"/>
        <v/>
      </c>
      <c r="D163" s="207" t="str">
        <f t="shared" si="0"/>
        <v/>
      </c>
      <c r="E163" s="207"/>
      <c r="F163" s="205" t="str">
        <f>IF(E163="","",VLOOKUP(E163,'ARAMA LİSTELERİ'!C163:G2202,5,))</f>
        <v/>
      </c>
      <c r="G163" s="207"/>
      <c r="H163" s="210"/>
      <c r="I163" s="79"/>
      <c r="J163" s="210"/>
      <c r="K163" s="210"/>
      <c r="L163" s="210" t="str">
        <f t="shared" si="1"/>
        <v/>
      </c>
      <c r="M163" s="79"/>
      <c r="N163" s="207"/>
      <c r="O163" s="207"/>
      <c r="P163" s="207"/>
      <c r="Q163" s="207"/>
    </row>
    <row r="164" spans="1:17" ht="34.5" customHeight="1">
      <c r="A164" s="82"/>
      <c r="B164" s="205" t="str">
        <f t="shared" si="2"/>
        <v/>
      </c>
      <c r="C164" s="206" t="str">
        <f t="shared" si="3"/>
        <v/>
      </c>
      <c r="D164" s="207" t="str">
        <f t="shared" si="0"/>
        <v/>
      </c>
      <c r="E164" s="207"/>
      <c r="F164" s="205" t="str">
        <f>IF(E164="","",VLOOKUP(E164,'ARAMA LİSTELERİ'!C164:G2203,5,))</f>
        <v/>
      </c>
      <c r="G164" s="207"/>
      <c r="H164" s="210"/>
      <c r="I164" s="79"/>
      <c r="J164" s="210"/>
      <c r="K164" s="210"/>
      <c r="L164" s="210" t="str">
        <f t="shared" si="1"/>
        <v/>
      </c>
      <c r="M164" s="79"/>
      <c r="N164" s="207"/>
      <c r="O164" s="207"/>
      <c r="P164" s="207"/>
      <c r="Q164" s="207"/>
    </row>
    <row r="165" spans="1:17" ht="34.5" customHeight="1">
      <c r="A165" s="82"/>
      <c r="B165" s="205" t="str">
        <f t="shared" si="2"/>
        <v/>
      </c>
      <c r="C165" s="206" t="str">
        <f t="shared" si="3"/>
        <v/>
      </c>
      <c r="D165" s="207" t="str">
        <f t="shared" si="0"/>
        <v/>
      </c>
      <c r="E165" s="207"/>
      <c r="F165" s="205" t="str">
        <f>IF(E165="","",VLOOKUP(E165,'ARAMA LİSTELERİ'!C165:G2204,5,))</f>
        <v/>
      </c>
      <c r="G165" s="207"/>
      <c r="H165" s="210"/>
      <c r="I165" s="79"/>
      <c r="J165" s="210"/>
      <c r="K165" s="210"/>
      <c r="L165" s="210" t="str">
        <f t="shared" si="1"/>
        <v/>
      </c>
      <c r="M165" s="79"/>
      <c r="N165" s="207"/>
      <c r="O165" s="207"/>
      <c r="P165" s="207"/>
      <c r="Q165" s="207"/>
    </row>
    <row r="166" spans="1:17" ht="34.5" customHeight="1">
      <c r="A166" s="82"/>
      <c r="B166" s="205" t="str">
        <f t="shared" si="2"/>
        <v/>
      </c>
      <c r="C166" s="206" t="str">
        <f t="shared" si="3"/>
        <v/>
      </c>
      <c r="D166" s="207" t="str">
        <f t="shared" si="0"/>
        <v/>
      </c>
      <c r="E166" s="207"/>
      <c r="F166" s="205" t="str">
        <f>IF(E166="","",VLOOKUP(E166,'ARAMA LİSTELERİ'!C166:G2205,5,))</f>
        <v/>
      </c>
      <c r="G166" s="207"/>
      <c r="H166" s="210"/>
      <c r="I166" s="79"/>
      <c r="J166" s="210"/>
      <c r="K166" s="210"/>
      <c r="L166" s="210" t="str">
        <f t="shared" si="1"/>
        <v/>
      </c>
      <c r="M166" s="79"/>
      <c r="N166" s="207"/>
      <c r="O166" s="207"/>
      <c r="P166" s="207"/>
      <c r="Q166" s="207"/>
    </row>
    <row r="167" spans="1:17" ht="34.5" customHeight="1">
      <c r="A167" s="82"/>
      <c r="B167" s="205" t="str">
        <f t="shared" si="2"/>
        <v/>
      </c>
      <c r="C167" s="206" t="str">
        <f t="shared" si="3"/>
        <v/>
      </c>
      <c r="D167" s="207" t="str">
        <f t="shared" si="0"/>
        <v/>
      </c>
      <c r="E167" s="207"/>
      <c r="F167" s="205" t="str">
        <f>IF(E167="","",VLOOKUP(E167,'ARAMA LİSTELERİ'!C167:G2206,5,))</f>
        <v/>
      </c>
      <c r="G167" s="207"/>
      <c r="H167" s="210"/>
      <c r="I167" s="79"/>
      <c r="J167" s="210"/>
      <c r="K167" s="210"/>
      <c r="L167" s="210" t="str">
        <f t="shared" si="1"/>
        <v/>
      </c>
      <c r="M167" s="79"/>
      <c r="N167" s="207"/>
      <c r="O167" s="207"/>
      <c r="P167" s="207"/>
      <c r="Q167" s="207"/>
    </row>
    <row r="168" spans="1:17" ht="34.5" customHeight="1">
      <c r="A168" s="82"/>
      <c r="B168" s="205" t="str">
        <f t="shared" si="2"/>
        <v/>
      </c>
      <c r="C168" s="206" t="str">
        <f t="shared" si="3"/>
        <v/>
      </c>
      <c r="D168" s="207" t="str">
        <f t="shared" si="0"/>
        <v/>
      </c>
      <c r="E168" s="207"/>
      <c r="F168" s="205" t="str">
        <f>IF(E168="","",VLOOKUP(E168,'ARAMA LİSTELERİ'!C168:G2207,5,))</f>
        <v/>
      </c>
      <c r="G168" s="207"/>
      <c r="H168" s="210"/>
      <c r="I168" s="79"/>
      <c r="J168" s="210"/>
      <c r="K168" s="210"/>
      <c r="L168" s="210" t="str">
        <f t="shared" si="1"/>
        <v/>
      </c>
      <c r="M168" s="79"/>
      <c r="N168" s="207"/>
      <c r="O168" s="207"/>
      <c r="P168" s="207"/>
      <c r="Q168" s="207"/>
    </row>
    <row r="169" spans="1:17" ht="34.5" customHeight="1">
      <c r="A169" s="82"/>
      <c r="B169" s="205" t="str">
        <f t="shared" si="2"/>
        <v/>
      </c>
      <c r="C169" s="206" t="str">
        <f t="shared" si="3"/>
        <v/>
      </c>
      <c r="D169" s="207" t="str">
        <f t="shared" si="0"/>
        <v/>
      </c>
      <c r="E169" s="207"/>
      <c r="F169" s="205" t="str">
        <f>IF(E169="","",VLOOKUP(E169,'ARAMA LİSTELERİ'!C169:G2208,5,))</f>
        <v/>
      </c>
      <c r="G169" s="207"/>
      <c r="H169" s="210"/>
      <c r="I169" s="79"/>
      <c r="J169" s="210"/>
      <c r="K169" s="210"/>
      <c r="L169" s="210" t="str">
        <f t="shared" si="1"/>
        <v/>
      </c>
      <c r="M169" s="79"/>
      <c r="N169" s="207"/>
      <c r="O169" s="207"/>
      <c r="P169" s="207"/>
      <c r="Q169" s="207"/>
    </row>
    <row r="170" spans="1:17" ht="34.5" customHeight="1">
      <c r="A170" s="82"/>
      <c r="B170" s="205" t="str">
        <f t="shared" si="2"/>
        <v/>
      </c>
      <c r="C170" s="206" t="str">
        <f t="shared" si="3"/>
        <v/>
      </c>
      <c r="D170" s="207" t="str">
        <f t="shared" si="0"/>
        <v/>
      </c>
      <c r="E170" s="207"/>
      <c r="F170" s="205" t="str">
        <f>IF(E170="","",VLOOKUP(E170,'ARAMA LİSTELERİ'!C170:G2209,5,))</f>
        <v/>
      </c>
      <c r="G170" s="207"/>
      <c r="H170" s="210"/>
      <c r="I170" s="79"/>
      <c r="J170" s="210"/>
      <c r="K170" s="210"/>
      <c r="L170" s="210" t="str">
        <f t="shared" si="1"/>
        <v/>
      </c>
      <c r="M170" s="79"/>
      <c r="N170" s="207"/>
      <c r="O170" s="207"/>
      <c r="P170" s="207"/>
      <c r="Q170" s="207"/>
    </row>
    <row r="171" spans="1:17" ht="34.5" customHeight="1">
      <c r="A171" s="82"/>
      <c r="B171" s="205" t="str">
        <f t="shared" si="2"/>
        <v/>
      </c>
      <c r="C171" s="206" t="str">
        <f t="shared" si="3"/>
        <v/>
      </c>
      <c r="D171" s="207" t="str">
        <f t="shared" si="0"/>
        <v/>
      </c>
      <c r="E171" s="207"/>
      <c r="F171" s="205" t="str">
        <f>IF(E171="","",VLOOKUP(E171,'ARAMA LİSTELERİ'!C171:G2210,5,))</f>
        <v/>
      </c>
      <c r="G171" s="207"/>
      <c r="H171" s="210"/>
      <c r="I171" s="79"/>
      <c r="J171" s="210"/>
      <c r="K171" s="210"/>
      <c r="L171" s="210" t="str">
        <f t="shared" si="1"/>
        <v/>
      </c>
      <c r="M171" s="79"/>
      <c r="N171" s="207"/>
      <c r="O171" s="207"/>
      <c r="P171" s="207"/>
      <c r="Q171" s="207"/>
    </row>
    <row r="172" spans="1:17" ht="34.5" customHeight="1">
      <c r="A172" s="82"/>
      <c r="B172" s="205" t="str">
        <f t="shared" si="2"/>
        <v/>
      </c>
      <c r="C172" s="206" t="str">
        <f t="shared" si="3"/>
        <v/>
      </c>
      <c r="D172" s="207" t="str">
        <f t="shared" si="0"/>
        <v/>
      </c>
      <c r="E172" s="207"/>
      <c r="F172" s="205" t="str">
        <f>IF(E172="","",VLOOKUP(E172,'ARAMA LİSTELERİ'!C172:G2211,5,))</f>
        <v/>
      </c>
      <c r="G172" s="207"/>
      <c r="H172" s="210"/>
      <c r="I172" s="79"/>
      <c r="J172" s="210"/>
      <c r="K172" s="210"/>
      <c r="L172" s="210" t="str">
        <f t="shared" si="1"/>
        <v/>
      </c>
      <c r="M172" s="79"/>
      <c r="N172" s="207"/>
      <c r="O172" s="207"/>
      <c r="P172" s="207"/>
      <c r="Q172" s="207"/>
    </row>
    <row r="173" spans="1:17" ht="34.5" customHeight="1">
      <c r="A173" s="82"/>
      <c r="B173" s="205" t="str">
        <f t="shared" si="2"/>
        <v/>
      </c>
      <c r="C173" s="206" t="str">
        <f t="shared" si="3"/>
        <v/>
      </c>
      <c r="D173" s="207" t="str">
        <f t="shared" si="0"/>
        <v/>
      </c>
      <c r="E173" s="207"/>
      <c r="F173" s="205" t="str">
        <f>IF(E173="","",VLOOKUP(E173,'ARAMA LİSTELERİ'!C173:G2212,5,))</f>
        <v/>
      </c>
      <c r="G173" s="207"/>
      <c r="H173" s="210"/>
      <c r="I173" s="79"/>
      <c r="J173" s="210"/>
      <c r="K173" s="210"/>
      <c r="L173" s="210" t="str">
        <f t="shared" si="1"/>
        <v/>
      </c>
      <c r="M173" s="79"/>
      <c r="N173" s="207"/>
      <c r="O173" s="207"/>
      <c r="P173" s="207"/>
      <c r="Q173" s="207"/>
    </row>
    <row r="174" spans="1:17" ht="34.5" customHeight="1">
      <c r="A174" s="82"/>
      <c r="B174" s="205" t="str">
        <f t="shared" si="2"/>
        <v/>
      </c>
      <c r="C174" s="206" t="str">
        <f t="shared" si="3"/>
        <v/>
      </c>
      <c r="D174" s="207" t="str">
        <f t="shared" si="0"/>
        <v/>
      </c>
      <c r="E174" s="207"/>
      <c r="F174" s="205" t="str">
        <f>IF(E174="","",VLOOKUP(E174,'ARAMA LİSTELERİ'!C174:G2213,5,))</f>
        <v/>
      </c>
      <c r="G174" s="207"/>
      <c r="H174" s="210"/>
      <c r="I174" s="79"/>
      <c r="J174" s="210"/>
      <c r="K174" s="210"/>
      <c r="L174" s="210" t="str">
        <f t="shared" si="1"/>
        <v/>
      </c>
      <c r="M174" s="79"/>
      <c r="N174" s="207"/>
      <c r="O174" s="207"/>
      <c r="P174" s="207"/>
      <c r="Q174" s="207"/>
    </row>
    <row r="175" spans="1:17" ht="34.5" customHeight="1">
      <c r="A175" s="82"/>
      <c r="B175" s="205" t="str">
        <f t="shared" si="2"/>
        <v/>
      </c>
      <c r="C175" s="206" t="str">
        <f t="shared" si="3"/>
        <v/>
      </c>
      <c r="D175" s="207" t="str">
        <f t="shared" si="0"/>
        <v/>
      </c>
      <c r="E175" s="207"/>
      <c r="F175" s="205" t="str">
        <f>IF(E175="","",VLOOKUP(E175,'ARAMA LİSTELERİ'!C175:G2214,5,))</f>
        <v/>
      </c>
      <c r="G175" s="207"/>
      <c r="H175" s="210"/>
      <c r="I175" s="79"/>
      <c r="J175" s="210"/>
      <c r="K175" s="210"/>
      <c r="L175" s="210" t="str">
        <f t="shared" si="1"/>
        <v/>
      </c>
      <c r="M175" s="79"/>
      <c r="N175" s="207"/>
      <c r="O175" s="207"/>
      <c r="P175" s="207"/>
      <c r="Q175" s="207"/>
    </row>
    <row r="176" spans="1:17" ht="34.5" customHeight="1">
      <c r="A176" s="82"/>
      <c r="B176" s="205" t="str">
        <f t="shared" si="2"/>
        <v/>
      </c>
      <c r="C176" s="206" t="str">
        <f t="shared" si="3"/>
        <v/>
      </c>
      <c r="D176" s="207" t="str">
        <f t="shared" si="0"/>
        <v/>
      </c>
      <c r="E176" s="207"/>
      <c r="F176" s="205" t="str">
        <f>IF(E176="","",VLOOKUP(E176,'ARAMA LİSTELERİ'!C176:G2215,5,))</f>
        <v/>
      </c>
      <c r="G176" s="207"/>
      <c r="H176" s="210"/>
      <c r="I176" s="79"/>
      <c r="J176" s="210"/>
      <c r="K176" s="210"/>
      <c r="L176" s="210" t="str">
        <f t="shared" si="1"/>
        <v/>
      </c>
      <c r="M176" s="79"/>
      <c r="N176" s="207"/>
      <c r="O176" s="207"/>
      <c r="P176" s="207"/>
      <c r="Q176" s="207"/>
    </row>
    <row r="177" spans="1:17" ht="34.5" customHeight="1">
      <c r="A177" s="82"/>
      <c r="B177" s="205" t="str">
        <f t="shared" si="2"/>
        <v/>
      </c>
      <c r="C177" s="206" t="str">
        <f t="shared" si="3"/>
        <v/>
      </c>
      <c r="D177" s="207" t="str">
        <f t="shared" si="0"/>
        <v/>
      </c>
      <c r="E177" s="207"/>
      <c r="F177" s="205" t="str">
        <f>IF(E177="","",VLOOKUP(E177,'ARAMA LİSTELERİ'!C177:G2216,5,))</f>
        <v/>
      </c>
      <c r="G177" s="207"/>
      <c r="H177" s="210"/>
      <c r="I177" s="79"/>
      <c r="J177" s="210"/>
      <c r="K177" s="210"/>
      <c r="L177" s="210" t="str">
        <f t="shared" si="1"/>
        <v/>
      </c>
      <c r="M177" s="79"/>
      <c r="N177" s="207"/>
      <c r="O177" s="207"/>
      <c r="P177" s="207"/>
      <c r="Q177" s="207"/>
    </row>
    <row r="178" spans="1:17" ht="34.5" customHeight="1">
      <c r="A178" s="82"/>
      <c r="B178" s="205" t="str">
        <f t="shared" si="2"/>
        <v/>
      </c>
      <c r="C178" s="206" t="str">
        <f t="shared" si="3"/>
        <v/>
      </c>
      <c r="D178" s="207" t="str">
        <f t="shared" si="0"/>
        <v/>
      </c>
      <c r="E178" s="207"/>
      <c r="F178" s="205" t="str">
        <f>IF(E178="","",VLOOKUP(E178,'ARAMA LİSTELERİ'!C178:G2217,5,))</f>
        <v/>
      </c>
      <c r="G178" s="207"/>
      <c r="H178" s="210"/>
      <c r="I178" s="79"/>
      <c r="J178" s="210"/>
      <c r="K178" s="210"/>
      <c r="L178" s="210" t="str">
        <f t="shared" si="1"/>
        <v/>
      </c>
      <c r="M178" s="79"/>
      <c r="N178" s="207"/>
      <c r="O178" s="207"/>
      <c r="P178" s="207"/>
      <c r="Q178" s="207"/>
    </row>
    <row r="179" spans="1:17" ht="34.5" customHeight="1">
      <c r="A179" s="82"/>
      <c r="B179" s="205" t="str">
        <f t="shared" si="2"/>
        <v/>
      </c>
      <c r="C179" s="206" t="str">
        <f t="shared" si="3"/>
        <v/>
      </c>
      <c r="D179" s="207" t="str">
        <f t="shared" si="0"/>
        <v/>
      </c>
      <c r="E179" s="207"/>
      <c r="F179" s="205" t="str">
        <f>IF(E179="","",VLOOKUP(E179,'ARAMA LİSTELERİ'!C179:G2218,5,))</f>
        <v/>
      </c>
      <c r="G179" s="207"/>
      <c r="H179" s="210"/>
      <c r="I179" s="79"/>
      <c r="J179" s="210"/>
      <c r="K179" s="210"/>
      <c r="L179" s="210" t="str">
        <f t="shared" si="1"/>
        <v/>
      </c>
      <c r="M179" s="79"/>
      <c r="N179" s="207"/>
      <c r="O179" s="207"/>
      <c r="P179" s="207"/>
      <c r="Q179" s="207"/>
    </row>
    <row r="180" spans="1:17" ht="34.5" customHeight="1">
      <c r="A180" s="82"/>
      <c r="B180" s="205" t="str">
        <f t="shared" si="2"/>
        <v/>
      </c>
      <c r="C180" s="206" t="str">
        <f t="shared" si="3"/>
        <v/>
      </c>
      <c r="D180" s="207" t="str">
        <f t="shared" si="0"/>
        <v/>
      </c>
      <c r="E180" s="207"/>
      <c r="F180" s="205" t="str">
        <f>IF(E180="","",VLOOKUP(E180,'ARAMA LİSTELERİ'!C180:G2219,5,))</f>
        <v/>
      </c>
      <c r="G180" s="207"/>
      <c r="H180" s="210"/>
      <c r="I180" s="79"/>
      <c r="J180" s="210"/>
      <c r="K180" s="210"/>
      <c r="L180" s="210" t="str">
        <f t="shared" si="1"/>
        <v/>
      </c>
      <c r="M180" s="79"/>
      <c r="N180" s="207"/>
      <c r="O180" s="207"/>
      <c r="P180" s="207"/>
      <c r="Q180" s="207"/>
    </row>
    <row r="181" spans="1:17" ht="34.5" customHeight="1">
      <c r="A181" s="82"/>
      <c r="B181" s="205" t="str">
        <f t="shared" si="2"/>
        <v/>
      </c>
      <c r="C181" s="206" t="str">
        <f t="shared" si="3"/>
        <v/>
      </c>
      <c r="D181" s="207" t="str">
        <f t="shared" si="0"/>
        <v/>
      </c>
      <c r="E181" s="207"/>
      <c r="F181" s="205" t="str">
        <f>IF(E181="","",VLOOKUP(E181,'ARAMA LİSTELERİ'!C181:G2220,5,))</f>
        <v/>
      </c>
      <c r="G181" s="207"/>
      <c r="H181" s="210"/>
      <c r="I181" s="79"/>
      <c r="J181" s="210"/>
      <c r="K181" s="210"/>
      <c r="L181" s="210" t="str">
        <f t="shared" si="1"/>
        <v/>
      </c>
      <c r="M181" s="79"/>
      <c r="N181" s="207"/>
      <c r="O181" s="207"/>
      <c r="P181" s="207"/>
      <c r="Q181" s="207"/>
    </row>
    <row r="182" spans="1:17" ht="34.5" customHeight="1">
      <c r="A182" s="82"/>
      <c r="B182" s="205" t="str">
        <f t="shared" si="2"/>
        <v/>
      </c>
      <c r="C182" s="206" t="str">
        <f t="shared" si="3"/>
        <v/>
      </c>
      <c r="D182" s="207" t="str">
        <f t="shared" si="0"/>
        <v/>
      </c>
      <c r="E182" s="207"/>
      <c r="F182" s="205" t="str">
        <f>IF(E182="","",VLOOKUP(E182,'ARAMA LİSTELERİ'!C182:G2221,5,))</f>
        <v/>
      </c>
      <c r="G182" s="207"/>
      <c r="H182" s="210"/>
      <c r="I182" s="79"/>
      <c r="J182" s="210"/>
      <c r="K182" s="210"/>
      <c r="L182" s="210" t="str">
        <f t="shared" si="1"/>
        <v/>
      </c>
      <c r="M182" s="79"/>
      <c r="N182" s="207"/>
      <c r="O182" s="207"/>
      <c r="P182" s="207"/>
      <c r="Q182" s="207"/>
    </row>
    <row r="183" spans="1:17" ht="34.5" customHeight="1">
      <c r="A183" s="82"/>
      <c r="B183" s="205" t="str">
        <f t="shared" si="2"/>
        <v/>
      </c>
      <c r="C183" s="206" t="str">
        <f t="shared" si="3"/>
        <v/>
      </c>
      <c r="D183" s="207" t="str">
        <f t="shared" si="0"/>
        <v/>
      </c>
      <c r="E183" s="207"/>
      <c r="F183" s="205" t="str">
        <f>IF(E183="","",VLOOKUP(E183,'ARAMA LİSTELERİ'!C183:G2222,5,))</f>
        <v/>
      </c>
      <c r="G183" s="207"/>
      <c r="H183" s="210"/>
      <c r="I183" s="79"/>
      <c r="J183" s="210"/>
      <c r="K183" s="210"/>
      <c r="L183" s="210" t="str">
        <f t="shared" si="1"/>
        <v/>
      </c>
      <c r="M183" s="79"/>
      <c r="N183" s="207"/>
      <c r="O183" s="207"/>
      <c r="P183" s="207"/>
      <c r="Q183" s="207"/>
    </row>
    <row r="184" spans="1:17" ht="34.5" customHeight="1">
      <c r="A184" s="82"/>
      <c r="B184" s="205" t="str">
        <f t="shared" si="2"/>
        <v/>
      </c>
      <c r="C184" s="206" t="str">
        <f t="shared" si="3"/>
        <v/>
      </c>
      <c r="D184" s="207" t="str">
        <f t="shared" si="0"/>
        <v/>
      </c>
      <c r="E184" s="207"/>
      <c r="F184" s="205" t="str">
        <f>IF(E184="","",VLOOKUP(E184,'ARAMA LİSTELERİ'!C184:G2223,5,))</f>
        <v/>
      </c>
      <c r="G184" s="207"/>
      <c r="H184" s="210"/>
      <c r="I184" s="79"/>
      <c r="J184" s="210"/>
      <c r="K184" s="210"/>
      <c r="L184" s="210" t="str">
        <f t="shared" si="1"/>
        <v/>
      </c>
      <c r="M184" s="79"/>
      <c r="N184" s="207"/>
      <c r="O184" s="207"/>
      <c r="P184" s="207"/>
      <c r="Q184" s="207"/>
    </row>
    <row r="185" spans="1:17" ht="34.5" customHeight="1">
      <c r="A185" s="82"/>
      <c r="B185" s="205" t="str">
        <f t="shared" si="2"/>
        <v/>
      </c>
      <c r="C185" s="206" t="str">
        <f t="shared" si="3"/>
        <v/>
      </c>
      <c r="D185" s="207" t="str">
        <f t="shared" si="0"/>
        <v/>
      </c>
      <c r="E185" s="207"/>
      <c r="F185" s="205" t="str">
        <f>IF(E185="","",VLOOKUP(E185,'ARAMA LİSTELERİ'!C185:G2224,5,))</f>
        <v/>
      </c>
      <c r="G185" s="207"/>
      <c r="H185" s="210"/>
      <c r="I185" s="79"/>
      <c r="J185" s="210"/>
      <c r="K185" s="210"/>
      <c r="L185" s="210" t="str">
        <f t="shared" si="1"/>
        <v/>
      </c>
      <c r="M185" s="79"/>
      <c r="N185" s="207"/>
      <c r="O185" s="207"/>
      <c r="P185" s="207"/>
      <c r="Q185" s="207"/>
    </row>
    <row r="186" spans="1:17" ht="34.5" customHeight="1">
      <c r="A186" s="82"/>
      <c r="B186" s="205" t="str">
        <f t="shared" si="2"/>
        <v/>
      </c>
      <c r="C186" s="206" t="str">
        <f t="shared" si="3"/>
        <v/>
      </c>
      <c r="D186" s="207" t="str">
        <f t="shared" si="0"/>
        <v/>
      </c>
      <c r="E186" s="207"/>
      <c r="F186" s="205" t="str">
        <f>IF(E186="","",VLOOKUP(E186,'ARAMA LİSTELERİ'!C186:G2225,5,))</f>
        <v/>
      </c>
      <c r="G186" s="207"/>
      <c r="H186" s="210"/>
      <c r="I186" s="79"/>
      <c r="J186" s="210"/>
      <c r="K186" s="210"/>
      <c r="L186" s="210" t="str">
        <f t="shared" si="1"/>
        <v/>
      </c>
      <c r="M186" s="79"/>
      <c r="N186" s="207"/>
      <c r="O186" s="207"/>
      <c r="P186" s="207"/>
      <c r="Q186" s="207"/>
    </row>
    <row r="187" spans="1:17" ht="34.5" customHeight="1">
      <c r="A187" s="82"/>
      <c r="B187" s="205" t="str">
        <f t="shared" si="2"/>
        <v/>
      </c>
      <c r="C187" s="206" t="str">
        <f t="shared" si="3"/>
        <v/>
      </c>
      <c r="D187" s="207" t="str">
        <f t="shared" si="0"/>
        <v/>
      </c>
      <c r="E187" s="207"/>
      <c r="F187" s="205" t="str">
        <f>IF(E187="","",VLOOKUP(E187,'ARAMA LİSTELERİ'!C187:G2226,5,))</f>
        <v/>
      </c>
      <c r="G187" s="207"/>
      <c r="H187" s="210"/>
      <c r="I187" s="79"/>
      <c r="J187" s="210"/>
      <c r="K187" s="210"/>
      <c r="L187" s="210" t="str">
        <f t="shared" si="1"/>
        <v/>
      </c>
      <c r="M187" s="79"/>
      <c r="N187" s="207"/>
      <c r="O187" s="207"/>
      <c r="P187" s="207"/>
      <c r="Q187" s="207"/>
    </row>
    <row r="188" spans="1:17" ht="34.5" customHeight="1">
      <c r="A188" s="82"/>
      <c r="B188" s="205" t="str">
        <f t="shared" si="2"/>
        <v/>
      </c>
      <c r="C188" s="206" t="str">
        <f t="shared" si="3"/>
        <v/>
      </c>
      <c r="D188" s="207" t="str">
        <f t="shared" si="0"/>
        <v/>
      </c>
      <c r="E188" s="207"/>
      <c r="F188" s="205" t="str">
        <f>IF(E188="","",VLOOKUP(E188,'ARAMA LİSTELERİ'!C188:G2227,5,))</f>
        <v/>
      </c>
      <c r="G188" s="207"/>
      <c r="H188" s="210"/>
      <c r="I188" s="79"/>
      <c r="J188" s="210"/>
      <c r="K188" s="210"/>
      <c r="L188" s="210" t="str">
        <f t="shared" si="1"/>
        <v/>
      </c>
      <c r="M188" s="79"/>
      <c r="N188" s="207"/>
      <c r="O188" s="207"/>
      <c r="P188" s="207"/>
      <c r="Q188" s="207"/>
    </row>
    <row r="189" spans="1:17" ht="34.5" customHeight="1">
      <c r="A189" s="82"/>
      <c r="B189" s="205" t="str">
        <f t="shared" si="2"/>
        <v/>
      </c>
      <c r="C189" s="206" t="str">
        <f t="shared" si="3"/>
        <v/>
      </c>
      <c r="D189" s="207" t="str">
        <f t="shared" si="0"/>
        <v/>
      </c>
      <c r="E189" s="207"/>
      <c r="F189" s="205" t="str">
        <f>IF(E189="","",VLOOKUP(E189,'ARAMA LİSTELERİ'!C189:G2228,5,))</f>
        <v/>
      </c>
      <c r="G189" s="207"/>
      <c r="H189" s="210"/>
      <c r="I189" s="79"/>
      <c r="J189" s="210"/>
      <c r="K189" s="210"/>
      <c r="L189" s="210" t="str">
        <f t="shared" si="1"/>
        <v/>
      </c>
      <c r="M189" s="79"/>
      <c r="N189" s="207"/>
      <c r="O189" s="207"/>
      <c r="P189" s="207"/>
      <c r="Q189" s="207"/>
    </row>
    <row r="190" spans="1:17" ht="34.5" customHeight="1">
      <c r="A190" s="82"/>
      <c r="B190" s="205" t="str">
        <f t="shared" si="2"/>
        <v/>
      </c>
      <c r="C190" s="206" t="str">
        <f t="shared" si="3"/>
        <v/>
      </c>
      <c r="D190" s="207" t="str">
        <f t="shared" si="0"/>
        <v/>
      </c>
      <c r="E190" s="207"/>
      <c r="F190" s="205" t="str">
        <f>IF(E190="","",VLOOKUP(E190,'ARAMA LİSTELERİ'!C190:G2229,5,))</f>
        <v/>
      </c>
      <c r="G190" s="207"/>
      <c r="H190" s="210"/>
      <c r="I190" s="79"/>
      <c r="J190" s="210"/>
      <c r="K190" s="210"/>
      <c r="L190" s="210" t="str">
        <f t="shared" si="1"/>
        <v/>
      </c>
      <c r="M190" s="79"/>
      <c r="N190" s="207"/>
      <c r="O190" s="207"/>
      <c r="P190" s="207"/>
      <c r="Q190" s="207"/>
    </row>
    <row r="191" spans="1:17" ht="34.5" customHeight="1">
      <c r="A191" s="82"/>
      <c r="B191" s="205" t="str">
        <f t="shared" si="2"/>
        <v/>
      </c>
      <c r="C191" s="206" t="str">
        <f t="shared" si="3"/>
        <v/>
      </c>
      <c r="D191" s="207" t="str">
        <f t="shared" si="0"/>
        <v/>
      </c>
      <c r="E191" s="207"/>
      <c r="F191" s="205" t="str">
        <f>IF(E191="","",VLOOKUP(E191,'ARAMA LİSTELERİ'!C191:G2230,5,))</f>
        <v/>
      </c>
      <c r="G191" s="207"/>
      <c r="H191" s="210"/>
      <c r="I191" s="79"/>
      <c r="J191" s="210"/>
      <c r="K191" s="210"/>
      <c r="L191" s="210" t="str">
        <f t="shared" si="1"/>
        <v/>
      </c>
      <c r="M191" s="79"/>
      <c r="N191" s="207"/>
      <c r="O191" s="207"/>
      <c r="P191" s="207"/>
      <c r="Q191" s="207"/>
    </row>
    <row r="192" spans="1:17" ht="34.5" customHeight="1">
      <c r="A192" s="82"/>
      <c r="B192" s="205" t="str">
        <f t="shared" si="2"/>
        <v/>
      </c>
      <c r="C192" s="206" t="str">
        <f t="shared" si="3"/>
        <v/>
      </c>
      <c r="D192" s="207" t="str">
        <f t="shared" si="0"/>
        <v/>
      </c>
      <c r="E192" s="207"/>
      <c r="F192" s="205" t="str">
        <f>IF(E192="","",VLOOKUP(E192,'ARAMA LİSTELERİ'!C192:G2231,5,))</f>
        <v/>
      </c>
      <c r="G192" s="207"/>
      <c r="H192" s="210"/>
      <c r="I192" s="79"/>
      <c r="J192" s="210"/>
      <c r="K192" s="210"/>
      <c r="L192" s="210" t="str">
        <f t="shared" si="1"/>
        <v/>
      </c>
      <c r="M192" s="79"/>
      <c r="N192" s="207"/>
      <c r="O192" s="207"/>
      <c r="P192" s="207"/>
      <c r="Q192" s="207"/>
    </row>
    <row r="193" spans="1:17" ht="34.5" customHeight="1">
      <c r="A193" s="82"/>
      <c r="B193" s="205" t="str">
        <f t="shared" si="2"/>
        <v/>
      </c>
      <c r="C193" s="206" t="str">
        <f t="shared" si="3"/>
        <v/>
      </c>
      <c r="D193" s="207" t="str">
        <f t="shared" si="0"/>
        <v/>
      </c>
      <c r="E193" s="207"/>
      <c r="F193" s="205" t="str">
        <f>IF(E193="","",VLOOKUP(E193,'ARAMA LİSTELERİ'!C193:G2232,5,))</f>
        <v/>
      </c>
      <c r="G193" s="207"/>
      <c r="H193" s="210"/>
      <c r="I193" s="79"/>
      <c r="J193" s="210"/>
      <c r="K193" s="210"/>
      <c r="L193" s="210" t="str">
        <f t="shared" si="1"/>
        <v/>
      </c>
      <c r="M193" s="79"/>
      <c r="N193" s="207"/>
      <c r="O193" s="207"/>
      <c r="P193" s="207"/>
      <c r="Q193" s="207"/>
    </row>
    <row r="194" spans="1:17" ht="34.5" customHeight="1">
      <c r="A194" s="82"/>
      <c r="B194" s="205" t="str">
        <f t="shared" si="2"/>
        <v/>
      </c>
      <c r="C194" s="206" t="str">
        <f t="shared" si="3"/>
        <v/>
      </c>
      <c r="D194" s="207" t="str">
        <f t="shared" si="0"/>
        <v/>
      </c>
      <c r="E194" s="207"/>
      <c r="F194" s="205" t="str">
        <f>IF(E194="","",VLOOKUP(E194,'ARAMA LİSTELERİ'!C194:G2233,5,))</f>
        <v/>
      </c>
      <c r="G194" s="207"/>
      <c r="H194" s="210"/>
      <c r="I194" s="79"/>
      <c r="J194" s="210"/>
      <c r="K194" s="210"/>
      <c r="L194" s="210" t="str">
        <f t="shared" si="1"/>
        <v/>
      </c>
      <c r="M194" s="79"/>
      <c r="N194" s="207"/>
      <c r="O194" s="207"/>
      <c r="P194" s="207"/>
      <c r="Q194" s="207"/>
    </row>
    <row r="195" spans="1:17" ht="34.5" customHeight="1">
      <c r="A195" s="82"/>
      <c r="B195" s="205" t="str">
        <f t="shared" si="2"/>
        <v/>
      </c>
      <c r="C195" s="206" t="str">
        <f t="shared" si="3"/>
        <v/>
      </c>
      <c r="D195" s="207" t="str">
        <f t="shared" si="0"/>
        <v/>
      </c>
      <c r="E195" s="207"/>
      <c r="F195" s="205" t="str">
        <f>IF(E195="","",VLOOKUP(E195,'ARAMA LİSTELERİ'!C195:G2234,5,))</f>
        <v/>
      </c>
      <c r="G195" s="207"/>
      <c r="H195" s="210"/>
      <c r="I195" s="79"/>
      <c r="J195" s="210"/>
      <c r="K195" s="210"/>
      <c r="L195" s="210" t="str">
        <f t="shared" si="1"/>
        <v/>
      </c>
      <c r="M195" s="79"/>
      <c r="N195" s="207"/>
      <c r="O195" s="207"/>
      <c r="P195" s="207"/>
      <c r="Q195" s="207"/>
    </row>
    <row r="196" spans="1:17" ht="34.5" customHeight="1">
      <c r="A196" s="82"/>
      <c r="B196" s="205" t="str">
        <f t="shared" si="2"/>
        <v/>
      </c>
      <c r="C196" s="206" t="str">
        <f t="shared" si="3"/>
        <v/>
      </c>
      <c r="D196" s="207" t="str">
        <f t="shared" si="0"/>
        <v/>
      </c>
      <c r="E196" s="207"/>
      <c r="F196" s="205" t="str">
        <f>IF(E196="","",VLOOKUP(E196,'ARAMA LİSTELERİ'!C196:G2235,5,))</f>
        <v/>
      </c>
      <c r="G196" s="207"/>
      <c r="H196" s="210"/>
      <c r="I196" s="79"/>
      <c r="J196" s="210"/>
      <c r="K196" s="210"/>
      <c r="L196" s="210" t="str">
        <f t="shared" si="1"/>
        <v/>
      </c>
      <c r="M196" s="79"/>
      <c r="N196" s="207"/>
      <c r="O196" s="207"/>
      <c r="P196" s="207"/>
      <c r="Q196" s="207"/>
    </row>
    <row r="197" spans="1:17" ht="34.5" customHeight="1">
      <c r="A197" s="82"/>
      <c r="B197" s="205" t="str">
        <f t="shared" si="2"/>
        <v/>
      </c>
      <c r="C197" s="206" t="str">
        <f t="shared" si="3"/>
        <v/>
      </c>
      <c r="D197" s="207" t="str">
        <f t="shared" si="0"/>
        <v/>
      </c>
      <c r="E197" s="207"/>
      <c r="F197" s="205" t="str">
        <f>IF(E197="","",VLOOKUP(E197,'ARAMA LİSTELERİ'!C197:G2236,5,))</f>
        <v/>
      </c>
      <c r="G197" s="207"/>
      <c r="H197" s="210"/>
      <c r="I197" s="79"/>
      <c r="J197" s="210"/>
      <c r="K197" s="210"/>
      <c r="L197" s="210" t="str">
        <f t="shared" si="1"/>
        <v/>
      </c>
      <c r="M197" s="79"/>
      <c r="N197" s="207"/>
      <c r="O197" s="207"/>
      <c r="P197" s="207"/>
      <c r="Q197" s="207"/>
    </row>
    <row r="198" spans="1:17" ht="34.5" customHeight="1">
      <c r="A198" s="82"/>
      <c r="B198" s="205" t="str">
        <f t="shared" si="2"/>
        <v/>
      </c>
      <c r="C198" s="206" t="str">
        <f t="shared" si="3"/>
        <v/>
      </c>
      <c r="D198" s="207" t="str">
        <f t="shared" si="0"/>
        <v/>
      </c>
      <c r="E198" s="207"/>
      <c r="F198" s="205" t="str">
        <f>IF(E198="","",VLOOKUP(E198,'ARAMA LİSTELERİ'!C198:G2237,5,))</f>
        <v/>
      </c>
      <c r="G198" s="207"/>
      <c r="H198" s="210"/>
      <c r="I198" s="79"/>
      <c r="J198" s="210"/>
      <c r="K198" s="210"/>
      <c r="L198" s="210" t="str">
        <f t="shared" si="1"/>
        <v/>
      </c>
      <c r="M198" s="79"/>
      <c r="N198" s="207"/>
      <c r="O198" s="207"/>
      <c r="P198" s="207"/>
      <c r="Q198" s="207"/>
    </row>
    <row r="199" spans="1:17" ht="34.5" customHeight="1">
      <c r="A199" s="82"/>
      <c r="B199" s="205" t="str">
        <f t="shared" si="2"/>
        <v/>
      </c>
      <c r="C199" s="206" t="str">
        <f t="shared" si="3"/>
        <v/>
      </c>
      <c r="D199" s="207" t="str">
        <f t="shared" si="0"/>
        <v/>
      </c>
      <c r="E199" s="207"/>
      <c r="F199" s="205" t="str">
        <f>IF(E199="","",VLOOKUP(E199,'ARAMA LİSTELERİ'!C199:G2238,5,))</f>
        <v/>
      </c>
      <c r="G199" s="207"/>
      <c r="H199" s="210"/>
      <c r="I199" s="79"/>
      <c r="J199" s="210"/>
      <c r="K199" s="210"/>
      <c r="L199" s="210" t="str">
        <f t="shared" si="1"/>
        <v/>
      </c>
      <c r="M199" s="79"/>
      <c r="N199" s="207"/>
      <c r="O199" s="207"/>
      <c r="P199" s="207"/>
      <c r="Q199" s="207"/>
    </row>
    <row r="200" spans="1:17" ht="34.5" customHeight="1">
      <c r="A200" s="82"/>
      <c r="B200" s="205" t="str">
        <f t="shared" si="2"/>
        <v/>
      </c>
      <c r="C200" s="206" t="str">
        <f t="shared" si="3"/>
        <v/>
      </c>
      <c r="D200" s="207" t="str">
        <f t="shared" si="0"/>
        <v/>
      </c>
      <c r="E200" s="207"/>
      <c r="F200" s="205" t="str">
        <f>IF(E200="","",VLOOKUP(E200,'ARAMA LİSTELERİ'!C200:G2239,5,))</f>
        <v/>
      </c>
      <c r="G200" s="207"/>
      <c r="H200" s="210"/>
      <c r="I200" s="79"/>
      <c r="J200" s="210"/>
      <c r="K200" s="210"/>
      <c r="L200" s="210" t="str">
        <f t="shared" si="1"/>
        <v/>
      </c>
      <c r="M200" s="79"/>
      <c r="N200" s="207"/>
      <c r="O200" s="207"/>
      <c r="P200" s="207"/>
      <c r="Q200" s="207"/>
    </row>
    <row r="201" spans="1:17" ht="34.5" customHeight="1">
      <c r="A201" s="82"/>
      <c r="B201" s="205" t="str">
        <f t="shared" si="2"/>
        <v/>
      </c>
      <c r="C201" s="206" t="str">
        <f t="shared" si="3"/>
        <v/>
      </c>
      <c r="D201" s="207" t="str">
        <f t="shared" si="0"/>
        <v/>
      </c>
      <c r="E201" s="207"/>
      <c r="F201" s="205" t="str">
        <f>IF(E201="","",VLOOKUP(E201,'ARAMA LİSTELERİ'!C201:G2240,5,))</f>
        <v/>
      </c>
      <c r="G201" s="207"/>
      <c r="H201" s="210"/>
      <c r="I201" s="79"/>
      <c r="J201" s="210"/>
      <c r="K201" s="210"/>
      <c r="L201" s="210" t="str">
        <f t="shared" si="1"/>
        <v/>
      </c>
      <c r="M201" s="79"/>
      <c r="N201" s="207"/>
      <c r="O201" s="207"/>
      <c r="P201" s="207"/>
      <c r="Q201" s="207"/>
    </row>
    <row r="202" spans="1:17" ht="34.5" customHeight="1">
      <c r="A202" s="82"/>
      <c r="B202" s="205" t="str">
        <f t="shared" si="2"/>
        <v/>
      </c>
      <c r="C202" s="206" t="str">
        <f t="shared" si="3"/>
        <v/>
      </c>
      <c r="D202" s="207" t="str">
        <f t="shared" si="0"/>
        <v/>
      </c>
      <c r="E202" s="207"/>
      <c r="F202" s="205" t="str">
        <f>IF(E202="","",VLOOKUP(E202,'ARAMA LİSTELERİ'!C202:G2241,5,))</f>
        <v/>
      </c>
      <c r="G202" s="207"/>
      <c r="H202" s="210"/>
      <c r="I202" s="79"/>
      <c r="J202" s="210"/>
      <c r="K202" s="210"/>
      <c r="L202" s="210" t="str">
        <f t="shared" si="1"/>
        <v/>
      </c>
      <c r="M202" s="79"/>
      <c r="N202" s="207"/>
      <c r="O202" s="207"/>
      <c r="P202" s="207"/>
      <c r="Q202" s="207"/>
    </row>
    <row r="203" spans="1:17" ht="34.5" customHeight="1">
      <c r="A203" s="82"/>
      <c r="B203" s="205" t="str">
        <f t="shared" si="2"/>
        <v/>
      </c>
      <c r="C203" s="206" t="str">
        <f t="shared" si="3"/>
        <v/>
      </c>
      <c r="D203" s="207" t="str">
        <f t="shared" si="0"/>
        <v/>
      </c>
      <c r="E203" s="207"/>
      <c r="F203" s="205" t="str">
        <f>IF(E203="","",VLOOKUP(E203,'ARAMA LİSTELERİ'!C203:G2242,5,))</f>
        <v/>
      </c>
      <c r="G203" s="207"/>
      <c r="H203" s="210"/>
      <c r="I203" s="79"/>
      <c r="J203" s="210"/>
      <c r="K203" s="210"/>
      <c r="L203" s="210" t="str">
        <f t="shared" si="1"/>
        <v/>
      </c>
      <c r="M203" s="79"/>
      <c r="N203" s="207"/>
      <c r="O203" s="207"/>
      <c r="P203" s="207"/>
      <c r="Q203" s="207"/>
    </row>
    <row r="204" spans="1:17" ht="34.5" customHeight="1">
      <c r="A204" s="82"/>
      <c r="B204" s="205" t="str">
        <f t="shared" si="2"/>
        <v/>
      </c>
      <c r="C204" s="206" t="str">
        <f t="shared" si="3"/>
        <v/>
      </c>
      <c r="D204" s="207" t="str">
        <f t="shared" si="0"/>
        <v/>
      </c>
      <c r="E204" s="207"/>
      <c r="F204" s="205" t="str">
        <f>IF(E204="","",VLOOKUP(E204,'ARAMA LİSTELERİ'!C204:G2243,5,))</f>
        <v/>
      </c>
      <c r="G204" s="207"/>
      <c r="H204" s="210"/>
      <c r="I204" s="79"/>
      <c r="J204" s="210"/>
      <c r="K204" s="210"/>
      <c r="L204" s="210" t="str">
        <f t="shared" si="1"/>
        <v/>
      </c>
      <c r="M204" s="79"/>
      <c r="N204" s="207"/>
      <c r="O204" s="207"/>
      <c r="P204" s="207"/>
      <c r="Q204" s="207"/>
    </row>
    <row r="205" spans="1:17" ht="34.5" customHeight="1">
      <c r="A205" s="82"/>
      <c r="B205" s="205" t="str">
        <f t="shared" si="2"/>
        <v/>
      </c>
      <c r="C205" s="206" t="str">
        <f t="shared" si="3"/>
        <v/>
      </c>
      <c r="D205" s="207" t="str">
        <f t="shared" si="0"/>
        <v/>
      </c>
      <c r="E205" s="207"/>
      <c r="F205" s="205" t="str">
        <f>IF(E205="","",VLOOKUP(E205,'ARAMA LİSTELERİ'!C205:G2244,5,))</f>
        <v/>
      </c>
      <c r="G205" s="207"/>
      <c r="H205" s="210"/>
      <c r="I205" s="79"/>
      <c r="J205" s="210"/>
      <c r="K205" s="210"/>
      <c r="L205" s="210" t="str">
        <f t="shared" si="1"/>
        <v/>
      </c>
      <c r="M205" s="79"/>
      <c r="N205" s="207"/>
      <c r="O205" s="207"/>
      <c r="P205" s="207"/>
      <c r="Q205" s="207"/>
    </row>
    <row r="206" spans="1:17" ht="34.5" customHeight="1">
      <c r="A206" s="82"/>
      <c r="B206" s="205" t="str">
        <f t="shared" si="2"/>
        <v/>
      </c>
      <c r="C206" s="206" t="str">
        <f t="shared" si="3"/>
        <v/>
      </c>
      <c r="D206" s="207" t="str">
        <f t="shared" si="0"/>
        <v/>
      </c>
      <c r="E206" s="207"/>
      <c r="F206" s="205" t="str">
        <f>IF(E206="","",VLOOKUP(E206,'ARAMA LİSTELERİ'!C206:G2245,5,))</f>
        <v/>
      </c>
      <c r="G206" s="207"/>
      <c r="H206" s="210"/>
      <c r="I206" s="79"/>
      <c r="J206" s="210"/>
      <c r="K206" s="210"/>
      <c r="L206" s="210" t="str">
        <f t="shared" si="1"/>
        <v/>
      </c>
      <c r="M206" s="79"/>
      <c r="N206" s="207"/>
      <c r="O206" s="207"/>
      <c r="P206" s="207"/>
      <c r="Q206" s="207"/>
    </row>
    <row r="207" spans="1:17" ht="34.5" customHeight="1">
      <c r="A207" s="82"/>
      <c r="B207" s="205" t="str">
        <f t="shared" si="2"/>
        <v/>
      </c>
      <c r="C207" s="206" t="str">
        <f t="shared" si="3"/>
        <v/>
      </c>
      <c r="D207" s="207" t="str">
        <f t="shared" si="0"/>
        <v/>
      </c>
      <c r="E207" s="207"/>
      <c r="F207" s="205" t="str">
        <f>IF(E207="","",VLOOKUP(E207,'ARAMA LİSTELERİ'!C207:G2246,5,))</f>
        <v/>
      </c>
      <c r="G207" s="207"/>
      <c r="H207" s="210"/>
      <c r="I207" s="79"/>
      <c r="J207" s="210"/>
      <c r="K207" s="210"/>
      <c r="L207" s="210" t="str">
        <f t="shared" si="1"/>
        <v/>
      </c>
      <c r="M207" s="79"/>
      <c r="N207" s="207"/>
      <c r="O207" s="207"/>
      <c r="P207" s="207"/>
      <c r="Q207" s="207"/>
    </row>
    <row r="208" spans="1:17" ht="34.5" customHeight="1">
      <c r="A208" s="82"/>
      <c r="B208" s="205" t="str">
        <f t="shared" si="2"/>
        <v/>
      </c>
      <c r="C208" s="206" t="str">
        <f t="shared" si="3"/>
        <v/>
      </c>
      <c r="D208" s="207" t="str">
        <f t="shared" si="0"/>
        <v/>
      </c>
      <c r="E208" s="207"/>
      <c r="F208" s="205" t="str">
        <f>IF(E208="","",VLOOKUP(E208,'ARAMA LİSTELERİ'!C208:G2247,5,))</f>
        <v/>
      </c>
      <c r="G208" s="207"/>
      <c r="H208" s="210"/>
      <c r="I208" s="79"/>
      <c r="J208" s="210"/>
      <c r="K208" s="210"/>
      <c r="L208" s="210" t="str">
        <f t="shared" si="1"/>
        <v/>
      </c>
      <c r="M208" s="79"/>
      <c r="N208" s="207"/>
      <c r="O208" s="207"/>
      <c r="P208" s="207"/>
      <c r="Q208" s="207"/>
    </row>
    <row r="209" spans="1:17" ht="34.5" customHeight="1">
      <c r="A209" s="82"/>
      <c r="B209" s="205" t="str">
        <f t="shared" si="2"/>
        <v/>
      </c>
      <c r="C209" s="206" t="str">
        <f t="shared" si="3"/>
        <v/>
      </c>
      <c r="D209" s="207" t="str">
        <f t="shared" si="0"/>
        <v/>
      </c>
      <c r="E209" s="207"/>
      <c r="F209" s="205" t="str">
        <f>IF(E209="","",VLOOKUP(E209,'ARAMA LİSTELERİ'!C209:G2248,5,))</f>
        <v/>
      </c>
      <c r="G209" s="207"/>
      <c r="H209" s="210"/>
      <c r="I209" s="79"/>
      <c r="J209" s="210"/>
      <c r="K209" s="210"/>
      <c r="L209" s="210" t="str">
        <f t="shared" si="1"/>
        <v/>
      </c>
      <c r="M209" s="79"/>
      <c r="N209" s="207"/>
      <c r="O209" s="207"/>
      <c r="P209" s="207"/>
      <c r="Q209" s="207"/>
    </row>
    <row r="210" spans="1:17" ht="34.5" customHeight="1">
      <c r="A210" s="82"/>
      <c r="B210" s="205" t="str">
        <f t="shared" si="2"/>
        <v/>
      </c>
      <c r="C210" s="206" t="str">
        <f t="shared" si="3"/>
        <v/>
      </c>
      <c r="D210" s="207" t="str">
        <f t="shared" si="0"/>
        <v/>
      </c>
      <c r="E210" s="207"/>
      <c r="F210" s="205" t="str">
        <f>IF(E210="","",VLOOKUP(E210,'ARAMA LİSTELERİ'!C210:G2249,5,))</f>
        <v/>
      </c>
      <c r="G210" s="207"/>
      <c r="H210" s="210"/>
      <c r="I210" s="79"/>
      <c r="J210" s="210"/>
      <c r="K210" s="210"/>
      <c r="L210" s="210" t="str">
        <f t="shared" si="1"/>
        <v/>
      </c>
      <c r="M210" s="79"/>
      <c r="N210" s="207"/>
      <c r="O210" s="207"/>
      <c r="P210" s="207"/>
      <c r="Q210" s="207"/>
    </row>
    <row r="211" spans="1:17" ht="34.5" customHeight="1">
      <c r="A211" s="82"/>
      <c r="B211" s="205" t="str">
        <f t="shared" si="2"/>
        <v/>
      </c>
      <c r="C211" s="206" t="str">
        <f t="shared" si="3"/>
        <v/>
      </c>
      <c r="D211" s="207" t="str">
        <f t="shared" si="0"/>
        <v/>
      </c>
      <c r="E211" s="207"/>
      <c r="F211" s="205" t="str">
        <f>IF(E211="","",VLOOKUP(E211,'ARAMA LİSTELERİ'!C211:G2250,5,))</f>
        <v/>
      </c>
      <c r="G211" s="207"/>
      <c r="H211" s="210"/>
      <c r="I211" s="79"/>
      <c r="J211" s="210"/>
      <c r="K211" s="210"/>
      <c r="L211" s="210" t="str">
        <f t="shared" si="1"/>
        <v/>
      </c>
      <c r="M211" s="79"/>
      <c r="N211" s="207"/>
      <c r="O211" s="207"/>
      <c r="P211" s="207"/>
      <c r="Q211" s="207"/>
    </row>
    <row r="212" spans="1:17" ht="34.5" customHeight="1">
      <c r="A212" s="82"/>
      <c r="B212" s="205" t="str">
        <f t="shared" si="2"/>
        <v/>
      </c>
      <c r="C212" s="206" t="str">
        <f t="shared" si="3"/>
        <v/>
      </c>
      <c r="D212" s="207" t="str">
        <f t="shared" si="0"/>
        <v/>
      </c>
      <c r="E212" s="207"/>
      <c r="F212" s="205" t="str">
        <f>IF(E212="","",VLOOKUP(E212,'ARAMA LİSTELERİ'!C212:G2251,5,))</f>
        <v/>
      </c>
      <c r="G212" s="207"/>
      <c r="H212" s="210"/>
      <c r="I212" s="79"/>
      <c r="J212" s="210"/>
      <c r="K212" s="210"/>
      <c r="L212" s="210" t="str">
        <f t="shared" si="1"/>
        <v/>
      </c>
      <c r="M212" s="79"/>
      <c r="N212" s="207"/>
      <c r="O212" s="207"/>
      <c r="P212" s="207"/>
      <c r="Q212" s="207"/>
    </row>
    <row r="213" spans="1:17" ht="34.5" customHeight="1">
      <c r="A213" s="82"/>
      <c r="B213" s="205" t="str">
        <f t="shared" si="2"/>
        <v/>
      </c>
      <c r="C213" s="206" t="str">
        <f t="shared" si="3"/>
        <v/>
      </c>
      <c r="D213" s="207" t="str">
        <f t="shared" si="0"/>
        <v/>
      </c>
      <c r="E213" s="207"/>
      <c r="F213" s="205" t="str">
        <f>IF(E213="","",VLOOKUP(E213,'ARAMA LİSTELERİ'!C213:G2252,5,))</f>
        <v/>
      </c>
      <c r="G213" s="207"/>
      <c r="H213" s="210"/>
      <c r="I213" s="79"/>
      <c r="J213" s="210"/>
      <c r="K213" s="210"/>
      <c r="L213" s="210" t="str">
        <f t="shared" si="1"/>
        <v/>
      </c>
      <c r="M213" s="79"/>
      <c r="N213" s="207"/>
      <c r="O213" s="207"/>
      <c r="P213" s="207"/>
      <c r="Q213" s="207"/>
    </row>
    <row r="214" spans="1:17" ht="34.5" customHeight="1">
      <c r="A214" s="82"/>
      <c r="B214" s="205" t="str">
        <f t="shared" si="2"/>
        <v/>
      </c>
      <c r="C214" s="206" t="str">
        <f t="shared" si="3"/>
        <v/>
      </c>
      <c r="D214" s="207" t="str">
        <f t="shared" si="0"/>
        <v/>
      </c>
      <c r="E214" s="207"/>
      <c r="F214" s="205" t="str">
        <f>IF(E214="","",VLOOKUP(E214,'ARAMA LİSTELERİ'!C214:G2253,5,))</f>
        <v/>
      </c>
      <c r="G214" s="207"/>
      <c r="H214" s="210"/>
      <c r="I214" s="79"/>
      <c r="J214" s="210"/>
      <c r="K214" s="210"/>
      <c r="L214" s="210" t="str">
        <f t="shared" si="1"/>
        <v/>
      </c>
      <c r="M214" s="79"/>
      <c r="N214" s="207"/>
      <c r="O214" s="207"/>
      <c r="P214" s="207"/>
      <c r="Q214" s="207"/>
    </row>
    <row r="215" spans="1:17" ht="34.5" customHeight="1">
      <c r="A215" s="82"/>
      <c r="B215" s="205" t="str">
        <f t="shared" si="2"/>
        <v/>
      </c>
      <c r="C215" s="206" t="str">
        <f t="shared" si="3"/>
        <v/>
      </c>
      <c r="D215" s="207" t="str">
        <f t="shared" si="0"/>
        <v/>
      </c>
      <c r="E215" s="207"/>
      <c r="F215" s="205" t="str">
        <f>IF(E215="","",VLOOKUP(E215,'ARAMA LİSTELERİ'!C215:G2254,5,))</f>
        <v/>
      </c>
      <c r="G215" s="207"/>
      <c r="H215" s="210"/>
      <c r="I215" s="79"/>
      <c r="J215" s="210"/>
      <c r="K215" s="210"/>
      <c r="L215" s="210" t="str">
        <f t="shared" si="1"/>
        <v/>
      </c>
      <c r="M215" s="79"/>
      <c r="N215" s="207"/>
      <c r="O215" s="207"/>
      <c r="P215" s="207"/>
      <c r="Q215" s="207"/>
    </row>
    <row r="216" spans="1:17" ht="34.5" customHeight="1">
      <c r="A216" s="82"/>
      <c r="B216" s="205" t="str">
        <f t="shared" si="2"/>
        <v/>
      </c>
      <c r="C216" s="206" t="str">
        <f t="shared" si="3"/>
        <v/>
      </c>
      <c r="D216" s="207" t="str">
        <f t="shared" si="0"/>
        <v/>
      </c>
      <c r="E216" s="207"/>
      <c r="F216" s="205" t="str">
        <f>IF(E216="","",VLOOKUP(E216,'ARAMA LİSTELERİ'!C216:G2255,5,))</f>
        <v/>
      </c>
      <c r="G216" s="207"/>
      <c r="H216" s="210"/>
      <c r="I216" s="79"/>
      <c r="J216" s="210"/>
      <c r="K216" s="210"/>
      <c r="L216" s="210" t="str">
        <f t="shared" si="1"/>
        <v/>
      </c>
      <c r="M216" s="79"/>
      <c r="N216" s="207"/>
      <c r="O216" s="207"/>
      <c r="P216" s="207"/>
      <c r="Q216" s="207"/>
    </row>
    <row r="217" spans="1:17" ht="34.5" customHeight="1">
      <c r="A217" s="82"/>
      <c r="B217" s="205" t="str">
        <f t="shared" si="2"/>
        <v/>
      </c>
      <c r="C217" s="206" t="str">
        <f t="shared" si="3"/>
        <v/>
      </c>
      <c r="D217" s="207" t="str">
        <f t="shared" si="0"/>
        <v/>
      </c>
      <c r="E217" s="207"/>
      <c r="F217" s="205" t="str">
        <f>IF(E217="","",VLOOKUP(E217,'ARAMA LİSTELERİ'!C217:G2256,5,))</f>
        <v/>
      </c>
      <c r="G217" s="207"/>
      <c r="H217" s="210"/>
      <c r="I217" s="79"/>
      <c r="J217" s="210"/>
      <c r="K217" s="210"/>
      <c r="L217" s="210" t="str">
        <f t="shared" si="1"/>
        <v/>
      </c>
      <c r="M217" s="79"/>
      <c r="N217" s="207"/>
      <c r="O217" s="207"/>
      <c r="P217" s="207"/>
      <c r="Q217" s="207"/>
    </row>
    <row r="218" spans="1:17" ht="34.5" customHeight="1">
      <c r="A218" s="82"/>
      <c r="B218" s="205" t="str">
        <f t="shared" si="2"/>
        <v/>
      </c>
      <c r="C218" s="206" t="str">
        <f t="shared" si="3"/>
        <v/>
      </c>
      <c r="D218" s="207" t="str">
        <f t="shared" si="0"/>
        <v/>
      </c>
      <c r="E218" s="207"/>
      <c r="F218" s="205" t="str">
        <f>IF(E218="","",VLOOKUP(E218,'ARAMA LİSTELERİ'!C218:G2257,5,))</f>
        <v/>
      </c>
      <c r="G218" s="207"/>
      <c r="H218" s="210"/>
      <c r="I218" s="79"/>
      <c r="J218" s="210"/>
      <c r="K218" s="210"/>
      <c r="L218" s="210" t="str">
        <f t="shared" si="1"/>
        <v/>
      </c>
      <c r="M218" s="79"/>
      <c r="N218" s="207"/>
      <c r="O218" s="207"/>
      <c r="P218" s="207"/>
      <c r="Q218" s="207"/>
    </row>
    <row r="219" spans="1:17" ht="34.5" customHeight="1">
      <c r="A219" s="82"/>
      <c r="B219" s="205" t="str">
        <f t="shared" si="2"/>
        <v/>
      </c>
      <c r="C219" s="206" t="str">
        <f t="shared" si="3"/>
        <v/>
      </c>
      <c r="D219" s="207" t="str">
        <f t="shared" si="0"/>
        <v/>
      </c>
      <c r="E219" s="207"/>
      <c r="F219" s="205" t="str">
        <f>IF(E219="","",VLOOKUP(E219,'ARAMA LİSTELERİ'!C219:G2258,5,))</f>
        <v/>
      </c>
      <c r="G219" s="207"/>
      <c r="H219" s="210"/>
      <c r="I219" s="79"/>
      <c r="J219" s="210"/>
      <c r="K219" s="210"/>
      <c r="L219" s="210" t="str">
        <f t="shared" si="1"/>
        <v/>
      </c>
      <c r="M219" s="79"/>
      <c r="N219" s="207"/>
      <c r="O219" s="207"/>
      <c r="P219" s="207"/>
      <c r="Q219" s="207"/>
    </row>
    <row r="220" spans="1:17" ht="34.5" customHeight="1">
      <c r="A220" s="82"/>
      <c r="B220" s="205" t="str">
        <f t="shared" si="2"/>
        <v/>
      </c>
      <c r="C220" s="206" t="str">
        <f t="shared" si="3"/>
        <v/>
      </c>
      <c r="D220" s="207" t="str">
        <f t="shared" si="0"/>
        <v/>
      </c>
      <c r="E220" s="207"/>
      <c r="F220" s="205" t="str">
        <f>IF(E220="","",VLOOKUP(E220,'ARAMA LİSTELERİ'!C220:G2259,5,))</f>
        <v/>
      </c>
      <c r="G220" s="207"/>
      <c r="H220" s="210"/>
      <c r="I220" s="79"/>
      <c r="J220" s="210"/>
      <c r="K220" s="210"/>
      <c r="L220" s="210" t="str">
        <f t="shared" si="1"/>
        <v/>
      </c>
      <c r="M220" s="79"/>
      <c r="N220" s="207"/>
      <c r="O220" s="207"/>
      <c r="P220" s="207"/>
      <c r="Q220" s="207"/>
    </row>
    <row r="221" spans="1:17" ht="34.5" customHeight="1">
      <c r="A221" s="82"/>
      <c r="B221" s="205" t="str">
        <f t="shared" si="2"/>
        <v/>
      </c>
      <c r="C221" s="206" t="str">
        <f t="shared" si="3"/>
        <v/>
      </c>
      <c r="D221" s="207" t="str">
        <f t="shared" si="0"/>
        <v/>
      </c>
      <c r="E221" s="207"/>
      <c r="F221" s="205" t="str">
        <f>IF(E221="","",VLOOKUP(E221,'ARAMA LİSTELERİ'!C221:G2260,5,))</f>
        <v/>
      </c>
      <c r="G221" s="207"/>
      <c r="H221" s="210"/>
      <c r="I221" s="79"/>
      <c r="J221" s="210"/>
      <c r="K221" s="210"/>
      <c r="L221" s="210" t="str">
        <f t="shared" si="1"/>
        <v/>
      </c>
      <c r="M221" s="79"/>
      <c r="N221" s="207"/>
      <c r="O221" s="207"/>
      <c r="P221" s="207"/>
      <c r="Q221" s="207"/>
    </row>
    <row r="222" spans="1:17" ht="34.5" customHeight="1">
      <c r="A222" s="82"/>
      <c r="B222" s="205" t="str">
        <f t="shared" si="2"/>
        <v/>
      </c>
      <c r="C222" s="206" t="str">
        <f t="shared" si="3"/>
        <v/>
      </c>
      <c r="D222" s="207" t="str">
        <f t="shared" si="0"/>
        <v/>
      </c>
      <c r="E222" s="207"/>
      <c r="F222" s="205" t="str">
        <f>IF(E222="","",VLOOKUP(E222,'ARAMA LİSTELERİ'!C222:G2261,5,))</f>
        <v/>
      </c>
      <c r="G222" s="207"/>
      <c r="H222" s="210"/>
      <c r="I222" s="79"/>
      <c r="J222" s="210"/>
      <c r="K222" s="210"/>
      <c r="L222" s="210" t="str">
        <f t="shared" si="1"/>
        <v/>
      </c>
      <c r="M222" s="79"/>
      <c r="N222" s="207"/>
      <c r="O222" s="207"/>
      <c r="P222" s="207"/>
      <c r="Q222" s="207"/>
    </row>
    <row r="223" spans="1:17" ht="34.5" customHeight="1">
      <c r="A223" s="82"/>
      <c r="B223" s="205" t="str">
        <f t="shared" si="2"/>
        <v/>
      </c>
      <c r="C223" s="206" t="str">
        <f t="shared" si="3"/>
        <v/>
      </c>
      <c r="D223" s="207" t="str">
        <f t="shared" si="0"/>
        <v/>
      </c>
      <c r="E223" s="207"/>
      <c r="F223" s="205" t="str">
        <f>IF(E223="","",VLOOKUP(E223,'ARAMA LİSTELERİ'!C223:G2262,5,))</f>
        <v/>
      </c>
      <c r="G223" s="207"/>
      <c r="H223" s="210"/>
      <c r="I223" s="79"/>
      <c r="J223" s="210"/>
      <c r="K223" s="210"/>
      <c r="L223" s="210" t="str">
        <f t="shared" si="1"/>
        <v/>
      </c>
      <c r="M223" s="79"/>
      <c r="N223" s="207"/>
      <c r="O223" s="207"/>
      <c r="P223" s="207"/>
      <c r="Q223" s="207"/>
    </row>
    <row r="224" spans="1:17" ht="34.5" customHeight="1">
      <c r="A224" s="82"/>
      <c r="B224" s="205" t="str">
        <f t="shared" si="2"/>
        <v/>
      </c>
      <c r="C224" s="206" t="str">
        <f t="shared" si="3"/>
        <v/>
      </c>
      <c r="D224" s="207" t="str">
        <f t="shared" si="0"/>
        <v/>
      </c>
      <c r="E224" s="207"/>
      <c r="F224" s="205" t="str">
        <f>IF(E224="","",VLOOKUP(E224,'ARAMA LİSTELERİ'!C224:G2263,5,))</f>
        <v/>
      </c>
      <c r="G224" s="207"/>
      <c r="H224" s="210"/>
      <c r="I224" s="79"/>
      <c r="J224" s="210"/>
      <c r="K224" s="210"/>
      <c r="L224" s="210" t="str">
        <f t="shared" si="1"/>
        <v/>
      </c>
      <c r="M224" s="79"/>
      <c r="N224" s="207"/>
      <c r="O224" s="207"/>
      <c r="P224" s="207"/>
      <c r="Q224" s="207"/>
    </row>
    <row r="225" spans="1:17" ht="34.5" customHeight="1">
      <c r="A225" s="82"/>
      <c r="B225" s="205" t="str">
        <f t="shared" si="2"/>
        <v/>
      </c>
      <c r="C225" s="206" t="str">
        <f t="shared" si="3"/>
        <v/>
      </c>
      <c r="D225" s="207" t="str">
        <f t="shared" si="0"/>
        <v/>
      </c>
      <c r="E225" s="207"/>
      <c r="F225" s="205" t="str">
        <f>IF(E225="","",VLOOKUP(E225,'ARAMA LİSTELERİ'!C225:G2264,5,))</f>
        <v/>
      </c>
      <c r="G225" s="207"/>
      <c r="H225" s="210"/>
      <c r="I225" s="79"/>
      <c r="J225" s="210"/>
      <c r="K225" s="210"/>
      <c r="L225" s="210" t="str">
        <f t="shared" si="1"/>
        <v/>
      </c>
      <c r="M225" s="79"/>
      <c r="N225" s="207"/>
      <c r="O225" s="207"/>
      <c r="P225" s="207"/>
      <c r="Q225" s="207"/>
    </row>
    <row r="226" spans="1:17" ht="34.5" customHeight="1">
      <c r="A226" s="82"/>
      <c r="B226" s="205" t="str">
        <f t="shared" si="2"/>
        <v/>
      </c>
      <c r="C226" s="206" t="str">
        <f t="shared" si="3"/>
        <v/>
      </c>
      <c r="D226" s="207" t="str">
        <f t="shared" si="0"/>
        <v/>
      </c>
      <c r="E226" s="207"/>
      <c r="F226" s="205" t="str">
        <f>IF(E226="","",VLOOKUP(E226,'ARAMA LİSTELERİ'!C226:G2265,5,))</f>
        <v/>
      </c>
      <c r="G226" s="207"/>
      <c r="H226" s="210"/>
      <c r="I226" s="79"/>
      <c r="J226" s="210"/>
      <c r="K226" s="210"/>
      <c r="L226" s="210" t="str">
        <f t="shared" si="1"/>
        <v/>
      </c>
      <c r="M226" s="79"/>
      <c r="N226" s="207"/>
      <c r="O226" s="207"/>
      <c r="P226" s="207"/>
      <c r="Q226" s="207"/>
    </row>
    <row r="227" spans="1:17" ht="34.5" customHeight="1">
      <c r="A227" s="82"/>
      <c r="B227" s="205" t="str">
        <f t="shared" si="2"/>
        <v/>
      </c>
      <c r="C227" s="206" t="str">
        <f t="shared" si="3"/>
        <v/>
      </c>
      <c r="D227" s="207" t="str">
        <f t="shared" si="0"/>
        <v/>
      </c>
      <c r="E227" s="207"/>
      <c r="F227" s="205" t="str">
        <f>IF(E227="","",VLOOKUP(E227,'ARAMA LİSTELERİ'!C227:G2266,5,))</f>
        <v/>
      </c>
      <c r="G227" s="207"/>
      <c r="H227" s="210"/>
      <c r="I227" s="79"/>
      <c r="J227" s="210"/>
      <c r="K227" s="210"/>
      <c r="L227" s="210" t="str">
        <f t="shared" si="1"/>
        <v/>
      </c>
      <c r="M227" s="79"/>
      <c r="N227" s="207"/>
      <c r="O227" s="207"/>
      <c r="P227" s="207"/>
      <c r="Q227" s="207"/>
    </row>
    <row r="228" spans="1:17" ht="34.5" customHeight="1">
      <c r="A228" s="82"/>
      <c r="B228" s="205" t="str">
        <f t="shared" si="2"/>
        <v/>
      </c>
      <c r="C228" s="206" t="str">
        <f t="shared" si="3"/>
        <v/>
      </c>
      <c r="D228" s="207" t="str">
        <f t="shared" si="0"/>
        <v/>
      </c>
      <c r="E228" s="207"/>
      <c r="F228" s="205" t="str">
        <f>IF(E228="","",VLOOKUP(E228,'ARAMA LİSTELERİ'!C228:G2267,5,))</f>
        <v/>
      </c>
      <c r="G228" s="207"/>
      <c r="H228" s="210"/>
      <c r="I228" s="79"/>
      <c r="J228" s="210"/>
      <c r="K228" s="210"/>
      <c r="L228" s="210" t="str">
        <f t="shared" si="1"/>
        <v/>
      </c>
      <c r="M228" s="79"/>
      <c r="N228" s="207"/>
      <c r="O228" s="207"/>
      <c r="P228" s="207"/>
      <c r="Q228" s="207"/>
    </row>
    <row r="229" spans="1:17" ht="34.5" customHeight="1">
      <c r="A229" s="82"/>
      <c r="B229" s="205" t="str">
        <f t="shared" si="2"/>
        <v/>
      </c>
      <c r="C229" s="206" t="str">
        <f t="shared" si="3"/>
        <v/>
      </c>
      <c r="D229" s="207" t="str">
        <f t="shared" si="0"/>
        <v/>
      </c>
      <c r="E229" s="207"/>
      <c r="F229" s="205" t="str">
        <f>IF(E229="","",VLOOKUP(E229,'ARAMA LİSTELERİ'!C229:G2268,5,))</f>
        <v/>
      </c>
      <c r="G229" s="207"/>
      <c r="H229" s="210"/>
      <c r="I229" s="79"/>
      <c r="J229" s="210"/>
      <c r="K229" s="210"/>
      <c r="L229" s="210" t="str">
        <f t="shared" si="1"/>
        <v/>
      </c>
      <c r="M229" s="79"/>
      <c r="N229" s="207"/>
      <c r="O229" s="207"/>
      <c r="P229" s="207"/>
      <c r="Q229" s="207"/>
    </row>
    <row r="230" spans="1:17" ht="34.5" customHeight="1">
      <c r="A230" s="82"/>
      <c r="B230" s="205" t="str">
        <f t="shared" si="2"/>
        <v/>
      </c>
      <c r="C230" s="206" t="str">
        <f t="shared" si="3"/>
        <v/>
      </c>
      <c r="D230" s="207" t="str">
        <f t="shared" si="0"/>
        <v/>
      </c>
      <c r="E230" s="207"/>
      <c r="F230" s="205" t="str">
        <f>IF(E230="","",VLOOKUP(E230,'ARAMA LİSTELERİ'!C230:G2269,5,))</f>
        <v/>
      </c>
      <c r="G230" s="207"/>
      <c r="H230" s="210"/>
      <c r="I230" s="79"/>
      <c r="J230" s="210"/>
      <c r="K230" s="210"/>
      <c r="L230" s="210" t="str">
        <f t="shared" si="1"/>
        <v/>
      </c>
      <c r="M230" s="79"/>
      <c r="N230" s="207"/>
      <c r="O230" s="207"/>
      <c r="P230" s="207"/>
      <c r="Q230" s="207"/>
    </row>
    <row r="231" spans="1:17" ht="34.5" customHeight="1">
      <c r="A231" s="82"/>
      <c r="B231" s="205" t="str">
        <f t="shared" si="2"/>
        <v/>
      </c>
      <c r="C231" s="206" t="str">
        <f t="shared" si="3"/>
        <v/>
      </c>
      <c r="D231" s="207" t="str">
        <f t="shared" si="0"/>
        <v/>
      </c>
      <c r="E231" s="207"/>
      <c r="F231" s="205" t="str">
        <f>IF(E231="","",VLOOKUP(E231,'ARAMA LİSTELERİ'!C231:G2270,5,))</f>
        <v/>
      </c>
      <c r="G231" s="207"/>
      <c r="H231" s="210"/>
      <c r="I231" s="79"/>
      <c r="J231" s="210"/>
      <c r="K231" s="210"/>
      <c r="L231" s="210" t="str">
        <f t="shared" si="1"/>
        <v/>
      </c>
      <c r="M231" s="79"/>
      <c r="N231" s="207"/>
      <c r="O231" s="207"/>
      <c r="P231" s="207"/>
      <c r="Q231" s="207"/>
    </row>
    <row r="232" spans="1:17" ht="34.5" customHeight="1">
      <c r="A232" s="82"/>
      <c r="B232" s="205" t="str">
        <f t="shared" si="2"/>
        <v/>
      </c>
      <c r="C232" s="206" t="str">
        <f t="shared" si="3"/>
        <v/>
      </c>
      <c r="D232" s="207" t="str">
        <f t="shared" si="0"/>
        <v/>
      </c>
      <c r="E232" s="207"/>
      <c r="F232" s="205" t="str">
        <f>IF(E232="","",VLOOKUP(E232,'ARAMA LİSTELERİ'!C232:G2271,5,))</f>
        <v/>
      </c>
      <c r="G232" s="207"/>
      <c r="H232" s="210"/>
      <c r="I232" s="79"/>
      <c r="J232" s="210"/>
      <c r="K232" s="210"/>
      <c r="L232" s="210" t="str">
        <f t="shared" si="1"/>
        <v/>
      </c>
      <c r="M232" s="79"/>
      <c r="N232" s="207"/>
      <c r="O232" s="207"/>
      <c r="P232" s="207"/>
      <c r="Q232" s="207"/>
    </row>
    <row r="233" spans="1:17" ht="34.5" customHeight="1">
      <c r="A233" s="82"/>
      <c r="B233" s="205" t="str">
        <f t="shared" si="2"/>
        <v/>
      </c>
      <c r="C233" s="206" t="str">
        <f t="shared" si="3"/>
        <v/>
      </c>
      <c r="D233" s="207" t="str">
        <f t="shared" si="0"/>
        <v/>
      </c>
      <c r="E233" s="207"/>
      <c r="F233" s="205" t="str">
        <f>IF(E233="","",VLOOKUP(E233,'ARAMA LİSTELERİ'!C233:G2272,5,))</f>
        <v/>
      </c>
      <c r="G233" s="207"/>
      <c r="H233" s="210"/>
      <c r="I233" s="79"/>
      <c r="J233" s="210"/>
      <c r="K233" s="210"/>
      <c r="L233" s="210" t="str">
        <f t="shared" si="1"/>
        <v/>
      </c>
      <c r="M233" s="79"/>
      <c r="N233" s="207"/>
      <c r="O233" s="207"/>
      <c r="P233" s="207"/>
      <c r="Q233" s="207"/>
    </row>
    <row r="234" spans="1:17" ht="34.5" customHeight="1">
      <c r="A234" s="82"/>
      <c r="B234" s="205" t="str">
        <f t="shared" si="2"/>
        <v/>
      </c>
      <c r="C234" s="206" t="str">
        <f t="shared" si="3"/>
        <v/>
      </c>
      <c r="D234" s="207" t="str">
        <f t="shared" si="0"/>
        <v/>
      </c>
      <c r="E234" s="207"/>
      <c r="F234" s="205" t="str">
        <f>IF(E234="","",VLOOKUP(E234,'ARAMA LİSTELERİ'!C234:G2273,5,))</f>
        <v/>
      </c>
      <c r="G234" s="207"/>
      <c r="H234" s="210"/>
      <c r="I234" s="79"/>
      <c r="J234" s="210"/>
      <c r="K234" s="210"/>
      <c r="L234" s="210" t="str">
        <f t="shared" si="1"/>
        <v/>
      </c>
      <c r="M234" s="79"/>
      <c r="N234" s="207"/>
      <c r="O234" s="207"/>
      <c r="P234" s="207"/>
      <c r="Q234" s="207"/>
    </row>
    <row r="235" spans="1:17" ht="34.5" customHeight="1">
      <c r="A235" s="82"/>
      <c r="B235" s="205" t="str">
        <f t="shared" si="2"/>
        <v/>
      </c>
      <c r="C235" s="206" t="str">
        <f t="shared" si="3"/>
        <v/>
      </c>
      <c r="D235" s="207" t="str">
        <f t="shared" si="0"/>
        <v/>
      </c>
      <c r="E235" s="207"/>
      <c r="F235" s="205" t="str">
        <f>IF(E235="","",VLOOKUP(E235,'ARAMA LİSTELERİ'!C235:G2274,5,))</f>
        <v/>
      </c>
      <c r="G235" s="207"/>
      <c r="H235" s="210"/>
      <c r="I235" s="79"/>
      <c r="J235" s="210"/>
      <c r="K235" s="210"/>
      <c r="L235" s="210" t="str">
        <f t="shared" si="1"/>
        <v/>
      </c>
      <c r="M235" s="79"/>
      <c r="N235" s="207"/>
      <c r="O235" s="207"/>
      <c r="P235" s="207"/>
      <c r="Q235" s="207"/>
    </row>
    <row r="236" spans="1:17" ht="34.5" customHeight="1">
      <c r="A236" s="82"/>
      <c r="B236" s="205" t="str">
        <f t="shared" si="2"/>
        <v/>
      </c>
      <c r="C236" s="206" t="str">
        <f t="shared" si="3"/>
        <v/>
      </c>
      <c r="D236" s="207" t="str">
        <f t="shared" si="0"/>
        <v/>
      </c>
      <c r="E236" s="207"/>
      <c r="F236" s="205" t="str">
        <f>IF(E236="","",VLOOKUP(E236,'ARAMA LİSTELERİ'!C236:G2275,5,))</f>
        <v/>
      </c>
      <c r="G236" s="207"/>
      <c r="H236" s="210"/>
      <c r="I236" s="79"/>
      <c r="J236" s="210"/>
      <c r="K236" s="210"/>
      <c r="L236" s="210" t="str">
        <f t="shared" si="1"/>
        <v/>
      </c>
      <c r="M236" s="79"/>
      <c r="N236" s="207"/>
      <c r="O236" s="207"/>
      <c r="P236" s="207"/>
      <c r="Q236" s="207"/>
    </row>
    <row r="237" spans="1:17" ht="34.5" customHeight="1">
      <c r="A237" s="82"/>
      <c r="B237" s="205" t="str">
        <f t="shared" si="2"/>
        <v/>
      </c>
      <c r="C237" s="206" t="str">
        <f t="shared" si="3"/>
        <v/>
      </c>
      <c r="D237" s="207" t="str">
        <f t="shared" si="0"/>
        <v/>
      </c>
      <c r="E237" s="207"/>
      <c r="F237" s="205" t="str">
        <f>IF(E237="","",VLOOKUP(E237,'ARAMA LİSTELERİ'!C237:G2276,5,))</f>
        <v/>
      </c>
      <c r="G237" s="207"/>
      <c r="H237" s="210"/>
      <c r="I237" s="79"/>
      <c r="J237" s="210"/>
      <c r="K237" s="210"/>
      <c r="L237" s="210" t="str">
        <f t="shared" si="1"/>
        <v/>
      </c>
      <c r="M237" s="79"/>
      <c r="N237" s="207"/>
      <c r="O237" s="207"/>
      <c r="P237" s="207"/>
      <c r="Q237" s="207"/>
    </row>
    <row r="238" spans="1:17" ht="34.5" customHeight="1">
      <c r="A238" s="82"/>
      <c r="B238" s="205" t="str">
        <f t="shared" si="2"/>
        <v/>
      </c>
      <c r="C238" s="206" t="str">
        <f t="shared" si="3"/>
        <v/>
      </c>
      <c r="D238" s="207" t="str">
        <f t="shared" si="0"/>
        <v/>
      </c>
      <c r="E238" s="207"/>
      <c r="F238" s="205" t="str">
        <f>IF(E238="","",VLOOKUP(E238,'ARAMA LİSTELERİ'!C238:G2277,5,))</f>
        <v/>
      </c>
      <c r="G238" s="207"/>
      <c r="H238" s="210"/>
      <c r="I238" s="79"/>
      <c r="J238" s="210"/>
      <c r="K238" s="210"/>
      <c r="L238" s="210" t="str">
        <f t="shared" si="1"/>
        <v/>
      </c>
      <c r="M238" s="79"/>
      <c r="N238" s="207"/>
      <c r="O238" s="207"/>
      <c r="P238" s="207"/>
      <c r="Q238" s="207"/>
    </row>
    <row r="239" spans="1:17" ht="34.5" customHeight="1">
      <c r="A239" s="82"/>
      <c r="B239" s="205" t="str">
        <f t="shared" si="2"/>
        <v/>
      </c>
      <c r="C239" s="206" t="str">
        <f t="shared" si="3"/>
        <v/>
      </c>
      <c r="D239" s="207" t="str">
        <f t="shared" si="0"/>
        <v/>
      </c>
      <c r="E239" s="207"/>
      <c r="F239" s="205" t="str">
        <f>IF(E239="","",VLOOKUP(E239,'ARAMA LİSTELERİ'!C239:G2278,5,))</f>
        <v/>
      </c>
      <c r="G239" s="207"/>
      <c r="H239" s="210"/>
      <c r="I239" s="79"/>
      <c r="J239" s="210"/>
      <c r="K239" s="210"/>
      <c r="L239" s="210" t="str">
        <f t="shared" si="1"/>
        <v/>
      </c>
      <c r="M239" s="79"/>
      <c r="N239" s="207"/>
      <c r="O239" s="207"/>
      <c r="P239" s="207"/>
      <c r="Q239" s="207"/>
    </row>
    <row r="240" spans="1:17" ht="34.5" customHeight="1">
      <c r="A240" s="82"/>
      <c r="B240" s="205" t="str">
        <f t="shared" si="2"/>
        <v/>
      </c>
      <c r="C240" s="206" t="str">
        <f t="shared" si="3"/>
        <v/>
      </c>
      <c r="D240" s="207" t="str">
        <f t="shared" si="0"/>
        <v/>
      </c>
      <c r="E240" s="207"/>
      <c r="F240" s="205" t="str">
        <f>IF(E240="","",VLOOKUP(E240,'ARAMA LİSTELERİ'!C240:G2279,5,))</f>
        <v/>
      </c>
      <c r="G240" s="207"/>
      <c r="H240" s="210"/>
      <c r="I240" s="79"/>
      <c r="J240" s="210"/>
      <c r="K240" s="210"/>
      <c r="L240" s="210" t="str">
        <f t="shared" si="1"/>
        <v/>
      </c>
      <c r="M240" s="79"/>
      <c r="N240" s="207"/>
      <c r="O240" s="207"/>
      <c r="P240" s="207"/>
      <c r="Q240" s="207"/>
    </row>
    <row r="241" spans="1:17" ht="34.5" customHeight="1">
      <c r="A241" s="82"/>
      <c r="B241" s="205" t="str">
        <f t="shared" si="2"/>
        <v/>
      </c>
      <c r="C241" s="206" t="str">
        <f t="shared" si="3"/>
        <v/>
      </c>
      <c r="D241" s="207" t="str">
        <f t="shared" si="0"/>
        <v/>
      </c>
      <c r="E241" s="207"/>
      <c r="F241" s="205" t="str">
        <f>IF(E241="","",VLOOKUP(E241,'ARAMA LİSTELERİ'!C241:G2280,5,))</f>
        <v/>
      </c>
      <c r="G241" s="207"/>
      <c r="H241" s="210"/>
      <c r="I241" s="79"/>
      <c r="J241" s="210"/>
      <c r="K241" s="210"/>
      <c r="L241" s="210" t="str">
        <f t="shared" si="1"/>
        <v/>
      </c>
      <c r="M241" s="79"/>
      <c r="N241" s="207"/>
      <c r="O241" s="207"/>
      <c r="P241" s="207"/>
      <c r="Q241" s="207"/>
    </row>
    <row r="242" spans="1:17" ht="34.5" customHeight="1">
      <c r="A242" s="82"/>
      <c r="B242" s="205" t="str">
        <f t="shared" si="2"/>
        <v/>
      </c>
      <c r="C242" s="206" t="str">
        <f t="shared" si="3"/>
        <v/>
      </c>
      <c r="D242" s="207" t="str">
        <f t="shared" si="0"/>
        <v/>
      </c>
      <c r="E242" s="207"/>
      <c r="F242" s="205" t="str">
        <f>IF(E242="","",VLOOKUP(E242,'ARAMA LİSTELERİ'!C242:G2281,5,))</f>
        <v/>
      </c>
      <c r="G242" s="207"/>
      <c r="H242" s="210"/>
      <c r="I242" s="79"/>
      <c r="J242" s="210"/>
      <c r="K242" s="210"/>
      <c r="L242" s="210" t="str">
        <f t="shared" si="1"/>
        <v/>
      </c>
      <c r="M242" s="79"/>
      <c r="N242" s="207"/>
      <c r="O242" s="207"/>
      <c r="P242" s="207"/>
      <c r="Q242" s="207"/>
    </row>
    <row r="243" spans="1:17" ht="34.5" customHeight="1">
      <c r="A243" s="82"/>
      <c r="B243" s="205" t="str">
        <f t="shared" si="2"/>
        <v/>
      </c>
      <c r="C243" s="206" t="str">
        <f t="shared" si="3"/>
        <v/>
      </c>
      <c r="D243" s="207" t="str">
        <f t="shared" si="0"/>
        <v/>
      </c>
      <c r="E243" s="207"/>
      <c r="F243" s="205" t="str">
        <f>IF(E243="","",VLOOKUP(E243,'ARAMA LİSTELERİ'!C243:G2282,5,))</f>
        <v/>
      </c>
      <c r="G243" s="207"/>
      <c r="H243" s="210"/>
      <c r="I243" s="79"/>
      <c r="J243" s="210"/>
      <c r="K243" s="210"/>
      <c r="L243" s="210" t="str">
        <f t="shared" si="1"/>
        <v/>
      </c>
      <c r="M243" s="79"/>
      <c r="N243" s="207"/>
      <c r="O243" s="207"/>
      <c r="P243" s="207"/>
      <c r="Q243" s="207"/>
    </row>
    <row r="244" spans="1:17" ht="34.5" customHeight="1">
      <c r="A244" s="82"/>
      <c r="B244" s="205" t="str">
        <f t="shared" si="2"/>
        <v/>
      </c>
      <c r="C244" s="206" t="str">
        <f t="shared" si="3"/>
        <v/>
      </c>
      <c r="D244" s="207" t="str">
        <f t="shared" si="0"/>
        <v/>
      </c>
      <c r="E244" s="207"/>
      <c r="F244" s="205" t="str">
        <f>IF(E244="","",VLOOKUP(E244,'ARAMA LİSTELERİ'!C244:G2283,5,))</f>
        <v/>
      </c>
      <c r="G244" s="207"/>
      <c r="H244" s="210"/>
      <c r="I244" s="79"/>
      <c r="J244" s="210"/>
      <c r="K244" s="210"/>
      <c r="L244" s="210" t="str">
        <f t="shared" si="1"/>
        <v/>
      </c>
      <c r="M244" s="79"/>
      <c r="N244" s="207"/>
      <c r="O244" s="207"/>
      <c r="P244" s="207"/>
      <c r="Q244" s="207"/>
    </row>
    <row r="245" spans="1:17" ht="34.5" customHeight="1">
      <c r="A245" s="82"/>
      <c r="B245" s="205" t="str">
        <f t="shared" si="2"/>
        <v/>
      </c>
      <c r="C245" s="206" t="str">
        <f t="shared" si="3"/>
        <v/>
      </c>
      <c r="D245" s="207" t="str">
        <f t="shared" si="0"/>
        <v/>
      </c>
      <c r="E245" s="207"/>
      <c r="F245" s="205" t="str">
        <f>IF(E245="","",VLOOKUP(E245,'ARAMA LİSTELERİ'!C245:G2284,5,))</f>
        <v/>
      </c>
      <c r="G245" s="207"/>
      <c r="H245" s="210"/>
      <c r="I245" s="79"/>
      <c r="J245" s="210"/>
      <c r="K245" s="210"/>
      <c r="L245" s="210" t="str">
        <f t="shared" si="1"/>
        <v/>
      </c>
      <c r="M245" s="79"/>
      <c r="N245" s="207"/>
      <c r="O245" s="207"/>
      <c r="P245" s="207"/>
      <c r="Q245" s="207"/>
    </row>
    <row r="246" spans="1:17" ht="34.5" customHeight="1">
      <c r="A246" s="82"/>
      <c r="B246" s="205" t="str">
        <f t="shared" si="2"/>
        <v/>
      </c>
      <c r="C246" s="206" t="str">
        <f t="shared" si="3"/>
        <v/>
      </c>
      <c r="D246" s="207" t="str">
        <f t="shared" si="0"/>
        <v/>
      </c>
      <c r="E246" s="207"/>
      <c r="F246" s="205" t="str">
        <f>IF(E246="","",VLOOKUP(E246,'ARAMA LİSTELERİ'!C246:G2285,5,))</f>
        <v/>
      </c>
      <c r="G246" s="207"/>
      <c r="H246" s="210"/>
      <c r="I246" s="79"/>
      <c r="J246" s="210"/>
      <c r="K246" s="210"/>
      <c r="L246" s="210" t="str">
        <f t="shared" si="1"/>
        <v/>
      </c>
      <c r="M246" s="79"/>
      <c r="N246" s="207"/>
      <c r="O246" s="207"/>
      <c r="P246" s="207"/>
      <c r="Q246" s="207"/>
    </row>
    <row r="247" spans="1:17" ht="34.5" customHeight="1">
      <c r="A247" s="82"/>
      <c r="B247" s="205" t="str">
        <f t="shared" si="2"/>
        <v/>
      </c>
      <c r="C247" s="206" t="str">
        <f t="shared" si="3"/>
        <v/>
      </c>
      <c r="D247" s="207" t="str">
        <f t="shared" si="0"/>
        <v/>
      </c>
      <c r="E247" s="207"/>
      <c r="F247" s="205" t="str">
        <f>IF(E247="","",VLOOKUP(E247,'ARAMA LİSTELERİ'!C247:G2286,5,))</f>
        <v/>
      </c>
      <c r="G247" s="207"/>
      <c r="H247" s="210"/>
      <c r="I247" s="79"/>
      <c r="J247" s="210"/>
      <c r="K247" s="210"/>
      <c r="L247" s="210" t="str">
        <f t="shared" si="1"/>
        <v/>
      </c>
      <c r="M247" s="79"/>
      <c r="N247" s="207"/>
      <c r="O247" s="207"/>
      <c r="P247" s="207"/>
      <c r="Q247" s="207"/>
    </row>
    <row r="248" spans="1:17" ht="34.5" customHeight="1">
      <c r="A248" s="82"/>
      <c r="B248" s="205" t="str">
        <f t="shared" si="2"/>
        <v/>
      </c>
      <c r="C248" s="206" t="str">
        <f t="shared" si="3"/>
        <v/>
      </c>
      <c r="D248" s="207" t="str">
        <f t="shared" si="0"/>
        <v/>
      </c>
      <c r="E248" s="207"/>
      <c r="F248" s="205" t="str">
        <f>IF(E248="","",VLOOKUP(E248,'ARAMA LİSTELERİ'!C248:G2287,5,))</f>
        <v/>
      </c>
      <c r="G248" s="207"/>
      <c r="H248" s="210"/>
      <c r="I248" s="79"/>
      <c r="J248" s="210"/>
      <c r="K248" s="210"/>
      <c r="L248" s="210" t="str">
        <f t="shared" si="1"/>
        <v/>
      </c>
      <c r="M248" s="79"/>
      <c r="N248" s="207"/>
      <c r="O248" s="207"/>
      <c r="P248" s="207"/>
      <c r="Q248" s="207"/>
    </row>
    <row r="249" spans="1:17" ht="34.5" customHeight="1">
      <c r="A249" s="82"/>
      <c r="B249" s="205" t="str">
        <f t="shared" si="2"/>
        <v/>
      </c>
      <c r="C249" s="206" t="str">
        <f t="shared" si="3"/>
        <v/>
      </c>
      <c r="D249" s="207" t="str">
        <f t="shared" si="0"/>
        <v/>
      </c>
      <c r="E249" s="207"/>
      <c r="F249" s="205" t="str">
        <f>IF(E249="","",VLOOKUP(E249,'ARAMA LİSTELERİ'!C249:G2288,5,))</f>
        <v/>
      </c>
      <c r="G249" s="207"/>
      <c r="H249" s="210"/>
      <c r="I249" s="79"/>
      <c r="J249" s="210"/>
      <c r="K249" s="210"/>
      <c r="L249" s="210" t="str">
        <f t="shared" si="1"/>
        <v/>
      </c>
      <c r="M249" s="79"/>
      <c r="N249" s="207"/>
      <c r="O249" s="207"/>
      <c r="P249" s="207"/>
      <c r="Q249" s="207"/>
    </row>
    <row r="250" spans="1:17" ht="34.5" customHeight="1">
      <c r="A250" s="82"/>
      <c r="B250" s="205" t="str">
        <f t="shared" si="2"/>
        <v/>
      </c>
      <c r="C250" s="206" t="str">
        <f t="shared" si="3"/>
        <v/>
      </c>
      <c r="D250" s="207" t="str">
        <f t="shared" si="0"/>
        <v/>
      </c>
      <c r="E250" s="207"/>
      <c r="F250" s="205" t="str">
        <f>IF(E250="","",VLOOKUP(E250,'ARAMA LİSTELERİ'!C250:G2289,5,))</f>
        <v/>
      </c>
      <c r="G250" s="207"/>
      <c r="H250" s="210"/>
      <c r="I250" s="79"/>
      <c r="J250" s="210"/>
      <c r="K250" s="210"/>
      <c r="L250" s="210" t="str">
        <f t="shared" si="1"/>
        <v/>
      </c>
      <c r="M250" s="79"/>
      <c r="N250" s="207"/>
      <c r="O250" s="207"/>
      <c r="P250" s="207"/>
      <c r="Q250" s="207"/>
    </row>
    <row r="251" spans="1:17" ht="34.5" customHeight="1">
      <c r="A251" s="82"/>
      <c r="B251" s="205" t="str">
        <f t="shared" si="2"/>
        <v/>
      </c>
      <c r="C251" s="206" t="str">
        <f t="shared" si="3"/>
        <v/>
      </c>
      <c r="D251" s="207" t="str">
        <f t="shared" si="0"/>
        <v/>
      </c>
      <c r="E251" s="207"/>
      <c r="F251" s="205" t="str">
        <f>IF(E251="","",VLOOKUP(E251,'ARAMA LİSTELERİ'!C251:G2290,5,))</f>
        <v/>
      </c>
      <c r="G251" s="207"/>
      <c r="H251" s="210"/>
      <c r="I251" s="79"/>
      <c r="J251" s="210"/>
      <c r="K251" s="210"/>
      <c r="L251" s="210" t="str">
        <f t="shared" si="1"/>
        <v/>
      </c>
      <c r="M251" s="79"/>
      <c r="N251" s="207"/>
      <c r="O251" s="207"/>
      <c r="P251" s="207"/>
      <c r="Q251" s="207"/>
    </row>
    <row r="252" spans="1:17" ht="34.5" customHeight="1">
      <c r="A252" s="82"/>
      <c r="B252" s="205" t="str">
        <f t="shared" si="2"/>
        <v/>
      </c>
      <c r="C252" s="206" t="str">
        <f t="shared" si="3"/>
        <v/>
      </c>
      <c r="D252" s="207" t="str">
        <f t="shared" si="0"/>
        <v/>
      </c>
      <c r="E252" s="207"/>
      <c r="F252" s="205" t="str">
        <f>IF(E252="","",VLOOKUP(E252,'ARAMA LİSTELERİ'!C252:G2291,5,))</f>
        <v/>
      </c>
      <c r="G252" s="207"/>
      <c r="H252" s="210"/>
      <c r="I252" s="79"/>
      <c r="J252" s="210"/>
      <c r="K252" s="210"/>
      <c r="L252" s="210" t="str">
        <f t="shared" si="1"/>
        <v/>
      </c>
      <c r="M252" s="79"/>
      <c r="N252" s="207"/>
      <c r="O252" s="207"/>
      <c r="P252" s="207"/>
      <c r="Q252" s="207"/>
    </row>
    <row r="253" spans="1:17" ht="34.5" customHeight="1">
      <c r="A253" s="82"/>
      <c r="B253" s="205" t="str">
        <f t="shared" si="2"/>
        <v/>
      </c>
      <c r="C253" s="206" t="str">
        <f t="shared" si="3"/>
        <v/>
      </c>
      <c r="D253" s="207" t="str">
        <f t="shared" si="0"/>
        <v/>
      </c>
      <c r="E253" s="207"/>
      <c r="F253" s="205" t="str">
        <f>IF(E253="","",VLOOKUP(E253,'ARAMA LİSTELERİ'!C253:G2292,5,))</f>
        <v/>
      </c>
      <c r="G253" s="207"/>
      <c r="H253" s="210"/>
      <c r="I253" s="79"/>
      <c r="J253" s="210"/>
      <c r="K253" s="210"/>
      <c r="L253" s="210" t="str">
        <f t="shared" si="1"/>
        <v/>
      </c>
      <c r="M253" s="79"/>
      <c r="N253" s="207"/>
      <c r="O253" s="207"/>
      <c r="P253" s="207"/>
      <c r="Q253" s="207"/>
    </row>
    <row r="254" spans="1:17" ht="34.5" customHeight="1">
      <c r="A254" s="82"/>
      <c r="B254" s="205" t="str">
        <f t="shared" si="2"/>
        <v/>
      </c>
      <c r="C254" s="206" t="str">
        <f t="shared" si="3"/>
        <v/>
      </c>
      <c r="D254" s="207" t="str">
        <f t="shared" si="0"/>
        <v/>
      </c>
      <c r="E254" s="207"/>
      <c r="F254" s="205" t="str">
        <f>IF(E254="","",VLOOKUP(E254,'ARAMA LİSTELERİ'!C254:G2293,5,))</f>
        <v/>
      </c>
      <c r="G254" s="207"/>
      <c r="H254" s="210"/>
      <c r="I254" s="79"/>
      <c r="J254" s="210"/>
      <c r="K254" s="210"/>
      <c r="L254" s="210" t="str">
        <f t="shared" si="1"/>
        <v/>
      </c>
      <c r="M254" s="79"/>
      <c r="N254" s="207"/>
      <c r="O254" s="207"/>
      <c r="P254" s="207"/>
      <c r="Q254" s="207"/>
    </row>
    <row r="255" spans="1:17" ht="34.5" customHeight="1">
      <c r="A255" s="82"/>
      <c r="B255" s="205" t="str">
        <f t="shared" si="2"/>
        <v/>
      </c>
      <c r="C255" s="206" t="str">
        <f t="shared" si="3"/>
        <v/>
      </c>
      <c r="D255" s="207" t="str">
        <f t="shared" si="0"/>
        <v/>
      </c>
      <c r="E255" s="207"/>
      <c r="F255" s="205" t="str">
        <f>IF(E255="","",VLOOKUP(E255,'ARAMA LİSTELERİ'!C255:G2294,5,))</f>
        <v/>
      </c>
      <c r="G255" s="207"/>
      <c r="H255" s="210"/>
      <c r="I255" s="79"/>
      <c r="J255" s="210"/>
      <c r="K255" s="210"/>
      <c r="L255" s="210" t="str">
        <f t="shared" si="1"/>
        <v/>
      </c>
      <c r="M255" s="79"/>
      <c r="N255" s="207"/>
      <c r="O255" s="207"/>
      <c r="P255" s="207"/>
      <c r="Q255" s="207"/>
    </row>
    <row r="256" spans="1:17" ht="34.5" customHeight="1">
      <c r="A256" s="82"/>
      <c r="B256" s="205" t="str">
        <f t="shared" si="2"/>
        <v/>
      </c>
      <c r="C256" s="206" t="str">
        <f t="shared" si="3"/>
        <v/>
      </c>
      <c r="D256" s="207" t="str">
        <f t="shared" si="0"/>
        <v/>
      </c>
      <c r="E256" s="207"/>
      <c r="F256" s="205" t="str">
        <f>IF(E256="","",VLOOKUP(E256,'ARAMA LİSTELERİ'!C256:G2295,5,))</f>
        <v/>
      </c>
      <c r="G256" s="207"/>
      <c r="H256" s="210"/>
      <c r="I256" s="79"/>
      <c r="J256" s="210"/>
      <c r="K256" s="210"/>
      <c r="L256" s="210" t="str">
        <f t="shared" si="1"/>
        <v/>
      </c>
      <c r="M256" s="79"/>
      <c r="N256" s="207"/>
      <c r="O256" s="207"/>
      <c r="P256" s="207"/>
      <c r="Q256" s="207"/>
    </row>
    <row r="257" spans="1:17" ht="34.5" customHeight="1">
      <c r="A257" s="82"/>
      <c r="B257" s="205" t="str">
        <f t="shared" si="2"/>
        <v/>
      </c>
      <c r="C257" s="206" t="str">
        <f t="shared" si="3"/>
        <v/>
      </c>
      <c r="D257" s="207" t="str">
        <f t="shared" si="0"/>
        <v/>
      </c>
      <c r="E257" s="207"/>
      <c r="F257" s="205" t="str">
        <f>IF(E257="","",VLOOKUP(E257,'ARAMA LİSTELERİ'!C257:G2296,5,))</f>
        <v/>
      </c>
      <c r="G257" s="207"/>
      <c r="H257" s="210"/>
      <c r="I257" s="79"/>
      <c r="J257" s="210"/>
      <c r="K257" s="210"/>
      <c r="L257" s="210" t="str">
        <f t="shared" si="1"/>
        <v/>
      </c>
      <c r="M257" s="79"/>
      <c r="N257" s="207"/>
      <c r="O257" s="207"/>
      <c r="P257" s="207"/>
      <c r="Q257" s="207"/>
    </row>
    <row r="258" spans="1:17" ht="34.5" customHeight="1">
      <c r="A258" s="82"/>
      <c r="B258" s="205" t="str">
        <f t="shared" si="2"/>
        <v/>
      </c>
      <c r="C258" s="206" t="str">
        <f t="shared" si="3"/>
        <v/>
      </c>
      <c r="D258" s="207" t="str">
        <f t="shared" si="0"/>
        <v/>
      </c>
      <c r="E258" s="207"/>
      <c r="F258" s="205" t="str">
        <f>IF(E258="","",VLOOKUP(E258,'ARAMA LİSTELERİ'!C258:G2297,5,))</f>
        <v/>
      </c>
      <c r="G258" s="207"/>
      <c r="H258" s="210"/>
      <c r="I258" s="79"/>
      <c r="J258" s="210"/>
      <c r="K258" s="210"/>
      <c r="L258" s="210" t="str">
        <f t="shared" si="1"/>
        <v/>
      </c>
      <c r="M258" s="79"/>
      <c r="N258" s="207"/>
      <c r="O258" s="207"/>
      <c r="P258" s="207"/>
      <c r="Q258" s="207"/>
    </row>
    <row r="259" spans="1:17" ht="34.5" customHeight="1">
      <c r="A259" s="82"/>
      <c r="B259" s="205" t="str">
        <f t="shared" si="2"/>
        <v/>
      </c>
      <c r="C259" s="206" t="str">
        <f t="shared" si="3"/>
        <v/>
      </c>
      <c r="D259" s="207" t="str">
        <f t="shared" si="0"/>
        <v/>
      </c>
      <c r="E259" s="207"/>
      <c r="F259" s="205" t="str">
        <f>IF(E259="","",VLOOKUP(E259,'ARAMA LİSTELERİ'!C259:G2298,5,))</f>
        <v/>
      </c>
      <c r="G259" s="207"/>
      <c r="H259" s="210"/>
      <c r="I259" s="79"/>
      <c r="J259" s="210"/>
      <c r="K259" s="210"/>
      <c r="L259" s="210" t="str">
        <f t="shared" si="1"/>
        <v/>
      </c>
      <c r="M259" s="79"/>
      <c r="N259" s="207"/>
      <c r="O259" s="207"/>
      <c r="P259" s="207"/>
      <c r="Q259" s="207"/>
    </row>
    <row r="260" spans="1:17" ht="34.5" customHeight="1">
      <c r="A260" s="82"/>
      <c r="B260" s="205" t="str">
        <f t="shared" si="2"/>
        <v/>
      </c>
      <c r="C260" s="206" t="str">
        <f t="shared" si="3"/>
        <v/>
      </c>
      <c r="D260" s="207" t="str">
        <f t="shared" si="0"/>
        <v/>
      </c>
      <c r="E260" s="207"/>
      <c r="F260" s="205" t="str">
        <f>IF(E260="","",VLOOKUP(E260,'ARAMA LİSTELERİ'!C260:G2299,5,))</f>
        <v/>
      </c>
      <c r="G260" s="207"/>
      <c r="H260" s="210"/>
      <c r="I260" s="79"/>
      <c r="J260" s="210"/>
      <c r="K260" s="210"/>
      <c r="L260" s="210" t="str">
        <f t="shared" si="1"/>
        <v/>
      </c>
      <c r="M260" s="79"/>
      <c r="N260" s="207"/>
      <c r="O260" s="207"/>
      <c r="P260" s="207"/>
      <c r="Q260" s="207"/>
    </row>
    <row r="261" spans="1:17" ht="34.5" customHeight="1">
      <c r="A261" s="82"/>
      <c r="B261" s="205" t="str">
        <f t="shared" si="2"/>
        <v/>
      </c>
      <c r="C261" s="206" t="str">
        <f t="shared" si="3"/>
        <v/>
      </c>
      <c r="D261" s="207" t="str">
        <f t="shared" si="0"/>
        <v/>
      </c>
      <c r="E261" s="207"/>
      <c r="F261" s="205" t="str">
        <f>IF(E261="","",VLOOKUP(E261,'ARAMA LİSTELERİ'!C261:G2300,5,))</f>
        <v/>
      </c>
      <c r="G261" s="207"/>
      <c r="H261" s="210"/>
      <c r="I261" s="79"/>
      <c r="J261" s="210"/>
      <c r="K261" s="210"/>
      <c r="L261" s="210" t="str">
        <f t="shared" si="1"/>
        <v/>
      </c>
      <c r="M261" s="79"/>
      <c r="N261" s="207"/>
      <c r="O261" s="207"/>
      <c r="P261" s="207"/>
      <c r="Q261" s="207"/>
    </row>
    <row r="262" spans="1:17" ht="34.5" customHeight="1">
      <c r="A262" s="82"/>
      <c r="B262" s="205" t="str">
        <f t="shared" si="2"/>
        <v/>
      </c>
      <c r="C262" s="206" t="str">
        <f t="shared" si="3"/>
        <v/>
      </c>
      <c r="D262" s="207" t="str">
        <f t="shared" si="0"/>
        <v/>
      </c>
      <c r="E262" s="207"/>
      <c r="F262" s="205" t="str">
        <f>IF(E262="","",VLOOKUP(E262,'ARAMA LİSTELERİ'!C262:G2301,5,))</f>
        <v/>
      </c>
      <c r="G262" s="207"/>
      <c r="H262" s="210"/>
      <c r="I262" s="79"/>
      <c r="J262" s="210"/>
      <c r="K262" s="210"/>
      <c r="L262" s="210" t="str">
        <f t="shared" si="1"/>
        <v/>
      </c>
      <c r="M262" s="79"/>
      <c r="N262" s="207"/>
      <c r="O262" s="207"/>
      <c r="P262" s="207"/>
      <c r="Q262" s="207"/>
    </row>
    <row r="263" spans="1:17" ht="34.5" customHeight="1">
      <c r="A263" s="82"/>
      <c r="B263" s="205" t="str">
        <f t="shared" si="2"/>
        <v/>
      </c>
      <c r="C263" s="206" t="str">
        <f t="shared" si="3"/>
        <v/>
      </c>
      <c r="D263" s="207" t="str">
        <f t="shared" si="0"/>
        <v/>
      </c>
      <c r="E263" s="207"/>
      <c r="F263" s="205" t="str">
        <f>IF(E263="","",VLOOKUP(E263,'ARAMA LİSTELERİ'!C263:G2302,5,))</f>
        <v/>
      </c>
      <c r="G263" s="207"/>
      <c r="H263" s="210"/>
      <c r="I263" s="79"/>
      <c r="J263" s="210"/>
      <c r="K263" s="210"/>
      <c r="L263" s="210" t="str">
        <f t="shared" si="1"/>
        <v/>
      </c>
      <c r="M263" s="79"/>
      <c r="N263" s="207"/>
      <c r="O263" s="207"/>
      <c r="P263" s="207"/>
      <c r="Q263" s="207"/>
    </row>
    <row r="264" spans="1:17" ht="34.5" customHeight="1">
      <c r="A264" s="82"/>
      <c r="B264" s="205" t="str">
        <f t="shared" si="2"/>
        <v/>
      </c>
      <c r="C264" s="206" t="str">
        <f t="shared" si="3"/>
        <v/>
      </c>
      <c r="D264" s="207" t="str">
        <f t="shared" si="0"/>
        <v/>
      </c>
      <c r="E264" s="207"/>
      <c r="F264" s="205" t="str">
        <f>IF(E264="","",VLOOKUP(E264,'ARAMA LİSTELERİ'!C264:G2303,5,))</f>
        <v/>
      </c>
      <c r="G264" s="207"/>
      <c r="H264" s="210"/>
      <c r="I264" s="79"/>
      <c r="J264" s="210"/>
      <c r="K264" s="210"/>
      <c r="L264" s="210" t="str">
        <f t="shared" si="1"/>
        <v/>
      </c>
      <c r="M264" s="79"/>
      <c r="N264" s="207"/>
      <c r="O264" s="207"/>
      <c r="P264" s="207"/>
      <c r="Q264" s="207"/>
    </row>
    <row r="265" spans="1:17" ht="34.5" customHeight="1">
      <c r="A265" s="82"/>
      <c r="B265" s="205" t="str">
        <f t="shared" si="2"/>
        <v/>
      </c>
      <c r="C265" s="206" t="str">
        <f t="shared" si="3"/>
        <v/>
      </c>
      <c r="D265" s="207" t="str">
        <f t="shared" si="0"/>
        <v/>
      </c>
      <c r="E265" s="207"/>
      <c r="F265" s="205" t="str">
        <f>IF(E265="","",VLOOKUP(E265,'ARAMA LİSTELERİ'!C265:G2304,5,))</f>
        <v/>
      </c>
      <c r="G265" s="207"/>
      <c r="H265" s="210"/>
      <c r="I265" s="79"/>
      <c r="J265" s="210"/>
      <c r="K265" s="210"/>
      <c r="L265" s="210" t="str">
        <f t="shared" si="1"/>
        <v/>
      </c>
      <c r="M265" s="79"/>
      <c r="N265" s="207"/>
      <c r="O265" s="207"/>
      <c r="P265" s="207"/>
      <c r="Q265" s="207"/>
    </row>
    <row r="266" spans="1:17" ht="34.5" customHeight="1">
      <c r="A266" s="82"/>
      <c r="B266" s="205" t="str">
        <f t="shared" si="2"/>
        <v/>
      </c>
      <c r="C266" s="206" t="str">
        <f t="shared" si="3"/>
        <v/>
      </c>
      <c r="D266" s="207" t="str">
        <f t="shared" si="0"/>
        <v/>
      </c>
      <c r="E266" s="207"/>
      <c r="F266" s="205" t="str">
        <f>IF(E266="","",VLOOKUP(E266,'ARAMA LİSTELERİ'!C266:G2305,5,))</f>
        <v/>
      </c>
      <c r="G266" s="207"/>
      <c r="H266" s="210"/>
      <c r="I266" s="79"/>
      <c r="J266" s="210"/>
      <c r="K266" s="210"/>
      <c r="L266" s="210" t="str">
        <f t="shared" si="1"/>
        <v/>
      </c>
      <c r="M266" s="79"/>
      <c r="N266" s="207"/>
      <c r="O266" s="207"/>
      <c r="P266" s="207"/>
      <c r="Q266" s="207"/>
    </row>
    <row r="267" spans="1:17" ht="34.5" customHeight="1">
      <c r="A267" s="82"/>
      <c r="B267" s="205" t="str">
        <f t="shared" si="2"/>
        <v/>
      </c>
      <c r="C267" s="206" t="str">
        <f t="shared" si="3"/>
        <v/>
      </c>
      <c r="D267" s="207" t="str">
        <f t="shared" si="0"/>
        <v/>
      </c>
      <c r="E267" s="207"/>
      <c r="F267" s="205" t="str">
        <f>IF(E267="","",VLOOKUP(E267,'ARAMA LİSTELERİ'!C267:G2306,5,))</f>
        <v/>
      </c>
      <c r="G267" s="207"/>
      <c r="H267" s="210"/>
      <c r="I267" s="79"/>
      <c r="J267" s="210"/>
      <c r="K267" s="210"/>
      <c r="L267" s="210" t="str">
        <f t="shared" si="1"/>
        <v/>
      </c>
      <c r="M267" s="79"/>
      <c r="N267" s="207"/>
      <c r="O267" s="207"/>
      <c r="P267" s="207"/>
      <c r="Q267" s="207"/>
    </row>
    <row r="268" spans="1:17" ht="34.5" customHeight="1">
      <c r="A268" s="82"/>
      <c r="B268" s="205" t="str">
        <f t="shared" si="2"/>
        <v/>
      </c>
      <c r="C268" s="206" t="str">
        <f t="shared" si="3"/>
        <v/>
      </c>
      <c r="D268" s="207" t="str">
        <f t="shared" si="0"/>
        <v/>
      </c>
      <c r="E268" s="207"/>
      <c r="F268" s="205" t="str">
        <f>IF(E268="","",VLOOKUP(E268,'ARAMA LİSTELERİ'!C268:G2307,5,))</f>
        <v/>
      </c>
      <c r="G268" s="207"/>
      <c r="H268" s="210"/>
      <c r="I268" s="79"/>
      <c r="J268" s="210"/>
      <c r="K268" s="210"/>
      <c r="L268" s="210" t="str">
        <f t="shared" si="1"/>
        <v/>
      </c>
      <c r="M268" s="79"/>
      <c r="N268" s="207"/>
      <c r="O268" s="207"/>
      <c r="P268" s="207"/>
      <c r="Q268" s="207"/>
    </row>
    <row r="269" spans="1:17" ht="34.5" customHeight="1">
      <c r="A269" s="82"/>
      <c r="B269" s="205" t="str">
        <f t="shared" si="2"/>
        <v/>
      </c>
      <c r="C269" s="206" t="str">
        <f t="shared" si="3"/>
        <v/>
      </c>
      <c r="D269" s="207" t="str">
        <f t="shared" si="0"/>
        <v/>
      </c>
      <c r="E269" s="207"/>
      <c r="F269" s="205" t="str">
        <f>IF(E269="","",VLOOKUP(E269,'ARAMA LİSTELERİ'!C269:G2308,5,))</f>
        <v/>
      </c>
      <c r="G269" s="207"/>
      <c r="H269" s="210"/>
      <c r="I269" s="79"/>
      <c r="J269" s="210"/>
      <c r="K269" s="210"/>
      <c r="L269" s="210" t="str">
        <f t="shared" si="1"/>
        <v/>
      </c>
      <c r="M269" s="79"/>
      <c r="N269" s="207"/>
      <c r="O269" s="207"/>
      <c r="P269" s="207"/>
      <c r="Q269" s="207"/>
    </row>
    <row r="270" spans="1:17" ht="34.5" customHeight="1">
      <c r="A270" s="82"/>
      <c r="B270" s="205" t="str">
        <f t="shared" si="2"/>
        <v/>
      </c>
      <c r="C270" s="206" t="str">
        <f t="shared" si="3"/>
        <v/>
      </c>
      <c r="D270" s="207" t="str">
        <f t="shared" si="0"/>
        <v/>
      </c>
      <c r="E270" s="207"/>
      <c r="F270" s="205" t="str">
        <f>IF(E270="","",VLOOKUP(E270,'ARAMA LİSTELERİ'!C270:G2309,5,))</f>
        <v/>
      </c>
      <c r="G270" s="207"/>
      <c r="H270" s="210"/>
      <c r="I270" s="79"/>
      <c r="J270" s="210"/>
      <c r="K270" s="210"/>
      <c r="L270" s="210" t="str">
        <f t="shared" si="1"/>
        <v/>
      </c>
      <c r="M270" s="79"/>
      <c r="N270" s="207"/>
      <c r="O270" s="207"/>
      <c r="P270" s="207"/>
      <c r="Q270" s="207"/>
    </row>
    <row r="271" spans="1:17" ht="34.5" customHeight="1">
      <c r="A271" s="82"/>
      <c r="B271" s="205" t="str">
        <f t="shared" si="2"/>
        <v/>
      </c>
      <c r="C271" s="206" t="str">
        <f t="shared" si="3"/>
        <v/>
      </c>
      <c r="D271" s="207" t="str">
        <f t="shared" si="0"/>
        <v/>
      </c>
      <c r="E271" s="207"/>
      <c r="F271" s="205" t="str">
        <f>IF(E271="","",VLOOKUP(E271,'ARAMA LİSTELERİ'!C271:G2310,5,))</f>
        <v/>
      </c>
      <c r="G271" s="207"/>
      <c r="H271" s="210"/>
      <c r="I271" s="79"/>
      <c r="J271" s="210"/>
      <c r="K271" s="210"/>
      <c r="L271" s="210" t="str">
        <f t="shared" si="1"/>
        <v/>
      </c>
      <c r="M271" s="79"/>
      <c r="N271" s="207"/>
      <c r="O271" s="207"/>
      <c r="P271" s="207"/>
      <c r="Q271" s="207"/>
    </row>
    <row r="272" spans="1:17" ht="34.5" customHeight="1">
      <c r="A272" s="82"/>
      <c r="B272" s="205" t="str">
        <f t="shared" si="2"/>
        <v/>
      </c>
      <c r="C272" s="206" t="str">
        <f t="shared" si="3"/>
        <v/>
      </c>
      <c r="D272" s="207" t="str">
        <f t="shared" si="0"/>
        <v/>
      </c>
      <c r="E272" s="207"/>
      <c r="F272" s="205" t="str">
        <f>IF(E272="","",VLOOKUP(E272,'ARAMA LİSTELERİ'!C272:G2311,5,))</f>
        <v/>
      </c>
      <c r="G272" s="207"/>
      <c r="H272" s="210"/>
      <c r="I272" s="79"/>
      <c r="J272" s="210"/>
      <c r="K272" s="210"/>
      <c r="L272" s="210" t="str">
        <f t="shared" si="1"/>
        <v/>
      </c>
      <c r="M272" s="79"/>
      <c r="N272" s="207"/>
      <c r="O272" s="207"/>
      <c r="P272" s="207"/>
      <c r="Q272" s="207"/>
    </row>
    <row r="273" spans="1:17" ht="34.5" customHeight="1">
      <c r="A273" s="82"/>
      <c r="B273" s="205" t="str">
        <f t="shared" si="2"/>
        <v/>
      </c>
      <c r="C273" s="206" t="str">
        <f t="shared" si="3"/>
        <v/>
      </c>
      <c r="D273" s="207" t="str">
        <f t="shared" si="0"/>
        <v/>
      </c>
      <c r="E273" s="207"/>
      <c r="F273" s="205" t="str">
        <f>IF(E273="","",VLOOKUP(E273,'ARAMA LİSTELERİ'!C273:G2312,5,))</f>
        <v/>
      </c>
      <c r="G273" s="207"/>
      <c r="H273" s="210"/>
      <c r="I273" s="79"/>
      <c r="J273" s="210"/>
      <c r="K273" s="210"/>
      <c r="L273" s="210" t="str">
        <f t="shared" si="1"/>
        <v/>
      </c>
      <c r="M273" s="79"/>
      <c r="N273" s="207"/>
      <c r="O273" s="207"/>
      <c r="P273" s="207"/>
      <c r="Q273" s="207"/>
    </row>
    <row r="274" spans="1:17" ht="34.5" customHeight="1">
      <c r="A274" s="82"/>
      <c r="B274" s="205" t="str">
        <f t="shared" si="2"/>
        <v/>
      </c>
      <c r="C274" s="206" t="str">
        <f t="shared" si="3"/>
        <v/>
      </c>
      <c r="D274" s="207" t="str">
        <f t="shared" si="0"/>
        <v/>
      </c>
      <c r="E274" s="207"/>
      <c r="F274" s="205" t="str">
        <f>IF(E274="","",VLOOKUP(E274,'ARAMA LİSTELERİ'!C274:G2313,5,))</f>
        <v/>
      </c>
      <c r="G274" s="207"/>
      <c r="H274" s="210"/>
      <c r="I274" s="79"/>
      <c r="J274" s="210"/>
      <c r="K274" s="210"/>
      <c r="L274" s="210" t="str">
        <f t="shared" si="1"/>
        <v/>
      </c>
      <c r="M274" s="79"/>
      <c r="N274" s="207"/>
      <c r="O274" s="207"/>
      <c r="P274" s="207"/>
      <c r="Q274" s="207"/>
    </row>
    <row r="275" spans="1:17" ht="34.5" customHeight="1">
      <c r="A275" s="82"/>
      <c r="B275" s="205" t="str">
        <f t="shared" si="2"/>
        <v/>
      </c>
      <c r="C275" s="206" t="str">
        <f t="shared" si="3"/>
        <v/>
      </c>
      <c r="D275" s="207" t="str">
        <f t="shared" si="0"/>
        <v/>
      </c>
      <c r="E275" s="207"/>
      <c r="F275" s="205" t="str">
        <f>IF(E275="","",VLOOKUP(E275,'ARAMA LİSTELERİ'!C275:G2314,5,))</f>
        <v/>
      </c>
      <c r="G275" s="207"/>
      <c r="H275" s="210"/>
      <c r="I275" s="79"/>
      <c r="J275" s="210"/>
      <c r="K275" s="210"/>
      <c r="L275" s="210" t="str">
        <f t="shared" si="1"/>
        <v/>
      </c>
      <c r="M275" s="79"/>
      <c r="N275" s="207"/>
      <c r="O275" s="207"/>
      <c r="P275" s="207"/>
      <c r="Q275" s="207"/>
    </row>
    <row r="276" spans="1:17" ht="34.5" customHeight="1">
      <c r="A276" s="82"/>
      <c r="B276" s="205" t="str">
        <f t="shared" si="2"/>
        <v/>
      </c>
      <c r="C276" s="206" t="str">
        <f t="shared" si="3"/>
        <v/>
      </c>
      <c r="D276" s="207" t="str">
        <f t="shared" si="0"/>
        <v/>
      </c>
      <c r="E276" s="207"/>
      <c r="F276" s="205" t="str">
        <f>IF(E276="","",VLOOKUP(E276,'ARAMA LİSTELERİ'!C276:G2315,5,))</f>
        <v/>
      </c>
      <c r="G276" s="207"/>
      <c r="H276" s="210"/>
      <c r="I276" s="79"/>
      <c r="J276" s="210"/>
      <c r="K276" s="210"/>
      <c r="L276" s="210" t="str">
        <f t="shared" si="1"/>
        <v/>
      </c>
      <c r="M276" s="79"/>
      <c r="N276" s="207"/>
      <c r="O276" s="207"/>
      <c r="P276" s="207"/>
      <c r="Q276" s="207"/>
    </row>
    <row r="277" spans="1:17" ht="34.5" customHeight="1">
      <c r="A277" s="82"/>
      <c r="B277" s="205" t="str">
        <f t="shared" si="2"/>
        <v/>
      </c>
      <c r="C277" s="206" t="str">
        <f t="shared" si="3"/>
        <v/>
      </c>
      <c r="D277" s="207" t="str">
        <f t="shared" si="0"/>
        <v/>
      </c>
      <c r="E277" s="207"/>
      <c r="F277" s="205" t="str">
        <f>IF(E277="","",VLOOKUP(E277,'ARAMA LİSTELERİ'!C277:G2316,5,))</f>
        <v/>
      </c>
      <c r="G277" s="207"/>
      <c r="H277" s="210"/>
      <c r="I277" s="79"/>
      <c r="J277" s="210"/>
      <c r="K277" s="210"/>
      <c r="L277" s="210" t="str">
        <f t="shared" si="1"/>
        <v/>
      </c>
      <c r="M277" s="79"/>
      <c r="N277" s="207"/>
      <c r="O277" s="207"/>
      <c r="P277" s="207"/>
      <c r="Q277" s="207"/>
    </row>
    <row r="278" spans="1:17" ht="34.5" customHeight="1">
      <c r="A278" s="82"/>
      <c r="B278" s="205" t="str">
        <f t="shared" si="2"/>
        <v/>
      </c>
      <c r="C278" s="206" t="str">
        <f t="shared" si="3"/>
        <v/>
      </c>
      <c r="D278" s="207" t="str">
        <f t="shared" si="0"/>
        <v/>
      </c>
      <c r="E278" s="207"/>
      <c r="F278" s="205" t="str">
        <f>IF(E278="","",VLOOKUP(E278,'ARAMA LİSTELERİ'!C278:G2317,5,))</f>
        <v/>
      </c>
      <c r="G278" s="207"/>
      <c r="H278" s="210"/>
      <c r="I278" s="79"/>
      <c r="J278" s="210"/>
      <c r="K278" s="210"/>
      <c r="L278" s="210" t="str">
        <f t="shared" si="1"/>
        <v/>
      </c>
      <c r="M278" s="79"/>
      <c r="N278" s="207"/>
      <c r="O278" s="207"/>
      <c r="P278" s="207"/>
      <c r="Q278" s="207"/>
    </row>
    <row r="279" spans="1:17" ht="34.5" customHeight="1">
      <c r="A279" s="82"/>
      <c r="B279" s="205" t="str">
        <f t="shared" si="2"/>
        <v/>
      </c>
      <c r="C279" s="206" t="str">
        <f t="shared" si="3"/>
        <v/>
      </c>
      <c r="D279" s="207" t="str">
        <f t="shared" si="0"/>
        <v/>
      </c>
      <c r="E279" s="207"/>
      <c r="F279" s="205" t="str">
        <f>IF(E279="","",VLOOKUP(E279,'ARAMA LİSTELERİ'!C279:G2318,5,))</f>
        <v/>
      </c>
      <c r="G279" s="207"/>
      <c r="H279" s="210"/>
      <c r="I279" s="79"/>
      <c r="J279" s="210"/>
      <c r="K279" s="210"/>
      <c r="L279" s="210" t="str">
        <f t="shared" si="1"/>
        <v/>
      </c>
      <c r="M279" s="79"/>
      <c r="N279" s="207"/>
      <c r="O279" s="207"/>
      <c r="P279" s="207"/>
      <c r="Q279" s="207"/>
    </row>
    <row r="280" spans="1:17" ht="34.5" customHeight="1">
      <c r="A280" s="82"/>
      <c r="B280" s="205" t="str">
        <f t="shared" si="2"/>
        <v/>
      </c>
      <c r="C280" s="206" t="str">
        <f t="shared" si="3"/>
        <v/>
      </c>
      <c r="D280" s="207" t="str">
        <f t="shared" si="0"/>
        <v/>
      </c>
      <c r="E280" s="207"/>
      <c r="F280" s="205" t="str">
        <f>IF(E280="","",VLOOKUP(E280,'ARAMA LİSTELERİ'!C280:G2319,5,))</f>
        <v/>
      </c>
      <c r="G280" s="207"/>
      <c r="H280" s="210"/>
      <c r="I280" s="79"/>
      <c r="J280" s="210"/>
      <c r="K280" s="210"/>
      <c r="L280" s="210" t="str">
        <f t="shared" si="1"/>
        <v/>
      </c>
      <c r="M280" s="79"/>
      <c r="N280" s="207"/>
      <c r="O280" s="207"/>
      <c r="P280" s="207"/>
      <c r="Q280" s="207"/>
    </row>
    <row r="281" spans="1:17" ht="34.5" customHeight="1">
      <c r="A281" s="82"/>
      <c r="B281" s="205" t="str">
        <f t="shared" si="2"/>
        <v/>
      </c>
      <c r="C281" s="206" t="str">
        <f t="shared" si="3"/>
        <v/>
      </c>
      <c r="D281" s="207" t="str">
        <f t="shared" si="0"/>
        <v/>
      </c>
      <c r="E281" s="207"/>
      <c r="F281" s="205" t="str">
        <f>IF(E281="","",VLOOKUP(E281,'ARAMA LİSTELERİ'!C281:G2320,5,))</f>
        <v/>
      </c>
      <c r="G281" s="207"/>
      <c r="H281" s="210"/>
      <c r="I281" s="79"/>
      <c r="J281" s="210"/>
      <c r="K281" s="210"/>
      <c r="L281" s="210" t="str">
        <f t="shared" si="1"/>
        <v/>
      </c>
      <c r="M281" s="79"/>
      <c r="N281" s="207"/>
      <c r="O281" s="207"/>
      <c r="P281" s="207"/>
      <c r="Q281" s="207"/>
    </row>
    <row r="282" spans="1:17" ht="34.5" customHeight="1">
      <c r="A282" s="82"/>
      <c r="B282" s="205" t="str">
        <f t="shared" si="2"/>
        <v/>
      </c>
      <c r="C282" s="206" t="str">
        <f t="shared" si="3"/>
        <v/>
      </c>
      <c r="D282" s="207" t="str">
        <f t="shared" si="0"/>
        <v/>
      </c>
      <c r="E282" s="207"/>
      <c r="F282" s="205" t="str">
        <f>IF(E282="","",VLOOKUP(E282,'ARAMA LİSTELERİ'!C282:G2321,5,))</f>
        <v/>
      </c>
      <c r="G282" s="207"/>
      <c r="H282" s="210"/>
      <c r="I282" s="79"/>
      <c r="J282" s="210"/>
      <c r="K282" s="210"/>
      <c r="L282" s="210" t="str">
        <f t="shared" si="1"/>
        <v/>
      </c>
      <c r="M282" s="79"/>
      <c r="N282" s="207"/>
      <c r="O282" s="207"/>
      <c r="P282" s="207"/>
      <c r="Q282" s="207"/>
    </row>
    <row r="283" spans="1:17" ht="34.5" customHeight="1">
      <c r="A283" s="82"/>
      <c r="B283" s="205" t="str">
        <f t="shared" si="2"/>
        <v/>
      </c>
      <c r="C283" s="206" t="str">
        <f t="shared" si="3"/>
        <v/>
      </c>
      <c r="D283" s="207" t="str">
        <f t="shared" si="0"/>
        <v/>
      </c>
      <c r="E283" s="207"/>
      <c r="F283" s="205" t="str">
        <f>IF(E283="","",VLOOKUP(E283,'ARAMA LİSTELERİ'!C283:G2322,5,))</f>
        <v/>
      </c>
      <c r="G283" s="207"/>
      <c r="H283" s="210"/>
      <c r="I283" s="79"/>
      <c r="J283" s="210"/>
      <c r="K283" s="210"/>
      <c r="L283" s="210" t="str">
        <f t="shared" si="1"/>
        <v/>
      </c>
      <c r="M283" s="79"/>
      <c r="N283" s="207"/>
      <c r="O283" s="207"/>
      <c r="P283" s="207"/>
      <c r="Q283" s="207"/>
    </row>
    <row r="284" spans="1:17" ht="34.5" customHeight="1">
      <c r="A284" s="82"/>
      <c r="B284" s="205" t="str">
        <f t="shared" si="2"/>
        <v/>
      </c>
      <c r="C284" s="206" t="str">
        <f t="shared" si="3"/>
        <v/>
      </c>
      <c r="D284" s="207" t="str">
        <f t="shared" si="0"/>
        <v/>
      </c>
      <c r="E284" s="207"/>
      <c r="F284" s="205" t="str">
        <f>IF(E284="","",VLOOKUP(E284,'ARAMA LİSTELERİ'!C284:G2323,5,))</f>
        <v/>
      </c>
      <c r="G284" s="207"/>
      <c r="H284" s="210"/>
      <c r="I284" s="79"/>
      <c r="J284" s="210"/>
      <c r="K284" s="210"/>
      <c r="L284" s="210" t="str">
        <f t="shared" si="1"/>
        <v/>
      </c>
      <c r="M284" s="79"/>
      <c r="N284" s="207"/>
      <c r="O284" s="207"/>
      <c r="P284" s="207"/>
      <c r="Q284" s="207"/>
    </row>
    <row r="285" spans="1:17" ht="34.5" customHeight="1">
      <c r="A285" s="82"/>
      <c r="B285" s="205" t="str">
        <f t="shared" si="2"/>
        <v/>
      </c>
      <c r="C285" s="206" t="str">
        <f t="shared" si="3"/>
        <v/>
      </c>
      <c r="D285" s="207" t="str">
        <f t="shared" si="0"/>
        <v/>
      </c>
      <c r="E285" s="207"/>
      <c r="F285" s="205" t="str">
        <f>IF(E285="","",VLOOKUP(E285,'ARAMA LİSTELERİ'!C285:G2324,5,))</f>
        <v/>
      </c>
      <c r="G285" s="207"/>
      <c r="H285" s="210"/>
      <c r="I285" s="79"/>
      <c r="J285" s="210"/>
      <c r="K285" s="210"/>
      <c r="L285" s="210" t="str">
        <f t="shared" si="1"/>
        <v/>
      </c>
      <c r="M285" s="79"/>
      <c r="N285" s="207"/>
      <c r="O285" s="207"/>
      <c r="P285" s="207"/>
      <c r="Q285" s="207"/>
    </row>
    <row r="286" spans="1:17" ht="34.5" customHeight="1">
      <c r="A286" s="82"/>
      <c r="B286" s="205" t="str">
        <f t="shared" si="2"/>
        <v/>
      </c>
      <c r="C286" s="206" t="str">
        <f t="shared" si="3"/>
        <v/>
      </c>
      <c r="D286" s="207" t="str">
        <f t="shared" si="0"/>
        <v/>
      </c>
      <c r="E286" s="207"/>
      <c r="F286" s="205" t="str">
        <f>IF(E286="","",VLOOKUP(E286,'ARAMA LİSTELERİ'!C286:G2325,5,))</f>
        <v/>
      </c>
      <c r="G286" s="207"/>
      <c r="H286" s="210"/>
      <c r="I286" s="79"/>
      <c r="J286" s="210"/>
      <c r="K286" s="210"/>
      <c r="L286" s="210" t="str">
        <f t="shared" si="1"/>
        <v/>
      </c>
      <c r="M286" s="79"/>
      <c r="N286" s="207"/>
      <c r="O286" s="207"/>
      <c r="P286" s="207"/>
      <c r="Q286" s="207"/>
    </row>
    <row r="287" spans="1:17" ht="34.5" customHeight="1">
      <c r="A287" s="82"/>
      <c r="B287" s="205" t="str">
        <f t="shared" si="2"/>
        <v/>
      </c>
      <c r="C287" s="206" t="str">
        <f t="shared" si="3"/>
        <v/>
      </c>
      <c r="D287" s="207" t="str">
        <f t="shared" si="0"/>
        <v/>
      </c>
      <c r="E287" s="207"/>
      <c r="F287" s="205" t="str">
        <f>IF(E287="","",VLOOKUP(E287,'ARAMA LİSTELERİ'!C287:G2326,5,))</f>
        <v/>
      </c>
      <c r="G287" s="207"/>
      <c r="H287" s="210"/>
      <c r="I287" s="79"/>
      <c r="J287" s="210"/>
      <c r="K287" s="210"/>
      <c r="L287" s="210" t="str">
        <f t="shared" si="1"/>
        <v/>
      </c>
      <c r="M287" s="79"/>
      <c r="N287" s="207"/>
      <c r="O287" s="207"/>
      <c r="P287" s="207"/>
      <c r="Q287" s="207"/>
    </row>
    <row r="288" spans="1:17" ht="34.5" customHeight="1">
      <c r="A288" s="82"/>
      <c r="B288" s="205" t="str">
        <f t="shared" si="2"/>
        <v/>
      </c>
      <c r="C288" s="206" t="str">
        <f t="shared" si="3"/>
        <v/>
      </c>
      <c r="D288" s="207" t="str">
        <f t="shared" si="0"/>
        <v/>
      </c>
      <c r="E288" s="207"/>
      <c r="F288" s="205" t="str">
        <f>IF(E288="","",VLOOKUP(E288,'ARAMA LİSTELERİ'!C288:G2327,5,))</f>
        <v/>
      </c>
      <c r="G288" s="207"/>
      <c r="H288" s="210"/>
      <c r="I288" s="79"/>
      <c r="J288" s="210"/>
      <c r="K288" s="210"/>
      <c r="L288" s="210" t="str">
        <f t="shared" si="1"/>
        <v/>
      </c>
      <c r="M288" s="79"/>
      <c r="N288" s="207"/>
      <c r="O288" s="207"/>
      <c r="P288" s="207"/>
      <c r="Q288" s="207"/>
    </row>
    <row r="289" spans="1:17" ht="34.5" customHeight="1">
      <c r="A289" s="82"/>
      <c r="B289" s="205" t="str">
        <f t="shared" si="2"/>
        <v/>
      </c>
      <c r="C289" s="206" t="str">
        <f t="shared" si="3"/>
        <v/>
      </c>
      <c r="D289" s="207" t="str">
        <f t="shared" si="0"/>
        <v/>
      </c>
      <c r="E289" s="207"/>
      <c r="F289" s="205" t="str">
        <f>IF(E289="","",VLOOKUP(E289,'ARAMA LİSTELERİ'!C289:G2328,5,))</f>
        <v/>
      </c>
      <c r="G289" s="207"/>
      <c r="H289" s="210"/>
      <c r="I289" s="79"/>
      <c r="J289" s="210"/>
      <c r="K289" s="210"/>
      <c r="L289" s="210" t="str">
        <f t="shared" si="1"/>
        <v/>
      </c>
      <c r="M289" s="79"/>
      <c r="N289" s="207"/>
      <c r="O289" s="207"/>
      <c r="P289" s="207"/>
      <c r="Q289" s="207"/>
    </row>
    <row r="290" spans="1:17" ht="34.5" customHeight="1">
      <c r="A290" s="82"/>
      <c r="B290" s="205" t="str">
        <f t="shared" si="2"/>
        <v/>
      </c>
      <c r="C290" s="206" t="str">
        <f t="shared" si="3"/>
        <v/>
      </c>
      <c r="D290" s="207" t="str">
        <f t="shared" si="0"/>
        <v/>
      </c>
      <c r="E290" s="207"/>
      <c r="F290" s="205" t="str">
        <f>IF(E290="","",VLOOKUP(E290,'ARAMA LİSTELERİ'!C290:G2329,5,))</f>
        <v/>
      </c>
      <c r="G290" s="207"/>
      <c r="H290" s="210"/>
      <c r="I290" s="79"/>
      <c r="J290" s="210"/>
      <c r="K290" s="210"/>
      <c r="L290" s="210" t="str">
        <f t="shared" si="1"/>
        <v/>
      </c>
      <c r="M290" s="79"/>
      <c r="N290" s="207"/>
      <c r="O290" s="207"/>
      <c r="P290" s="207"/>
      <c r="Q290" s="207"/>
    </row>
    <row r="291" spans="1:17" ht="34.5" customHeight="1">
      <c r="A291" s="82"/>
      <c r="B291" s="205" t="str">
        <f t="shared" si="2"/>
        <v/>
      </c>
      <c r="C291" s="206" t="str">
        <f t="shared" si="3"/>
        <v/>
      </c>
      <c r="D291" s="207" t="str">
        <f t="shared" si="0"/>
        <v/>
      </c>
      <c r="E291" s="207"/>
      <c r="F291" s="205" t="str">
        <f>IF(E291="","",VLOOKUP(E291,'ARAMA LİSTELERİ'!C291:G2330,5,))</f>
        <v/>
      </c>
      <c r="G291" s="207"/>
      <c r="H291" s="210"/>
      <c r="I291" s="79"/>
      <c r="J291" s="210"/>
      <c r="K291" s="210"/>
      <c r="L291" s="210" t="str">
        <f t="shared" si="1"/>
        <v/>
      </c>
      <c r="M291" s="79"/>
      <c r="N291" s="207"/>
      <c r="O291" s="207"/>
      <c r="P291" s="207"/>
      <c r="Q291" s="207"/>
    </row>
    <row r="292" spans="1:17" ht="34.5" customHeight="1">
      <c r="A292" s="82"/>
      <c r="B292" s="205" t="str">
        <f t="shared" si="2"/>
        <v/>
      </c>
      <c r="C292" s="206" t="str">
        <f t="shared" si="3"/>
        <v/>
      </c>
      <c r="D292" s="207" t="str">
        <f t="shared" si="0"/>
        <v/>
      </c>
      <c r="E292" s="207"/>
      <c r="F292" s="205" t="str">
        <f>IF(E292="","",VLOOKUP(E292,'ARAMA LİSTELERİ'!C292:G2331,5,))</f>
        <v/>
      </c>
      <c r="G292" s="207"/>
      <c r="H292" s="210"/>
      <c r="I292" s="79"/>
      <c r="J292" s="210"/>
      <c r="K292" s="210"/>
      <c r="L292" s="210" t="str">
        <f t="shared" si="1"/>
        <v/>
      </c>
      <c r="M292" s="79"/>
      <c r="N292" s="207"/>
      <c r="O292" s="207"/>
      <c r="P292" s="207"/>
      <c r="Q292" s="207"/>
    </row>
    <row r="293" spans="1:17" ht="34.5" customHeight="1">
      <c r="A293" s="82"/>
      <c r="B293" s="205" t="str">
        <f t="shared" si="2"/>
        <v/>
      </c>
      <c r="C293" s="206" t="str">
        <f t="shared" si="3"/>
        <v/>
      </c>
      <c r="D293" s="207" t="str">
        <f t="shared" si="0"/>
        <v/>
      </c>
      <c r="E293" s="207"/>
      <c r="F293" s="205" t="str">
        <f>IF(E293="","",VLOOKUP(E293,'ARAMA LİSTELERİ'!C293:G2332,5,))</f>
        <v/>
      </c>
      <c r="G293" s="207"/>
      <c r="H293" s="210"/>
      <c r="I293" s="79"/>
      <c r="J293" s="210"/>
      <c r="K293" s="210"/>
      <c r="L293" s="210" t="str">
        <f t="shared" si="1"/>
        <v/>
      </c>
      <c r="M293" s="79"/>
      <c r="N293" s="207"/>
      <c r="O293" s="207"/>
      <c r="P293" s="207"/>
      <c r="Q293" s="207"/>
    </row>
    <row r="294" spans="1:17" ht="34.5" customHeight="1">
      <c r="A294" s="82"/>
      <c r="B294" s="205" t="str">
        <f t="shared" si="2"/>
        <v/>
      </c>
      <c r="C294" s="206" t="str">
        <f t="shared" si="3"/>
        <v/>
      </c>
      <c r="D294" s="207" t="str">
        <f t="shared" si="0"/>
        <v/>
      </c>
      <c r="E294" s="207"/>
      <c r="F294" s="205" t="str">
        <f>IF(E294="","",VLOOKUP(E294,'ARAMA LİSTELERİ'!C294:G2333,5,))</f>
        <v/>
      </c>
      <c r="G294" s="207"/>
      <c r="H294" s="210"/>
      <c r="I294" s="79"/>
      <c r="J294" s="210"/>
      <c r="K294" s="210"/>
      <c r="L294" s="210" t="str">
        <f t="shared" si="1"/>
        <v/>
      </c>
      <c r="M294" s="79"/>
      <c r="N294" s="207"/>
      <c r="O294" s="207"/>
      <c r="P294" s="207"/>
      <c r="Q294" s="207"/>
    </row>
    <row r="295" spans="1:17" ht="34.5" customHeight="1">
      <c r="A295" s="82"/>
      <c r="B295" s="205" t="str">
        <f t="shared" si="2"/>
        <v/>
      </c>
      <c r="C295" s="206" t="str">
        <f t="shared" si="3"/>
        <v/>
      </c>
      <c r="D295" s="207" t="str">
        <f t="shared" si="0"/>
        <v/>
      </c>
      <c r="E295" s="207"/>
      <c r="F295" s="205" t="str">
        <f>IF(E295="","",VLOOKUP(E295,'ARAMA LİSTELERİ'!C295:G2334,5,))</f>
        <v/>
      </c>
      <c r="G295" s="207"/>
      <c r="H295" s="210"/>
      <c r="I295" s="79"/>
      <c r="J295" s="210"/>
      <c r="K295" s="210"/>
      <c r="L295" s="210" t="str">
        <f t="shared" si="1"/>
        <v/>
      </c>
      <c r="M295" s="79"/>
      <c r="N295" s="207"/>
      <c r="O295" s="207"/>
      <c r="P295" s="207"/>
      <c r="Q295" s="207"/>
    </row>
    <row r="296" spans="1:17" ht="34.5" customHeight="1">
      <c r="A296" s="82"/>
      <c r="B296" s="205" t="str">
        <f t="shared" si="2"/>
        <v/>
      </c>
      <c r="C296" s="206" t="str">
        <f t="shared" si="3"/>
        <v/>
      </c>
      <c r="D296" s="207" t="str">
        <f t="shared" si="0"/>
        <v/>
      </c>
      <c r="E296" s="207"/>
      <c r="F296" s="205" t="str">
        <f>IF(E296="","",VLOOKUP(E296,'ARAMA LİSTELERİ'!C296:G2335,5,))</f>
        <v/>
      </c>
      <c r="G296" s="207"/>
      <c r="H296" s="210"/>
      <c r="I296" s="79"/>
      <c r="J296" s="210"/>
      <c r="K296" s="210"/>
      <c r="L296" s="210" t="str">
        <f t="shared" si="1"/>
        <v/>
      </c>
      <c r="M296" s="79"/>
      <c r="N296" s="207"/>
      <c r="O296" s="207"/>
      <c r="P296" s="207"/>
      <c r="Q296" s="207"/>
    </row>
    <row r="297" spans="1:17" ht="34.5" customHeight="1">
      <c r="A297" s="82"/>
      <c r="B297" s="205" t="str">
        <f t="shared" si="2"/>
        <v/>
      </c>
      <c r="C297" s="206" t="str">
        <f t="shared" si="3"/>
        <v/>
      </c>
      <c r="D297" s="207" t="str">
        <f t="shared" si="0"/>
        <v/>
      </c>
      <c r="E297" s="207"/>
      <c r="F297" s="205" t="str">
        <f>IF(E297="","",VLOOKUP(E297,'ARAMA LİSTELERİ'!C297:G2336,5,))</f>
        <v/>
      </c>
      <c r="G297" s="207"/>
      <c r="H297" s="210"/>
      <c r="I297" s="79"/>
      <c r="J297" s="210"/>
      <c r="K297" s="210"/>
      <c r="L297" s="210" t="str">
        <f t="shared" si="1"/>
        <v/>
      </c>
      <c r="M297" s="79"/>
      <c r="N297" s="207"/>
      <c r="O297" s="207"/>
      <c r="P297" s="207"/>
      <c r="Q297" s="207"/>
    </row>
    <row r="298" spans="1:17" ht="34.5" customHeight="1">
      <c r="A298" s="82"/>
      <c r="B298" s="205" t="str">
        <f t="shared" si="2"/>
        <v/>
      </c>
      <c r="C298" s="206" t="str">
        <f t="shared" si="3"/>
        <v/>
      </c>
      <c r="D298" s="207" t="str">
        <f t="shared" si="0"/>
        <v/>
      </c>
      <c r="E298" s="207"/>
      <c r="F298" s="205" t="str">
        <f>IF(E298="","",VLOOKUP(E298,'ARAMA LİSTELERİ'!C298:G2337,5,))</f>
        <v/>
      </c>
      <c r="G298" s="207"/>
      <c r="H298" s="210"/>
      <c r="I298" s="79"/>
      <c r="J298" s="210"/>
      <c r="K298" s="210"/>
      <c r="L298" s="210" t="str">
        <f t="shared" si="1"/>
        <v/>
      </c>
      <c r="M298" s="79"/>
      <c r="N298" s="207"/>
      <c r="O298" s="207"/>
      <c r="P298" s="207"/>
      <c r="Q298" s="207"/>
    </row>
    <row r="299" spans="1:17" ht="34.5" customHeight="1">
      <c r="A299" s="82"/>
      <c r="B299" s="205" t="str">
        <f t="shared" si="2"/>
        <v/>
      </c>
      <c r="C299" s="206" t="str">
        <f t="shared" si="3"/>
        <v/>
      </c>
      <c r="D299" s="207" t="str">
        <f t="shared" si="0"/>
        <v/>
      </c>
      <c r="E299" s="207"/>
      <c r="F299" s="205" t="str">
        <f>IF(E299="","",VLOOKUP(E299,'ARAMA LİSTELERİ'!C299:G2338,5,))</f>
        <v/>
      </c>
      <c r="G299" s="207"/>
      <c r="H299" s="210"/>
      <c r="I299" s="79"/>
      <c r="J299" s="210"/>
      <c r="K299" s="210"/>
      <c r="L299" s="210" t="str">
        <f t="shared" si="1"/>
        <v/>
      </c>
      <c r="M299" s="79"/>
      <c r="N299" s="207"/>
      <c r="O299" s="207"/>
      <c r="P299" s="207"/>
      <c r="Q299" s="207"/>
    </row>
    <row r="300" spans="1:17" ht="34.5" customHeight="1">
      <c r="A300" s="82"/>
      <c r="B300" s="205" t="str">
        <f t="shared" si="2"/>
        <v/>
      </c>
      <c r="C300" s="206" t="str">
        <f t="shared" si="3"/>
        <v/>
      </c>
      <c r="D300" s="207" t="str">
        <f t="shared" si="0"/>
        <v/>
      </c>
      <c r="E300" s="207"/>
      <c r="F300" s="205" t="str">
        <f>IF(E300="","",VLOOKUP(E300,'ARAMA LİSTELERİ'!C300:G2339,5,))</f>
        <v/>
      </c>
      <c r="G300" s="207"/>
      <c r="H300" s="210"/>
      <c r="I300" s="79"/>
      <c r="J300" s="210"/>
      <c r="K300" s="210"/>
      <c r="L300" s="210" t="str">
        <f t="shared" si="1"/>
        <v/>
      </c>
      <c r="M300" s="79"/>
      <c r="N300" s="207"/>
      <c r="O300" s="207"/>
      <c r="P300" s="207"/>
      <c r="Q300" s="207"/>
    </row>
    <row r="301" spans="1:17" ht="34.5" customHeight="1">
      <c r="A301" s="82"/>
      <c r="B301" s="205" t="str">
        <f t="shared" si="2"/>
        <v/>
      </c>
      <c r="C301" s="206" t="str">
        <f t="shared" si="3"/>
        <v/>
      </c>
      <c r="D301" s="207" t="str">
        <f t="shared" si="0"/>
        <v/>
      </c>
      <c r="E301" s="207"/>
      <c r="F301" s="205" t="str">
        <f>IF(E301="","",VLOOKUP(E301,'ARAMA LİSTELERİ'!C301:G2340,5,))</f>
        <v/>
      </c>
      <c r="G301" s="207"/>
      <c r="H301" s="210"/>
      <c r="I301" s="79"/>
      <c r="J301" s="210"/>
      <c r="K301" s="210"/>
      <c r="L301" s="210" t="str">
        <f t="shared" si="1"/>
        <v/>
      </c>
      <c r="M301" s="79"/>
      <c r="N301" s="207"/>
      <c r="O301" s="207"/>
      <c r="P301" s="207"/>
      <c r="Q301" s="207"/>
    </row>
    <row r="302" spans="1:17" ht="34.5" customHeight="1">
      <c r="A302" s="82"/>
      <c r="B302" s="205" t="str">
        <f t="shared" si="2"/>
        <v/>
      </c>
      <c r="C302" s="206" t="str">
        <f t="shared" si="3"/>
        <v/>
      </c>
      <c r="D302" s="207" t="str">
        <f t="shared" si="0"/>
        <v/>
      </c>
      <c r="E302" s="207"/>
      <c r="F302" s="205" t="str">
        <f>IF(E302="","",VLOOKUP(E302,'ARAMA LİSTELERİ'!C302:G2341,5,))</f>
        <v/>
      </c>
      <c r="G302" s="207"/>
      <c r="H302" s="210"/>
      <c r="I302" s="79"/>
      <c r="J302" s="210"/>
      <c r="K302" s="210"/>
      <c r="L302" s="210" t="str">
        <f t="shared" si="1"/>
        <v/>
      </c>
      <c r="M302" s="79"/>
      <c r="N302" s="207"/>
      <c r="O302" s="207"/>
      <c r="P302" s="207"/>
      <c r="Q302" s="207"/>
    </row>
    <row r="303" spans="1:17" ht="34.5" customHeight="1">
      <c r="A303" s="82"/>
      <c r="B303" s="205" t="str">
        <f t="shared" si="2"/>
        <v/>
      </c>
      <c r="C303" s="206" t="str">
        <f t="shared" si="3"/>
        <v/>
      </c>
      <c r="D303" s="207" t="str">
        <f t="shared" si="0"/>
        <v/>
      </c>
      <c r="E303" s="207"/>
      <c r="F303" s="205" t="str">
        <f>IF(E303="","",VLOOKUP(E303,'ARAMA LİSTELERİ'!C303:G2342,5,))</f>
        <v/>
      </c>
      <c r="G303" s="207"/>
      <c r="H303" s="210"/>
      <c r="I303" s="79"/>
      <c r="J303" s="210"/>
      <c r="K303" s="210"/>
      <c r="L303" s="210" t="str">
        <f t="shared" si="1"/>
        <v/>
      </c>
      <c r="M303" s="79"/>
      <c r="N303" s="207"/>
      <c r="O303" s="207"/>
      <c r="P303" s="207"/>
      <c r="Q303" s="207"/>
    </row>
    <row r="304" spans="1:17" ht="34.5" customHeight="1">
      <c r="A304" s="82"/>
      <c r="B304" s="205" t="str">
        <f t="shared" si="2"/>
        <v/>
      </c>
      <c r="C304" s="206" t="str">
        <f t="shared" si="3"/>
        <v/>
      </c>
      <c r="D304" s="207" t="str">
        <f t="shared" si="0"/>
        <v/>
      </c>
      <c r="E304" s="207"/>
      <c r="F304" s="205" t="str">
        <f>IF(E304="","",VLOOKUP(E304,'ARAMA LİSTELERİ'!C304:G2343,5,))</f>
        <v/>
      </c>
      <c r="G304" s="207"/>
      <c r="H304" s="210"/>
      <c r="I304" s="79"/>
      <c r="J304" s="210"/>
      <c r="K304" s="210"/>
      <c r="L304" s="210" t="str">
        <f t="shared" si="1"/>
        <v/>
      </c>
      <c r="M304" s="79"/>
      <c r="N304" s="207"/>
      <c r="O304" s="207"/>
      <c r="P304" s="207"/>
      <c r="Q304" s="207"/>
    </row>
    <row r="305" spans="1:17" ht="34.5" customHeight="1">
      <c r="A305" s="82"/>
      <c r="B305" s="205" t="str">
        <f t="shared" si="2"/>
        <v/>
      </c>
      <c r="C305" s="206" t="str">
        <f t="shared" si="3"/>
        <v/>
      </c>
      <c r="D305" s="207" t="str">
        <f t="shared" si="0"/>
        <v/>
      </c>
      <c r="E305" s="207"/>
      <c r="F305" s="205" t="str">
        <f>IF(E305="","",VLOOKUP(E305,'ARAMA LİSTELERİ'!C305:G2344,5,))</f>
        <v/>
      </c>
      <c r="G305" s="207"/>
      <c r="H305" s="210"/>
      <c r="I305" s="79"/>
      <c r="J305" s="210"/>
      <c r="K305" s="210"/>
      <c r="L305" s="210" t="str">
        <f t="shared" si="1"/>
        <v/>
      </c>
      <c r="M305" s="79"/>
      <c r="N305" s="207"/>
      <c r="O305" s="207"/>
      <c r="P305" s="207"/>
      <c r="Q305" s="207"/>
    </row>
    <row r="306" spans="1:17" ht="34.5" customHeight="1">
      <c r="A306" s="82"/>
      <c r="B306" s="205" t="str">
        <f t="shared" si="2"/>
        <v/>
      </c>
      <c r="C306" s="206" t="str">
        <f t="shared" si="3"/>
        <v/>
      </c>
      <c r="D306" s="207" t="str">
        <f t="shared" si="0"/>
        <v/>
      </c>
      <c r="E306" s="207"/>
      <c r="F306" s="205" t="str">
        <f>IF(E306="","",VLOOKUP(E306,'ARAMA LİSTELERİ'!C306:G2345,5,))</f>
        <v/>
      </c>
      <c r="G306" s="207"/>
      <c r="H306" s="210"/>
      <c r="I306" s="79"/>
      <c r="J306" s="210"/>
      <c r="K306" s="210"/>
      <c r="L306" s="210" t="str">
        <f t="shared" si="1"/>
        <v/>
      </c>
      <c r="M306" s="79"/>
      <c r="N306" s="207"/>
      <c r="O306" s="207"/>
      <c r="P306" s="207"/>
      <c r="Q306" s="207"/>
    </row>
    <row r="307" spans="1:17" ht="34.5" customHeight="1">
      <c r="A307" s="82"/>
      <c r="B307" s="205" t="str">
        <f t="shared" si="2"/>
        <v/>
      </c>
      <c r="C307" s="206" t="str">
        <f t="shared" si="3"/>
        <v/>
      </c>
      <c r="D307" s="207" t="str">
        <f t="shared" si="0"/>
        <v/>
      </c>
      <c r="E307" s="207"/>
      <c r="F307" s="205" t="str">
        <f>IF(E307="","",VLOOKUP(E307,'ARAMA LİSTELERİ'!C307:G2346,5,))</f>
        <v/>
      </c>
      <c r="G307" s="207"/>
      <c r="H307" s="210"/>
      <c r="I307" s="79"/>
      <c r="J307" s="210"/>
      <c r="K307" s="210"/>
      <c r="L307" s="210" t="str">
        <f t="shared" si="1"/>
        <v/>
      </c>
      <c r="M307" s="79"/>
      <c r="N307" s="207"/>
      <c r="O307" s="207"/>
      <c r="P307" s="207"/>
      <c r="Q307" s="207"/>
    </row>
    <row r="308" spans="1:17" ht="34.5" customHeight="1">
      <c r="A308" s="82"/>
      <c r="B308" s="205" t="str">
        <f t="shared" si="2"/>
        <v/>
      </c>
      <c r="C308" s="206" t="str">
        <f t="shared" si="3"/>
        <v/>
      </c>
      <c r="D308" s="207" t="str">
        <f t="shared" si="0"/>
        <v/>
      </c>
      <c r="E308" s="207"/>
      <c r="F308" s="205" t="str">
        <f>IF(E308="","",VLOOKUP(E308,'ARAMA LİSTELERİ'!C308:G2347,5,))</f>
        <v/>
      </c>
      <c r="G308" s="207"/>
      <c r="H308" s="210"/>
      <c r="I308" s="79"/>
      <c r="J308" s="210"/>
      <c r="K308" s="210"/>
      <c r="L308" s="210" t="str">
        <f t="shared" si="1"/>
        <v/>
      </c>
      <c r="M308" s="79"/>
      <c r="N308" s="207"/>
      <c r="O308" s="207"/>
      <c r="P308" s="207"/>
      <c r="Q308" s="207"/>
    </row>
    <row r="309" spans="1:17" ht="34.5" customHeight="1">
      <c r="A309" s="82"/>
      <c r="B309" s="205" t="str">
        <f t="shared" si="2"/>
        <v/>
      </c>
      <c r="C309" s="206" t="str">
        <f t="shared" si="3"/>
        <v/>
      </c>
      <c r="D309" s="207" t="str">
        <f t="shared" si="0"/>
        <v/>
      </c>
      <c r="E309" s="207"/>
      <c r="F309" s="205" t="str">
        <f>IF(E309="","",VLOOKUP(E309,'ARAMA LİSTELERİ'!C309:G2348,5,))</f>
        <v/>
      </c>
      <c r="G309" s="207"/>
      <c r="H309" s="210"/>
      <c r="I309" s="79"/>
      <c r="J309" s="210"/>
      <c r="K309" s="210"/>
      <c r="L309" s="210" t="str">
        <f t="shared" si="1"/>
        <v/>
      </c>
      <c r="M309" s="79"/>
      <c r="N309" s="207"/>
      <c r="O309" s="207"/>
      <c r="P309" s="207"/>
      <c r="Q309" s="207"/>
    </row>
    <row r="310" spans="1:17" ht="34.5" customHeight="1">
      <c r="A310" s="82"/>
      <c r="B310" s="205" t="str">
        <f t="shared" si="2"/>
        <v/>
      </c>
      <c r="C310" s="206" t="str">
        <f t="shared" si="3"/>
        <v/>
      </c>
      <c r="D310" s="207" t="str">
        <f t="shared" si="0"/>
        <v/>
      </c>
      <c r="E310" s="207"/>
      <c r="F310" s="205" t="str">
        <f>IF(E310="","",VLOOKUP(E310,'ARAMA LİSTELERİ'!C310:G2349,5,))</f>
        <v/>
      </c>
      <c r="G310" s="207"/>
      <c r="H310" s="210"/>
      <c r="I310" s="79"/>
      <c r="J310" s="210"/>
      <c r="K310" s="210"/>
      <c r="L310" s="210" t="str">
        <f t="shared" si="1"/>
        <v/>
      </c>
      <c r="M310" s="79"/>
      <c r="N310" s="207"/>
      <c r="O310" s="207"/>
      <c r="P310" s="207"/>
      <c r="Q310" s="207"/>
    </row>
    <row r="311" spans="1:17" ht="34.5" customHeight="1">
      <c r="A311" s="82"/>
      <c r="B311" s="205" t="str">
        <f t="shared" si="2"/>
        <v/>
      </c>
      <c r="C311" s="206" t="str">
        <f t="shared" si="3"/>
        <v/>
      </c>
      <c r="D311" s="207" t="str">
        <f t="shared" si="0"/>
        <v/>
      </c>
      <c r="E311" s="207"/>
      <c r="F311" s="205" t="str">
        <f>IF(E311="","",VLOOKUP(E311,'ARAMA LİSTELERİ'!C311:G2350,5,))</f>
        <v/>
      </c>
      <c r="G311" s="207"/>
      <c r="H311" s="210"/>
      <c r="I311" s="79"/>
      <c r="J311" s="210"/>
      <c r="K311" s="210"/>
      <c r="L311" s="210" t="str">
        <f t="shared" si="1"/>
        <v/>
      </c>
      <c r="M311" s="79"/>
      <c r="N311" s="207"/>
      <c r="O311" s="207"/>
      <c r="P311" s="207"/>
      <c r="Q311" s="207"/>
    </row>
    <row r="312" spans="1:17" ht="34.5" customHeight="1">
      <c r="A312" s="82"/>
      <c r="B312" s="205" t="str">
        <f t="shared" si="2"/>
        <v/>
      </c>
      <c r="C312" s="206" t="str">
        <f t="shared" si="3"/>
        <v/>
      </c>
      <c r="D312" s="207" t="str">
        <f t="shared" si="0"/>
        <v/>
      </c>
      <c r="E312" s="207"/>
      <c r="F312" s="205" t="str">
        <f>IF(E312="","",VLOOKUP(E312,'ARAMA LİSTELERİ'!C312:G2351,5,))</f>
        <v/>
      </c>
      <c r="G312" s="207"/>
      <c r="H312" s="210"/>
      <c r="I312" s="79"/>
      <c r="J312" s="210"/>
      <c r="K312" s="210"/>
      <c r="L312" s="210" t="str">
        <f t="shared" si="1"/>
        <v/>
      </c>
      <c r="M312" s="79"/>
      <c r="N312" s="207"/>
      <c r="O312" s="207"/>
      <c r="P312" s="207"/>
      <c r="Q312" s="207"/>
    </row>
    <row r="313" spans="1:17" ht="34.5" customHeight="1">
      <c r="A313" s="82"/>
      <c r="B313" s="205" t="str">
        <f t="shared" si="2"/>
        <v/>
      </c>
      <c r="C313" s="206" t="str">
        <f t="shared" si="3"/>
        <v/>
      </c>
      <c r="D313" s="207" t="str">
        <f t="shared" si="0"/>
        <v/>
      </c>
      <c r="E313" s="207"/>
      <c r="F313" s="205" t="str">
        <f>IF(E313="","",VLOOKUP(E313,'ARAMA LİSTELERİ'!C313:G2352,5,))</f>
        <v/>
      </c>
      <c r="G313" s="207"/>
      <c r="H313" s="210"/>
      <c r="I313" s="79"/>
      <c r="J313" s="210"/>
      <c r="K313" s="210"/>
      <c r="L313" s="210" t="str">
        <f t="shared" si="1"/>
        <v/>
      </c>
      <c r="M313" s="79"/>
      <c r="N313" s="207"/>
      <c r="O313" s="207"/>
      <c r="P313" s="207"/>
      <c r="Q313" s="207"/>
    </row>
    <row r="314" spans="1:17" ht="34.5" customHeight="1">
      <c r="A314" s="82"/>
      <c r="B314" s="205" t="str">
        <f t="shared" si="2"/>
        <v/>
      </c>
      <c r="C314" s="206" t="str">
        <f t="shared" si="3"/>
        <v/>
      </c>
      <c r="D314" s="207" t="str">
        <f t="shared" si="0"/>
        <v/>
      </c>
      <c r="E314" s="207"/>
      <c r="F314" s="205" t="str">
        <f>IF(E314="","",VLOOKUP(E314,'ARAMA LİSTELERİ'!C314:G2353,5,))</f>
        <v/>
      </c>
      <c r="G314" s="207"/>
      <c r="H314" s="210"/>
      <c r="I314" s="79"/>
      <c r="J314" s="210"/>
      <c r="K314" s="210"/>
      <c r="L314" s="210" t="str">
        <f t="shared" si="1"/>
        <v/>
      </c>
      <c r="M314" s="79"/>
      <c r="N314" s="207"/>
      <c r="O314" s="207"/>
      <c r="P314" s="207"/>
      <c r="Q314" s="207"/>
    </row>
    <row r="315" spans="1:17" ht="34.5" customHeight="1">
      <c r="A315" s="82"/>
      <c r="B315" s="205" t="str">
        <f t="shared" si="2"/>
        <v/>
      </c>
      <c r="C315" s="206" t="str">
        <f t="shared" si="3"/>
        <v/>
      </c>
      <c r="D315" s="207" t="str">
        <f t="shared" si="0"/>
        <v/>
      </c>
      <c r="E315" s="207"/>
      <c r="F315" s="205" t="str">
        <f>IF(E315="","",VLOOKUP(E315,'ARAMA LİSTELERİ'!C315:G2354,5,))</f>
        <v/>
      </c>
      <c r="G315" s="207"/>
      <c r="H315" s="210"/>
      <c r="I315" s="79"/>
      <c r="J315" s="210"/>
      <c r="K315" s="210"/>
      <c r="L315" s="210" t="str">
        <f t="shared" si="1"/>
        <v/>
      </c>
      <c r="M315" s="79"/>
      <c r="N315" s="207"/>
      <c r="O315" s="207"/>
      <c r="P315" s="207"/>
      <c r="Q315" s="207"/>
    </row>
    <row r="316" spans="1:17" ht="34.5" customHeight="1">
      <c r="A316" s="82"/>
      <c r="B316" s="205" t="str">
        <f t="shared" si="2"/>
        <v/>
      </c>
      <c r="C316" s="206" t="str">
        <f t="shared" si="3"/>
        <v/>
      </c>
      <c r="D316" s="207" t="str">
        <f t="shared" si="0"/>
        <v/>
      </c>
      <c r="E316" s="207"/>
      <c r="F316" s="205" t="str">
        <f>IF(E316="","",VLOOKUP(E316,'ARAMA LİSTELERİ'!C316:G2355,5,))</f>
        <v/>
      </c>
      <c r="G316" s="207"/>
      <c r="H316" s="210"/>
      <c r="I316" s="79"/>
      <c r="J316" s="210"/>
      <c r="K316" s="210"/>
      <c r="L316" s="210" t="str">
        <f t="shared" si="1"/>
        <v/>
      </c>
      <c r="M316" s="79"/>
      <c r="N316" s="207"/>
      <c r="O316" s="207"/>
      <c r="P316" s="207"/>
      <c r="Q316" s="207"/>
    </row>
    <row r="317" spans="1:17" ht="34.5" customHeight="1">
      <c r="A317" s="82"/>
      <c r="B317" s="205" t="str">
        <f t="shared" si="2"/>
        <v/>
      </c>
      <c r="C317" s="206" t="str">
        <f t="shared" si="3"/>
        <v/>
      </c>
      <c r="D317" s="207" t="str">
        <f t="shared" si="0"/>
        <v/>
      </c>
      <c r="E317" s="207"/>
      <c r="F317" s="205" t="str">
        <f>IF(E317="","",VLOOKUP(E317,'ARAMA LİSTELERİ'!C317:G2356,5,))</f>
        <v/>
      </c>
      <c r="G317" s="207"/>
      <c r="H317" s="210"/>
      <c r="I317" s="79"/>
      <c r="J317" s="210"/>
      <c r="K317" s="210"/>
      <c r="L317" s="210" t="str">
        <f t="shared" si="1"/>
        <v/>
      </c>
      <c r="M317" s="79"/>
      <c r="N317" s="207"/>
      <c r="O317" s="207"/>
      <c r="P317" s="207"/>
      <c r="Q317" s="207"/>
    </row>
    <row r="318" spans="1:17" ht="34.5" customHeight="1">
      <c r="A318" s="82"/>
      <c r="B318" s="205" t="str">
        <f t="shared" si="2"/>
        <v/>
      </c>
      <c r="C318" s="206" t="str">
        <f t="shared" si="3"/>
        <v/>
      </c>
      <c r="D318" s="207" t="str">
        <f t="shared" si="0"/>
        <v/>
      </c>
      <c r="E318" s="207"/>
      <c r="F318" s="205" t="str">
        <f>IF(E318="","",VLOOKUP(E318,'ARAMA LİSTELERİ'!C318:G2357,5,))</f>
        <v/>
      </c>
      <c r="G318" s="207"/>
      <c r="H318" s="210"/>
      <c r="I318" s="79"/>
      <c r="J318" s="210"/>
      <c r="K318" s="210"/>
      <c r="L318" s="210" t="str">
        <f t="shared" si="1"/>
        <v/>
      </c>
      <c r="M318" s="79"/>
      <c r="N318" s="207"/>
      <c r="O318" s="207"/>
      <c r="P318" s="207"/>
      <c r="Q318" s="207"/>
    </row>
    <row r="319" spans="1:17" ht="34.5" customHeight="1">
      <c r="A319" s="82"/>
      <c r="B319" s="205" t="str">
        <f t="shared" si="2"/>
        <v/>
      </c>
      <c r="C319" s="206" t="str">
        <f t="shared" si="3"/>
        <v/>
      </c>
      <c r="D319" s="207" t="str">
        <f t="shared" si="0"/>
        <v/>
      </c>
      <c r="E319" s="207"/>
      <c r="F319" s="205" t="str">
        <f>IF(E319="","",VLOOKUP(E319,'ARAMA LİSTELERİ'!C319:G2358,5,))</f>
        <v/>
      </c>
      <c r="G319" s="207"/>
      <c r="H319" s="210"/>
      <c r="I319" s="79"/>
      <c r="J319" s="210"/>
      <c r="K319" s="210"/>
      <c r="L319" s="210" t="str">
        <f t="shared" si="1"/>
        <v/>
      </c>
      <c r="M319" s="79"/>
      <c r="N319" s="207"/>
      <c r="O319" s="207"/>
      <c r="P319" s="207"/>
      <c r="Q319" s="207"/>
    </row>
    <row r="320" spans="1:17" ht="34.5" customHeight="1">
      <c r="A320" s="82"/>
      <c r="B320" s="205" t="str">
        <f t="shared" si="2"/>
        <v/>
      </c>
      <c r="C320" s="206" t="str">
        <f t="shared" si="3"/>
        <v/>
      </c>
      <c r="D320" s="207" t="str">
        <f t="shared" si="0"/>
        <v/>
      </c>
      <c r="E320" s="207"/>
      <c r="F320" s="205" t="str">
        <f>IF(E320="","",VLOOKUP(E320,'ARAMA LİSTELERİ'!C320:G2359,5,))</f>
        <v/>
      </c>
      <c r="G320" s="207"/>
      <c r="H320" s="210"/>
      <c r="I320" s="79"/>
      <c r="J320" s="210"/>
      <c r="K320" s="210"/>
      <c r="L320" s="210" t="str">
        <f t="shared" si="1"/>
        <v/>
      </c>
      <c r="M320" s="79"/>
      <c r="N320" s="207"/>
      <c r="O320" s="207"/>
      <c r="P320" s="207"/>
      <c r="Q320" s="207"/>
    </row>
    <row r="321" spans="1:17" ht="34.5" customHeight="1">
      <c r="A321" s="82"/>
      <c r="B321" s="205" t="str">
        <f t="shared" si="2"/>
        <v/>
      </c>
      <c r="C321" s="206" t="str">
        <f t="shared" si="3"/>
        <v/>
      </c>
      <c r="D321" s="207" t="str">
        <f t="shared" si="0"/>
        <v/>
      </c>
      <c r="E321" s="207"/>
      <c r="F321" s="205" t="str">
        <f>IF(E321="","",VLOOKUP(E321,'ARAMA LİSTELERİ'!C321:G2360,5,))</f>
        <v/>
      </c>
      <c r="G321" s="207"/>
      <c r="H321" s="210"/>
      <c r="I321" s="79"/>
      <c r="J321" s="210"/>
      <c r="K321" s="210"/>
      <c r="L321" s="210" t="str">
        <f t="shared" si="1"/>
        <v/>
      </c>
      <c r="M321" s="79"/>
      <c r="N321" s="207"/>
      <c r="O321" s="207"/>
      <c r="P321" s="207"/>
      <c r="Q321" s="207"/>
    </row>
    <row r="322" spans="1:17" ht="34.5" customHeight="1">
      <c r="A322" s="82"/>
      <c r="B322" s="205" t="str">
        <f t="shared" si="2"/>
        <v/>
      </c>
      <c r="C322" s="206" t="str">
        <f t="shared" si="3"/>
        <v/>
      </c>
      <c r="D322" s="207" t="str">
        <f t="shared" si="0"/>
        <v/>
      </c>
      <c r="E322" s="207"/>
      <c r="F322" s="205" t="str">
        <f>IF(E322="","",VLOOKUP(E322,'ARAMA LİSTELERİ'!C322:G2361,5,))</f>
        <v/>
      </c>
      <c r="G322" s="207"/>
      <c r="H322" s="210"/>
      <c r="I322" s="79"/>
      <c r="J322" s="210"/>
      <c r="K322" s="210"/>
      <c r="L322" s="210" t="str">
        <f t="shared" si="1"/>
        <v/>
      </c>
      <c r="M322" s="79"/>
      <c r="N322" s="207"/>
      <c r="O322" s="207"/>
      <c r="P322" s="207"/>
      <c r="Q322" s="207"/>
    </row>
    <row r="323" spans="1:17" ht="34.5" customHeight="1">
      <c r="A323" s="82"/>
      <c r="B323" s="205" t="str">
        <f t="shared" si="2"/>
        <v/>
      </c>
      <c r="C323" s="206" t="str">
        <f t="shared" si="3"/>
        <v/>
      </c>
      <c r="D323" s="207" t="str">
        <f t="shared" si="0"/>
        <v/>
      </c>
      <c r="E323" s="207"/>
      <c r="F323" s="205" t="str">
        <f>IF(E323="","",VLOOKUP(E323,'ARAMA LİSTELERİ'!C323:G2362,5,))</f>
        <v/>
      </c>
      <c r="G323" s="207"/>
      <c r="H323" s="210"/>
      <c r="I323" s="79"/>
      <c r="J323" s="210"/>
      <c r="K323" s="210"/>
      <c r="L323" s="210" t="str">
        <f t="shared" si="1"/>
        <v/>
      </c>
      <c r="M323" s="79"/>
      <c r="N323" s="207"/>
      <c r="O323" s="207"/>
      <c r="P323" s="207"/>
      <c r="Q323" s="207"/>
    </row>
    <row r="324" spans="1:17" ht="34.5" customHeight="1">
      <c r="A324" s="82"/>
      <c r="B324" s="205" t="str">
        <f t="shared" si="2"/>
        <v/>
      </c>
      <c r="C324" s="206" t="str">
        <f t="shared" si="3"/>
        <v/>
      </c>
      <c r="D324" s="207" t="str">
        <f t="shared" si="0"/>
        <v/>
      </c>
      <c r="E324" s="207"/>
      <c r="F324" s="205" t="str">
        <f>IF(E324="","",VLOOKUP(E324,'ARAMA LİSTELERİ'!C324:G2363,5,))</f>
        <v/>
      </c>
      <c r="G324" s="207"/>
      <c r="H324" s="210"/>
      <c r="I324" s="79"/>
      <c r="J324" s="210"/>
      <c r="K324" s="210"/>
      <c r="L324" s="210" t="str">
        <f t="shared" si="1"/>
        <v/>
      </c>
      <c r="M324" s="79"/>
      <c r="N324" s="207"/>
      <c r="O324" s="207"/>
      <c r="P324" s="207"/>
      <c r="Q324" s="207"/>
    </row>
    <row r="325" spans="1:17" ht="34.5" customHeight="1">
      <c r="A325" s="82"/>
      <c r="B325" s="205" t="str">
        <f t="shared" si="2"/>
        <v/>
      </c>
      <c r="C325" s="206" t="str">
        <f t="shared" si="3"/>
        <v/>
      </c>
      <c r="D325" s="207" t="str">
        <f t="shared" si="0"/>
        <v/>
      </c>
      <c r="E325" s="207"/>
      <c r="F325" s="205" t="str">
        <f>IF(E325="","",VLOOKUP(E325,'ARAMA LİSTELERİ'!C325:G2364,5,))</f>
        <v/>
      </c>
      <c r="G325" s="207"/>
      <c r="H325" s="210"/>
      <c r="I325" s="79"/>
      <c r="J325" s="210"/>
      <c r="K325" s="210"/>
      <c r="L325" s="210" t="str">
        <f t="shared" si="1"/>
        <v/>
      </c>
      <c r="M325" s="79"/>
      <c r="N325" s="207"/>
      <c r="O325" s="207"/>
      <c r="P325" s="207"/>
      <c r="Q325" s="207"/>
    </row>
    <row r="326" spans="1:17" ht="34.5" customHeight="1">
      <c r="A326" s="82"/>
      <c r="B326" s="205" t="str">
        <f t="shared" si="2"/>
        <v/>
      </c>
      <c r="C326" s="206" t="str">
        <f t="shared" si="3"/>
        <v/>
      </c>
      <c r="D326" s="207" t="str">
        <f t="shared" si="0"/>
        <v/>
      </c>
      <c r="E326" s="207"/>
      <c r="F326" s="205" t="str">
        <f>IF(E326="","",VLOOKUP(E326,'ARAMA LİSTELERİ'!C326:G2365,5,))</f>
        <v/>
      </c>
      <c r="G326" s="207"/>
      <c r="H326" s="210"/>
      <c r="I326" s="79"/>
      <c r="J326" s="210"/>
      <c r="K326" s="210"/>
      <c r="L326" s="210" t="str">
        <f t="shared" si="1"/>
        <v/>
      </c>
      <c r="M326" s="79"/>
      <c r="N326" s="207"/>
      <c r="O326" s="207"/>
      <c r="P326" s="207"/>
      <c r="Q326" s="207"/>
    </row>
    <row r="327" spans="1:17" ht="34.5" customHeight="1">
      <c r="A327" s="82"/>
      <c r="B327" s="205" t="str">
        <f t="shared" si="2"/>
        <v/>
      </c>
      <c r="C327" s="206" t="str">
        <f t="shared" si="3"/>
        <v/>
      </c>
      <c r="D327" s="207" t="str">
        <f t="shared" si="0"/>
        <v/>
      </c>
      <c r="E327" s="207"/>
      <c r="F327" s="205" t="str">
        <f>IF(E327="","",VLOOKUP(E327,'ARAMA LİSTELERİ'!C327:G2366,5,))</f>
        <v/>
      </c>
      <c r="G327" s="207"/>
      <c r="H327" s="210"/>
      <c r="I327" s="79"/>
      <c r="J327" s="210"/>
      <c r="K327" s="210"/>
      <c r="L327" s="210" t="str">
        <f t="shared" si="1"/>
        <v/>
      </c>
      <c r="M327" s="79"/>
      <c r="N327" s="207"/>
      <c r="O327" s="207"/>
      <c r="P327" s="207"/>
      <c r="Q327" s="207"/>
    </row>
    <row r="328" spans="1:17" ht="34.5" customHeight="1">
      <c r="A328" s="82"/>
      <c r="B328" s="205" t="str">
        <f t="shared" si="2"/>
        <v/>
      </c>
      <c r="C328" s="206" t="str">
        <f t="shared" si="3"/>
        <v/>
      </c>
      <c r="D328" s="207" t="str">
        <f t="shared" si="0"/>
        <v/>
      </c>
      <c r="E328" s="207"/>
      <c r="F328" s="205" t="str">
        <f>IF(E328="","",VLOOKUP(E328,'ARAMA LİSTELERİ'!C328:G2367,5,))</f>
        <v/>
      </c>
      <c r="G328" s="207"/>
      <c r="H328" s="210"/>
      <c r="I328" s="79"/>
      <c r="J328" s="210"/>
      <c r="K328" s="210"/>
      <c r="L328" s="210" t="str">
        <f t="shared" si="1"/>
        <v/>
      </c>
      <c r="M328" s="79"/>
      <c r="N328" s="207"/>
      <c r="O328" s="207"/>
      <c r="P328" s="207"/>
      <c r="Q328" s="207"/>
    </row>
    <row r="329" spans="1:17" ht="34.5" customHeight="1">
      <c r="A329" s="82"/>
      <c r="B329" s="205" t="str">
        <f t="shared" si="2"/>
        <v/>
      </c>
      <c r="C329" s="206" t="str">
        <f t="shared" si="3"/>
        <v/>
      </c>
      <c r="D329" s="207" t="str">
        <f t="shared" si="0"/>
        <v/>
      </c>
      <c r="E329" s="207"/>
      <c r="F329" s="205" t="str">
        <f>IF(E329="","",VLOOKUP(E329,'ARAMA LİSTELERİ'!C329:G2368,5,))</f>
        <v/>
      </c>
      <c r="G329" s="207"/>
      <c r="H329" s="210"/>
      <c r="I329" s="79"/>
      <c r="J329" s="210"/>
      <c r="K329" s="210"/>
      <c r="L329" s="210" t="str">
        <f t="shared" si="1"/>
        <v/>
      </c>
      <c r="M329" s="79"/>
      <c r="N329" s="207"/>
      <c r="O329" s="207"/>
      <c r="P329" s="207"/>
      <c r="Q329" s="207"/>
    </row>
    <row r="330" spans="1:17" ht="34.5" customHeight="1">
      <c r="A330" s="82"/>
      <c r="B330" s="205" t="str">
        <f t="shared" si="2"/>
        <v/>
      </c>
      <c r="C330" s="206" t="str">
        <f t="shared" si="3"/>
        <v/>
      </c>
      <c r="D330" s="207" t="str">
        <f t="shared" si="0"/>
        <v/>
      </c>
      <c r="E330" s="207"/>
      <c r="F330" s="205" t="str">
        <f>IF(E330="","",VLOOKUP(E330,'ARAMA LİSTELERİ'!C330:G2369,5,))</f>
        <v/>
      </c>
      <c r="G330" s="207"/>
      <c r="H330" s="210"/>
      <c r="I330" s="79"/>
      <c r="J330" s="210"/>
      <c r="K330" s="210"/>
      <c r="L330" s="210" t="str">
        <f t="shared" si="1"/>
        <v/>
      </c>
      <c r="M330" s="79"/>
      <c r="N330" s="207"/>
      <c r="O330" s="207"/>
      <c r="P330" s="207"/>
      <c r="Q330" s="207"/>
    </row>
    <row r="331" spans="1:17" ht="34.5" customHeight="1">
      <c r="A331" s="82"/>
      <c r="B331" s="205" t="str">
        <f t="shared" si="2"/>
        <v/>
      </c>
      <c r="C331" s="206" t="str">
        <f t="shared" si="3"/>
        <v/>
      </c>
      <c r="D331" s="207" t="str">
        <f t="shared" si="0"/>
        <v/>
      </c>
      <c r="E331" s="207"/>
      <c r="F331" s="205" t="str">
        <f>IF(E331="","",VLOOKUP(E331,'ARAMA LİSTELERİ'!C331:G2370,5,))</f>
        <v/>
      </c>
      <c r="G331" s="207"/>
      <c r="H331" s="210"/>
      <c r="I331" s="79"/>
      <c r="J331" s="210"/>
      <c r="K331" s="210"/>
      <c r="L331" s="210" t="str">
        <f t="shared" si="1"/>
        <v/>
      </c>
      <c r="M331" s="79"/>
      <c r="N331" s="207"/>
      <c r="O331" s="207"/>
      <c r="P331" s="207"/>
      <c r="Q331" s="207"/>
    </row>
    <row r="332" spans="1:17" ht="34.5" customHeight="1">
      <c r="A332" s="82"/>
      <c r="B332" s="205" t="str">
        <f t="shared" si="2"/>
        <v/>
      </c>
      <c r="C332" s="206" t="str">
        <f t="shared" si="3"/>
        <v/>
      </c>
      <c r="D332" s="207" t="str">
        <f t="shared" si="0"/>
        <v/>
      </c>
      <c r="E332" s="207"/>
      <c r="F332" s="205" t="str">
        <f>IF(E332="","",VLOOKUP(E332,'ARAMA LİSTELERİ'!C332:G2371,5,))</f>
        <v/>
      </c>
      <c r="G332" s="207"/>
      <c r="H332" s="210"/>
      <c r="I332" s="79"/>
      <c r="J332" s="210"/>
      <c r="K332" s="210"/>
      <c r="L332" s="210" t="str">
        <f t="shared" si="1"/>
        <v/>
      </c>
      <c r="M332" s="79"/>
      <c r="N332" s="207"/>
      <c r="O332" s="207"/>
      <c r="P332" s="207"/>
      <c r="Q332" s="207"/>
    </row>
    <row r="333" spans="1:17" ht="34.5" customHeight="1">
      <c r="A333" s="82"/>
      <c r="B333" s="205" t="str">
        <f t="shared" si="2"/>
        <v/>
      </c>
      <c r="C333" s="206" t="str">
        <f t="shared" si="3"/>
        <v/>
      </c>
      <c r="D333" s="207" t="str">
        <f t="shared" si="0"/>
        <v/>
      </c>
      <c r="E333" s="207"/>
      <c r="F333" s="205" t="str">
        <f>IF(E333="","",VLOOKUP(E333,'ARAMA LİSTELERİ'!C333:G2372,5,))</f>
        <v/>
      </c>
      <c r="G333" s="207"/>
      <c r="H333" s="210"/>
      <c r="I333" s="79"/>
      <c r="J333" s="210"/>
      <c r="K333" s="210"/>
      <c r="L333" s="210" t="str">
        <f t="shared" si="1"/>
        <v/>
      </c>
      <c r="M333" s="79"/>
      <c r="N333" s="207"/>
      <c r="O333" s="207"/>
      <c r="P333" s="207"/>
      <c r="Q333" s="207"/>
    </row>
    <row r="334" spans="1:17" ht="34.5" customHeight="1">
      <c r="A334" s="82"/>
      <c r="B334" s="205" t="str">
        <f t="shared" si="2"/>
        <v/>
      </c>
      <c r="C334" s="206" t="str">
        <f t="shared" si="3"/>
        <v/>
      </c>
      <c r="D334" s="207" t="str">
        <f t="shared" si="0"/>
        <v/>
      </c>
      <c r="E334" s="207"/>
      <c r="F334" s="205" t="str">
        <f>IF(E334="","",VLOOKUP(E334,'ARAMA LİSTELERİ'!C334:G2373,5,))</f>
        <v/>
      </c>
      <c r="G334" s="207"/>
      <c r="H334" s="210"/>
      <c r="I334" s="79"/>
      <c r="J334" s="210"/>
      <c r="K334" s="210"/>
      <c r="L334" s="210" t="str">
        <f t="shared" si="1"/>
        <v/>
      </c>
      <c r="M334" s="79"/>
      <c r="N334" s="207"/>
      <c r="O334" s="207"/>
      <c r="P334" s="207"/>
      <c r="Q334" s="207"/>
    </row>
    <row r="335" spans="1:17" ht="34.5" customHeight="1">
      <c r="A335" s="82"/>
      <c r="B335" s="205" t="str">
        <f t="shared" si="2"/>
        <v/>
      </c>
      <c r="C335" s="206" t="str">
        <f t="shared" si="3"/>
        <v/>
      </c>
      <c r="D335" s="207" t="str">
        <f t="shared" si="0"/>
        <v/>
      </c>
      <c r="E335" s="207"/>
      <c r="F335" s="205" t="str">
        <f>IF(E335="","",VLOOKUP(E335,'ARAMA LİSTELERİ'!C335:G2374,5,))</f>
        <v/>
      </c>
      <c r="G335" s="207"/>
      <c r="H335" s="210"/>
      <c r="I335" s="79"/>
      <c r="J335" s="210"/>
      <c r="K335" s="210"/>
      <c r="L335" s="210" t="str">
        <f t="shared" si="1"/>
        <v/>
      </c>
      <c r="M335" s="79"/>
      <c r="N335" s="207"/>
      <c r="O335" s="207"/>
      <c r="P335" s="207"/>
      <c r="Q335" s="207"/>
    </row>
    <row r="336" spans="1:17" ht="34.5" customHeight="1">
      <c r="A336" s="82"/>
      <c r="B336" s="205" t="str">
        <f t="shared" si="2"/>
        <v/>
      </c>
      <c r="C336" s="206" t="str">
        <f t="shared" si="3"/>
        <v/>
      </c>
      <c r="D336" s="207" t="str">
        <f t="shared" si="0"/>
        <v/>
      </c>
      <c r="E336" s="207"/>
      <c r="F336" s="205" t="str">
        <f>IF(E336="","",VLOOKUP(E336,'ARAMA LİSTELERİ'!C336:G2375,5,))</f>
        <v/>
      </c>
      <c r="G336" s="207"/>
      <c r="H336" s="210"/>
      <c r="I336" s="79"/>
      <c r="J336" s="210"/>
      <c r="K336" s="210"/>
      <c r="L336" s="210" t="str">
        <f t="shared" si="1"/>
        <v/>
      </c>
      <c r="M336" s="79"/>
      <c r="N336" s="207"/>
      <c r="O336" s="207"/>
      <c r="P336" s="207"/>
      <c r="Q336" s="207"/>
    </row>
    <row r="337" spans="1:17" ht="34.5" customHeight="1">
      <c r="A337" s="82"/>
      <c r="B337" s="205" t="str">
        <f t="shared" si="2"/>
        <v/>
      </c>
      <c r="C337" s="206" t="str">
        <f t="shared" si="3"/>
        <v/>
      </c>
      <c r="D337" s="207" t="str">
        <f t="shared" si="0"/>
        <v/>
      </c>
      <c r="E337" s="207"/>
      <c r="F337" s="205" t="str">
        <f>IF(E337="","",VLOOKUP(E337,'ARAMA LİSTELERİ'!C337:G2376,5,))</f>
        <v/>
      </c>
      <c r="G337" s="207"/>
      <c r="H337" s="210"/>
      <c r="I337" s="79"/>
      <c r="J337" s="210"/>
      <c r="K337" s="210"/>
      <c r="L337" s="210" t="str">
        <f t="shared" si="1"/>
        <v/>
      </c>
      <c r="M337" s="79"/>
      <c r="N337" s="207"/>
      <c r="O337" s="207"/>
      <c r="P337" s="207"/>
      <c r="Q337" s="207"/>
    </row>
    <row r="338" spans="1:17" ht="34.5" customHeight="1">
      <c r="A338" s="82"/>
      <c r="B338" s="205" t="str">
        <f t="shared" si="2"/>
        <v/>
      </c>
      <c r="C338" s="206" t="str">
        <f t="shared" si="3"/>
        <v/>
      </c>
      <c r="D338" s="207" t="str">
        <f t="shared" si="0"/>
        <v/>
      </c>
      <c r="E338" s="207"/>
      <c r="F338" s="205" t="str">
        <f>IF(E338="","",VLOOKUP(E338,'ARAMA LİSTELERİ'!C338:G2377,5,))</f>
        <v/>
      </c>
      <c r="G338" s="207"/>
      <c r="H338" s="210"/>
      <c r="I338" s="79"/>
      <c r="J338" s="210"/>
      <c r="K338" s="210"/>
      <c r="L338" s="210" t="str">
        <f t="shared" si="1"/>
        <v/>
      </c>
      <c r="M338" s="79"/>
      <c r="N338" s="207"/>
      <c r="O338" s="207"/>
      <c r="P338" s="207"/>
      <c r="Q338" s="207"/>
    </row>
    <row r="339" spans="1:17" ht="34.5" customHeight="1">
      <c r="A339" s="82"/>
      <c r="B339" s="205" t="str">
        <f t="shared" si="2"/>
        <v/>
      </c>
      <c r="C339" s="206" t="str">
        <f t="shared" si="3"/>
        <v/>
      </c>
      <c r="D339" s="207" t="str">
        <f t="shared" si="0"/>
        <v/>
      </c>
      <c r="E339" s="207"/>
      <c r="F339" s="205" t="str">
        <f>IF(E339="","",VLOOKUP(E339,'ARAMA LİSTELERİ'!C339:G2378,5,))</f>
        <v/>
      </c>
      <c r="G339" s="207"/>
      <c r="H339" s="210"/>
      <c r="I339" s="79"/>
      <c r="J339" s="210"/>
      <c r="K339" s="210"/>
      <c r="L339" s="210" t="str">
        <f t="shared" si="1"/>
        <v/>
      </c>
      <c r="M339" s="79"/>
      <c r="N339" s="207"/>
      <c r="O339" s="207"/>
      <c r="P339" s="207"/>
      <c r="Q339" s="207"/>
    </row>
    <row r="340" spans="1:17" ht="34.5" customHeight="1">
      <c r="A340" s="82"/>
      <c r="B340" s="205" t="str">
        <f t="shared" si="2"/>
        <v/>
      </c>
      <c r="C340" s="206" t="str">
        <f t="shared" si="3"/>
        <v/>
      </c>
      <c r="D340" s="207" t="str">
        <f t="shared" si="0"/>
        <v/>
      </c>
      <c r="E340" s="207"/>
      <c r="F340" s="205" t="str">
        <f>IF(E340="","",VLOOKUP(E340,'ARAMA LİSTELERİ'!C340:G2379,5,))</f>
        <v/>
      </c>
      <c r="G340" s="207"/>
      <c r="H340" s="210"/>
      <c r="I340" s="79"/>
      <c r="J340" s="210"/>
      <c r="K340" s="210"/>
      <c r="L340" s="210" t="str">
        <f t="shared" si="1"/>
        <v/>
      </c>
      <c r="M340" s="79"/>
      <c r="N340" s="207"/>
      <c r="O340" s="207"/>
      <c r="P340" s="207"/>
      <c r="Q340" s="207"/>
    </row>
    <row r="341" spans="1:17" ht="34.5" customHeight="1">
      <c r="A341" s="82"/>
      <c r="B341" s="205" t="str">
        <f t="shared" si="2"/>
        <v/>
      </c>
      <c r="C341" s="206" t="str">
        <f t="shared" si="3"/>
        <v/>
      </c>
      <c r="D341" s="207" t="str">
        <f t="shared" si="0"/>
        <v/>
      </c>
      <c r="E341" s="207"/>
      <c r="F341" s="205" t="str">
        <f>IF(E341="","",VLOOKUP(E341,'ARAMA LİSTELERİ'!C341:G2380,5,))</f>
        <v/>
      </c>
      <c r="G341" s="207"/>
      <c r="H341" s="210"/>
      <c r="I341" s="79"/>
      <c r="J341" s="210"/>
      <c r="K341" s="210"/>
      <c r="L341" s="210" t="str">
        <f t="shared" si="1"/>
        <v/>
      </c>
      <c r="M341" s="79"/>
      <c r="N341" s="207"/>
      <c r="O341" s="207"/>
      <c r="P341" s="207"/>
      <c r="Q341" s="207"/>
    </row>
    <row r="342" spans="1:17" ht="34.5" customHeight="1">
      <c r="A342" s="82"/>
      <c r="B342" s="205" t="str">
        <f t="shared" si="2"/>
        <v/>
      </c>
      <c r="C342" s="206" t="str">
        <f t="shared" si="3"/>
        <v/>
      </c>
      <c r="D342" s="207" t="str">
        <f t="shared" si="0"/>
        <v/>
      </c>
      <c r="E342" s="207"/>
      <c r="F342" s="205" t="str">
        <f>IF(E342="","",VLOOKUP(E342,'ARAMA LİSTELERİ'!C342:G2381,5,))</f>
        <v/>
      </c>
      <c r="G342" s="207"/>
      <c r="H342" s="210"/>
      <c r="I342" s="79"/>
      <c r="J342" s="210"/>
      <c r="K342" s="210"/>
      <c r="L342" s="210" t="str">
        <f t="shared" si="1"/>
        <v/>
      </c>
      <c r="M342" s="79"/>
      <c r="N342" s="207"/>
      <c r="O342" s="207"/>
      <c r="P342" s="207"/>
      <c r="Q342" s="207"/>
    </row>
    <row r="343" spans="1:17" ht="34.5" customHeight="1">
      <c r="A343" s="82"/>
      <c r="B343" s="205" t="str">
        <f t="shared" si="2"/>
        <v/>
      </c>
      <c r="C343" s="206" t="str">
        <f t="shared" si="3"/>
        <v/>
      </c>
      <c r="D343" s="207" t="str">
        <f t="shared" si="0"/>
        <v/>
      </c>
      <c r="E343" s="207"/>
      <c r="F343" s="205" t="str">
        <f>IF(E343="","",VLOOKUP(E343,'ARAMA LİSTELERİ'!C343:G2382,5,))</f>
        <v/>
      </c>
      <c r="G343" s="207"/>
      <c r="H343" s="210"/>
      <c r="I343" s="79"/>
      <c r="J343" s="210"/>
      <c r="K343" s="210"/>
      <c r="L343" s="210" t="str">
        <f t="shared" si="1"/>
        <v/>
      </c>
      <c r="M343" s="79"/>
      <c r="N343" s="207"/>
      <c r="O343" s="207"/>
      <c r="P343" s="207"/>
      <c r="Q343" s="207"/>
    </row>
    <row r="344" spans="1:17" ht="34.5" customHeight="1">
      <c r="A344" s="82"/>
      <c r="B344" s="205" t="str">
        <f t="shared" si="2"/>
        <v/>
      </c>
      <c r="C344" s="206" t="str">
        <f t="shared" si="3"/>
        <v/>
      </c>
      <c r="D344" s="207" t="str">
        <f t="shared" si="0"/>
        <v/>
      </c>
      <c r="E344" s="207"/>
      <c r="F344" s="205" t="str">
        <f>IF(E344="","",VLOOKUP(E344,'ARAMA LİSTELERİ'!C344:G2383,5,))</f>
        <v/>
      </c>
      <c r="G344" s="207"/>
      <c r="H344" s="210"/>
      <c r="I344" s="79"/>
      <c r="J344" s="210"/>
      <c r="K344" s="210"/>
      <c r="L344" s="210" t="str">
        <f t="shared" si="1"/>
        <v/>
      </c>
      <c r="M344" s="79"/>
      <c r="N344" s="207"/>
      <c r="O344" s="207"/>
      <c r="P344" s="207"/>
      <c r="Q344" s="207"/>
    </row>
    <row r="345" spans="1:17" ht="34.5" customHeight="1">
      <c r="A345" s="82"/>
      <c r="B345" s="205" t="str">
        <f t="shared" si="2"/>
        <v/>
      </c>
      <c r="C345" s="206" t="str">
        <f t="shared" si="3"/>
        <v/>
      </c>
      <c r="D345" s="207" t="str">
        <f t="shared" si="0"/>
        <v/>
      </c>
      <c r="E345" s="207"/>
      <c r="F345" s="205" t="str">
        <f>IF(E345="","",VLOOKUP(E345,'ARAMA LİSTELERİ'!C345:G2384,5,))</f>
        <v/>
      </c>
      <c r="G345" s="207"/>
      <c r="H345" s="210"/>
      <c r="I345" s="79"/>
      <c r="J345" s="210"/>
      <c r="K345" s="210"/>
      <c r="L345" s="210" t="str">
        <f t="shared" si="1"/>
        <v/>
      </c>
      <c r="M345" s="79"/>
      <c r="N345" s="207"/>
      <c r="O345" s="207"/>
      <c r="P345" s="207"/>
      <c r="Q345" s="207"/>
    </row>
    <row r="346" spans="1:17" ht="34.5" customHeight="1">
      <c r="A346" s="82"/>
      <c r="B346" s="205" t="str">
        <f t="shared" si="2"/>
        <v/>
      </c>
      <c r="C346" s="206" t="str">
        <f t="shared" si="3"/>
        <v/>
      </c>
      <c r="D346" s="207" t="str">
        <f t="shared" si="0"/>
        <v/>
      </c>
      <c r="E346" s="207"/>
      <c r="F346" s="205" t="str">
        <f>IF(E346="","",VLOOKUP(E346,'ARAMA LİSTELERİ'!C346:G2385,5,))</f>
        <v/>
      </c>
      <c r="G346" s="207"/>
      <c r="H346" s="210"/>
      <c r="I346" s="79"/>
      <c r="J346" s="210"/>
      <c r="K346" s="210"/>
      <c r="L346" s="210" t="str">
        <f t="shared" si="1"/>
        <v/>
      </c>
      <c r="M346" s="79"/>
      <c r="N346" s="207"/>
      <c r="O346" s="207"/>
      <c r="P346" s="207"/>
      <c r="Q346" s="207"/>
    </row>
    <row r="347" spans="1:17" ht="34.5" customHeight="1">
      <c r="A347" s="82"/>
      <c r="B347" s="205" t="str">
        <f t="shared" si="2"/>
        <v/>
      </c>
      <c r="C347" s="206" t="str">
        <f t="shared" si="3"/>
        <v/>
      </c>
      <c r="D347" s="207" t="str">
        <f t="shared" si="0"/>
        <v/>
      </c>
      <c r="E347" s="207"/>
      <c r="F347" s="205" t="str">
        <f>IF(E347="","",VLOOKUP(E347,'ARAMA LİSTELERİ'!C347:G2386,5,))</f>
        <v/>
      </c>
      <c r="G347" s="207"/>
      <c r="H347" s="210"/>
      <c r="I347" s="79"/>
      <c r="J347" s="210"/>
      <c r="K347" s="210"/>
      <c r="L347" s="210" t="str">
        <f t="shared" si="1"/>
        <v/>
      </c>
      <c r="M347" s="79"/>
      <c r="N347" s="207"/>
      <c r="O347" s="207"/>
      <c r="P347" s="207"/>
      <c r="Q347" s="207"/>
    </row>
    <row r="348" spans="1:17" ht="34.5" customHeight="1">
      <c r="A348" s="82"/>
      <c r="B348" s="205" t="str">
        <f t="shared" si="2"/>
        <v/>
      </c>
      <c r="C348" s="206" t="str">
        <f t="shared" si="3"/>
        <v/>
      </c>
      <c r="D348" s="207" t="str">
        <f t="shared" si="0"/>
        <v/>
      </c>
      <c r="E348" s="207"/>
      <c r="F348" s="205" t="str">
        <f>IF(E348="","",VLOOKUP(E348,'ARAMA LİSTELERİ'!C348:G2387,5,))</f>
        <v/>
      </c>
      <c r="G348" s="207"/>
      <c r="H348" s="210"/>
      <c r="I348" s="79"/>
      <c r="J348" s="210"/>
      <c r="K348" s="210"/>
      <c r="L348" s="210" t="str">
        <f t="shared" si="1"/>
        <v/>
      </c>
      <c r="M348" s="79"/>
      <c r="N348" s="207"/>
      <c r="O348" s="207"/>
      <c r="P348" s="207"/>
      <c r="Q348" s="207"/>
    </row>
    <row r="349" spans="1:17" ht="34.5" customHeight="1">
      <c r="A349" s="82"/>
      <c r="B349" s="205" t="str">
        <f t="shared" si="2"/>
        <v/>
      </c>
      <c r="C349" s="206" t="str">
        <f t="shared" si="3"/>
        <v/>
      </c>
      <c r="D349" s="207" t="str">
        <f t="shared" si="0"/>
        <v/>
      </c>
      <c r="E349" s="207"/>
      <c r="F349" s="205" t="str">
        <f>IF(E349="","",VLOOKUP(E349,'ARAMA LİSTELERİ'!C349:G2388,5,))</f>
        <v/>
      </c>
      <c r="G349" s="207"/>
      <c r="H349" s="210"/>
      <c r="I349" s="79"/>
      <c r="J349" s="210"/>
      <c r="K349" s="210"/>
      <c r="L349" s="210" t="str">
        <f t="shared" si="1"/>
        <v/>
      </c>
      <c r="M349" s="79"/>
      <c r="N349" s="207"/>
      <c r="O349" s="207"/>
      <c r="P349" s="207"/>
      <c r="Q349" s="207"/>
    </row>
    <row r="350" spans="1:17" ht="34.5" customHeight="1">
      <c r="A350" s="82"/>
      <c r="B350" s="205" t="str">
        <f t="shared" si="2"/>
        <v/>
      </c>
      <c r="C350" s="206" t="str">
        <f t="shared" si="3"/>
        <v/>
      </c>
      <c r="D350" s="207" t="str">
        <f t="shared" si="0"/>
        <v/>
      </c>
      <c r="E350" s="207"/>
      <c r="F350" s="205" t="str">
        <f>IF(E350="","",VLOOKUP(E350,'ARAMA LİSTELERİ'!C350:G2389,5,))</f>
        <v/>
      </c>
      <c r="G350" s="207"/>
      <c r="H350" s="210"/>
      <c r="I350" s="79"/>
      <c r="J350" s="210"/>
      <c r="K350" s="210"/>
      <c r="L350" s="210" t="str">
        <f t="shared" si="1"/>
        <v/>
      </c>
      <c r="M350" s="79"/>
      <c r="N350" s="207"/>
      <c r="O350" s="207"/>
      <c r="P350" s="207"/>
      <c r="Q350" s="207"/>
    </row>
    <row r="351" spans="1:17" ht="34.5" customHeight="1">
      <c r="A351" s="82"/>
      <c r="B351" s="205" t="str">
        <f t="shared" si="2"/>
        <v/>
      </c>
      <c r="C351" s="206" t="str">
        <f t="shared" si="3"/>
        <v/>
      </c>
      <c r="D351" s="207" t="str">
        <f t="shared" si="0"/>
        <v/>
      </c>
      <c r="E351" s="207"/>
      <c r="F351" s="205" t="str">
        <f>IF(E351="","",VLOOKUP(E351,'ARAMA LİSTELERİ'!C351:G2390,5,))</f>
        <v/>
      </c>
      <c r="G351" s="207"/>
      <c r="H351" s="210"/>
      <c r="I351" s="79"/>
      <c r="J351" s="210"/>
      <c r="K351" s="210"/>
      <c r="L351" s="210" t="str">
        <f t="shared" si="1"/>
        <v/>
      </c>
      <c r="M351" s="79"/>
      <c r="N351" s="207"/>
      <c r="O351" s="207"/>
      <c r="P351" s="207"/>
      <c r="Q351" s="207"/>
    </row>
    <row r="352" spans="1:17" ht="34.5" customHeight="1">
      <c r="A352" s="82"/>
      <c r="B352" s="205" t="str">
        <f t="shared" si="2"/>
        <v/>
      </c>
      <c r="C352" s="206" t="str">
        <f t="shared" si="3"/>
        <v/>
      </c>
      <c r="D352" s="207" t="str">
        <f t="shared" si="0"/>
        <v/>
      </c>
      <c r="E352" s="207"/>
      <c r="F352" s="205" t="str">
        <f>IF(E352="","",VLOOKUP(E352,'ARAMA LİSTELERİ'!C352:G2391,5,))</f>
        <v/>
      </c>
      <c r="G352" s="207"/>
      <c r="H352" s="210"/>
      <c r="I352" s="79"/>
      <c r="J352" s="210"/>
      <c r="K352" s="210"/>
      <c r="L352" s="210" t="str">
        <f t="shared" si="1"/>
        <v/>
      </c>
      <c r="M352" s="79"/>
      <c r="N352" s="207"/>
      <c r="O352" s="207"/>
      <c r="P352" s="207"/>
      <c r="Q352" s="207"/>
    </row>
    <row r="353" spans="1:17" ht="34.5" customHeight="1">
      <c r="A353" s="82"/>
      <c r="B353" s="205" t="str">
        <f t="shared" si="2"/>
        <v/>
      </c>
      <c r="C353" s="206" t="str">
        <f t="shared" si="3"/>
        <v/>
      </c>
      <c r="D353" s="207" t="str">
        <f t="shared" si="0"/>
        <v/>
      </c>
      <c r="E353" s="207"/>
      <c r="F353" s="205" t="str">
        <f>IF(E353="","",VLOOKUP(E353,'ARAMA LİSTELERİ'!C353:G2392,5,))</f>
        <v/>
      </c>
      <c r="G353" s="207"/>
      <c r="H353" s="210"/>
      <c r="I353" s="79"/>
      <c r="J353" s="210"/>
      <c r="K353" s="210"/>
      <c r="L353" s="210" t="str">
        <f t="shared" si="1"/>
        <v/>
      </c>
      <c r="M353" s="79"/>
      <c r="N353" s="207"/>
      <c r="O353" s="207"/>
      <c r="P353" s="207"/>
      <c r="Q353" s="207"/>
    </row>
    <row r="354" spans="1:17" ht="34.5" customHeight="1">
      <c r="A354" s="82"/>
      <c r="B354" s="205" t="str">
        <f t="shared" si="2"/>
        <v/>
      </c>
      <c r="C354" s="206" t="str">
        <f t="shared" si="3"/>
        <v/>
      </c>
      <c r="D354" s="207" t="str">
        <f t="shared" si="0"/>
        <v/>
      </c>
      <c r="E354" s="207"/>
      <c r="F354" s="205" t="str">
        <f>IF(E354="","",VLOOKUP(E354,'ARAMA LİSTELERİ'!C354:G2393,5,))</f>
        <v/>
      </c>
      <c r="G354" s="207"/>
      <c r="H354" s="210"/>
      <c r="I354" s="79"/>
      <c r="J354" s="210"/>
      <c r="K354" s="210"/>
      <c r="L354" s="210" t="str">
        <f t="shared" si="1"/>
        <v/>
      </c>
      <c r="M354" s="79"/>
      <c r="N354" s="207"/>
      <c r="O354" s="207"/>
      <c r="P354" s="207"/>
      <c r="Q354" s="207"/>
    </row>
    <row r="355" spans="1:17" ht="34.5" customHeight="1">
      <c r="A355" s="82"/>
      <c r="B355" s="205" t="str">
        <f t="shared" si="2"/>
        <v/>
      </c>
      <c r="C355" s="206" t="str">
        <f t="shared" si="3"/>
        <v/>
      </c>
      <c r="D355" s="207" t="str">
        <f t="shared" si="0"/>
        <v/>
      </c>
      <c r="E355" s="207"/>
      <c r="F355" s="205" t="str">
        <f>IF(E355="","",VLOOKUP(E355,'ARAMA LİSTELERİ'!C355:G2394,5,))</f>
        <v/>
      </c>
      <c r="G355" s="207"/>
      <c r="H355" s="210"/>
      <c r="I355" s="79"/>
      <c r="J355" s="210"/>
      <c r="K355" s="210"/>
      <c r="L355" s="210" t="str">
        <f t="shared" si="1"/>
        <v/>
      </c>
      <c r="M355" s="79"/>
      <c r="N355" s="207"/>
      <c r="O355" s="207"/>
      <c r="P355" s="207"/>
      <c r="Q355" s="207"/>
    </row>
    <row r="356" spans="1:17" ht="34.5" customHeight="1">
      <c r="A356" s="82"/>
      <c r="B356" s="205" t="str">
        <f t="shared" si="2"/>
        <v/>
      </c>
      <c r="C356" s="206" t="str">
        <f t="shared" si="3"/>
        <v/>
      </c>
      <c r="D356" s="207" t="str">
        <f t="shared" si="0"/>
        <v/>
      </c>
      <c r="E356" s="207"/>
      <c r="F356" s="205" t="str">
        <f>IF(E356="","",VLOOKUP(E356,'ARAMA LİSTELERİ'!C356:G2395,5,))</f>
        <v/>
      </c>
      <c r="G356" s="207"/>
      <c r="H356" s="210"/>
      <c r="I356" s="79"/>
      <c r="J356" s="210"/>
      <c r="K356" s="210"/>
      <c r="L356" s="210" t="str">
        <f t="shared" si="1"/>
        <v/>
      </c>
      <c r="M356" s="79"/>
      <c r="N356" s="207"/>
      <c r="O356" s="207"/>
      <c r="P356" s="207"/>
      <c r="Q356" s="207"/>
    </row>
    <row r="357" spans="1:17" ht="34.5" customHeight="1">
      <c r="A357" s="82"/>
      <c r="B357" s="205" t="str">
        <f t="shared" si="2"/>
        <v/>
      </c>
      <c r="C357" s="206" t="str">
        <f t="shared" si="3"/>
        <v/>
      </c>
      <c r="D357" s="207" t="str">
        <f t="shared" si="0"/>
        <v/>
      </c>
      <c r="E357" s="207"/>
      <c r="F357" s="205" t="str">
        <f>IF(E357="","",VLOOKUP(E357,'ARAMA LİSTELERİ'!C357:G2396,5,))</f>
        <v/>
      </c>
      <c r="G357" s="207"/>
      <c r="H357" s="210"/>
      <c r="I357" s="79"/>
      <c r="J357" s="210"/>
      <c r="K357" s="210"/>
      <c r="L357" s="210" t="str">
        <f t="shared" si="1"/>
        <v/>
      </c>
      <c r="M357" s="79"/>
      <c r="N357" s="207"/>
      <c r="O357" s="207"/>
      <c r="P357" s="207"/>
      <c r="Q357" s="207"/>
    </row>
    <row r="358" spans="1:17" ht="34.5" customHeight="1">
      <c r="A358" s="82"/>
      <c r="B358" s="205" t="str">
        <f t="shared" si="2"/>
        <v/>
      </c>
      <c r="C358" s="206" t="str">
        <f t="shared" si="3"/>
        <v/>
      </c>
      <c r="D358" s="207" t="str">
        <f t="shared" si="0"/>
        <v/>
      </c>
      <c r="E358" s="207"/>
      <c r="F358" s="205" t="str">
        <f>IF(E358="","",VLOOKUP(E358,'ARAMA LİSTELERİ'!C358:G2397,5,))</f>
        <v/>
      </c>
      <c r="G358" s="207"/>
      <c r="H358" s="210"/>
      <c r="I358" s="79"/>
      <c r="J358" s="210"/>
      <c r="K358" s="210"/>
      <c r="L358" s="210" t="str">
        <f t="shared" si="1"/>
        <v/>
      </c>
      <c r="M358" s="79"/>
      <c r="N358" s="207"/>
      <c r="O358" s="207"/>
      <c r="P358" s="207"/>
      <c r="Q358" s="207"/>
    </row>
    <row r="359" spans="1:17" ht="34.5" customHeight="1">
      <c r="A359" s="82"/>
      <c r="B359" s="205" t="str">
        <f t="shared" si="2"/>
        <v/>
      </c>
      <c r="C359" s="206" t="str">
        <f t="shared" si="3"/>
        <v/>
      </c>
      <c r="D359" s="207" t="str">
        <f t="shared" si="0"/>
        <v/>
      </c>
      <c r="E359" s="207"/>
      <c r="F359" s="205" t="str">
        <f>IF(E359="","",VLOOKUP(E359,'ARAMA LİSTELERİ'!C359:G2398,5,))</f>
        <v/>
      </c>
      <c r="G359" s="207"/>
      <c r="H359" s="210"/>
      <c r="I359" s="79"/>
      <c r="J359" s="210"/>
      <c r="K359" s="210"/>
      <c r="L359" s="210" t="str">
        <f t="shared" si="1"/>
        <v/>
      </c>
      <c r="M359" s="79"/>
      <c r="N359" s="207"/>
      <c r="O359" s="207"/>
      <c r="P359" s="207"/>
      <c r="Q359" s="207"/>
    </row>
    <row r="360" spans="1:17" ht="34.5" customHeight="1">
      <c r="A360" s="82"/>
      <c r="B360" s="205" t="str">
        <f t="shared" si="2"/>
        <v/>
      </c>
      <c r="C360" s="206" t="str">
        <f t="shared" si="3"/>
        <v/>
      </c>
      <c r="D360" s="207" t="str">
        <f t="shared" si="0"/>
        <v/>
      </c>
      <c r="E360" s="207"/>
      <c r="F360" s="205" t="str">
        <f>IF(E360="","",VLOOKUP(E360,'ARAMA LİSTELERİ'!C360:G2399,5,))</f>
        <v/>
      </c>
      <c r="G360" s="207"/>
      <c r="H360" s="210"/>
      <c r="I360" s="79"/>
      <c r="J360" s="210"/>
      <c r="K360" s="210"/>
      <c r="L360" s="210" t="str">
        <f t="shared" si="1"/>
        <v/>
      </c>
      <c r="M360" s="79"/>
      <c r="N360" s="207"/>
      <c r="O360" s="207"/>
      <c r="P360" s="207"/>
      <c r="Q360" s="207"/>
    </row>
    <row r="361" spans="1:17" ht="34.5" customHeight="1">
      <c r="A361" s="82"/>
      <c r="B361" s="205" t="str">
        <f t="shared" si="2"/>
        <v/>
      </c>
      <c r="C361" s="206" t="str">
        <f t="shared" si="3"/>
        <v/>
      </c>
      <c r="D361" s="207" t="str">
        <f t="shared" si="0"/>
        <v/>
      </c>
      <c r="E361" s="207"/>
      <c r="F361" s="205" t="str">
        <f>IF(E361="","",VLOOKUP(E361,'ARAMA LİSTELERİ'!C361:G2400,5,))</f>
        <v/>
      </c>
      <c r="G361" s="207"/>
      <c r="H361" s="210"/>
      <c r="I361" s="79"/>
      <c r="J361" s="210"/>
      <c r="K361" s="210"/>
      <c r="L361" s="210" t="str">
        <f t="shared" si="1"/>
        <v/>
      </c>
      <c r="M361" s="79"/>
      <c r="N361" s="207"/>
      <c r="O361" s="207"/>
      <c r="P361" s="207"/>
      <c r="Q361" s="207"/>
    </row>
    <row r="362" spans="1:17" ht="34.5" customHeight="1">
      <c r="A362" s="82"/>
      <c r="B362" s="205" t="str">
        <f t="shared" si="2"/>
        <v/>
      </c>
      <c r="C362" s="206" t="str">
        <f t="shared" si="3"/>
        <v/>
      </c>
      <c r="D362" s="207" t="str">
        <f t="shared" si="0"/>
        <v/>
      </c>
      <c r="E362" s="207"/>
      <c r="F362" s="205" t="str">
        <f>IF(E362="","",VLOOKUP(E362,'ARAMA LİSTELERİ'!C362:G2401,5,))</f>
        <v/>
      </c>
      <c r="G362" s="207"/>
      <c r="H362" s="210"/>
      <c r="I362" s="79"/>
      <c r="J362" s="210"/>
      <c r="K362" s="210"/>
      <c r="L362" s="210" t="str">
        <f t="shared" si="1"/>
        <v/>
      </c>
      <c r="M362" s="79"/>
      <c r="N362" s="207"/>
      <c r="O362" s="207"/>
      <c r="P362" s="207"/>
      <c r="Q362" s="207"/>
    </row>
    <row r="363" spans="1:17" ht="34.5" customHeight="1">
      <c r="A363" s="82"/>
      <c r="B363" s="205" t="str">
        <f t="shared" si="2"/>
        <v/>
      </c>
      <c r="C363" s="206" t="str">
        <f t="shared" si="3"/>
        <v/>
      </c>
      <c r="D363" s="207" t="str">
        <f t="shared" si="0"/>
        <v/>
      </c>
      <c r="E363" s="207"/>
      <c r="F363" s="205" t="str">
        <f>IF(E363="","",VLOOKUP(E363,'ARAMA LİSTELERİ'!C363:G2402,5,))</f>
        <v/>
      </c>
      <c r="G363" s="207"/>
      <c r="H363" s="210"/>
      <c r="I363" s="79"/>
      <c r="J363" s="210"/>
      <c r="K363" s="210"/>
      <c r="L363" s="210" t="str">
        <f t="shared" si="1"/>
        <v/>
      </c>
      <c r="M363" s="79"/>
      <c r="N363" s="207"/>
      <c r="O363" s="207"/>
      <c r="P363" s="207"/>
      <c r="Q363" s="207"/>
    </row>
    <row r="364" spans="1:17" ht="34.5" customHeight="1">
      <c r="A364" s="82"/>
      <c r="B364" s="205" t="str">
        <f t="shared" si="2"/>
        <v/>
      </c>
      <c r="C364" s="206" t="str">
        <f t="shared" si="3"/>
        <v/>
      </c>
      <c r="D364" s="207" t="str">
        <f t="shared" si="0"/>
        <v/>
      </c>
      <c r="E364" s="207"/>
      <c r="F364" s="205" t="str">
        <f>IF(E364="","",VLOOKUP(E364,'ARAMA LİSTELERİ'!C364:G2403,5,))</f>
        <v/>
      </c>
      <c r="G364" s="207"/>
      <c r="H364" s="210"/>
      <c r="I364" s="79"/>
      <c r="J364" s="210"/>
      <c r="K364" s="210"/>
      <c r="L364" s="210" t="str">
        <f t="shared" si="1"/>
        <v/>
      </c>
      <c r="M364" s="79"/>
      <c r="N364" s="207"/>
      <c r="O364" s="207"/>
      <c r="P364" s="207"/>
      <c r="Q364" s="207"/>
    </row>
    <row r="365" spans="1:17" ht="34.5" customHeight="1">
      <c r="A365" s="82"/>
      <c r="B365" s="205" t="str">
        <f t="shared" si="2"/>
        <v/>
      </c>
      <c r="C365" s="206" t="str">
        <f t="shared" si="3"/>
        <v/>
      </c>
      <c r="D365" s="207" t="str">
        <f t="shared" si="0"/>
        <v/>
      </c>
      <c r="E365" s="207"/>
      <c r="F365" s="205" t="str">
        <f>IF(E365="","",VLOOKUP(E365,'ARAMA LİSTELERİ'!C365:G2404,5,))</f>
        <v/>
      </c>
      <c r="G365" s="207"/>
      <c r="H365" s="210"/>
      <c r="I365" s="79"/>
      <c r="J365" s="210"/>
      <c r="K365" s="210"/>
      <c r="L365" s="210" t="str">
        <f t="shared" si="1"/>
        <v/>
      </c>
      <c r="M365" s="79"/>
      <c r="N365" s="207"/>
      <c r="O365" s="207"/>
      <c r="P365" s="207"/>
      <c r="Q365" s="207"/>
    </row>
    <row r="366" spans="1:17" ht="34.5" customHeight="1">
      <c r="A366" s="82"/>
      <c r="B366" s="205" t="str">
        <f t="shared" si="2"/>
        <v/>
      </c>
      <c r="C366" s="206" t="str">
        <f t="shared" si="3"/>
        <v/>
      </c>
      <c r="D366" s="207" t="str">
        <f t="shared" si="0"/>
        <v/>
      </c>
      <c r="E366" s="207"/>
      <c r="F366" s="205" t="str">
        <f>IF(E366="","",VLOOKUP(E366,'ARAMA LİSTELERİ'!C366:G2405,5,))</f>
        <v/>
      </c>
      <c r="G366" s="207"/>
      <c r="H366" s="210"/>
      <c r="I366" s="79"/>
      <c r="J366" s="210"/>
      <c r="K366" s="210"/>
      <c r="L366" s="210" t="str">
        <f t="shared" si="1"/>
        <v/>
      </c>
      <c r="M366" s="79"/>
      <c r="N366" s="207"/>
      <c r="O366" s="207"/>
      <c r="P366" s="207"/>
      <c r="Q366" s="207"/>
    </row>
    <row r="367" spans="1:17" ht="34.5" customHeight="1">
      <c r="A367" s="82"/>
      <c r="B367" s="205" t="str">
        <f t="shared" si="2"/>
        <v/>
      </c>
      <c r="C367" s="206" t="str">
        <f t="shared" si="3"/>
        <v/>
      </c>
      <c r="D367" s="207" t="str">
        <f t="shared" si="0"/>
        <v/>
      </c>
      <c r="E367" s="207"/>
      <c r="F367" s="205" t="str">
        <f>IF(E367="","",VLOOKUP(E367,'ARAMA LİSTELERİ'!C367:G2406,5,))</f>
        <v/>
      </c>
      <c r="G367" s="207"/>
      <c r="H367" s="210"/>
      <c r="I367" s="79"/>
      <c r="J367" s="210"/>
      <c r="K367" s="210"/>
      <c r="L367" s="210" t="str">
        <f t="shared" si="1"/>
        <v/>
      </c>
      <c r="M367" s="79"/>
      <c r="N367" s="207"/>
      <c r="O367" s="207"/>
      <c r="P367" s="207"/>
      <c r="Q367" s="207"/>
    </row>
    <row r="368" spans="1:17" ht="34.5" customHeight="1">
      <c r="A368" s="82"/>
      <c r="B368" s="205" t="str">
        <f t="shared" si="2"/>
        <v/>
      </c>
      <c r="C368" s="206" t="str">
        <f t="shared" si="3"/>
        <v/>
      </c>
      <c r="D368" s="207" t="str">
        <f t="shared" si="0"/>
        <v/>
      </c>
      <c r="E368" s="207"/>
      <c r="F368" s="205" t="str">
        <f>IF(E368="","",VLOOKUP(E368,'ARAMA LİSTELERİ'!C368:G2407,5,))</f>
        <v/>
      </c>
      <c r="G368" s="207"/>
      <c r="H368" s="210"/>
      <c r="I368" s="79"/>
      <c r="J368" s="210"/>
      <c r="K368" s="210"/>
      <c r="L368" s="210" t="str">
        <f t="shared" si="1"/>
        <v/>
      </c>
      <c r="M368" s="79"/>
      <c r="N368" s="207"/>
      <c r="O368" s="207"/>
      <c r="P368" s="207"/>
      <c r="Q368" s="207"/>
    </row>
    <row r="369" spans="1:17" ht="34.5" customHeight="1">
      <c r="A369" s="82"/>
      <c r="B369" s="205" t="str">
        <f t="shared" si="2"/>
        <v/>
      </c>
      <c r="C369" s="206" t="str">
        <f t="shared" si="3"/>
        <v/>
      </c>
      <c r="D369" s="207" t="str">
        <f t="shared" si="0"/>
        <v/>
      </c>
      <c r="E369" s="207"/>
      <c r="F369" s="205" t="str">
        <f>IF(E369="","",VLOOKUP(E369,'ARAMA LİSTELERİ'!C369:G2408,5,))</f>
        <v/>
      </c>
      <c r="G369" s="207"/>
      <c r="H369" s="210"/>
      <c r="I369" s="79"/>
      <c r="J369" s="210"/>
      <c r="K369" s="210"/>
      <c r="L369" s="210" t="str">
        <f t="shared" si="1"/>
        <v/>
      </c>
      <c r="M369" s="79"/>
      <c r="N369" s="207"/>
      <c r="O369" s="207"/>
      <c r="P369" s="207"/>
      <c r="Q369" s="207"/>
    </row>
    <row r="370" spans="1:17" ht="34.5" customHeight="1">
      <c r="A370" s="82"/>
      <c r="B370" s="205" t="str">
        <f t="shared" si="2"/>
        <v/>
      </c>
      <c r="C370" s="206" t="str">
        <f t="shared" si="3"/>
        <v/>
      </c>
      <c r="D370" s="207" t="str">
        <f t="shared" si="0"/>
        <v/>
      </c>
      <c r="E370" s="207"/>
      <c r="F370" s="205" t="str">
        <f>IF(E370="","",VLOOKUP(E370,'ARAMA LİSTELERİ'!C370:G2409,5,))</f>
        <v/>
      </c>
      <c r="G370" s="207"/>
      <c r="H370" s="210"/>
      <c r="I370" s="79"/>
      <c r="J370" s="210"/>
      <c r="K370" s="210"/>
      <c r="L370" s="210" t="str">
        <f t="shared" si="1"/>
        <v/>
      </c>
      <c r="M370" s="79"/>
      <c r="N370" s="207"/>
      <c r="O370" s="207"/>
      <c r="P370" s="207"/>
      <c r="Q370" s="207"/>
    </row>
    <row r="371" spans="1:17" ht="34.5" customHeight="1">
      <c r="A371" s="82"/>
      <c r="B371" s="205" t="str">
        <f t="shared" si="2"/>
        <v/>
      </c>
      <c r="C371" s="206" t="str">
        <f t="shared" si="3"/>
        <v/>
      </c>
      <c r="D371" s="207" t="str">
        <f t="shared" si="0"/>
        <v/>
      </c>
      <c r="E371" s="207"/>
      <c r="F371" s="205" t="str">
        <f>IF(E371="","",VLOOKUP(E371,'ARAMA LİSTELERİ'!C371:G2410,5,))</f>
        <v/>
      </c>
      <c r="G371" s="207"/>
      <c r="H371" s="210"/>
      <c r="I371" s="79"/>
      <c r="J371" s="210"/>
      <c r="K371" s="210"/>
      <c r="L371" s="210" t="str">
        <f t="shared" si="1"/>
        <v/>
      </c>
      <c r="M371" s="79"/>
      <c r="N371" s="207"/>
      <c r="O371" s="207"/>
      <c r="P371" s="207"/>
      <c r="Q371" s="207"/>
    </row>
    <row r="372" spans="1:17" ht="34.5" customHeight="1">
      <c r="A372" s="82"/>
      <c r="B372" s="205" t="str">
        <f t="shared" si="2"/>
        <v/>
      </c>
      <c r="C372" s="206" t="str">
        <f t="shared" si="3"/>
        <v/>
      </c>
      <c r="D372" s="207" t="str">
        <f t="shared" si="0"/>
        <v/>
      </c>
      <c r="E372" s="207"/>
      <c r="F372" s="205" t="str">
        <f>IF(E372="","",VLOOKUP(E372,'ARAMA LİSTELERİ'!C372:G2411,5,))</f>
        <v/>
      </c>
      <c r="G372" s="207"/>
      <c r="H372" s="210"/>
      <c r="I372" s="79"/>
      <c r="J372" s="210"/>
      <c r="K372" s="210"/>
      <c r="L372" s="210" t="str">
        <f t="shared" si="1"/>
        <v/>
      </c>
      <c r="M372" s="79"/>
      <c r="N372" s="207"/>
      <c r="O372" s="207"/>
      <c r="P372" s="207"/>
      <c r="Q372" s="207"/>
    </row>
    <row r="373" spans="1:17" ht="34.5" customHeight="1">
      <c r="A373" s="82"/>
      <c r="B373" s="205" t="str">
        <f t="shared" si="2"/>
        <v/>
      </c>
      <c r="C373" s="206" t="str">
        <f t="shared" si="3"/>
        <v/>
      </c>
      <c r="D373" s="207" t="str">
        <f t="shared" si="0"/>
        <v/>
      </c>
      <c r="E373" s="207"/>
      <c r="F373" s="205" t="str">
        <f>IF(E373="","",VLOOKUP(E373,'ARAMA LİSTELERİ'!C373:G2412,5,))</f>
        <v/>
      </c>
      <c r="G373" s="207"/>
      <c r="H373" s="210"/>
      <c r="I373" s="79"/>
      <c r="J373" s="210"/>
      <c r="K373" s="210"/>
      <c r="L373" s="210" t="str">
        <f t="shared" si="1"/>
        <v/>
      </c>
      <c r="M373" s="79"/>
      <c r="N373" s="207"/>
      <c r="O373" s="207"/>
      <c r="P373" s="207"/>
      <c r="Q373" s="207"/>
    </row>
    <row r="374" spans="1:17" ht="34.5" customHeight="1">
      <c r="A374" s="82"/>
      <c r="B374" s="205" t="str">
        <f t="shared" si="2"/>
        <v/>
      </c>
      <c r="C374" s="206" t="str">
        <f t="shared" si="3"/>
        <v/>
      </c>
      <c r="D374" s="207" t="str">
        <f t="shared" si="0"/>
        <v/>
      </c>
      <c r="E374" s="207"/>
      <c r="F374" s="205" t="str">
        <f>IF(E374="","",VLOOKUP(E374,'ARAMA LİSTELERİ'!C374:G2413,5,))</f>
        <v/>
      </c>
      <c r="G374" s="207"/>
      <c r="H374" s="210"/>
      <c r="I374" s="79"/>
      <c r="J374" s="210"/>
      <c r="K374" s="210"/>
      <c r="L374" s="210" t="str">
        <f t="shared" si="1"/>
        <v/>
      </c>
      <c r="M374" s="79"/>
      <c r="N374" s="207"/>
      <c r="O374" s="207"/>
      <c r="P374" s="207"/>
      <c r="Q374" s="207"/>
    </row>
    <row r="375" spans="1:17" ht="34.5" customHeight="1">
      <c r="A375" s="82"/>
      <c r="B375" s="205" t="str">
        <f t="shared" si="2"/>
        <v/>
      </c>
      <c r="C375" s="206" t="str">
        <f t="shared" si="3"/>
        <v/>
      </c>
      <c r="D375" s="207" t="str">
        <f t="shared" si="0"/>
        <v/>
      </c>
      <c r="E375" s="207"/>
      <c r="F375" s="205" t="str">
        <f>IF(E375="","",VLOOKUP(E375,'ARAMA LİSTELERİ'!C375:G2414,5,))</f>
        <v/>
      </c>
      <c r="G375" s="207"/>
      <c r="H375" s="210"/>
      <c r="I375" s="79"/>
      <c r="J375" s="210"/>
      <c r="K375" s="210"/>
      <c r="L375" s="210" t="str">
        <f t="shared" si="1"/>
        <v/>
      </c>
      <c r="M375" s="79"/>
      <c r="N375" s="207"/>
      <c r="O375" s="207"/>
      <c r="P375" s="207"/>
      <c r="Q375" s="207"/>
    </row>
    <row r="376" spans="1:17" ht="34.5" customHeight="1">
      <c r="A376" s="82"/>
      <c r="B376" s="205" t="str">
        <f t="shared" si="2"/>
        <v/>
      </c>
      <c r="C376" s="206" t="str">
        <f t="shared" si="3"/>
        <v/>
      </c>
      <c r="D376" s="207" t="str">
        <f t="shared" si="0"/>
        <v/>
      </c>
      <c r="E376" s="207"/>
      <c r="F376" s="205" t="str">
        <f>IF(E376="","",VLOOKUP(E376,'ARAMA LİSTELERİ'!C376:G2415,5,))</f>
        <v/>
      </c>
      <c r="G376" s="207"/>
      <c r="H376" s="210"/>
      <c r="I376" s="79"/>
      <c r="J376" s="210"/>
      <c r="K376" s="210"/>
      <c r="L376" s="210" t="str">
        <f t="shared" si="1"/>
        <v/>
      </c>
      <c r="M376" s="79"/>
      <c r="N376" s="207"/>
      <c r="O376" s="207"/>
      <c r="P376" s="207"/>
      <c r="Q376" s="207"/>
    </row>
    <row r="377" spans="1:17" ht="34.5" customHeight="1">
      <c r="A377" s="82"/>
      <c r="B377" s="205" t="str">
        <f t="shared" si="2"/>
        <v/>
      </c>
      <c r="C377" s="206" t="str">
        <f t="shared" si="3"/>
        <v/>
      </c>
      <c r="D377" s="207" t="str">
        <f t="shared" si="0"/>
        <v/>
      </c>
      <c r="E377" s="207"/>
      <c r="F377" s="205" t="str">
        <f>IF(E377="","",VLOOKUP(E377,'ARAMA LİSTELERİ'!C377:G2416,5,))</f>
        <v/>
      </c>
      <c r="G377" s="207"/>
      <c r="H377" s="210"/>
      <c r="I377" s="79"/>
      <c r="J377" s="210"/>
      <c r="K377" s="210"/>
      <c r="L377" s="210" t="str">
        <f t="shared" si="1"/>
        <v/>
      </c>
      <c r="M377" s="79"/>
      <c r="N377" s="207"/>
      <c r="O377" s="207"/>
      <c r="P377" s="207"/>
      <c r="Q377" s="207"/>
    </row>
    <row r="378" spans="1:17" ht="34.5" customHeight="1">
      <c r="A378" s="82"/>
      <c r="B378" s="205" t="str">
        <f t="shared" si="2"/>
        <v/>
      </c>
      <c r="C378" s="206" t="str">
        <f t="shared" si="3"/>
        <v/>
      </c>
      <c r="D378" s="207" t="str">
        <f t="shared" si="0"/>
        <v/>
      </c>
      <c r="E378" s="207"/>
      <c r="F378" s="205" t="str">
        <f>IF(E378="","",VLOOKUP(E378,'ARAMA LİSTELERİ'!C378:G2417,5,))</f>
        <v/>
      </c>
      <c r="G378" s="207"/>
      <c r="H378" s="210"/>
      <c r="I378" s="79"/>
      <c r="J378" s="210"/>
      <c r="K378" s="210"/>
      <c r="L378" s="210" t="str">
        <f t="shared" si="1"/>
        <v/>
      </c>
      <c r="M378" s="79"/>
      <c r="N378" s="207"/>
      <c r="O378" s="207"/>
      <c r="P378" s="207"/>
      <c r="Q378" s="207"/>
    </row>
    <row r="379" spans="1:17" ht="34.5" customHeight="1">
      <c r="A379" s="82"/>
      <c r="B379" s="205" t="str">
        <f t="shared" si="2"/>
        <v/>
      </c>
      <c r="C379" s="206" t="str">
        <f t="shared" si="3"/>
        <v/>
      </c>
      <c r="D379" s="207" t="str">
        <f t="shared" si="0"/>
        <v/>
      </c>
      <c r="E379" s="207"/>
      <c r="F379" s="205" t="str">
        <f>IF(E379="","",VLOOKUP(E379,'ARAMA LİSTELERİ'!C379:G2418,5,))</f>
        <v/>
      </c>
      <c r="G379" s="207"/>
      <c r="H379" s="210"/>
      <c r="I379" s="79"/>
      <c r="J379" s="210"/>
      <c r="K379" s="210"/>
      <c r="L379" s="210" t="str">
        <f t="shared" si="1"/>
        <v/>
      </c>
      <c r="M379" s="79"/>
      <c r="N379" s="207"/>
      <c r="O379" s="207"/>
      <c r="P379" s="207"/>
      <c r="Q379" s="207"/>
    </row>
    <row r="380" spans="1:17" ht="34.5" customHeight="1">
      <c r="A380" s="82"/>
      <c r="B380" s="205" t="str">
        <f t="shared" si="2"/>
        <v/>
      </c>
      <c r="C380" s="206" t="str">
        <f t="shared" si="3"/>
        <v/>
      </c>
      <c r="D380" s="207" t="str">
        <f t="shared" si="0"/>
        <v/>
      </c>
      <c r="E380" s="207"/>
      <c r="F380" s="205" t="str">
        <f>IF(E380="","",VLOOKUP(E380,'ARAMA LİSTELERİ'!C380:G2419,5,))</f>
        <v/>
      </c>
      <c r="G380" s="207"/>
      <c r="H380" s="210"/>
      <c r="I380" s="79"/>
      <c r="J380" s="210"/>
      <c r="K380" s="210"/>
      <c r="L380" s="210" t="str">
        <f t="shared" si="1"/>
        <v/>
      </c>
      <c r="M380" s="79"/>
      <c r="N380" s="207"/>
      <c r="O380" s="207"/>
      <c r="P380" s="207"/>
      <c r="Q380" s="207"/>
    </row>
    <row r="381" spans="1:17" ht="34.5" customHeight="1">
      <c r="A381" s="82"/>
      <c r="B381" s="205" t="str">
        <f t="shared" si="2"/>
        <v/>
      </c>
      <c r="C381" s="206" t="str">
        <f t="shared" si="3"/>
        <v/>
      </c>
      <c r="D381" s="207" t="str">
        <f t="shared" si="0"/>
        <v/>
      </c>
      <c r="E381" s="207"/>
      <c r="F381" s="205" t="str">
        <f>IF(E381="","",VLOOKUP(E381,'ARAMA LİSTELERİ'!C381:G2420,5,))</f>
        <v/>
      </c>
      <c r="G381" s="207"/>
      <c r="H381" s="210"/>
      <c r="I381" s="79"/>
      <c r="J381" s="210"/>
      <c r="K381" s="210"/>
      <c r="L381" s="210" t="str">
        <f t="shared" si="1"/>
        <v/>
      </c>
      <c r="M381" s="79"/>
      <c r="N381" s="207"/>
      <c r="O381" s="207"/>
      <c r="P381" s="207"/>
      <c r="Q381" s="207"/>
    </row>
    <row r="382" spans="1:17" ht="34.5" customHeight="1">
      <c r="A382" s="82"/>
      <c r="B382" s="205" t="str">
        <f t="shared" si="2"/>
        <v/>
      </c>
      <c r="C382" s="206" t="str">
        <f t="shared" si="3"/>
        <v/>
      </c>
      <c r="D382" s="207" t="str">
        <f t="shared" si="0"/>
        <v/>
      </c>
      <c r="E382" s="207"/>
      <c r="F382" s="205" t="str">
        <f>IF(E382="","",VLOOKUP(E382,'ARAMA LİSTELERİ'!C382:G2421,5,))</f>
        <v/>
      </c>
      <c r="G382" s="207"/>
      <c r="H382" s="210"/>
      <c r="I382" s="79"/>
      <c r="J382" s="210"/>
      <c r="K382" s="210"/>
      <c r="L382" s="210" t="str">
        <f t="shared" si="1"/>
        <v/>
      </c>
      <c r="M382" s="79"/>
      <c r="N382" s="207"/>
      <c r="O382" s="207"/>
      <c r="P382" s="207"/>
      <c r="Q382" s="207"/>
    </row>
    <row r="383" spans="1:17" ht="34.5" customHeight="1">
      <c r="A383" s="82"/>
      <c r="B383" s="205" t="str">
        <f t="shared" si="2"/>
        <v/>
      </c>
      <c r="C383" s="206" t="str">
        <f t="shared" si="3"/>
        <v/>
      </c>
      <c r="D383" s="207" t="str">
        <f t="shared" si="0"/>
        <v/>
      </c>
      <c r="E383" s="207"/>
      <c r="F383" s="205" t="str">
        <f>IF(E383="","",VLOOKUP(E383,'ARAMA LİSTELERİ'!C383:G2422,5,))</f>
        <v/>
      </c>
      <c r="G383" s="207"/>
      <c r="H383" s="210"/>
      <c r="I383" s="79"/>
      <c r="J383" s="210"/>
      <c r="K383" s="210"/>
      <c r="L383" s="210" t="str">
        <f t="shared" si="1"/>
        <v/>
      </c>
      <c r="M383" s="79"/>
      <c r="N383" s="207"/>
      <c r="O383" s="207"/>
      <c r="P383" s="207"/>
      <c r="Q383" s="207"/>
    </row>
    <row r="384" spans="1:17" ht="34.5" customHeight="1">
      <c r="A384" s="82"/>
      <c r="B384" s="205" t="str">
        <f t="shared" si="2"/>
        <v/>
      </c>
      <c r="C384" s="206" t="str">
        <f t="shared" si="3"/>
        <v/>
      </c>
      <c r="D384" s="207" t="str">
        <f t="shared" si="0"/>
        <v/>
      </c>
      <c r="E384" s="207"/>
      <c r="F384" s="205" t="str">
        <f>IF(E384="","",VLOOKUP(E384,'ARAMA LİSTELERİ'!C384:G2423,5,))</f>
        <v/>
      </c>
      <c r="G384" s="207"/>
      <c r="H384" s="210"/>
      <c r="I384" s="79"/>
      <c r="J384" s="210"/>
      <c r="K384" s="210"/>
      <c r="L384" s="210" t="str">
        <f t="shared" si="1"/>
        <v/>
      </c>
      <c r="M384" s="79"/>
      <c r="N384" s="207"/>
      <c r="O384" s="207"/>
      <c r="P384" s="207"/>
      <c r="Q384" s="207"/>
    </row>
    <row r="385" spans="1:17" ht="34.5" customHeight="1">
      <c r="A385" s="82"/>
      <c r="B385" s="205" t="str">
        <f t="shared" si="2"/>
        <v/>
      </c>
      <c r="C385" s="206" t="str">
        <f t="shared" si="3"/>
        <v/>
      </c>
      <c r="D385" s="207" t="str">
        <f t="shared" si="0"/>
        <v/>
      </c>
      <c r="E385" s="207"/>
      <c r="F385" s="205" t="str">
        <f>IF(E385="","",VLOOKUP(E385,'ARAMA LİSTELERİ'!C385:G2424,5,))</f>
        <v/>
      </c>
      <c r="G385" s="207"/>
      <c r="H385" s="210"/>
      <c r="I385" s="79"/>
      <c r="J385" s="210"/>
      <c r="K385" s="210"/>
      <c r="L385" s="210" t="str">
        <f t="shared" si="1"/>
        <v/>
      </c>
      <c r="M385" s="79"/>
      <c r="N385" s="207"/>
      <c r="O385" s="207"/>
      <c r="P385" s="207"/>
      <c r="Q385" s="207"/>
    </row>
    <row r="386" spans="1:17" ht="34.5" customHeight="1">
      <c r="A386" s="82"/>
      <c r="B386" s="205" t="str">
        <f t="shared" si="2"/>
        <v/>
      </c>
      <c r="C386" s="206" t="str">
        <f t="shared" si="3"/>
        <v/>
      </c>
      <c r="D386" s="207" t="str">
        <f t="shared" si="0"/>
        <v/>
      </c>
      <c r="E386" s="207"/>
      <c r="F386" s="205" t="str">
        <f>IF(E386="","",VLOOKUP(E386,'ARAMA LİSTELERİ'!C386:G2425,5,))</f>
        <v/>
      </c>
      <c r="G386" s="207"/>
      <c r="H386" s="210"/>
      <c r="I386" s="79"/>
      <c r="J386" s="210"/>
      <c r="K386" s="210"/>
      <c r="L386" s="210" t="str">
        <f t="shared" si="1"/>
        <v/>
      </c>
      <c r="M386" s="79"/>
      <c r="N386" s="207"/>
      <c r="O386" s="207"/>
      <c r="P386" s="207"/>
      <c r="Q386" s="207"/>
    </row>
    <row r="387" spans="1:17" ht="34.5" customHeight="1">
      <c r="A387" s="82"/>
      <c r="B387" s="205" t="str">
        <f t="shared" si="2"/>
        <v/>
      </c>
      <c r="C387" s="206" t="str">
        <f t="shared" si="3"/>
        <v/>
      </c>
      <c r="D387" s="207" t="str">
        <f t="shared" si="0"/>
        <v/>
      </c>
      <c r="E387" s="207"/>
      <c r="F387" s="205" t="str">
        <f>IF(E387="","",VLOOKUP(E387,'ARAMA LİSTELERİ'!C387:G2426,5,))</f>
        <v/>
      </c>
      <c r="G387" s="207"/>
      <c r="H387" s="210"/>
      <c r="I387" s="79"/>
      <c r="J387" s="210"/>
      <c r="K387" s="210"/>
      <c r="L387" s="210" t="str">
        <f t="shared" si="1"/>
        <v/>
      </c>
      <c r="M387" s="79"/>
      <c r="N387" s="207"/>
      <c r="O387" s="207"/>
      <c r="P387" s="207"/>
      <c r="Q387" s="207"/>
    </row>
    <row r="388" spans="1:17" ht="34.5" customHeight="1">
      <c r="A388" s="82"/>
      <c r="B388" s="205" t="str">
        <f t="shared" si="2"/>
        <v/>
      </c>
      <c r="C388" s="206" t="str">
        <f t="shared" si="3"/>
        <v/>
      </c>
      <c r="D388" s="207" t="str">
        <f t="shared" si="0"/>
        <v/>
      </c>
      <c r="E388" s="207"/>
      <c r="F388" s="205" t="str">
        <f>IF(E388="","",VLOOKUP(E388,'ARAMA LİSTELERİ'!C388:G2427,5,))</f>
        <v/>
      </c>
      <c r="G388" s="207"/>
      <c r="H388" s="210"/>
      <c r="I388" s="79"/>
      <c r="J388" s="210"/>
      <c r="K388" s="210"/>
      <c r="L388" s="210" t="str">
        <f t="shared" si="1"/>
        <v/>
      </c>
      <c r="M388" s="79"/>
      <c r="N388" s="207"/>
      <c r="O388" s="207"/>
      <c r="P388" s="207"/>
      <c r="Q388" s="207"/>
    </row>
    <row r="389" spans="1:17" ht="34.5" customHeight="1">
      <c r="A389" s="82"/>
      <c r="B389" s="205" t="str">
        <f t="shared" si="2"/>
        <v/>
      </c>
      <c r="C389" s="206" t="str">
        <f t="shared" si="3"/>
        <v/>
      </c>
      <c r="D389" s="207" t="str">
        <f t="shared" si="0"/>
        <v/>
      </c>
      <c r="E389" s="207"/>
      <c r="F389" s="205" t="str">
        <f>IF(E389="","",VLOOKUP(E389,'ARAMA LİSTELERİ'!C389:G2428,5,))</f>
        <v/>
      </c>
      <c r="G389" s="207"/>
      <c r="H389" s="210"/>
      <c r="I389" s="79"/>
      <c r="J389" s="210"/>
      <c r="K389" s="210"/>
      <c r="L389" s="210" t="str">
        <f t="shared" si="1"/>
        <v/>
      </c>
      <c r="M389" s="79"/>
      <c r="N389" s="207"/>
      <c r="O389" s="207"/>
      <c r="P389" s="207"/>
      <c r="Q389" s="207"/>
    </row>
    <row r="390" spans="1:17" ht="34.5" customHeight="1">
      <c r="A390" s="82"/>
      <c r="B390" s="205" t="str">
        <f t="shared" si="2"/>
        <v/>
      </c>
      <c r="C390" s="206" t="str">
        <f t="shared" si="3"/>
        <v/>
      </c>
      <c r="D390" s="207" t="str">
        <f t="shared" si="0"/>
        <v/>
      </c>
      <c r="E390" s="207"/>
      <c r="F390" s="205" t="str">
        <f>IF(E390="","",VLOOKUP(E390,'ARAMA LİSTELERİ'!C390:G2429,5,))</f>
        <v/>
      </c>
      <c r="G390" s="207"/>
      <c r="H390" s="210"/>
      <c r="I390" s="79"/>
      <c r="J390" s="210"/>
      <c r="K390" s="210"/>
      <c r="L390" s="210" t="str">
        <f t="shared" si="1"/>
        <v/>
      </c>
      <c r="M390" s="79"/>
      <c r="N390" s="207"/>
      <c r="O390" s="207"/>
      <c r="P390" s="207"/>
      <c r="Q390" s="207"/>
    </row>
    <row r="391" spans="1:17" ht="34.5" customHeight="1">
      <c r="A391" s="82"/>
      <c r="B391" s="205" t="str">
        <f t="shared" si="2"/>
        <v/>
      </c>
      <c r="C391" s="206" t="str">
        <f t="shared" si="3"/>
        <v/>
      </c>
      <c r="D391" s="207" t="str">
        <f t="shared" si="0"/>
        <v/>
      </c>
      <c r="E391" s="207"/>
      <c r="F391" s="205" t="str">
        <f>IF(E391="","",VLOOKUP(E391,'ARAMA LİSTELERİ'!C391:G2430,5,))</f>
        <v/>
      </c>
      <c r="G391" s="207"/>
      <c r="H391" s="210"/>
      <c r="I391" s="79"/>
      <c r="J391" s="210"/>
      <c r="K391" s="210"/>
      <c r="L391" s="210" t="str">
        <f t="shared" si="1"/>
        <v/>
      </c>
      <c r="M391" s="79"/>
      <c r="N391" s="207"/>
      <c r="O391" s="207"/>
      <c r="P391" s="207"/>
      <c r="Q391" s="207"/>
    </row>
    <row r="392" spans="1:17" ht="34.5" customHeight="1">
      <c r="A392" s="82"/>
      <c r="B392" s="205" t="str">
        <f t="shared" si="2"/>
        <v/>
      </c>
      <c r="C392" s="206" t="str">
        <f t="shared" si="3"/>
        <v/>
      </c>
      <c r="D392" s="207" t="str">
        <f t="shared" si="0"/>
        <v/>
      </c>
      <c r="E392" s="207"/>
      <c r="F392" s="205" t="str">
        <f>IF(E392="","",VLOOKUP(E392,'ARAMA LİSTELERİ'!C392:G2431,5,))</f>
        <v/>
      </c>
      <c r="G392" s="207"/>
      <c r="H392" s="210"/>
      <c r="I392" s="79"/>
      <c r="J392" s="210"/>
      <c r="K392" s="210"/>
      <c r="L392" s="210" t="str">
        <f t="shared" si="1"/>
        <v/>
      </c>
      <c r="M392" s="79"/>
      <c r="N392" s="207"/>
      <c r="O392" s="207"/>
      <c r="P392" s="207"/>
      <c r="Q392" s="207"/>
    </row>
    <row r="393" spans="1:17" ht="34.5" customHeight="1">
      <c r="A393" s="82"/>
      <c r="B393" s="205" t="str">
        <f t="shared" si="2"/>
        <v/>
      </c>
      <c r="C393" s="206" t="str">
        <f t="shared" si="3"/>
        <v/>
      </c>
      <c r="D393" s="207" t="str">
        <f t="shared" si="0"/>
        <v/>
      </c>
      <c r="E393" s="207"/>
      <c r="F393" s="205" t="str">
        <f>IF(E393="","",VLOOKUP(E393,'ARAMA LİSTELERİ'!C393:G2432,5,))</f>
        <v/>
      </c>
      <c r="G393" s="207"/>
      <c r="H393" s="210"/>
      <c r="I393" s="79"/>
      <c r="J393" s="210"/>
      <c r="K393" s="210"/>
      <c r="L393" s="210" t="str">
        <f t="shared" si="1"/>
        <v/>
      </c>
      <c r="M393" s="79"/>
      <c r="N393" s="207"/>
      <c r="O393" s="207"/>
      <c r="P393" s="207"/>
      <c r="Q393" s="207"/>
    </row>
    <row r="394" spans="1:17" ht="34.5" customHeight="1">
      <c r="A394" s="82"/>
      <c r="B394" s="205" t="str">
        <f t="shared" si="2"/>
        <v/>
      </c>
      <c r="C394" s="206" t="str">
        <f t="shared" si="3"/>
        <v/>
      </c>
      <c r="D394" s="207" t="str">
        <f t="shared" si="0"/>
        <v/>
      </c>
      <c r="E394" s="207"/>
      <c r="F394" s="205" t="str">
        <f>IF(E394="","",VLOOKUP(E394,'ARAMA LİSTELERİ'!C394:G2433,5,))</f>
        <v/>
      </c>
      <c r="G394" s="207"/>
      <c r="H394" s="210"/>
      <c r="I394" s="79"/>
      <c r="J394" s="210"/>
      <c r="K394" s="210"/>
      <c r="L394" s="210" t="str">
        <f t="shared" si="1"/>
        <v/>
      </c>
      <c r="M394" s="79"/>
      <c r="N394" s="207"/>
      <c r="O394" s="207"/>
      <c r="P394" s="207"/>
      <c r="Q394" s="207"/>
    </row>
    <row r="395" spans="1:17" ht="34.5" customHeight="1">
      <c r="A395" s="82"/>
      <c r="B395" s="205" t="str">
        <f t="shared" si="2"/>
        <v/>
      </c>
      <c r="C395" s="206" t="str">
        <f t="shared" si="3"/>
        <v/>
      </c>
      <c r="D395" s="207" t="str">
        <f t="shared" si="0"/>
        <v/>
      </c>
      <c r="E395" s="207"/>
      <c r="F395" s="205" t="str">
        <f>IF(E395="","",VLOOKUP(E395,'ARAMA LİSTELERİ'!C395:G2434,5,))</f>
        <v/>
      </c>
      <c r="G395" s="207"/>
      <c r="H395" s="210"/>
      <c r="I395" s="79"/>
      <c r="J395" s="210"/>
      <c r="K395" s="210"/>
      <c r="L395" s="210" t="str">
        <f t="shared" si="1"/>
        <v/>
      </c>
      <c r="M395" s="79"/>
      <c r="N395" s="207"/>
      <c r="O395" s="207"/>
      <c r="P395" s="207"/>
      <c r="Q395" s="207"/>
    </row>
    <row r="396" spans="1:17" ht="34.5" customHeight="1">
      <c r="A396" s="82"/>
      <c r="B396" s="205" t="str">
        <f t="shared" si="2"/>
        <v/>
      </c>
      <c r="C396" s="206" t="str">
        <f t="shared" si="3"/>
        <v/>
      </c>
      <c r="D396" s="207" t="str">
        <f t="shared" si="0"/>
        <v/>
      </c>
      <c r="E396" s="207"/>
      <c r="F396" s="205" t="str">
        <f>IF(E396="","",VLOOKUP(E396,'ARAMA LİSTELERİ'!C396:G2435,5,))</f>
        <v/>
      </c>
      <c r="G396" s="207"/>
      <c r="H396" s="210"/>
      <c r="I396" s="79"/>
      <c r="J396" s="210"/>
      <c r="K396" s="210"/>
      <c r="L396" s="210" t="str">
        <f t="shared" si="1"/>
        <v/>
      </c>
      <c r="M396" s="79"/>
      <c r="N396" s="207"/>
      <c r="O396" s="207"/>
      <c r="P396" s="207"/>
      <c r="Q396" s="207"/>
    </row>
    <row r="397" spans="1:17" ht="34.5" customHeight="1">
      <c r="A397" s="82"/>
      <c r="B397" s="205" t="str">
        <f t="shared" si="2"/>
        <v/>
      </c>
      <c r="C397" s="206" t="str">
        <f t="shared" si="3"/>
        <v/>
      </c>
      <c r="D397" s="207" t="str">
        <f t="shared" si="0"/>
        <v/>
      </c>
      <c r="E397" s="207"/>
      <c r="F397" s="205" t="str">
        <f>IF(E397="","",VLOOKUP(E397,'ARAMA LİSTELERİ'!C397:G2436,5,))</f>
        <v/>
      </c>
      <c r="G397" s="207"/>
      <c r="H397" s="210"/>
      <c r="I397" s="79"/>
      <c r="J397" s="210"/>
      <c r="K397" s="210"/>
      <c r="L397" s="210" t="str">
        <f t="shared" si="1"/>
        <v/>
      </c>
      <c r="M397" s="79"/>
      <c r="N397" s="207"/>
      <c r="O397" s="207"/>
      <c r="P397" s="207"/>
      <c r="Q397" s="207"/>
    </row>
    <row r="398" spans="1:17" ht="34.5" customHeight="1">
      <c r="A398" s="82"/>
      <c r="B398" s="205" t="str">
        <f t="shared" si="2"/>
        <v/>
      </c>
      <c r="C398" s="206" t="str">
        <f t="shared" si="3"/>
        <v/>
      </c>
      <c r="D398" s="207" t="str">
        <f t="shared" si="0"/>
        <v/>
      </c>
      <c r="E398" s="207"/>
      <c r="F398" s="205" t="str">
        <f>IF(E398="","",VLOOKUP(E398,'ARAMA LİSTELERİ'!C398:G2437,5,))</f>
        <v/>
      </c>
      <c r="G398" s="207"/>
      <c r="H398" s="210"/>
      <c r="I398" s="79"/>
      <c r="J398" s="210"/>
      <c r="K398" s="210"/>
      <c r="L398" s="210" t="str">
        <f t="shared" si="1"/>
        <v/>
      </c>
      <c r="M398" s="79"/>
      <c r="N398" s="207"/>
      <c r="O398" s="207"/>
      <c r="P398" s="207"/>
      <c r="Q398" s="207"/>
    </row>
    <row r="399" spans="1:17" ht="34.5" customHeight="1">
      <c r="A399" s="82"/>
      <c r="B399" s="205" t="str">
        <f t="shared" si="2"/>
        <v/>
      </c>
      <c r="C399" s="206" t="str">
        <f t="shared" si="3"/>
        <v/>
      </c>
      <c r="D399" s="207" t="str">
        <f t="shared" si="0"/>
        <v/>
      </c>
      <c r="E399" s="207"/>
      <c r="F399" s="205" t="str">
        <f>IF(E399="","",VLOOKUP(E399,'ARAMA LİSTELERİ'!C399:G2438,5,))</f>
        <v/>
      </c>
      <c r="G399" s="207"/>
      <c r="H399" s="210"/>
      <c r="I399" s="79"/>
      <c r="J399" s="210"/>
      <c r="K399" s="210"/>
      <c r="L399" s="210" t="str">
        <f t="shared" si="1"/>
        <v/>
      </c>
      <c r="M399" s="79"/>
      <c r="N399" s="207"/>
      <c r="O399" s="207"/>
      <c r="P399" s="207"/>
      <c r="Q399" s="207"/>
    </row>
    <row r="400" spans="1:17" ht="34.5" customHeight="1">
      <c r="A400" s="82"/>
      <c r="B400" s="205" t="str">
        <f t="shared" si="2"/>
        <v/>
      </c>
      <c r="C400" s="206" t="str">
        <f t="shared" si="3"/>
        <v/>
      </c>
      <c r="D400" s="207" t="str">
        <f t="shared" si="0"/>
        <v/>
      </c>
      <c r="E400" s="207"/>
      <c r="F400" s="205" t="str">
        <f>IF(E400="","",VLOOKUP(E400,'ARAMA LİSTELERİ'!C400:G2439,5,))</f>
        <v/>
      </c>
      <c r="G400" s="207"/>
      <c r="H400" s="210"/>
      <c r="I400" s="79"/>
      <c r="J400" s="210"/>
      <c r="K400" s="210"/>
      <c r="L400" s="210" t="str">
        <f t="shared" si="1"/>
        <v/>
      </c>
      <c r="M400" s="79"/>
      <c r="N400" s="207"/>
      <c r="O400" s="207"/>
      <c r="P400" s="207"/>
      <c r="Q400" s="207"/>
    </row>
    <row r="401" spans="1:17" ht="34.5" customHeight="1">
      <c r="A401" s="82"/>
      <c r="B401" s="205" t="str">
        <f t="shared" si="2"/>
        <v/>
      </c>
      <c r="C401" s="206" t="str">
        <f t="shared" si="3"/>
        <v/>
      </c>
      <c r="D401" s="207" t="str">
        <f t="shared" si="0"/>
        <v/>
      </c>
      <c r="E401" s="207"/>
      <c r="F401" s="205" t="str">
        <f>IF(E401="","",VLOOKUP(E401,'ARAMA LİSTELERİ'!C401:G2440,5,))</f>
        <v/>
      </c>
      <c r="G401" s="207"/>
      <c r="H401" s="210"/>
      <c r="I401" s="79"/>
      <c r="J401" s="210"/>
      <c r="K401" s="210"/>
      <c r="L401" s="210" t="str">
        <f t="shared" si="1"/>
        <v/>
      </c>
      <c r="M401" s="79"/>
      <c r="N401" s="207"/>
      <c r="O401" s="207"/>
      <c r="P401" s="207"/>
      <c r="Q401" s="207"/>
    </row>
    <row r="402" spans="1:17" ht="34.5" customHeight="1">
      <c r="A402" s="82"/>
      <c r="B402" s="205" t="str">
        <f t="shared" si="2"/>
        <v/>
      </c>
      <c r="C402" s="206" t="str">
        <f t="shared" si="3"/>
        <v/>
      </c>
      <c r="D402" s="207" t="str">
        <f t="shared" si="0"/>
        <v/>
      </c>
      <c r="E402" s="207"/>
      <c r="F402" s="205" t="str">
        <f>IF(E402="","",VLOOKUP(E402,'ARAMA LİSTELERİ'!C402:G2441,5,))</f>
        <v/>
      </c>
      <c r="G402" s="207"/>
      <c r="H402" s="210"/>
      <c r="I402" s="79"/>
      <c r="J402" s="210"/>
      <c r="K402" s="210"/>
      <c r="L402" s="210" t="str">
        <f t="shared" si="1"/>
        <v/>
      </c>
      <c r="M402" s="79"/>
      <c r="N402" s="207"/>
      <c r="O402" s="207"/>
      <c r="P402" s="207"/>
      <c r="Q402" s="207"/>
    </row>
    <row r="403" spans="1:17" ht="34.5" customHeight="1">
      <c r="A403" s="82"/>
      <c r="B403" s="205" t="str">
        <f t="shared" si="2"/>
        <v/>
      </c>
      <c r="C403" s="206" t="str">
        <f t="shared" si="3"/>
        <v/>
      </c>
      <c r="D403" s="207" t="str">
        <f t="shared" si="0"/>
        <v/>
      </c>
      <c r="E403" s="207"/>
      <c r="F403" s="205" t="str">
        <f>IF(E403="","",VLOOKUP(E403,'ARAMA LİSTELERİ'!C403:G2442,5,))</f>
        <v/>
      </c>
      <c r="G403" s="207"/>
      <c r="H403" s="210"/>
      <c r="I403" s="79"/>
      <c r="J403" s="210"/>
      <c r="K403" s="210"/>
      <c r="L403" s="210" t="str">
        <f t="shared" si="1"/>
        <v/>
      </c>
      <c r="M403" s="79"/>
      <c r="N403" s="207"/>
      <c r="O403" s="207"/>
      <c r="P403" s="207"/>
      <c r="Q403" s="207"/>
    </row>
    <row r="404" spans="1:17" ht="34.5" customHeight="1">
      <c r="A404" s="82"/>
      <c r="B404" s="205" t="str">
        <f t="shared" si="2"/>
        <v/>
      </c>
      <c r="C404" s="206" t="str">
        <f t="shared" si="3"/>
        <v/>
      </c>
      <c r="D404" s="207" t="str">
        <f t="shared" si="0"/>
        <v/>
      </c>
      <c r="E404" s="207"/>
      <c r="F404" s="205" t="str">
        <f>IF(E404="","",VLOOKUP(E404,'ARAMA LİSTELERİ'!C404:G2443,5,))</f>
        <v/>
      </c>
      <c r="G404" s="207"/>
      <c r="H404" s="210"/>
      <c r="I404" s="79"/>
      <c r="J404" s="210"/>
      <c r="K404" s="210"/>
      <c r="L404" s="210" t="str">
        <f t="shared" si="1"/>
        <v/>
      </c>
      <c r="M404" s="79"/>
      <c r="N404" s="207"/>
      <c r="O404" s="207"/>
      <c r="P404" s="207"/>
      <c r="Q404" s="207"/>
    </row>
    <row r="405" spans="1:17" ht="34.5" customHeight="1">
      <c r="A405" s="82"/>
      <c r="B405" s="205" t="str">
        <f t="shared" si="2"/>
        <v/>
      </c>
      <c r="C405" s="206" t="str">
        <f t="shared" si="3"/>
        <v/>
      </c>
      <c r="D405" s="207" t="str">
        <f t="shared" si="0"/>
        <v/>
      </c>
      <c r="E405" s="207"/>
      <c r="F405" s="205" t="str">
        <f>IF(E405="","",VLOOKUP(E405,'ARAMA LİSTELERİ'!C405:G2444,5,))</f>
        <v/>
      </c>
      <c r="G405" s="207"/>
      <c r="H405" s="210"/>
      <c r="I405" s="79"/>
      <c r="J405" s="210"/>
      <c r="K405" s="210"/>
      <c r="L405" s="210" t="str">
        <f t="shared" si="1"/>
        <v/>
      </c>
      <c r="M405" s="79"/>
      <c r="N405" s="207"/>
      <c r="O405" s="207"/>
      <c r="P405" s="207"/>
      <c r="Q405" s="207"/>
    </row>
    <row r="406" spans="1:17" ht="34.5" customHeight="1">
      <c r="A406" s="82"/>
      <c r="B406" s="205" t="str">
        <f t="shared" si="2"/>
        <v/>
      </c>
      <c r="C406" s="206" t="str">
        <f t="shared" si="3"/>
        <v/>
      </c>
      <c r="D406" s="207" t="str">
        <f t="shared" si="0"/>
        <v/>
      </c>
      <c r="E406" s="207"/>
      <c r="F406" s="205" t="str">
        <f>IF(E406="","",VLOOKUP(E406,'ARAMA LİSTELERİ'!C406:G2445,5,))</f>
        <v/>
      </c>
      <c r="G406" s="207"/>
      <c r="H406" s="210"/>
      <c r="I406" s="79"/>
      <c r="J406" s="210"/>
      <c r="K406" s="210"/>
      <c r="L406" s="210" t="str">
        <f t="shared" si="1"/>
        <v/>
      </c>
      <c r="M406" s="79"/>
      <c r="N406" s="207"/>
      <c r="O406" s="207"/>
      <c r="P406" s="207"/>
      <c r="Q406" s="207"/>
    </row>
    <row r="407" spans="1:17" ht="34.5" customHeight="1">
      <c r="A407" s="82"/>
      <c r="B407" s="205" t="str">
        <f t="shared" si="2"/>
        <v/>
      </c>
      <c r="C407" s="206" t="str">
        <f t="shared" si="3"/>
        <v/>
      </c>
      <c r="D407" s="207" t="str">
        <f t="shared" si="0"/>
        <v/>
      </c>
      <c r="E407" s="207"/>
      <c r="F407" s="205" t="str">
        <f>IF(E407="","",VLOOKUP(E407,'ARAMA LİSTELERİ'!C407:G2446,5,))</f>
        <v/>
      </c>
      <c r="G407" s="207"/>
      <c r="H407" s="210"/>
      <c r="I407" s="79"/>
      <c r="J407" s="210"/>
      <c r="K407" s="210"/>
      <c r="L407" s="210" t="str">
        <f t="shared" si="1"/>
        <v/>
      </c>
      <c r="M407" s="79"/>
      <c r="N407" s="207"/>
      <c r="O407" s="207"/>
      <c r="P407" s="207"/>
      <c r="Q407" s="207"/>
    </row>
    <row r="408" spans="1:17" ht="34.5" customHeight="1">
      <c r="A408" s="82"/>
      <c r="B408" s="205" t="str">
        <f t="shared" si="2"/>
        <v/>
      </c>
      <c r="C408" s="206" t="str">
        <f t="shared" si="3"/>
        <v/>
      </c>
      <c r="D408" s="207" t="str">
        <f t="shared" si="0"/>
        <v/>
      </c>
      <c r="E408" s="207"/>
      <c r="F408" s="205" t="str">
        <f>IF(E408="","",VLOOKUP(E408,'ARAMA LİSTELERİ'!C408:G2447,5,))</f>
        <v/>
      </c>
      <c r="G408" s="207"/>
      <c r="H408" s="210"/>
      <c r="I408" s="79"/>
      <c r="J408" s="210"/>
      <c r="K408" s="210"/>
      <c r="L408" s="210" t="str">
        <f t="shared" si="1"/>
        <v/>
      </c>
      <c r="M408" s="79"/>
      <c r="N408" s="207"/>
      <c r="O408" s="207"/>
      <c r="P408" s="207"/>
      <c r="Q408" s="207"/>
    </row>
    <row r="409" spans="1:17" ht="34.5" customHeight="1">
      <c r="A409" s="82"/>
      <c r="B409" s="205" t="str">
        <f t="shared" si="2"/>
        <v/>
      </c>
      <c r="C409" s="206" t="str">
        <f t="shared" si="3"/>
        <v/>
      </c>
      <c r="D409" s="207" t="str">
        <f t="shared" si="0"/>
        <v/>
      </c>
      <c r="E409" s="207"/>
      <c r="F409" s="205" t="str">
        <f>IF(E409="","",VLOOKUP(E409,'ARAMA LİSTELERİ'!C409:G2448,5,))</f>
        <v/>
      </c>
      <c r="G409" s="207"/>
      <c r="H409" s="210"/>
      <c r="I409" s="79"/>
      <c r="J409" s="210"/>
      <c r="K409" s="210"/>
      <c r="L409" s="210" t="str">
        <f t="shared" si="1"/>
        <v/>
      </c>
      <c r="M409" s="79"/>
      <c r="N409" s="207"/>
      <c r="O409" s="207"/>
      <c r="P409" s="207"/>
      <c r="Q409" s="207"/>
    </row>
    <row r="410" spans="1:17" ht="34.5" customHeight="1">
      <c r="A410" s="82"/>
      <c r="B410" s="205" t="str">
        <f t="shared" si="2"/>
        <v/>
      </c>
      <c r="C410" s="206" t="str">
        <f t="shared" si="3"/>
        <v/>
      </c>
      <c r="D410" s="207" t="str">
        <f t="shared" si="0"/>
        <v/>
      </c>
      <c r="E410" s="207"/>
      <c r="F410" s="205" t="str">
        <f>IF(E410="","",VLOOKUP(E410,'ARAMA LİSTELERİ'!C410:G2449,5,))</f>
        <v/>
      </c>
      <c r="G410" s="207"/>
      <c r="H410" s="210"/>
      <c r="I410" s="79"/>
      <c r="J410" s="210"/>
      <c r="K410" s="210"/>
      <c r="L410" s="210" t="str">
        <f t="shared" si="1"/>
        <v/>
      </c>
      <c r="M410" s="79"/>
      <c r="N410" s="207"/>
      <c r="O410" s="207"/>
      <c r="P410" s="207"/>
      <c r="Q410" s="207"/>
    </row>
    <row r="411" spans="1:17" ht="34.5" customHeight="1">
      <c r="A411" s="82"/>
      <c r="B411" s="205" t="str">
        <f t="shared" si="2"/>
        <v/>
      </c>
      <c r="C411" s="206" t="str">
        <f t="shared" si="3"/>
        <v/>
      </c>
      <c r="D411" s="207" t="str">
        <f t="shared" si="0"/>
        <v/>
      </c>
      <c r="E411" s="207"/>
      <c r="F411" s="205" t="str">
        <f>IF(E411="","",VLOOKUP(E411,'ARAMA LİSTELERİ'!C411:G2450,5,))</f>
        <v/>
      </c>
      <c r="G411" s="207"/>
      <c r="H411" s="210"/>
      <c r="I411" s="79"/>
      <c r="J411" s="210"/>
      <c r="K411" s="210"/>
      <c r="L411" s="210" t="str">
        <f t="shared" si="1"/>
        <v/>
      </c>
      <c r="M411" s="79"/>
      <c r="N411" s="207"/>
      <c r="O411" s="207"/>
      <c r="P411" s="207"/>
      <c r="Q411" s="207"/>
    </row>
    <row r="412" spans="1:17" ht="34.5" customHeight="1">
      <c r="A412" s="82"/>
      <c r="B412" s="205" t="str">
        <f t="shared" si="2"/>
        <v/>
      </c>
      <c r="C412" s="206" t="str">
        <f t="shared" si="3"/>
        <v/>
      </c>
      <c r="D412" s="207" t="str">
        <f t="shared" si="0"/>
        <v/>
      </c>
      <c r="E412" s="207"/>
      <c r="F412" s="205" t="str">
        <f>IF(E412="","",VLOOKUP(E412,'ARAMA LİSTELERİ'!C412:G2451,5,))</f>
        <v/>
      </c>
      <c r="G412" s="207"/>
      <c r="H412" s="210"/>
      <c r="I412" s="79"/>
      <c r="J412" s="210"/>
      <c r="K412" s="210"/>
      <c r="L412" s="210" t="str">
        <f t="shared" si="1"/>
        <v/>
      </c>
      <c r="M412" s="79"/>
      <c r="N412" s="207"/>
      <c r="O412" s="207"/>
      <c r="P412" s="207"/>
      <c r="Q412" s="207"/>
    </row>
    <row r="413" spans="1:17" ht="34.5" customHeight="1">
      <c r="A413" s="82"/>
      <c r="B413" s="205" t="str">
        <f t="shared" si="2"/>
        <v/>
      </c>
      <c r="C413" s="206" t="str">
        <f t="shared" si="3"/>
        <v/>
      </c>
      <c r="D413" s="207" t="str">
        <f t="shared" si="0"/>
        <v/>
      </c>
      <c r="E413" s="207"/>
      <c r="F413" s="205" t="str">
        <f>IF(E413="","",VLOOKUP(E413,'ARAMA LİSTELERİ'!C413:G2452,5,))</f>
        <v/>
      </c>
      <c r="G413" s="207"/>
      <c r="H413" s="210"/>
      <c r="I413" s="79"/>
      <c r="J413" s="210"/>
      <c r="K413" s="210"/>
      <c r="L413" s="210" t="str">
        <f t="shared" si="1"/>
        <v/>
      </c>
      <c r="M413" s="79"/>
      <c r="N413" s="207"/>
      <c r="O413" s="207"/>
      <c r="P413" s="207"/>
      <c r="Q413" s="207"/>
    </row>
    <row r="414" spans="1:17" ht="34.5" customHeight="1">
      <c r="A414" s="82"/>
      <c r="B414" s="205" t="str">
        <f t="shared" si="2"/>
        <v/>
      </c>
      <c r="C414" s="206" t="str">
        <f t="shared" si="3"/>
        <v/>
      </c>
      <c r="D414" s="207" t="str">
        <f t="shared" si="0"/>
        <v/>
      </c>
      <c r="E414" s="207"/>
      <c r="F414" s="205" t="str">
        <f>IF(E414="","",VLOOKUP(E414,'ARAMA LİSTELERİ'!C414:G2453,5,))</f>
        <v/>
      </c>
      <c r="G414" s="207"/>
      <c r="H414" s="210"/>
      <c r="I414" s="79"/>
      <c r="J414" s="210"/>
      <c r="K414" s="210"/>
      <c r="L414" s="210" t="str">
        <f t="shared" si="1"/>
        <v/>
      </c>
      <c r="M414" s="79"/>
      <c r="N414" s="207"/>
      <c r="O414" s="207"/>
      <c r="P414" s="207"/>
      <c r="Q414" s="207"/>
    </row>
    <row r="415" spans="1:17" ht="34.5" customHeight="1">
      <c r="A415" s="82"/>
      <c r="B415" s="205" t="str">
        <f t="shared" si="2"/>
        <v/>
      </c>
      <c r="C415" s="206" t="str">
        <f t="shared" si="3"/>
        <v/>
      </c>
      <c r="D415" s="207" t="str">
        <f t="shared" si="0"/>
        <v/>
      </c>
      <c r="E415" s="207"/>
      <c r="F415" s="205" t="str">
        <f>IF(E415="","",VLOOKUP(E415,'ARAMA LİSTELERİ'!C415:G2454,5,))</f>
        <v/>
      </c>
      <c r="G415" s="207"/>
      <c r="H415" s="210"/>
      <c r="I415" s="79"/>
      <c r="J415" s="210"/>
      <c r="K415" s="210"/>
      <c r="L415" s="210" t="str">
        <f t="shared" si="1"/>
        <v/>
      </c>
      <c r="M415" s="79"/>
      <c r="N415" s="207"/>
      <c r="O415" s="207"/>
      <c r="P415" s="207"/>
      <c r="Q415" s="207"/>
    </row>
    <row r="416" spans="1:17" ht="34.5" customHeight="1">
      <c r="A416" s="82"/>
      <c r="B416" s="205" t="str">
        <f t="shared" si="2"/>
        <v/>
      </c>
      <c r="C416" s="206" t="str">
        <f t="shared" si="3"/>
        <v/>
      </c>
      <c r="D416" s="207" t="str">
        <f t="shared" si="0"/>
        <v/>
      </c>
      <c r="E416" s="207"/>
      <c r="F416" s="205" t="str">
        <f>IF(E416="","",VLOOKUP(E416,'ARAMA LİSTELERİ'!C416:G2455,5,))</f>
        <v/>
      </c>
      <c r="G416" s="207"/>
      <c r="H416" s="210"/>
      <c r="I416" s="79"/>
      <c r="J416" s="210"/>
      <c r="K416" s="210"/>
      <c r="L416" s="210" t="str">
        <f t="shared" si="1"/>
        <v/>
      </c>
      <c r="M416" s="79"/>
      <c r="N416" s="207"/>
      <c r="O416" s="207"/>
      <c r="P416" s="207"/>
      <c r="Q416" s="207"/>
    </row>
    <row r="417" spans="1:17" ht="34.5" customHeight="1">
      <c r="A417" s="82"/>
      <c r="B417" s="205" t="str">
        <f t="shared" si="2"/>
        <v/>
      </c>
      <c r="C417" s="206" t="str">
        <f t="shared" si="3"/>
        <v/>
      </c>
      <c r="D417" s="207" t="str">
        <f t="shared" si="0"/>
        <v/>
      </c>
      <c r="E417" s="207"/>
      <c r="F417" s="205" t="str">
        <f>IF(E417="","",VLOOKUP(E417,'ARAMA LİSTELERİ'!C417:G2456,5,))</f>
        <v/>
      </c>
      <c r="G417" s="207"/>
      <c r="H417" s="210"/>
      <c r="I417" s="79"/>
      <c r="J417" s="210"/>
      <c r="K417" s="210"/>
      <c r="L417" s="210" t="str">
        <f t="shared" si="1"/>
        <v/>
      </c>
      <c r="M417" s="79"/>
      <c r="N417" s="207"/>
      <c r="O417" s="207"/>
      <c r="P417" s="207"/>
      <c r="Q417" s="207"/>
    </row>
    <row r="418" spans="1:17" ht="34.5" customHeight="1">
      <c r="A418" s="82"/>
      <c r="B418" s="205" t="str">
        <f t="shared" si="2"/>
        <v/>
      </c>
      <c r="C418" s="206" t="str">
        <f t="shared" si="3"/>
        <v/>
      </c>
      <c r="D418" s="207" t="str">
        <f t="shared" si="0"/>
        <v/>
      </c>
      <c r="E418" s="207"/>
      <c r="F418" s="205" t="str">
        <f>IF(E418="","",VLOOKUP(E418,'ARAMA LİSTELERİ'!C418:G2457,5,))</f>
        <v/>
      </c>
      <c r="G418" s="207"/>
      <c r="H418" s="210"/>
      <c r="I418" s="79"/>
      <c r="J418" s="210"/>
      <c r="K418" s="210"/>
      <c r="L418" s="210" t="str">
        <f t="shared" si="1"/>
        <v/>
      </c>
      <c r="M418" s="79"/>
      <c r="N418" s="207"/>
      <c r="O418" s="207"/>
      <c r="P418" s="207"/>
      <c r="Q418" s="207"/>
    </row>
    <row r="419" spans="1:17" ht="34.5" customHeight="1">
      <c r="A419" s="82"/>
      <c r="B419" s="205" t="str">
        <f t="shared" si="2"/>
        <v/>
      </c>
      <c r="C419" s="206" t="str">
        <f t="shared" si="3"/>
        <v/>
      </c>
      <c r="D419" s="207" t="str">
        <f t="shared" si="0"/>
        <v/>
      </c>
      <c r="E419" s="207"/>
      <c r="F419" s="205" t="str">
        <f>IF(E419="","",VLOOKUP(E419,'ARAMA LİSTELERİ'!C419:G2458,5,))</f>
        <v/>
      </c>
      <c r="G419" s="207"/>
      <c r="H419" s="210"/>
      <c r="I419" s="79"/>
      <c r="J419" s="210"/>
      <c r="K419" s="210"/>
      <c r="L419" s="210" t="str">
        <f t="shared" si="1"/>
        <v/>
      </c>
      <c r="M419" s="79"/>
      <c r="N419" s="207"/>
      <c r="O419" s="207"/>
      <c r="P419" s="207"/>
      <c r="Q419" s="207"/>
    </row>
    <row r="420" spans="1:17" ht="34.5" customHeight="1">
      <c r="A420" s="82"/>
      <c r="B420" s="205" t="str">
        <f t="shared" si="2"/>
        <v/>
      </c>
      <c r="C420" s="206" t="str">
        <f t="shared" si="3"/>
        <v/>
      </c>
      <c r="D420" s="207" t="str">
        <f t="shared" si="0"/>
        <v/>
      </c>
      <c r="E420" s="207"/>
      <c r="F420" s="205" t="str">
        <f>IF(E420="","",VLOOKUP(E420,'ARAMA LİSTELERİ'!C420:G2459,5,))</f>
        <v/>
      </c>
      <c r="G420" s="207"/>
      <c r="H420" s="210"/>
      <c r="I420" s="79"/>
      <c r="J420" s="210"/>
      <c r="K420" s="210"/>
      <c r="L420" s="210" t="str">
        <f t="shared" si="1"/>
        <v/>
      </c>
      <c r="M420" s="79"/>
      <c r="N420" s="207"/>
      <c r="O420" s="207"/>
      <c r="P420" s="207"/>
      <c r="Q420" s="207"/>
    </row>
    <row r="421" spans="1:17" ht="34.5" customHeight="1">
      <c r="A421" s="82"/>
      <c r="B421" s="205" t="str">
        <f t="shared" si="2"/>
        <v/>
      </c>
      <c r="C421" s="206" t="str">
        <f t="shared" si="3"/>
        <v/>
      </c>
      <c r="D421" s="207" t="str">
        <f t="shared" si="0"/>
        <v/>
      </c>
      <c r="E421" s="207"/>
      <c r="F421" s="205" t="str">
        <f>IF(E421="","",VLOOKUP(E421,'ARAMA LİSTELERİ'!C421:G2460,5,))</f>
        <v/>
      </c>
      <c r="G421" s="207"/>
      <c r="H421" s="210"/>
      <c r="I421" s="79"/>
      <c r="J421" s="210"/>
      <c r="K421" s="210"/>
      <c r="L421" s="210" t="str">
        <f t="shared" si="1"/>
        <v/>
      </c>
      <c r="M421" s="79"/>
      <c r="N421" s="207"/>
      <c r="O421" s="207"/>
      <c r="P421" s="207"/>
      <c r="Q421" s="207"/>
    </row>
    <row r="422" spans="1:17" ht="34.5" customHeight="1">
      <c r="A422" s="82"/>
      <c r="B422" s="205" t="str">
        <f t="shared" si="2"/>
        <v/>
      </c>
      <c r="C422" s="206" t="str">
        <f t="shared" si="3"/>
        <v/>
      </c>
      <c r="D422" s="207" t="str">
        <f t="shared" si="0"/>
        <v/>
      </c>
      <c r="E422" s="207"/>
      <c r="F422" s="205" t="str">
        <f>IF(E422="","",VLOOKUP(E422,'ARAMA LİSTELERİ'!C422:G2461,5,))</f>
        <v/>
      </c>
      <c r="G422" s="207"/>
      <c r="H422" s="210"/>
      <c r="I422" s="79"/>
      <c r="J422" s="210"/>
      <c r="K422" s="210"/>
      <c r="L422" s="210" t="str">
        <f t="shared" si="1"/>
        <v/>
      </c>
      <c r="M422" s="79"/>
      <c r="N422" s="207"/>
      <c r="O422" s="207"/>
      <c r="P422" s="207"/>
      <c r="Q422" s="207"/>
    </row>
    <row r="423" spans="1:17" ht="34.5" customHeight="1">
      <c r="A423" s="82"/>
      <c r="B423" s="205" t="str">
        <f t="shared" si="2"/>
        <v/>
      </c>
      <c r="C423" s="206" t="str">
        <f t="shared" si="3"/>
        <v/>
      </c>
      <c r="D423" s="207" t="str">
        <f t="shared" si="0"/>
        <v/>
      </c>
      <c r="E423" s="207"/>
      <c r="F423" s="205" t="str">
        <f>IF(E423="","",VLOOKUP(E423,'ARAMA LİSTELERİ'!C423:G2462,5,))</f>
        <v/>
      </c>
      <c r="G423" s="207"/>
      <c r="H423" s="210"/>
      <c r="I423" s="79"/>
      <c r="J423" s="210"/>
      <c r="K423" s="210"/>
      <c r="L423" s="210" t="str">
        <f t="shared" si="1"/>
        <v/>
      </c>
      <c r="M423" s="79"/>
      <c r="N423" s="207"/>
      <c r="O423" s="207"/>
      <c r="P423" s="207"/>
      <c r="Q423" s="207"/>
    </row>
    <row r="424" spans="1:17" ht="34.5" customHeight="1">
      <c r="A424" s="82"/>
      <c r="B424" s="205" t="str">
        <f t="shared" si="2"/>
        <v/>
      </c>
      <c r="C424" s="206" t="str">
        <f t="shared" si="3"/>
        <v/>
      </c>
      <c r="D424" s="207" t="str">
        <f t="shared" si="0"/>
        <v/>
      </c>
      <c r="E424" s="207"/>
      <c r="F424" s="205" t="str">
        <f>IF(E424="","",VLOOKUP(E424,'ARAMA LİSTELERİ'!C424:G2463,5,))</f>
        <v/>
      </c>
      <c r="G424" s="207"/>
      <c r="H424" s="210"/>
      <c r="I424" s="79"/>
      <c r="J424" s="210"/>
      <c r="K424" s="210"/>
      <c r="L424" s="210" t="str">
        <f t="shared" si="1"/>
        <v/>
      </c>
      <c r="M424" s="79"/>
      <c r="N424" s="207"/>
      <c r="O424" s="207"/>
      <c r="P424" s="207"/>
      <c r="Q424" s="207"/>
    </row>
    <row r="425" spans="1:17" ht="34.5" customHeight="1">
      <c r="A425" s="82"/>
      <c r="B425" s="205" t="str">
        <f t="shared" si="2"/>
        <v/>
      </c>
      <c r="C425" s="206" t="str">
        <f t="shared" si="3"/>
        <v/>
      </c>
      <c r="D425" s="207" t="str">
        <f t="shared" si="0"/>
        <v/>
      </c>
      <c r="E425" s="207"/>
      <c r="F425" s="205" t="str">
        <f>IF(E425="","",VLOOKUP(E425,'ARAMA LİSTELERİ'!C425:G2464,5,))</f>
        <v/>
      </c>
      <c r="G425" s="207"/>
      <c r="H425" s="210"/>
      <c r="I425" s="79"/>
      <c r="J425" s="210"/>
      <c r="K425" s="210"/>
      <c r="L425" s="210" t="str">
        <f t="shared" si="1"/>
        <v/>
      </c>
      <c r="M425" s="79"/>
      <c r="N425" s="207"/>
      <c r="O425" s="207"/>
      <c r="P425" s="207"/>
      <c r="Q425" s="207"/>
    </row>
    <row r="426" spans="1:17" ht="34.5" customHeight="1">
      <c r="A426" s="82"/>
      <c r="B426" s="205" t="str">
        <f t="shared" si="2"/>
        <v/>
      </c>
      <c r="C426" s="206" t="str">
        <f t="shared" si="3"/>
        <v/>
      </c>
      <c r="D426" s="207" t="str">
        <f t="shared" si="0"/>
        <v/>
      </c>
      <c r="E426" s="207"/>
      <c r="F426" s="205" t="str">
        <f>IF(E426="","",VLOOKUP(E426,'ARAMA LİSTELERİ'!C426:G2465,5,))</f>
        <v/>
      </c>
      <c r="G426" s="207"/>
      <c r="H426" s="210"/>
      <c r="I426" s="79"/>
      <c r="J426" s="210"/>
      <c r="K426" s="210"/>
      <c r="L426" s="210" t="str">
        <f t="shared" si="1"/>
        <v/>
      </c>
      <c r="M426" s="79"/>
      <c r="N426" s="207"/>
      <c r="O426" s="207"/>
      <c r="P426" s="207"/>
      <c r="Q426" s="207"/>
    </row>
    <row r="427" spans="1:17" ht="34.5" customHeight="1">
      <c r="A427" s="82"/>
      <c r="B427" s="205" t="str">
        <f t="shared" si="2"/>
        <v/>
      </c>
      <c r="C427" s="206" t="str">
        <f t="shared" si="3"/>
        <v/>
      </c>
      <c r="D427" s="207" t="str">
        <f t="shared" si="0"/>
        <v/>
      </c>
      <c r="E427" s="207"/>
      <c r="F427" s="205" t="str">
        <f>IF(E427="","",VLOOKUP(E427,'ARAMA LİSTELERİ'!C427:G2466,5,))</f>
        <v/>
      </c>
      <c r="G427" s="207"/>
      <c r="H427" s="210"/>
      <c r="I427" s="79"/>
      <c r="J427" s="210"/>
      <c r="K427" s="210"/>
      <c r="L427" s="210" t="str">
        <f t="shared" si="1"/>
        <v/>
      </c>
      <c r="M427" s="79"/>
      <c r="N427" s="207"/>
      <c r="O427" s="207"/>
      <c r="P427" s="207"/>
      <c r="Q427" s="207"/>
    </row>
    <row r="428" spans="1:17" ht="34.5" customHeight="1">
      <c r="A428" s="82"/>
      <c r="B428" s="205" t="str">
        <f t="shared" si="2"/>
        <v/>
      </c>
      <c r="C428" s="206" t="str">
        <f t="shared" si="3"/>
        <v/>
      </c>
      <c r="D428" s="207" t="str">
        <f t="shared" si="0"/>
        <v/>
      </c>
      <c r="E428" s="207"/>
      <c r="F428" s="205" t="str">
        <f>IF(E428="","",VLOOKUP(E428,'ARAMA LİSTELERİ'!C428:G2467,5,))</f>
        <v/>
      </c>
      <c r="G428" s="207"/>
      <c r="H428" s="210"/>
      <c r="I428" s="79"/>
      <c r="J428" s="210"/>
      <c r="K428" s="210"/>
      <c r="L428" s="210" t="str">
        <f t="shared" si="1"/>
        <v/>
      </c>
      <c r="M428" s="79"/>
      <c r="N428" s="207"/>
      <c r="O428" s="207"/>
      <c r="P428" s="207"/>
      <c r="Q428" s="207"/>
    </row>
    <row r="429" spans="1:17" ht="34.5" customHeight="1">
      <c r="A429" s="82"/>
      <c r="B429" s="205" t="str">
        <f t="shared" si="2"/>
        <v/>
      </c>
      <c r="C429" s="206" t="str">
        <f t="shared" si="3"/>
        <v/>
      </c>
      <c r="D429" s="207" t="str">
        <f t="shared" si="0"/>
        <v/>
      </c>
      <c r="E429" s="207"/>
      <c r="F429" s="205" t="str">
        <f>IF(E429="","",VLOOKUP(E429,'ARAMA LİSTELERİ'!C429:G2468,5,))</f>
        <v/>
      </c>
      <c r="G429" s="207"/>
      <c r="H429" s="210"/>
      <c r="I429" s="79"/>
      <c r="J429" s="210"/>
      <c r="K429" s="210"/>
      <c r="L429" s="210" t="str">
        <f t="shared" si="1"/>
        <v/>
      </c>
      <c r="M429" s="79"/>
      <c r="N429" s="207"/>
      <c r="O429" s="207"/>
      <c r="P429" s="207"/>
      <c r="Q429" s="207"/>
    </row>
    <row r="430" spans="1:17" ht="34.5" customHeight="1">
      <c r="A430" s="82"/>
      <c r="B430" s="205" t="str">
        <f t="shared" si="2"/>
        <v/>
      </c>
      <c r="C430" s="206" t="str">
        <f t="shared" si="3"/>
        <v/>
      </c>
      <c r="D430" s="207" t="str">
        <f t="shared" si="0"/>
        <v/>
      </c>
      <c r="E430" s="207"/>
      <c r="F430" s="205" t="str">
        <f>IF(E430="","",VLOOKUP(E430,'ARAMA LİSTELERİ'!C430:G2469,5,))</f>
        <v/>
      </c>
      <c r="G430" s="207"/>
      <c r="H430" s="210"/>
      <c r="I430" s="79"/>
      <c r="J430" s="210"/>
      <c r="K430" s="210"/>
      <c r="L430" s="210" t="str">
        <f t="shared" si="1"/>
        <v/>
      </c>
      <c r="M430" s="79"/>
      <c r="N430" s="207"/>
      <c r="O430" s="207"/>
      <c r="P430" s="207"/>
      <c r="Q430" s="207"/>
    </row>
    <row r="431" spans="1:17" ht="34.5" customHeight="1">
      <c r="A431" s="82"/>
      <c r="B431" s="205" t="str">
        <f t="shared" si="2"/>
        <v/>
      </c>
      <c r="C431" s="206" t="str">
        <f t="shared" si="3"/>
        <v/>
      </c>
      <c r="D431" s="207" t="str">
        <f t="shared" si="0"/>
        <v/>
      </c>
      <c r="E431" s="207"/>
      <c r="F431" s="205" t="str">
        <f>IF(E431="","",VLOOKUP(E431,'ARAMA LİSTELERİ'!C431:G2470,5,))</f>
        <v/>
      </c>
      <c r="G431" s="207"/>
      <c r="H431" s="210"/>
      <c r="I431" s="79"/>
      <c r="J431" s="210"/>
      <c r="K431" s="210"/>
      <c r="L431" s="210" t="str">
        <f t="shared" si="1"/>
        <v/>
      </c>
      <c r="M431" s="79"/>
      <c r="N431" s="207"/>
      <c r="O431" s="207"/>
      <c r="P431" s="207"/>
      <c r="Q431" s="207"/>
    </row>
    <row r="432" spans="1:17" ht="34.5" customHeight="1">
      <c r="A432" s="82"/>
      <c r="B432" s="205" t="str">
        <f t="shared" si="2"/>
        <v/>
      </c>
      <c r="C432" s="206" t="str">
        <f t="shared" si="3"/>
        <v/>
      </c>
      <c r="D432" s="207" t="str">
        <f t="shared" si="0"/>
        <v/>
      </c>
      <c r="E432" s="207"/>
      <c r="F432" s="205" t="str">
        <f>IF(E432="","",VLOOKUP(E432,'ARAMA LİSTELERİ'!C432:G2471,5,))</f>
        <v/>
      </c>
      <c r="G432" s="207"/>
      <c r="H432" s="210"/>
      <c r="I432" s="79"/>
      <c r="J432" s="210"/>
      <c r="K432" s="210"/>
      <c r="L432" s="210" t="str">
        <f t="shared" si="1"/>
        <v/>
      </c>
      <c r="M432" s="79"/>
      <c r="N432" s="207"/>
      <c r="O432" s="207"/>
      <c r="P432" s="207"/>
      <c r="Q432" s="207"/>
    </row>
    <row r="433" spans="1:17" ht="34.5" customHeight="1">
      <c r="A433" s="82"/>
      <c r="B433" s="205" t="str">
        <f t="shared" si="2"/>
        <v/>
      </c>
      <c r="C433" s="206" t="str">
        <f t="shared" si="3"/>
        <v/>
      </c>
      <c r="D433" s="207" t="str">
        <f t="shared" si="0"/>
        <v/>
      </c>
      <c r="E433" s="207"/>
      <c r="F433" s="205" t="str">
        <f>IF(E433="","",VLOOKUP(E433,'ARAMA LİSTELERİ'!C433:G2472,5,))</f>
        <v/>
      </c>
      <c r="G433" s="207"/>
      <c r="H433" s="210"/>
      <c r="I433" s="79"/>
      <c r="J433" s="210"/>
      <c r="K433" s="210"/>
      <c r="L433" s="210" t="str">
        <f t="shared" si="1"/>
        <v/>
      </c>
      <c r="M433" s="79"/>
      <c r="N433" s="207"/>
      <c r="O433" s="207"/>
      <c r="P433" s="207"/>
      <c r="Q433" s="207"/>
    </row>
    <row r="434" spans="1:17" ht="34.5" customHeight="1">
      <c r="A434" s="82"/>
      <c r="B434" s="205" t="str">
        <f t="shared" si="2"/>
        <v/>
      </c>
      <c r="C434" s="206" t="str">
        <f t="shared" si="3"/>
        <v/>
      </c>
      <c r="D434" s="207" t="str">
        <f t="shared" si="0"/>
        <v/>
      </c>
      <c r="E434" s="207"/>
      <c r="F434" s="205" t="str">
        <f>IF(E434="","",VLOOKUP(E434,'ARAMA LİSTELERİ'!C434:G2473,5,))</f>
        <v/>
      </c>
      <c r="G434" s="207"/>
      <c r="H434" s="210"/>
      <c r="I434" s="79"/>
      <c r="J434" s="210"/>
      <c r="K434" s="210"/>
      <c r="L434" s="210" t="str">
        <f t="shared" si="1"/>
        <v/>
      </c>
      <c r="M434" s="79"/>
      <c r="N434" s="207"/>
      <c r="O434" s="207"/>
      <c r="P434" s="207"/>
      <c r="Q434" s="207"/>
    </row>
    <row r="435" spans="1:17" ht="34.5" customHeight="1">
      <c r="A435" s="82"/>
      <c r="B435" s="205" t="str">
        <f t="shared" si="2"/>
        <v/>
      </c>
      <c r="C435" s="206" t="str">
        <f t="shared" si="3"/>
        <v/>
      </c>
      <c r="D435" s="207" t="str">
        <f t="shared" si="0"/>
        <v/>
      </c>
      <c r="E435" s="207"/>
      <c r="F435" s="205" t="str">
        <f>IF(E435="","",VLOOKUP(E435,'ARAMA LİSTELERİ'!C435:G2474,5,))</f>
        <v/>
      </c>
      <c r="G435" s="207"/>
      <c r="H435" s="210"/>
      <c r="I435" s="79"/>
      <c r="J435" s="210"/>
      <c r="K435" s="210"/>
      <c r="L435" s="210" t="str">
        <f t="shared" si="1"/>
        <v/>
      </c>
      <c r="M435" s="79"/>
      <c r="N435" s="207"/>
      <c r="O435" s="207"/>
      <c r="P435" s="207"/>
      <c r="Q435" s="207"/>
    </row>
    <row r="436" spans="1:17" ht="34.5" customHeight="1">
      <c r="A436" s="82"/>
      <c r="B436" s="205" t="str">
        <f t="shared" si="2"/>
        <v/>
      </c>
      <c r="C436" s="206" t="str">
        <f t="shared" si="3"/>
        <v/>
      </c>
      <c r="D436" s="207" t="str">
        <f t="shared" si="0"/>
        <v/>
      </c>
      <c r="E436" s="207"/>
      <c r="F436" s="205" t="str">
        <f>IF(E436="","",VLOOKUP(E436,'ARAMA LİSTELERİ'!C436:G2475,5,))</f>
        <v/>
      </c>
      <c r="G436" s="207"/>
      <c r="H436" s="210"/>
      <c r="I436" s="79"/>
      <c r="J436" s="210"/>
      <c r="K436" s="210"/>
      <c r="L436" s="210" t="str">
        <f t="shared" si="1"/>
        <v/>
      </c>
      <c r="M436" s="79"/>
      <c r="N436" s="207"/>
      <c r="O436" s="207"/>
      <c r="P436" s="207"/>
      <c r="Q436" s="207"/>
    </row>
    <row r="437" spans="1:17" ht="34.5" customHeight="1">
      <c r="A437" s="82"/>
      <c r="B437" s="205" t="str">
        <f t="shared" si="2"/>
        <v/>
      </c>
      <c r="C437" s="206" t="str">
        <f t="shared" si="3"/>
        <v/>
      </c>
      <c r="D437" s="207" t="str">
        <f t="shared" si="0"/>
        <v/>
      </c>
      <c r="E437" s="207"/>
      <c r="F437" s="205" t="str">
        <f>IF(E437="","",VLOOKUP(E437,'ARAMA LİSTELERİ'!C437:G2476,5,))</f>
        <v/>
      </c>
      <c r="G437" s="207"/>
      <c r="H437" s="210"/>
      <c r="I437" s="79"/>
      <c r="J437" s="210"/>
      <c r="K437" s="210"/>
      <c r="L437" s="210" t="str">
        <f t="shared" si="1"/>
        <v/>
      </c>
      <c r="M437" s="79"/>
      <c r="N437" s="207"/>
      <c r="O437" s="207"/>
      <c r="P437" s="207"/>
      <c r="Q437" s="207"/>
    </row>
    <row r="438" spans="1:17" ht="34.5" customHeight="1">
      <c r="A438" s="82"/>
      <c r="B438" s="205" t="str">
        <f t="shared" si="2"/>
        <v/>
      </c>
      <c r="C438" s="206" t="str">
        <f t="shared" si="3"/>
        <v/>
      </c>
      <c r="D438" s="207" t="str">
        <f t="shared" si="0"/>
        <v/>
      </c>
      <c r="E438" s="207"/>
      <c r="F438" s="205" t="str">
        <f>IF(E438="","",VLOOKUP(E438,'ARAMA LİSTELERİ'!C438:G2477,5,))</f>
        <v/>
      </c>
      <c r="G438" s="207"/>
      <c r="H438" s="210"/>
      <c r="I438" s="79"/>
      <c r="J438" s="210"/>
      <c r="K438" s="210"/>
      <c r="L438" s="210" t="str">
        <f t="shared" si="1"/>
        <v/>
      </c>
      <c r="M438" s="79"/>
      <c r="N438" s="207"/>
      <c r="O438" s="207"/>
      <c r="P438" s="207"/>
      <c r="Q438" s="207"/>
    </row>
    <row r="439" spans="1:17" ht="34.5" customHeight="1">
      <c r="A439" s="82"/>
      <c r="B439" s="205" t="str">
        <f t="shared" si="2"/>
        <v/>
      </c>
      <c r="C439" s="206" t="str">
        <f t="shared" si="3"/>
        <v/>
      </c>
      <c r="D439" s="207" t="str">
        <f t="shared" si="0"/>
        <v/>
      </c>
      <c r="E439" s="207"/>
      <c r="F439" s="205" t="str">
        <f>IF(E439="","",VLOOKUP(E439,'ARAMA LİSTELERİ'!C439:G2478,5,))</f>
        <v/>
      </c>
      <c r="G439" s="207"/>
      <c r="H439" s="210"/>
      <c r="I439" s="79"/>
      <c r="J439" s="210"/>
      <c r="K439" s="210"/>
      <c r="L439" s="210" t="str">
        <f t="shared" si="1"/>
        <v/>
      </c>
      <c r="M439" s="79"/>
      <c r="N439" s="207"/>
      <c r="O439" s="207"/>
      <c r="P439" s="207"/>
      <c r="Q439" s="207"/>
    </row>
    <row r="440" spans="1:17" ht="34.5" customHeight="1">
      <c r="A440" s="82"/>
      <c r="B440" s="205" t="str">
        <f t="shared" si="2"/>
        <v/>
      </c>
      <c r="C440" s="206" t="str">
        <f t="shared" si="3"/>
        <v/>
      </c>
      <c r="D440" s="207" t="str">
        <f t="shared" si="0"/>
        <v/>
      </c>
      <c r="E440" s="207"/>
      <c r="F440" s="205" t="str">
        <f>IF(E440="","",VLOOKUP(E440,'ARAMA LİSTELERİ'!C440:G2479,5,))</f>
        <v/>
      </c>
      <c r="G440" s="207"/>
      <c r="H440" s="210"/>
      <c r="I440" s="79"/>
      <c r="J440" s="210"/>
      <c r="K440" s="210"/>
      <c r="L440" s="210" t="str">
        <f t="shared" si="1"/>
        <v/>
      </c>
      <c r="M440" s="79"/>
      <c r="N440" s="207"/>
      <c r="O440" s="207"/>
      <c r="P440" s="207"/>
      <c r="Q440" s="207"/>
    </row>
    <row r="441" spans="1:17" ht="34.5" customHeight="1">
      <c r="A441" s="82"/>
      <c r="B441" s="205" t="str">
        <f t="shared" si="2"/>
        <v/>
      </c>
      <c r="C441" s="206" t="str">
        <f t="shared" si="3"/>
        <v/>
      </c>
      <c r="D441" s="207" t="str">
        <f t="shared" si="0"/>
        <v/>
      </c>
      <c r="E441" s="207"/>
      <c r="F441" s="205" t="str">
        <f>IF(E441="","",VLOOKUP(E441,'ARAMA LİSTELERİ'!C441:G2480,5,))</f>
        <v/>
      </c>
      <c r="G441" s="207"/>
      <c r="H441" s="210"/>
      <c r="I441" s="79"/>
      <c r="J441" s="210"/>
      <c r="K441" s="210"/>
      <c r="L441" s="210" t="str">
        <f t="shared" si="1"/>
        <v/>
      </c>
      <c r="M441" s="79"/>
      <c r="N441" s="207"/>
      <c r="O441" s="207"/>
      <c r="P441" s="207"/>
      <c r="Q441" s="207"/>
    </row>
    <row r="442" spans="1:17" ht="34.5" customHeight="1">
      <c r="A442" s="82"/>
      <c r="B442" s="205" t="str">
        <f t="shared" si="2"/>
        <v/>
      </c>
      <c r="C442" s="206" t="str">
        <f t="shared" si="3"/>
        <v/>
      </c>
      <c r="D442" s="207" t="str">
        <f t="shared" si="0"/>
        <v/>
      </c>
      <c r="E442" s="207"/>
      <c r="F442" s="205" t="str">
        <f>IF(E442="","",VLOOKUP(E442,'ARAMA LİSTELERİ'!C442:G2481,5,))</f>
        <v/>
      </c>
      <c r="G442" s="207"/>
      <c r="H442" s="210"/>
      <c r="I442" s="79"/>
      <c r="J442" s="210"/>
      <c r="K442" s="210"/>
      <c r="L442" s="210" t="str">
        <f t="shared" si="1"/>
        <v/>
      </c>
      <c r="M442" s="79"/>
      <c r="N442" s="207"/>
      <c r="O442" s="207"/>
      <c r="P442" s="207"/>
      <c r="Q442" s="207"/>
    </row>
    <row r="443" spans="1:17" ht="34.5" customHeight="1">
      <c r="A443" s="82"/>
      <c r="B443" s="205" t="str">
        <f t="shared" si="2"/>
        <v/>
      </c>
      <c r="C443" s="206" t="str">
        <f t="shared" si="3"/>
        <v/>
      </c>
      <c r="D443" s="207" t="str">
        <f t="shared" si="0"/>
        <v/>
      </c>
      <c r="E443" s="207"/>
      <c r="F443" s="205" t="str">
        <f>IF(E443="","",VLOOKUP(E443,'ARAMA LİSTELERİ'!C443:G2482,5,))</f>
        <v/>
      </c>
      <c r="G443" s="207"/>
      <c r="H443" s="210"/>
      <c r="I443" s="79"/>
      <c r="J443" s="210"/>
      <c r="K443" s="210"/>
      <c r="L443" s="210" t="str">
        <f t="shared" si="1"/>
        <v/>
      </c>
      <c r="M443" s="79"/>
      <c r="N443" s="207"/>
      <c r="O443" s="207"/>
      <c r="P443" s="207"/>
      <c r="Q443" s="207"/>
    </row>
    <row r="444" spans="1:17" ht="34.5" customHeight="1">
      <c r="A444" s="82"/>
      <c r="B444" s="205" t="str">
        <f t="shared" si="2"/>
        <v/>
      </c>
      <c r="C444" s="206" t="str">
        <f t="shared" si="3"/>
        <v/>
      </c>
      <c r="D444" s="207" t="str">
        <f t="shared" si="0"/>
        <v/>
      </c>
      <c r="E444" s="207"/>
      <c r="F444" s="205" t="str">
        <f>IF(E444="","",VLOOKUP(E444,'ARAMA LİSTELERİ'!C444:G2483,5,))</f>
        <v/>
      </c>
      <c r="G444" s="207"/>
      <c r="H444" s="210"/>
      <c r="I444" s="79"/>
      <c r="J444" s="210"/>
      <c r="K444" s="210"/>
      <c r="L444" s="210" t="str">
        <f t="shared" si="1"/>
        <v/>
      </c>
      <c r="M444" s="79"/>
      <c r="N444" s="207"/>
      <c r="O444" s="207"/>
      <c r="P444" s="207"/>
      <c r="Q444" s="207"/>
    </row>
    <row r="445" spans="1:17" ht="34.5" customHeight="1">
      <c r="A445" s="82"/>
      <c r="B445" s="205" t="str">
        <f t="shared" si="2"/>
        <v/>
      </c>
      <c r="C445" s="206" t="str">
        <f t="shared" si="3"/>
        <v/>
      </c>
      <c r="D445" s="207" t="str">
        <f t="shared" si="0"/>
        <v/>
      </c>
      <c r="E445" s="207"/>
      <c r="F445" s="205" t="str">
        <f>IF(E445="","",VLOOKUP(E445,'ARAMA LİSTELERİ'!C445:G2484,5,))</f>
        <v/>
      </c>
      <c r="G445" s="207"/>
      <c r="H445" s="210"/>
      <c r="I445" s="79"/>
      <c r="J445" s="210"/>
      <c r="K445" s="210"/>
      <c r="L445" s="210" t="str">
        <f t="shared" si="1"/>
        <v/>
      </c>
      <c r="M445" s="79"/>
      <c r="N445" s="207"/>
      <c r="O445" s="207"/>
      <c r="P445" s="207"/>
      <c r="Q445" s="207"/>
    </row>
    <row r="446" spans="1:17" ht="34.5" customHeight="1">
      <c r="A446" s="82"/>
      <c r="B446" s="205" t="str">
        <f t="shared" si="2"/>
        <v/>
      </c>
      <c r="C446" s="206" t="str">
        <f t="shared" si="3"/>
        <v/>
      </c>
      <c r="D446" s="207" t="str">
        <f t="shared" si="0"/>
        <v/>
      </c>
      <c r="E446" s="207"/>
      <c r="F446" s="205" t="str">
        <f>IF(E446="","",VLOOKUP(E446,'ARAMA LİSTELERİ'!C446:G2485,5,))</f>
        <v/>
      </c>
      <c r="G446" s="207"/>
      <c r="H446" s="210"/>
      <c r="I446" s="79"/>
      <c r="J446" s="210"/>
      <c r="K446" s="210"/>
      <c r="L446" s="210" t="str">
        <f t="shared" si="1"/>
        <v/>
      </c>
      <c r="M446" s="79"/>
      <c r="N446" s="207"/>
      <c r="O446" s="207"/>
      <c r="P446" s="207"/>
      <c r="Q446" s="207"/>
    </row>
    <row r="447" spans="1:17" ht="34.5" customHeight="1">
      <c r="A447" s="82"/>
      <c r="B447" s="205" t="str">
        <f t="shared" si="2"/>
        <v/>
      </c>
      <c r="C447" s="206" t="str">
        <f t="shared" si="3"/>
        <v/>
      </c>
      <c r="D447" s="207" t="str">
        <f t="shared" si="0"/>
        <v/>
      </c>
      <c r="E447" s="207"/>
      <c r="F447" s="205" t="str">
        <f>IF(E447="","",VLOOKUP(E447,'ARAMA LİSTELERİ'!C447:G2486,5,))</f>
        <v/>
      </c>
      <c r="G447" s="207"/>
      <c r="H447" s="210"/>
      <c r="I447" s="79"/>
      <c r="J447" s="210"/>
      <c r="K447" s="210"/>
      <c r="L447" s="210" t="str">
        <f t="shared" si="1"/>
        <v/>
      </c>
      <c r="M447" s="79"/>
      <c r="N447" s="207"/>
      <c r="O447" s="207"/>
      <c r="P447" s="207"/>
      <c r="Q447" s="207"/>
    </row>
    <row r="448" spans="1:17" ht="34.5" customHeight="1">
      <c r="A448" s="82"/>
      <c r="B448" s="205" t="str">
        <f t="shared" si="2"/>
        <v/>
      </c>
      <c r="C448" s="206" t="str">
        <f t="shared" si="3"/>
        <v/>
      </c>
      <c r="D448" s="207" t="str">
        <f t="shared" si="0"/>
        <v/>
      </c>
      <c r="E448" s="207"/>
      <c r="F448" s="205" t="str">
        <f>IF(E448="","",VLOOKUP(E448,'ARAMA LİSTELERİ'!C448:G2487,5,))</f>
        <v/>
      </c>
      <c r="G448" s="207"/>
      <c r="H448" s="210"/>
      <c r="I448" s="79"/>
      <c r="J448" s="210"/>
      <c r="K448" s="210"/>
      <c r="L448" s="210" t="str">
        <f t="shared" si="1"/>
        <v/>
      </c>
      <c r="M448" s="79"/>
      <c r="N448" s="207"/>
      <c r="O448" s="207"/>
      <c r="P448" s="207"/>
      <c r="Q448" s="207"/>
    </row>
    <row r="449" spans="1:17" ht="34.5" customHeight="1">
      <c r="A449" s="82"/>
      <c r="B449" s="205" t="str">
        <f t="shared" si="2"/>
        <v/>
      </c>
      <c r="C449" s="206" t="str">
        <f t="shared" si="3"/>
        <v/>
      </c>
      <c r="D449" s="207" t="str">
        <f t="shared" si="0"/>
        <v/>
      </c>
      <c r="E449" s="207"/>
      <c r="F449" s="205" t="str">
        <f>IF(E449="","",VLOOKUP(E449,'ARAMA LİSTELERİ'!C449:G2488,5,))</f>
        <v/>
      </c>
      <c r="G449" s="207"/>
      <c r="H449" s="210"/>
      <c r="I449" s="79"/>
      <c r="J449" s="210"/>
      <c r="K449" s="210"/>
      <c r="L449" s="210" t="str">
        <f t="shared" si="1"/>
        <v/>
      </c>
      <c r="M449" s="79"/>
      <c r="N449" s="207"/>
      <c r="O449" s="207"/>
      <c r="P449" s="207"/>
      <c r="Q449" s="207"/>
    </row>
    <row r="450" spans="1:17" ht="34.5" customHeight="1">
      <c r="A450" s="82"/>
      <c r="B450" s="205" t="str">
        <f t="shared" si="2"/>
        <v/>
      </c>
      <c r="C450" s="206" t="str">
        <f t="shared" si="3"/>
        <v/>
      </c>
      <c r="D450" s="207" t="str">
        <f t="shared" si="0"/>
        <v/>
      </c>
      <c r="E450" s="207"/>
      <c r="F450" s="205" t="str">
        <f>IF(E450="","",VLOOKUP(E450,'ARAMA LİSTELERİ'!C450:G2489,5,))</f>
        <v/>
      </c>
      <c r="G450" s="207"/>
      <c r="H450" s="210"/>
      <c r="I450" s="79"/>
      <c r="J450" s="210"/>
      <c r="K450" s="210"/>
      <c r="L450" s="210" t="str">
        <f t="shared" si="1"/>
        <v/>
      </c>
      <c r="M450" s="79"/>
      <c r="N450" s="207"/>
      <c r="O450" s="207"/>
      <c r="P450" s="207"/>
      <c r="Q450" s="207"/>
    </row>
    <row r="451" spans="1:17" ht="34.5" customHeight="1">
      <c r="A451" s="82"/>
      <c r="B451" s="205" t="str">
        <f t="shared" si="2"/>
        <v/>
      </c>
      <c r="C451" s="206" t="str">
        <f t="shared" si="3"/>
        <v/>
      </c>
      <c r="D451" s="207" t="str">
        <f t="shared" si="0"/>
        <v/>
      </c>
      <c r="E451" s="207"/>
      <c r="F451" s="205" t="str">
        <f>IF(E451="","",VLOOKUP(E451,'ARAMA LİSTELERİ'!C451:G2490,5,))</f>
        <v/>
      </c>
      <c r="G451" s="207"/>
      <c r="H451" s="210"/>
      <c r="I451" s="79"/>
      <c r="J451" s="210"/>
      <c r="K451" s="210"/>
      <c r="L451" s="210" t="str">
        <f t="shared" si="1"/>
        <v/>
      </c>
      <c r="M451" s="79"/>
      <c r="N451" s="207"/>
      <c r="O451" s="207"/>
      <c r="P451" s="207"/>
      <c r="Q451" s="207"/>
    </row>
    <row r="452" spans="1:17" ht="34.5" customHeight="1">
      <c r="A452" s="82"/>
      <c r="B452" s="205" t="str">
        <f t="shared" si="2"/>
        <v/>
      </c>
      <c r="C452" s="206" t="str">
        <f t="shared" si="3"/>
        <v/>
      </c>
      <c r="D452" s="207" t="str">
        <f t="shared" si="0"/>
        <v/>
      </c>
      <c r="E452" s="207"/>
      <c r="F452" s="205" t="str">
        <f>IF(E452="","",VLOOKUP(E452,'ARAMA LİSTELERİ'!C452:G2491,5,))</f>
        <v/>
      </c>
      <c r="G452" s="207"/>
      <c r="H452" s="210"/>
      <c r="I452" s="79"/>
      <c r="J452" s="210"/>
      <c r="K452" s="210"/>
      <c r="L452" s="210" t="str">
        <f t="shared" si="1"/>
        <v/>
      </c>
      <c r="M452" s="79"/>
      <c r="N452" s="207"/>
      <c r="O452" s="207"/>
      <c r="P452" s="207"/>
      <c r="Q452" s="207"/>
    </row>
    <row r="453" spans="1:17" ht="34.5" customHeight="1">
      <c r="A453" s="82"/>
      <c r="B453" s="205" t="str">
        <f t="shared" si="2"/>
        <v/>
      </c>
      <c r="C453" s="206" t="str">
        <f t="shared" si="3"/>
        <v/>
      </c>
      <c r="D453" s="207" t="str">
        <f t="shared" si="0"/>
        <v/>
      </c>
      <c r="E453" s="207"/>
      <c r="F453" s="205" t="str">
        <f>IF(E453="","",VLOOKUP(E453,'ARAMA LİSTELERİ'!C453:G2492,5,))</f>
        <v/>
      </c>
      <c r="G453" s="207"/>
      <c r="H453" s="210"/>
      <c r="I453" s="79"/>
      <c r="J453" s="210"/>
      <c r="K453" s="210"/>
      <c r="L453" s="210" t="str">
        <f t="shared" si="1"/>
        <v/>
      </c>
      <c r="M453" s="79"/>
      <c r="N453" s="207"/>
      <c r="O453" s="207"/>
      <c r="P453" s="207"/>
      <c r="Q453" s="207"/>
    </row>
    <row r="454" spans="1:17" ht="34.5" customHeight="1">
      <c r="A454" s="82"/>
      <c r="B454" s="205" t="str">
        <f t="shared" si="2"/>
        <v/>
      </c>
      <c r="C454" s="206" t="str">
        <f t="shared" si="3"/>
        <v/>
      </c>
      <c r="D454" s="207" t="str">
        <f t="shared" si="0"/>
        <v/>
      </c>
      <c r="E454" s="207"/>
      <c r="F454" s="205" t="str">
        <f>IF(E454="","",VLOOKUP(E454,'ARAMA LİSTELERİ'!C454:G2493,5,))</f>
        <v/>
      </c>
      <c r="G454" s="207"/>
      <c r="H454" s="210"/>
      <c r="I454" s="79"/>
      <c r="J454" s="210"/>
      <c r="K454" s="210"/>
      <c r="L454" s="210" t="str">
        <f t="shared" si="1"/>
        <v/>
      </c>
      <c r="M454" s="79"/>
      <c r="N454" s="207"/>
      <c r="O454" s="207"/>
      <c r="P454" s="207"/>
      <c r="Q454" s="207"/>
    </row>
    <row r="455" spans="1:17" ht="34.5" customHeight="1">
      <c r="A455" s="82"/>
      <c r="B455" s="205" t="str">
        <f t="shared" si="2"/>
        <v/>
      </c>
      <c r="C455" s="206" t="str">
        <f t="shared" si="3"/>
        <v/>
      </c>
      <c r="D455" s="207" t="str">
        <f t="shared" si="0"/>
        <v/>
      </c>
      <c r="E455" s="207"/>
      <c r="F455" s="205" t="str">
        <f>IF(E455="","",VLOOKUP(E455,'ARAMA LİSTELERİ'!C455:G2494,5,))</f>
        <v/>
      </c>
      <c r="G455" s="207"/>
      <c r="H455" s="210"/>
      <c r="I455" s="79"/>
      <c r="J455" s="210"/>
      <c r="K455" s="210"/>
      <c r="L455" s="210" t="str">
        <f t="shared" si="1"/>
        <v/>
      </c>
      <c r="M455" s="79"/>
      <c r="N455" s="207"/>
      <c r="O455" s="207"/>
      <c r="P455" s="207"/>
      <c r="Q455" s="207"/>
    </row>
    <row r="456" spans="1:17" ht="34.5" customHeight="1">
      <c r="A456" s="82"/>
      <c r="B456" s="205" t="str">
        <f t="shared" si="2"/>
        <v/>
      </c>
      <c r="C456" s="206" t="str">
        <f t="shared" si="3"/>
        <v/>
      </c>
      <c r="D456" s="207" t="str">
        <f t="shared" si="0"/>
        <v/>
      </c>
      <c r="E456" s="207"/>
      <c r="F456" s="205" t="str">
        <f>IF(E456="","",VLOOKUP(E456,'ARAMA LİSTELERİ'!C456:G2495,5,))</f>
        <v/>
      </c>
      <c r="G456" s="207"/>
      <c r="H456" s="210"/>
      <c r="I456" s="79"/>
      <c r="J456" s="210"/>
      <c r="K456" s="210"/>
      <c r="L456" s="210" t="str">
        <f t="shared" si="1"/>
        <v/>
      </c>
      <c r="M456" s="79"/>
      <c r="N456" s="207"/>
      <c r="O456" s="207"/>
      <c r="P456" s="207"/>
      <c r="Q456" s="207"/>
    </row>
    <row r="457" spans="1:17" ht="34.5" customHeight="1">
      <c r="A457" s="82"/>
      <c r="B457" s="205" t="str">
        <f t="shared" si="2"/>
        <v/>
      </c>
      <c r="C457" s="206" t="str">
        <f t="shared" si="3"/>
        <v/>
      </c>
      <c r="D457" s="207" t="str">
        <f t="shared" si="0"/>
        <v/>
      </c>
      <c r="E457" s="207"/>
      <c r="F457" s="205" t="str">
        <f>IF(E457="","",VLOOKUP(E457,'ARAMA LİSTELERİ'!C457:G2496,5,))</f>
        <v/>
      </c>
      <c r="G457" s="207"/>
      <c r="H457" s="210"/>
      <c r="I457" s="79"/>
      <c r="J457" s="210"/>
      <c r="K457" s="210"/>
      <c r="L457" s="210" t="str">
        <f t="shared" si="1"/>
        <v/>
      </c>
      <c r="M457" s="79"/>
      <c r="N457" s="207"/>
      <c r="O457" s="207"/>
      <c r="P457" s="207"/>
      <c r="Q457" s="207"/>
    </row>
    <row r="458" spans="1:17" ht="34.5" customHeight="1">
      <c r="A458" s="82"/>
      <c r="B458" s="205" t="str">
        <f t="shared" si="2"/>
        <v/>
      </c>
      <c r="C458" s="206" t="str">
        <f t="shared" si="3"/>
        <v/>
      </c>
      <c r="D458" s="207" t="str">
        <f t="shared" si="0"/>
        <v/>
      </c>
      <c r="E458" s="207"/>
      <c r="F458" s="205" t="str">
        <f>IF(E458="","",VLOOKUP(E458,'ARAMA LİSTELERİ'!C458:G2497,5,))</f>
        <v/>
      </c>
      <c r="G458" s="207"/>
      <c r="H458" s="210"/>
      <c r="I458" s="79"/>
      <c r="J458" s="210"/>
      <c r="K458" s="210"/>
      <c r="L458" s="210" t="str">
        <f t="shared" si="1"/>
        <v/>
      </c>
      <c r="M458" s="79"/>
      <c r="N458" s="207"/>
      <c r="O458" s="207"/>
      <c r="P458" s="207"/>
      <c r="Q458" s="207"/>
    </row>
    <row r="459" spans="1:17" ht="34.5" customHeight="1">
      <c r="A459" s="82"/>
      <c r="B459" s="205" t="str">
        <f t="shared" si="2"/>
        <v/>
      </c>
      <c r="C459" s="206" t="str">
        <f t="shared" si="3"/>
        <v/>
      </c>
      <c r="D459" s="207" t="str">
        <f t="shared" si="0"/>
        <v/>
      </c>
      <c r="E459" s="207"/>
      <c r="F459" s="205" t="str">
        <f>IF(E459="","",VLOOKUP(E459,'ARAMA LİSTELERİ'!C459:G2498,5,))</f>
        <v/>
      </c>
      <c r="G459" s="207"/>
      <c r="H459" s="210"/>
      <c r="I459" s="79"/>
      <c r="J459" s="210"/>
      <c r="K459" s="210"/>
      <c r="L459" s="210" t="str">
        <f t="shared" si="1"/>
        <v/>
      </c>
      <c r="M459" s="79"/>
      <c r="N459" s="207"/>
      <c r="O459" s="207"/>
      <c r="P459" s="207"/>
      <c r="Q459" s="207"/>
    </row>
    <row r="460" spans="1:17" ht="34.5" customHeight="1">
      <c r="A460" s="82"/>
      <c r="B460" s="205" t="str">
        <f t="shared" si="2"/>
        <v/>
      </c>
      <c r="C460" s="206" t="str">
        <f t="shared" si="3"/>
        <v/>
      </c>
      <c r="D460" s="207" t="str">
        <f t="shared" si="0"/>
        <v/>
      </c>
      <c r="E460" s="207"/>
      <c r="F460" s="205" t="str">
        <f>IF(E460="","",VLOOKUP(E460,'ARAMA LİSTELERİ'!C460:G2499,5,))</f>
        <v/>
      </c>
      <c r="G460" s="207"/>
      <c r="H460" s="210"/>
      <c r="I460" s="79"/>
      <c r="J460" s="210"/>
      <c r="K460" s="210"/>
      <c r="L460" s="210" t="str">
        <f t="shared" si="1"/>
        <v/>
      </c>
      <c r="M460" s="79"/>
      <c r="N460" s="207"/>
      <c r="O460" s="207"/>
      <c r="P460" s="207"/>
      <c r="Q460" s="207"/>
    </row>
    <row r="461" spans="1:17" ht="34.5" customHeight="1">
      <c r="A461" s="82"/>
      <c r="B461" s="205" t="str">
        <f t="shared" si="2"/>
        <v/>
      </c>
      <c r="C461" s="206" t="str">
        <f t="shared" si="3"/>
        <v/>
      </c>
      <c r="D461" s="207" t="str">
        <f t="shared" si="0"/>
        <v/>
      </c>
      <c r="E461" s="207"/>
      <c r="F461" s="205" t="str">
        <f>IF(E461="","",VLOOKUP(E461,'ARAMA LİSTELERİ'!C461:G2500,5,))</f>
        <v/>
      </c>
      <c r="G461" s="207"/>
      <c r="H461" s="210"/>
      <c r="I461" s="79"/>
      <c r="J461" s="210"/>
      <c r="K461" s="210"/>
      <c r="L461" s="210" t="str">
        <f t="shared" si="1"/>
        <v/>
      </c>
      <c r="M461" s="79"/>
      <c r="N461" s="207"/>
      <c r="O461" s="207"/>
      <c r="P461" s="207"/>
      <c r="Q461" s="207"/>
    </row>
    <row r="462" spans="1:17" ht="34.5" customHeight="1">
      <c r="A462" s="82"/>
      <c r="B462" s="205" t="str">
        <f t="shared" si="2"/>
        <v/>
      </c>
      <c r="C462" s="206" t="str">
        <f t="shared" si="3"/>
        <v/>
      </c>
      <c r="D462" s="207" t="str">
        <f t="shared" si="0"/>
        <v/>
      </c>
      <c r="E462" s="207"/>
      <c r="F462" s="205" t="str">
        <f>IF(E462="","",VLOOKUP(E462,'ARAMA LİSTELERİ'!C462:G2501,5,))</f>
        <v/>
      </c>
      <c r="G462" s="207"/>
      <c r="H462" s="210"/>
      <c r="I462" s="79"/>
      <c r="J462" s="210"/>
      <c r="K462" s="210"/>
      <c r="L462" s="210" t="str">
        <f t="shared" si="1"/>
        <v/>
      </c>
      <c r="M462" s="79"/>
      <c r="N462" s="207"/>
      <c r="O462" s="207"/>
      <c r="P462" s="207"/>
      <c r="Q462" s="207"/>
    </row>
    <row r="463" spans="1:17" ht="34.5" customHeight="1">
      <c r="A463" s="82"/>
      <c r="B463" s="205" t="str">
        <f t="shared" si="2"/>
        <v/>
      </c>
      <c r="C463" s="206" t="str">
        <f t="shared" si="3"/>
        <v/>
      </c>
      <c r="D463" s="207" t="str">
        <f t="shared" si="0"/>
        <v/>
      </c>
      <c r="E463" s="207"/>
      <c r="F463" s="205" t="str">
        <f>IF(E463="","",VLOOKUP(E463,'ARAMA LİSTELERİ'!C463:G2502,5,))</f>
        <v/>
      </c>
      <c r="G463" s="207"/>
      <c r="H463" s="210"/>
      <c r="I463" s="79"/>
      <c r="J463" s="210"/>
      <c r="K463" s="210"/>
      <c r="L463" s="210" t="str">
        <f t="shared" si="1"/>
        <v/>
      </c>
      <c r="M463" s="79"/>
      <c r="N463" s="207"/>
      <c r="O463" s="207"/>
      <c r="P463" s="207"/>
      <c r="Q463" s="207"/>
    </row>
    <row r="464" spans="1:17" ht="34.5" customHeight="1">
      <c r="A464" s="82"/>
      <c r="B464" s="205" t="str">
        <f t="shared" si="2"/>
        <v/>
      </c>
      <c r="C464" s="206" t="str">
        <f t="shared" si="3"/>
        <v/>
      </c>
      <c r="D464" s="207" t="str">
        <f t="shared" si="0"/>
        <v/>
      </c>
      <c r="E464" s="207"/>
      <c r="F464" s="205" t="str">
        <f>IF(E464="","",VLOOKUP(E464,'ARAMA LİSTELERİ'!C464:G2503,5,))</f>
        <v/>
      </c>
      <c r="G464" s="207"/>
      <c r="H464" s="210"/>
      <c r="I464" s="79"/>
      <c r="J464" s="210"/>
      <c r="K464" s="210"/>
      <c r="L464" s="210" t="str">
        <f t="shared" si="1"/>
        <v/>
      </c>
      <c r="M464" s="79"/>
      <c r="N464" s="207"/>
      <c r="O464" s="207"/>
      <c r="P464" s="207"/>
      <c r="Q464" s="207"/>
    </row>
    <row r="465" spans="1:17" ht="34.5" customHeight="1">
      <c r="A465" s="82"/>
      <c r="B465" s="205" t="str">
        <f t="shared" si="2"/>
        <v/>
      </c>
      <c r="C465" s="206" t="str">
        <f t="shared" si="3"/>
        <v/>
      </c>
      <c r="D465" s="207" t="str">
        <f t="shared" si="0"/>
        <v/>
      </c>
      <c r="E465" s="207"/>
      <c r="F465" s="205" t="str">
        <f>IF(E465="","",VLOOKUP(E465,'ARAMA LİSTELERİ'!C465:G2504,5,))</f>
        <v/>
      </c>
      <c r="G465" s="207"/>
      <c r="H465" s="210"/>
      <c r="I465" s="79"/>
      <c r="J465" s="210"/>
      <c r="K465" s="210"/>
      <c r="L465" s="210" t="str">
        <f t="shared" si="1"/>
        <v/>
      </c>
      <c r="M465" s="79"/>
      <c r="N465" s="207"/>
      <c r="O465" s="207"/>
      <c r="P465" s="207"/>
      <c r="Q465" s="207"/>
    </row>
    <row r="466" spans="1:17" ht="34.5" customHeight="1">
      <c r="A466" s="82"/>
      <c r="B466" s="205" t="str">
        <f t="shared" si="2"/>
        <v/>
      </c>
      <c r="C466" s="206" t="str">
        <f t="shared" si="3"/>
        <v/>
      </c>
      <c r="D466" s="207" t="str">
        <f t="shared" si="0"/>
        <v/>
      </c>
      <c r="E466" s="207"/>
      <c r="F466" s="205" t="str">
        <f>IF(E466="","",VLOOKUP(E466,'ARAMA LİSTELERİ'!C466:G2505,5,))</f>
        <v/>
      </c>
      <c r="G466" s="207"/>
      <c r="H466" s="210"/>
      <c r="I466" s="79"/>
      <c r="J466" s="210"/>
      <c r="K466" s="210"/>
      <c r="L466" s="210" t="str">
        <f t="shared" si="1"/>
        <v/>
      </c>
      <c r="M466" s="79"/>
      <c r="N466" s="207"/>
      <c r="O466" s="207"/>
      <c r="P466" s="207"/>
      <c r="Q466" s="207"/>
    </row>
    <row r="467" spans="1:17" ht="34.5" customHeight="1">
      <c r="A467" s="82"/>
      <c r="B467" s="205" t="str">
        <f t="shared" si="2"/>
        <v/>
      </c>
      <c r="C467" s="206" t="str">
        <f t="shared" si="3"/>
        <v/>
      </c>
      <c r="D467" s="207" t="str">
        <f t="shared" si="0"/>
        <v/>
      </c>
      <c r="E467" s="207"/>
      <c r="F467" s="205" t="str">
        <f>IF(E467="","",VLOOKUP(E467,'ARAMA LİSTELERİ'!C467:G2506,5,))</f>
        <v/>
      </c>
      <c r="G467" s="207"/>
      <c r="H467" s="210"/>
      <c r="I467" s="79"/>
      <c r="J467" s="210"/>
      <c r="K467" s="210"/>
      <c r="L467" s="210" t="str">
        <f t="shared" si="1"/>
        <v/>
      </c>
      <c r="M467" s="79"/>
      <c r="N467" s="207"/>
      <c r="O467" s="207"/>
      <c r="P467" s="207"/>
      <c r="Q467" s="207"/>
    </row>
    <row r="468" spans="1:17" ht="34.5" customHeight="1">
      <c r="A468" s="82"/>
      <c r="B468" s="205" t="str">
        <f t="shared" si="2"/>
        <v/>
      </c>
      <c r="C468" s="206" t="str">
        <f t="shared" si="3"/>
        <v/>
      </c>
      <c r="D468" s="207" t="str">
        <f t="shared" si="0"/>
        <v/>
      </c>
      <c r="E468" s="207"/>
      <c r="F468" s="205" t="str">
        <f>IF(E468="","",VLOOKUP(E468,'ARAMA LİSTELERİ'!C468:G2507,5,))</f>
        <v/>
      </c>
      <c r="G468" s="207"/>
      <c r="H468" s="210"/>
      <c r="I468" s="79"/>
      <c r="J468" s="210"/>
      <c r="K468" s="210"/>
      <c r="L468" s="210" t="str">
        <f t="shared" si="1"/>
        <v/>
      </c>
      <c r="M468" s="79"/>
      <c r="N468" s="207"/>
      <c r="O468" s="207"/>
      <c r="P468" s="207"/>
      <c r="Q468" s="207"/>
    </row>
    <row r="469" spans="1:17" ht="34.5" customHeight="1">
      <c r="A469" s="82"/>
      <c r="B469" s="205" t="str">
        <f t="shared" si="2"/>
        <v/>
      </c>
      <c r="C469" s="206" t="str">
        <f t="shared" si="3"/>
        <v/>
      </c>
      <c r="D469" s="207" t="str">
        <f t="shared" si="0"/>
        <v/>
      </c>
      <c r="E469" s="207"/>
      <c r="F469" s="205" t="str">
        <f>IF(E469="","",VLOOKUP(E469,'ARAMA LİSTELERİ'!C469:G2508,5,))</f>
        <v/>
      </c>
      <c r="G469" s="207"/>
      <c r="H469" s="210"/>
      <c r="I469" s="79"/>
      <c r="J469" s="210"/>
      <c r="K469" s="210"/>
      <c r="L469" s="210" t="str">
        <f t="shared" si="1"/>
        <v/>
      </c>
      <c r="M469" s="79"/>
      <c r="N469" s="207"/>
      <c r="O469" s="207"/>
      <c r="P469" s="207"/>
      <c r="Q469" s="207"/>
    </row>
    <row r="470" spans="1:17" ht="34.5" customHeight="1">
      <c r="A470" s="82"/>
      <c r="B470" s="205" t="str">
        <f t="shared" si="2"/>
        <v/>
      </c>
      <c r="C470" s="206" t="str">
        <f t="shared" si="3"/>
        <v/>
      </c>
      <c r="D470" s="207" t="str">
        <f t="shared" si="0"/>
        <v/>
      </c>
      <c r="E470" s="207"/>
      <c r="F470" s="205" t="str">
        <f>IF(E470="","",VLOOKUP(E470,'ARAMA LİSTELERİ'!C470:G2509,5,))</f>
        <v/>
      </c>
      <c r="G470" s="207"/>
      <c r="H470" s="210"/>
      <c r="I470" s="79"/>
      <c r="J470" s="210"/>
      <c r="K470" s="210"/>
      <c r="L470" s="210" t="str">
        <f t="shared" si="1"/>
        <v/>
      </c>
      <c r="M470" s="79"/>
      <c r="N470" s="207"/>
      <c r="O470" s="207"/>
      <c r="P470" s="207"/>
      <c r="Q470" s="207"/>
    </row>
    <row r="471" spans="1:17" ht="34.5" customHeight="1">
      <c r="A471" s="82"/>
      <c r="B471" s="205" t="str">
        <f t="shared" si="2"/>
        <v/>
      </c>
      <c r="C471" s="206" t="str">
        <f t="shared" si="3"/>
        <v/>
      </c>
      <c r="D471" s="207" t="str">
        <f t="shared" si="0"/>
        <v/>
      </c>
      <c r="E471" s="207"/>
      <c r="F471" s="205" t="str">
        <f>IF(E471="","",VLOOKUP(E471,'ARAMA LİSTELERİ'!C471:G2510,5,))</f>
        <v/>
      </c>
      <c r="G471" s="207"/>
      <c r="H471" s="210"/>
      <c r="I471" s="79"/>
      <c r="J471" s="210"/>
      <c r="K471" s="210"/>
      <c r="L471" s="210" t="str">
        <f t="shared" si="1"/>
        <v/>
      </c>
      <c r="M471" s="79"/>
      <c r="N471" s="207"/>
      <c r="O471" s="207"/>
      <c r="P471" s="207"/>
      <c r="Q471" s="207"/>
    </row>
    <row r="472" spans="1:17" ht="34.5" customHeight="1">
      <c r="A472" s="82"/>
      <c r="B472" s="205" t="str">
        <f t="shared" si="2"/>
        <v/>
      </c>
      <c r="C472" s="206" t="str">
        <f t="shared" si="3"/>
        <v/>
      </c>
      <c r="D472" s="207" t="str">
        <f t="shared" si="0"/>
        <v/>
      </c>
      <c r="E472" s="207"/>
      <c r="F472" s="205" t="str">
        <f>IF(E472="","",VLOOKUP(E472,'ARAMA LİSTELERİ'!C472:G2511,5,))</f>
        <v/>
      </c>
      <c r="G472" s="207"/>
      <c r="H472" s="210"/>
      <c r="I472" s="79"/>
      <c r="J472" s="210"/>
      <c r="K472" s="210"/>
      <c r="L472" s="210" t="str">
        <f t="shared" si="1"/>
        <v/>
      </c>
      <c r="M472" s="79"/>
      <c r="N472" s="207"/>
      <c r="O472" s="207"/>
      <c r="P472" s="207"/>
      <c r="Q472" s="207"/>
    </row>
    <row r="473" spans="1:17" ht="34.5" customHeight="1">
      <c r="A473" s="82"/>
      <c r="B473" s="205" t="str">
        <f t="shared" si="2"/>
        <v/>
      </c>
      <c r="C473" s="206" t="str">
        <f t="shared" si="3"/>
        <v/>
      </c>
      <c r="D473" s="207" t="str">
        <f t="shared" si="0"/>
        <v/>
      </c>
      <c r="E473" s="207"/>
      <c r="F473" s="205" t="str">
        <f>IF(E473="","",VLOOKUP(E473,'ARAMA LİSTELERİ'!C473:G2512,5,))</f>
        <v/>
      </c>
      <c r="G473" s="207"/>
      <c r="H473" s="210"/>
      <c r="I473" s="79"/>
      <c r="J473" s="210"/>
      <c r="K473" s="210"/>
      <c r="L473" s="210" t="str">
        <f t="shared" si="1"/>
        <v/>
      </c>
      <c r="M473" s="79"/>
      <c r="N473" s="207"/>
      <c r="O473" s="207"/>
      <c r="P473" s="207"/>
      <c r="Q473" s="207"/>
    </row>
    <row r="474" spans="1:17" ht="34.5" customHeight="1">
      <c r="A474" s="82"/>
      <c r="B474" s="205" t="str">
        <f t="shared" si="2"/>
        <v/>
      </c>
      <c r="C474" s="206" t="str">
        <f t="shared" si="3"/>
        <v/>
      </c>
      <c r="D474" s="207" t="str">
        <f t="shared" si="0"/>
        <v/>
      </c>
      <c r="E474" s="207"/>
      <c r="F474" s="205" t="str">
        <f>IF(E474="","",VLOOKUP(E474,'ARAMA LİSTELERİ'!C474:G2513,5,))</f>
        <v/>
      </c>
      <c r="G474" s="207"/>
      <c r="H474" s="210"/>
      <c r="I474" s="79"/>
      <c r="J474" s="210"/>
      <c r="K474" s="210"/>
      <c r="L474" s="210" t="str">
        <f t="shared" si="1"/>
        <v/>
      </c>
      <c r="M474" s="79"/>
      <c r="N474" s="207"/>
      <c r="O474" s="207"/>
      <c r="P474" s="207"/>
      <c r="Q474" s="207"/>
    </row>
    <row r="475" spans="1:17" ht="34.5" customHeight="1">
      <c r="A475" s="82"/>
      <c r="B475" s="205" t="str">
        <f t="shared" si="2"/>
        <v/>
      </c>
      <c r="C475" s="206" t="str">
        <f t="shared" si="3"/>
        <v/>
      </c>
      <c r="D475" s="207" t="str">
        <f t="shared" si="0"/>
        <v/>
      </c>
      <c r="E475" s="207"/>
      <c r="F475" s="205" t="str">
        <f>IF(E475="","",VLOOKUP(E475,'ARAMA LİSTELERİ'!C475:G2514,5,))</f>
        <v/>
      </c>
      <c r="G475" s="207"/>
      <c r="H475" s="210"/>
      <c r="I475" s="79"/>
      <c r="J475" s="210"/>
      <c r="K475" s="210"/>
      <c r="L475" s="210" t="str">
        <f t="shared" si="1"/>
        <v/>
      </c>
      <c r="M475" s="79"/>
      <c r="N475" s="207"/>
      <c r="O475" s="207"/>
      <c r="P475" s="207"/>
      <c r="Q475" s="207"/>
    </row>
    <row r="476" spans="1:17" ht="34.5" customHeight="1">
      <c r="A476" s="82"/>
      <c r="B476" s="205" t="str">
        <f t="shared" si="2"/>
        <v/>
      </c>
      <c r="C476" s="206" t="str">
        <f t="shared" si="3"/>
        <v/>
      </c>
      <c r="D476" s="207" t="str">
        <f t="shared" si="0"/>
        <v/>
      </c>
      <c r="E476" s="207"/>
      <c r="F476" s="205" t="str">
        <f>IF(E476="","",VLOOKUP(E476,'ARAMA LİSTELERİ'!C476:G2515,5,))</f>
        <v/>
      </c>
      <c r="G476" s="207"/>
      <c r="H476" s="210"/>
      <c r="I476" s="79"/>
      <c r="J476" s="210"/>
      <c r="K476" s="210"/>
      <c r="L476" s="210" t="str">
        <f t="shared" si="1"/>
        <v/>
      </c>
      <c r="M476" s="79"/>
      <c r="N476" s="207"/>
      <c r="O476" s="207"/>
      <c r="P476" s="207"/>
      <c r="Q476" s="207"/>
    </row>
    <row r="477" spans="1:17" ht="34.5" customHeight="1">
      <c r="A477" s="82"/>
      <c r="B477" s="205" t="str">
        <f t="shared" si="2"/>
        <v/>
      </c>
      <c r="C477" s="206" t="str">
        <f t="shared" si="3"/>
        <v/>
      </c>
      <c r="D477" s="207" t="str">
        <f t="shared" si="0"/>
        <v/>
      </c>
      <c r="E477" s="207"/>
      <c r="F477" s="205" t="str">
        <f>IF(E477="","",VLOOKUP(E477,'ARAMA LİSTELERİ'!C477:G2516,5,))</f>
        <v/>
      </c>
      <c r="G477" s="207"/>
      <c r="H477" s="210"/>
      <c r="I477" s="79"/>
      <c r="J477" s="210"/>
      <c r="K477" s="210"/>
      <c r="L477" s="210" t="str">
        <f t="shared" si="1"/>
        <v/>
      </c>
      <c r="M477" s="79"/>
      <c r="N477" s="207"/>
      <c r="O477" s="207"/>
      <c r="P477" s="207"/>
      <c r="Q477" s="207"/>
    </row>
    <row r="478" spans="1:17" ht="34.5" customHeight="1">
      <c r="A478" s="82"/>
      <c r="B478" s="205" t="str">
        <f t="shared" si="2"/>
        <v/>
      </c>
      <c r="C478" s="206" t="str">
        <f t="shared" si="3"/>
        <v/>
      </c>
      <c r="D478" s="207" t="str">
        <f t="shared" si="0"/>
        <v/>
      </c>
      <c r="E478" s="207"/>
      <c r="F478" s="205" t="str">
        <f>IF(E478="","",VLOOKUP(E478,'ARAMA LİSTELERİ'!C478:G2517,5,))</f>
        <v/>
      </c>
      <c r="G478" s="207"/>
      <c r="H478" s="210"/>
      <c r="I478" s="79"/>
      <c r="J478" s="210"/>
      <c r="K478" s="210"/>
      <c r="L478" s="210" t="str">
        <f t="shared" si="1"/>
        <v/>
      </c>
      <c r="M478" s="79"/>
      <c r="N478" s="207"/>
      <c r="O478" s="207"/>
      <c r="P478" s="207"/>
      <c r="Q478" s="207"/>
    </row>
    <row r="479" spans="1:17" ht="34.5" customHeight="1">
      <c r="A479" s="82"/>
      <c r="B479" s="205" t="str">
        <f t="shared" si="2"/>
        <v/>
      </c>
      <c r="C479" s="206" t="str">
        <f t="shared" si="3"/>
        <v/>
      </c>
      <c r="D479" s="207" t="str">
        <f t="shared" si="0"/>
        <v/>
      </c>
      <c r="E479" s="207"/>
      <c r="F479" s="205" t="str">
        <f>IF(E479="","",VLOOKUP(E479,'ARAMA LİSTELERİ'!C479:G2518,5,))</f>
        <v/>
      </c>
      <c r="G479" s="207"/>
      <c r="H479" s="210"/>
      <c r="I479" s="79"/>
      <c r="J479" s="210"/>
      <c r="K479" s="210"/>
      <c r="L479" s="210" t="str">
        <f t="shared" si="1"/>
        <v/>
      </c>
      <c r="M479" s="79"/>
      <c r="N479" s="207"/>
      <c r="O479" s="207"/>
      <c r="P479" s="207"/>
      <c r="Q479" s="207"/>
    </row>
    <row r="480" spans="1:17" ht="34.5" customHeight="1">
      <c r="A480" s="82"/>
      <c r="B480" s="205" t="str">
        <f t="shared" si="2"/>
        <v/>
      </c>
      <c r="C480" s="206" t="str">
        <f t="shared" si="3"/>
        <v/>
      </c>
      <c r="D480" s="207" t="str">
        <f t="shared" si="0"/>
        <v/>
      </c>
      <c r="E480" s="207"/>
      <c r="F480" s="205" t="str">
        <f>IF(E480="","",VLOOKUP(E480,'ARAMA LİSTELERİ'!C480:G2519,5,))</f>
        <v/>
      </c>
      <c r="G480" s="207"/>
      <c r="H480" s="210"/>
      <c r="I480" s="79"/>
      <c r="J480" s="210"/>
      <c r="K480" s="210"/>
      <c r="L480" s="210" t="str">
        <f t="shared" si="1"/>
        <v/>
      </c>
      <c r="M480" s="79"/>
      <c r="N480" s="207"/>
      <c r="O480" s="207"/>
      <c r="P480" s="207"/>
      <c r="Q480" s="207"/>
    </row>
    <row r="481" spans="1:17" ht="34.5" customHeight="1">
      <c r="A481" s="82"/>
      <c r="B481" s="205" t="str">
        <f t="shared" si="2"/>
        <v/>
      </c>
      <c r="C481" s="206" t="str">
        <f t="shared" si="3"/>
        <v/>
      </c>
      <c r="D481" s="207" t="str">
        <f t="shared" si="0"/>
        <v/>
      </c>
      <c r="E481" s="207"/>
      <c r="F481" s="205" t="str">
        <f>IF(E481="","",VLOOKUP(E481,'ARAMA LİSTELERİ'!C481:G2520,5,))</f>
        <v/>
      </c>
      <c r="G481" s="207"/>
      <c r="H481" s="210"/>
      <c r="I481" s="79"/>
      <c r="J481" s="210"/>
      <c r="K481" s="210"/>
      <c r="L481" s="210" t="str">
        <f t="shared" si="1"/>
        <v/>
      </c>
      <c r="M481" s="79"/>
      <c r="N481" s="207"/>
      <c r="O481" s="207"/>
      <c r="P481" s="207"/>
      <c r="Q481" s="207"/>
    </row>
    <row r="482" spans="1:17" ht="34.5" customHeight="1">
      <c r="A482" s="82"/>
      <c r="B482" s="205" t="str">
        <f t="shared" si="2"/>
        <v/>
      </c>
      <c r="C482" s="206" t="str">
        <f t="shared" si="3"/>
        <v/>
      </c>
      <c r="D482" s="207" t="str">
        <f t="shared" si="0"/>
        <v/>
      </c>
      <c r="E482" s="207"/>
      <c r="F482" s="205" t="str">
        <f>IF(E482="","",VLOOKUP(E482,'ARAMA LİSTELERİ'!C482:G2521,5,))</f>
        <v/>
      </c>
      <c r="G482" s="207"/>
      <c r="H482" s="210"/>
      <c r="I482" s="79"/>
      <c r="J482" s="210"/>
      <c r="K482" s="210"/>
      <c r="L482" s="210" t="str">
        <f t="shared" si="1"/>
        <v/>
      </c>
      <c r="M482" s="79"/>
      <c r="N482" s="207"/>
      <c r="O482" s="207"/>
      <c r="P482" s="207"/>
      <c r="Q482" s="207"/>
    </row>
    <row r="483" spans="1:17" ht="34.5" customHeight="1">
      <c r="A483" s="82"/>
      <c r="B483" s="205" t="str">
        <f t="shared" si="2"/>
        <v/>
      </c>
      <c r="C483" s="206" t="str">
        <f t="shared" si="3"/>
        <v/>
      </c>
      <c r="D483" s="207" t="str">
        <f t="shared" si="0"/>
        <v/>
      </c>
      <c r="E483" s="207"/>
      <c r="F483" s="205" t="str">
        <f>IF(E483="","",VLOOKUP(E483,'ARAMA LİSTELERİ'!C483:G2522,5,))</f>
        <v/>
      </c>
      <c r="G483" s="207"/>
      <c r="H483" s="210"/>
      <c r="I483" s="79"/>
      <c r="J483" s="210"/>
      <c r="K483" s="210"/>
      <c r="L483" s="210" t="str">
        <f t="shared" si="1"/>
        <v/>
      </c>
      <c r="M483" s="79"/>
      <c r="N483" s="207"/>
      <c r="O483" s="207"/>
      <c r="P483" s="207"/>
      <c r="Q483" s="207"/>
    </row>
    <row r="484" spans="1:17" ht="34.5" customHeight="1">
      <c r="A484" s="82"/>
      <c r="B484" s="205" t="str">
        <f t="shared" si="2"/>
        <v/>
      </c>
      <c r="C484" s="206" t="str">
        <f t="shared" si="3"/>
        <v/>
      </c>
      <c r="D484" s="207" t="str">
        <f t="shared" si="0"/>
        <v/>
      </c>
      <c r="E484" s="207"/>
      <c r="F484" s="205" t="str">
        <f>IF(E484="","",VLOOKUP(E484,'ARAMA LİSTELERİ'!C484:G2523,5,))</f>
        <v/>
      </c>
      <c r="G484" s="207"/>
      <c r="H484" s="210"/>
      <c r="I484" s="79"/>
      <c r="J484" s="210"/>
      <c r="K484" s="210"/>
      <c r="L484" s="210" t="str">
        <f t="shared" si="1"/>
        <v/>
      </c>
      <c r="M484" s="79"/>
      <c r="N484" s="207"/>
      <c r="O484" s="207"/>
      <c r="P484" s="207"/>
      <c r="Q484" s="207"/>
    </row>
    <row r="485" spans="1:17" ht="34.5" customHeight="1">
      <c r="A485" s="82"/>
      <c r="B485" s="205" t="str">
        <f t="shared" si="2"/>
        <v/>
      </c>
      <c r="C485" s="206" t="str">
        <f t="shared" si="3"/>
        <v/>
      </c>
      <c r="D485" s="207" t="str">
        <f t="shared" si="0"/>
        <v/>
      </c>
      <c r="E485" s="207"/>
      <c r="F485" s="205" t="str">
        <f>IF(E485="","",VLOOKUP(E485,'ARAMA LİSTELERİ'!C485:G2524,5,))</f>
        <v/>
      </c>
      <c r="G485" s="207"/>
      <c r="H485" s="210"/>
      <c r="I485" s="79"/>
      <c r="J485" s="210"/>
      <c r="K485" s="210"/>
      <c r="L485" s="210" t="str">
        <f t="shared" si="1"/>
        <v/>
      </c>
      <c r="M485" s="79"/>
      <c r="N485" s="207"/>
      <c r="O485" s="207"/>
      <c r="P485" s="207"/>
      <c r="Q485" s="207"/>
    </row>
    <row r="486" spans="1:17" ht="34.5" customHeight="1">
      <c r="A486" s="82"/>
      <c r="B486" s="205" t="str">
        <f t="shared" si="2"/>
        <v/>
      </c>
      <c r="C486" s="206" t="str">
        <f t="shared" si="3"/>
        <v/>
      </c>
      <c r="D486" s="207" t="str">
        <f t="shared" si="0"/>
        <v/>
      </c>
      <c r="E486" s="207"/>
      <c r="F486" s="205" t="str">
        <f>IF(E486="","",VLOOKUP(E486,'ARAMA LİSTELERİ'!C486:G2525,5,))</f>
        <v/>
      </c>
      <c r="G486" s="207"/>
      <c r="H486" s="210"/>
      <c r="I486" s="79"/>
      <c r="J486" s="210"/>
      <c r="K486" s="210"/>
      <c r="L486" s="210" t="str">
        <f t="shared" si="1"/>
        <v/>
      </c>
      <c r="M486" s="79"/>
      <c r="N486" s="207"/>
      <c r="O486" s="207"/>
      <c r="P486" s="207"/>
      <c r="Q486" s="207"/>
    </row>
    <row r="487" spans="1:17" ht="34.5" customHeight="1">
      <c r="A487" s="82"/>
      <c r="B487" s="205" t="str">
        <f t="shared" si="2"/>
        <v/>
      </c>
      <c r="C487" s="206" t="str">
        <f t="shared" si="3"/>
        <v/>
      </c>
      <c r="D487" s="207" t="str">
        <f t="shared" si="0"/>
        <v/>
      </c>
      <c r="E487" s="207"/>
      <c r="F487" s="205" t="str">
        <f>IF(E487="","",VLOOKUP(E487,'ARAMA LİSTELERİ'!C487:G2526,5,))</f>
        <v/>
      </c>
      <c r="G487" s="207"/>
      <c r="H487" s="210"/>
      <c r="I487" s="79"/>
      <c r="J487" s="210"/>
      <c r="K487" s="210"/>
      <c r="L487" s="210" t="str">
        <f t="shared" si="1"/>
        <v/>
      </c>
      <c r="M487" s="79"/>
      <c r="N487" s="207"/>
      <c r="O487" s="207"/>
      <c r="P487" s="207"/>
      <c r="Q487" s="207"/>
    </row>
    <row r="488" spans="1:17" ht="34.5" customHeight="1">
      <c r="A488" s="82"/>
      <c r="B488" s="205" t="str">
        <f t="shared" si="2"/>
        <v/>
      </c>
      <c r="C488" s="206" t="str">
        <f t="shared" si="3"/>
        <v/>
      </c>
      <c r="D488" s="207" t="str">
        <f t="shared" si="0"/>
        <v/>
      </c>
      <c r="E488" s="207"/>
      <c r="F488" s="205" t="str">
        <f>IF(E488="","",VLOOKUP(E488,'ARAMA LİSTELERİ'!C488:G2527,5,))</f>
        <v/>
      </c>
      <c r="G488" s="207"/>
      <c r="H488" s="210"/>
      <c r="I488" s="79"/>
      <c r="J488" s="210"/>
      <c r="K488" s="210"/>
      <c r="L488" s="210" t="str">
        <f t="shared" si="1"/>
        <v/>
      </c>
      <c r="M488" s="79"/>
      <c r="N488" s="207"/>
      <c r="O488" s="207"/>
      <c r="P488" s="207"/>
      <c r="Q488" s="207"/>
    </row>
    <row r="489" spans="1:17" ht="34.5" customHeight="1">
      <c r="A489" s="82"/>
      <c r="B489" s="205" t="str">
        <f t="shared" si="2"/>
        <v/>
      </c>
      <c r="C489" s="206" t="str">
        <f t="shared" si="3"/>
        <v/>
      </c>
      <c r="D489" s="207" t="str">
        <f t="shared" si="0"/>
        <v/>
      </c>
      <c r="E489" s="207"/>
      <c r="F489" s="205" t="str">
        <f>IF(E489="","",VLOOKUP(E489,'ARAMA LİSTELERİ'!C489:G2528,5,))</f>
        <v/>
      </c>
      <c r="G489" s="207"/>
      <c r="H489" s="210"/>
      <c r="I489" s="79"/>
      <c r="J489" s="210"/>
      <c r="K489" s="210"/>
      <c r="L489" s="210" t="str">
        <f t="shared" si="1"/>
        <v/>
      </c>
      <c r="M489" s="79"/>
      <c r="N489" s="207"/>
      <c r="O489" s="207"/>
      <c r="P489" s="207"/>
      <c r="Q489" s="207"/>
    </row>
    <row r="490" spans="1:17" ht="34.5" customHeight="1">
      <c r="A490" s="82"/>
      <c r="B490" s="205" t="str">
        <f t="shared" si="2"/>
        <v/>
      </c>
      <c r="C490" s="206" t="str">
        <f t="shared" si="3"/>
        <v/>
      </c>
      <c r="D490" s="207" t="str">
        <f t="shared" si="0"/>
        <v/>
      </c>
      <c r="E490" s="207"/>
      <c r="F490" s="205" t="str">
        <f>IF(E490="","",VLOOKUP(E490,'ARAMA LİSTELERİ'!C490:G2529,5,))</f>
        <v/>
      </c>
      <c r="G490" s="207"/>
      <c r="H490" s="210"/>
      <c r="I490" s="79"/>
      <c r="J490" s="210"/>
      <c r="K490" s="210"/>
      <c r="L490" s="210" t="str">
        <f t="shared" si="1"/>
        <v/>
      </c>
      <c r="M490" s="79"/>
      <c r="N490" s="207"/>
      <c r="O490" s="207"/>
      <c r="P490" s="207"/>
      <c r="Q490" s="207"/>
    </row>
    <row r="491" spans="1:17" ht="34.5" customHeight="1">
      <c r="A491" s="82"/>
      <c r="B491" s="205" t="str">
        <f t="shared" si="2"/>
        <v/>
      </c>
      <c r="C491" s="206" t="str">
        <f t="shared" si="3"/>
        <v/>
      </c>
      <c r="D491" s="207" t="str">
        <f t="shared" si="0"/>
        <v/>
      </c>
      <c r="E491" s="207"/>
      <c r="F491" s="205" t="str">
        <f>IF(E491="","",VLOOKUP(E491,'ARAMA LİSTELERİ'!C491:G2530,5,))</f>
        <v/>
      </c>
      <c r="G491" s="207"/>
      <c r="H491" s="210"/>
      <c r="I491" s="79"/>
      <c r="J491" s="210"/>
      <c r="K491" s="210"/>
      <c r="L491" s="210" t="str">
        <f t="shared" si="1"/>
        <v/>
      </c>
      <c r="M491" s="79"/>
      <c r="N491" s="207"/>
      <c r="O491" s="207"/>
      <c r="P491" s="207"/>
      <c r="Q491" s="207"/>
    </row>
    <row r="492" spans="1:17" ht="34.5" customHeight="1">
      <c r="A492" s="82"/>
      <c r="B492" s="205" t="str">
        <f t="shared" si="2"/>
        <v/>
      </c>
      <c r="C492" s="206" t="str">
        <f t="shared" si="3"/>
        <v/>
      </c>
      <c r="D492" s="207" t="str">
        <f t="shared" si="0"/>
        <v/>
      </c>
      <c r="E492" s="207"/>
      <c r="F492" s="205" t="str">
        <f>IF(E492="","",VLOOKUP(E492,'ARAMA LİSTELERİ'!C492:G2531,5,))</f>
        <v/>
      </c>
      <c r="G492" s="207"/>
      <c r="H492" s="210"/>
      <c r="I492" s="79"/>
      <c r="J492" s="210"/>
      <c r="K492" s="210"/>
      <c r="L492" s="210" t="str">
        <f t="shared" si="1"/>
        <v/>
      </c>
      <c r="M492" s="79"/>
      <c r="N492" s="207"/>
      <c r="O492" s="207"/>
      <c r="P492" s="207"/>
      <c r="Q492" s="207"/>
    </row>
    <row r="493" spans="1:17" ht="34.5" customHeight="1">
      <c r="A493" s="82"/>
      <c r="B493" s="205" t="str">
        <f t="shared" si="2"/>
        <v/>
      </c>
      <c r="C493" s="206" t="str">
        <f t="shared" si="3"/>
        <v/>
      </c>
      <c r="D493" s="207" t="str">
        <f t="shared" si="0"/>
        <v/>
      </c>
      <c r="E493" s="207"/>
      <c r="F493" s="205" t="str">
        <f>IF(E493="","",VLOOKUP(E493,'ARAMA LİSTELERİ'!C493:G2532,5,))</f>
        <v/>
      </c>
      <c r="G493" s="207"/>
      <c r="H493" s="210"/>
      <c r="I493" s="79"/>
      <c r="J493" s="210"/>
      <c r="K493" s="210"/>
      <c r="L493" s="210" t="str">
        <f t="shared" si="1"/>
        <v/>
      </c>
      <c r="M493" s="79"/>
      <c r="N493" s="207"/>
      <c r="O493" s="207"/>
      <c r="P493" s="207"/>
      <c r="Q493" s="207"/>
    </row>
    <row r="494" spans="1:17" ht="34.5" customHeight="1">
      <c r="A494" s="82"/>
      <c r="B494" s="205" t="str">
        <f t="shared" si="2"/>
        <v/>
      </c>
      <c r="C494" s="206" t="str">
        <f t="shared" si="3"/>
        <v/>
      </c>
      <c r="D494" s="207" t="str">
        <f t="shared" si="0"/>
        <v/>
      </c>
      <c r="E494" s="207"/>
      <c r="F494" s="205" t="str">
        <f>IF(E494="","",VLOOKUP(E494,'ARAMA LİSTELERİ'!C494:G2533,5,))</f>
        <v/>
      </c>
      <c r="G494" s="207"/>
      <c r="H494" s="210"/>
      <c r="I494" s="79"/>
      <c r="J494" s="210"/>
      <c r="K494" s="210"/>
      <c r="L494" s="210" t="str">
        <f t="shared" si="1"/>
        <v/>
      </c>
      <c r="M494" s="79"/>
      <c r="N494" s="207"/>
      <c r="O494" s="207"/>
      <c r="P494" s="207"/>
      <c r="Q494" s="207"/>
    </row>
    <row r="495" spans="1:17" ht="34.5" customHeight="1">
      <c r="A495" s="82"/>
      <c r="B495" s="205" t="str">
        <f t="shared" si="2"/>
        <v/>
      </c>
      <c r="C495" s="206" t="str">
        <f t="shared" si="3"/>
        <v/>
      </c>
      <c r="D495" s="207" t="str">
        <f t="shared" si="0"/>
        <v/>
      </c>
      <c r="E495" s="207"/>
      <c r="F495" s="205" t="str">
        <f>IF(E495="","",VLOOKUP(E495,'ARAMA LİSTELERİ'!C495:G2534,5,))</f>
        <v/>
      </c>
      <c r="G495" s="207"/>
      <c r="H495" s="210"/>
      <c r="I495" s="79"/>
      <c r="J495" s="210"/>
      <c r="K495" s="210"/>
      <c r="L495" s="210" t="str">
        <f t="shared" si="1"/>
        <v/>
      </c>
      <c r="M495" s="79"/>
      <c r="N495" s="207"/>
      <c r="O495" s="207"/>
      <c r="P495" s="207"/>
      <c r="Q495" s="207"/>
    </row>
    <row r="496" spans="1:17" ht="34.5" customHeight="1">
      <c r="A496" s="82"/>
      <c r="B496" s="205" t="str">
        <f t="shared" si="2"/>
        <v/>
      </c>
      <c r="C496" s="206" t="str">
        <f t="shared" si="3"/>
        <v/>
      </c>
      <c r="D496" s="207" t="str">
        <f t="shared" si="0"/>
        <v/>
      </c>
      <c r="E496" s="207"/>
      <c r="F496" s="205" t="str">
        <f>IF(E496="","",VLOOKUP(E496,'ARAMA LİSTELERİ'!C496:G2535,5,))</f>
        <v/>
      </c>
      <c r="G496" s="207"/>
      <c r="H496" s="210"/>
      <c r="I496" s="79"/>
      <c r="J496" s="210"/>
      <c r="K496" s="210"/>
      <c r="L496" s="210" t="str">
        <f t="shared" si="1"/>
        <v/>
      </c>
      <c r="M496" s="79"/>
      <c r="N496" s="207"/>
      <c r="O496" s="207"/>
      <c r="P496" s="207"/>
      <c r="Q496" s="207"/>
    </row>
    <row r="497" spans="1:17" ht="34.5" customHeight="1">
      <c r="A497" s="82"/>
      <c r="B497" s="205" t="str">
        <f t="shared" si="2"/>
        <v/>
      </c>
      <c r="C497" s="206" t="str">
        <f t="shared" si="3"/>
        <v/>
      </c>
      <c r="D497" s="207" t="str">
        <f t="shared" si="0"/>
        <v/>
      </c>
      <c r="E497" s="207"/>
      <c r="F497" s="205" t="str">
        <f>IF(E497="","",VLOOKUP(E497,'ARAMA LİSTELERİ'!C497:G2536,5,))</f>
        <v/>
      </c>
      <c r="G497" s="207"/>
      <c r="H497" s="210"/>
      <c r="I497" s="79"/>
      <c r="J497" s="210"/>
      <c r="K497" s="210"/>
      <c r="L497" s="210" t="str">
        <f t="shared" si="1"/>
        <v/>
      </c>
      <c r="M497" s="79"/>
      <c r="N497" s="207"/>
      <c r="O497" s="207"/>
      <c r="P497" s="207"/>
      <c r="Q497" s="207"/>
    </row>
    <row r="498" spans="1:17" ht="34.5" customHeight="1">
      <c r="A498" s="82"/>
      <c r="B498" s="205" t="str">
        <f t="shared" si="2"/>
        <v/>
      </c>
      <c r="C498" s="206" t="str">
        <f t="shared" si="3"/>
        <v/>
      </c>
      <c r="D498" s="207" t="str">
        <f t="shared" si="0"/>
        <v/>
      </c>
      <c r="E498" s="207"/>
      <c r="F498" s="205" t="str">
        <f>IF(E498="","",VLOOKUP(E498,'ARAMA LİSTELERİ'!C498:G2537,5,))</f>
        <v/>
      </c>
      <c r="G498" s="207"/>
      <c r="H498" s="210"/>
      <c r="I498" s="79"/>
      <c r="J498" s="210"/>
      <c r="K498" s="210"/>
      <c r="L498" s="210" t="str">
        <f t="shared" si="1"/>
        <v/>
      </c>
      <c r="M498" s="79"/>
      <c r="N498" s="207"/>
      <c r="O498" s="207"/>
      <c r="P498" s="207"/>
      <c r="Q498" s="207"/>
    </row>
    <row r="499" spans="1:17" ht="34.5" customHeight="1">
      <c r="A499" s="82"/>
      <c r="B499" s="205" t="str">
        <f t="shared" si="2"/>
        <v/>
      </c>
      <c r="C499" s="206" t="str">
        <f t="shared" si="3"/>
        <v/>
      </c>
      <c r="D499" s="207" t="str">
        <f t="shared" si="0"/>
        <v/>
      </c>
      <c r="E499" s="207"/>
      <c r="F499" s="205" t="str">
        <f>IF(E499="","",VLOOKUP(E499,'ARAMA LİSTELERİ'!C499:G2538,5,))</f>
        <v/>
      </c>
      <c r="G499" s="207"/>
      <c r="H499" s="210"/>
      <c r="I499" s="79"/>
      <c r="J499" s="210"/>
      <c r="K499" s="210"/>
      <c r="L499" s="210" t="str">
        <f t="shared" si="1"/>
        <v/>
      </c>
      <c r="M499" s="79"/>
      <c r="N499" s="207"/>
      <c r="O499" s="207"/>
      <c r="P499" s="207"/>
      <c r="Q499" s="207"/>
    </row>
    <row r="500" spans="1:17" ht="34.5" customHeight="1">
      <c r="A500" s="82"/>
      <c r="B500" s="205" t="str">
        <f t="shared" si="2"/>
        <v/>
      </c>
      <c r="C500" s="206" t="str">
        <f t="shared" si="3"/>
        <v/>
      </c>
      <c r="D500" s="207" t="str">
        <f t="shared" si="0"/>
        <v/>
      </c>
      <c r="E500" s="207"/>
      <c r="F500" s="205" t="str">
        <f>IF(E500="","",VLOOKUP(E500,'ARAMA LİSTELERİ'!C500:G2539,5,))</f>
        <v/>
      </c>
      <c r="G500" s="207"/>
      <c r="H500" s="210"/>
      <c r="I500" s="79"/>
      <c r="J500" s="210"/>
      <c r="K500" s="210"/>
      <c r="L500" s="210" t="str">
        <f t="shared" si="1"/>
        <v/>
      </c>
      <c r="M500" s="79"/>
      <c r="N500" s="207"/>
      <c r="O500" s="207"/>
      <c r="P500" s="207"/>
      <c r="Q500" s="207"/>
    </row>
    <row r="501" spans="1:17" ht="34.5" customHeight="1">
      <c r="A501" s="82"/>
      <c r="B501" s="205" t="str">
        <f t="shared" si="2"/>
        <v/>
      </c>
      <c r="C501" s="206" t="str">
        <f t="shared" si="3"/>
        <v/>
      </c>
      <c r="D501" s="207" t="str">
        <f t="shared" si="0"/>
        <v/>
      </c>
      <c r="E501" s="207"/>
      <c r="F501" s="205" t="str">
        <f>IF(E501="","",VLOOKUP(E501,'ARAMA LİSTELERİ'!C501:G2540,5,))</f>
        <v/>
      </c>
      <c r="G501" s="207"/>
      <c r="H501" s="210"/>
      <c r="I501" s="79"/>
      <c r="J501" s="210"/>
      <c r="K501" s="210"/>
      <c r="L501" s="210" t="str">
        <f t="shared" si="1"/>
        <v/>
      </c>
      <c r="M501" s="79"/>
      <c r="N501" s="207"/>
      <c r="O501" s="207"/>
      <c r="P501" s="207"/>
      <c r="Q501" s="207"/>
    </row>
    <row r="502" spans="1:17" ht="34.5" customHeight="1">
      <c r="A502" s="82"/>
      <c r="B502" s="205" t="str">
        <f t="shared" si="2"/>
        <v/>
      </c>
      <c r="C502" s="206" t="str">
        <f t="shared" si="3"/>
        <v/>
      </c>
      <c r="D502" s="207" t="str">
        <f t="shared" si="0"/>
        <v/>
      </c>
      <c r="E502" s="207"/>
      <c r="F502" s="205" t="str">
        <f>IF(E502="","",VLOOKUP(E502,'ARAMA LİSTELERİ'!C502:G2541,5,))</f>
        <v/>
      </c>
      <c r="G502" s="207"/>
      <c r="H502" s="210"/>
      <c r="I502" s="79"/>
      <c r="J502" s="210"/>
      <c r="K502" s="210"/>
      <c r="L502" s="210" t="str">
        <f t="shared" si="1"/>
        <v/>
      </c>
      <c r="M502" s="79"/>
      <c r="N502" s="207"/>
      <c r="O502" s="207"/>
      <c r="P502" s="207"/>
      <c r="Q502" s="207"/>
    </row>
    <row r="503" spans="1:17" ht="34.5" customHeight="1">
      <c r="A503" s="82"/>
      <c r="B503" s="205" t="str">
        <f t="shared" si="2"/>
        <v/>
      </c>
      <c r="C503" s="206" t="str">
        <f t="shared" si="3"/>
        <v/>
      </c>
      <c r="D503" s="207" t="str">
        <f t="shared" si="0"/>
        <v/>
      </c>
      <c r="E503" s="207"/>
      <c r="F503" s="205" t="str">
        <f>IF(E503="","",VLOOKUP(E503,'ARAMA LİSTELERİ'!C503:G2542,5,))</f>
        <v/>
      </c>
      <c r="G503" s="207"/>
      <c r="H503" s="210"/>
      <c r="I503" s="79"/>
      <c r="J503" s="210"/>
      <c r="K503" s="210"/>
      <c r="L503" s="210" t="str">
        <f t="shared" si="1"/>
        <v/>
      </c>
      <c r="M503" s="79"/>
      <c r="N503" s="207"/>
      <c r="O503" s="207"/>
      <c r="P503" s="207"/>
      <c r="Q503" s="207"/>
    </row>
    <row r="504" spans="1:17" ht="34.5" customHeight="1">
      <c r="A504" s="82"/>
      <c r="B504" s="205" t="str">
        <f t="shared" si="2"/>
        <v/>
      </c>
      <c r="C504" s="206" t="str">
        <f t="shared" si="3"/>
        <v/>
      </c>
      <c r="D504" s="207" t="str">
        <f t="shared" si="0"/>
        <v/>
      </c>
      <c r="E504" s="207"/>
      <c r="F504" s="205" t="str">
        <f>IF(E504="","",VLOOKUP(E504,'ARAMA LİSTELERİ'!C504:G2543,5,))</f>
        <v/>
      </c>
      <c r="G504" s="207"/>
      <c r="H504" s="210"/>
      <c r="I504" s="79"/>
      <c r="J504" s="210"/>
      <c r="K504" s="210"/>
      <c r="L504" s="210" t="str">
        <f t="shared" si="1"/>
        <v/>
      </c>
      <c r="M504" s="79"/>
      <c r="N504" s="207"/>
      <c r="O504" s="207"/>
      <c r="P504" s="207"/>
      <c r="Q504" s="207"/>
    </row>
    <row r="505" spans="1:17" ht="34.5" customHeight="1">
      <c r="A505" s="82"/>
      <c r="B505" s="205" t="str">
        <f t="shared" si="2"/>
        <v/>
      </c>
      <c r="C505" s="206" t="str">
        <f t="shared" si="3"/>
        <v/>
      </c>
      <c r="D505" s="207" t="str">
        <f t="shared" si="0"/>
        <v/>
      </c>
      <c r="E505" s="207"/>
      <c r="F505" s="205" t="str">
        <f>IF(E505="","",VLOOKUP(E505,'ARAMA LİSTELERİ'!C505:G2544,5,))</f>
        <v/>
      </c>
      <c r="G505" s="207"/>
      <c r="H505" s="210"/>
      <c r="I505" s="79"/>
      <c r="J505" s="210"/>
      <c r="K505" s="210"/>
      <c r="L505" s="210" t="str">
        <f t="shared" si="1"/>
        <v/>
      </c>
      <c r="M505" s="79"/>
      <c r="N505" s="207"/>
      <c r="O505" s="207"/>
      <c r="P505" s="207"/>
      <c r="Q505" s="207"/>
    </row>
    <row r="506" spans="1:17" ht="34.5" customHeight="1">
      <c r="A506" s="82"/>
      <c r="B506" s="205" t="str">
        <f t="shared" si="2"/>
        <v/>
      </c>
      <c r="C506" s="206" t="str">
        <f t="shared" si="3"/>
        <v/>
      </c>
      <c r="D506" s="207" t="str">
        <f t="shared" si="0"/>
        <v/>
      </c>
      <c r="E506" s="207"/>
      <c r="F506" s="205" t="str">
        <f>IF(E506="","",VLOOKUP(E506,'ARAMA LİSTELERİ'!C506:G2545,5,))</f>
        <v/>
      </c>
      <c r="G506" s="207"/>
      <c r="H506" s="210"/>
      <c r="I506" s="79"/>
      <c r="J506" s="210"/>
      <c r="K506" s="210"/>
      <c r="L506" s="210" t="str">
        <f t="shared" si="1"/>
        <v/>
      </c>
      <c r="M506" s="79"/>
      <c r="N506" s="207"/>
      <c r="O506" s="207"/>
      <c r="P506" s="207"/>
      <c r="Q506" s="207"/>
    </row>
    <row r="507" spans="1:17" ht="34.5" customHeight="1">
      <c r="A507" s="82"/>
      <c r="B507" s="205" t="str">
        <f t="shared" si="2"/>
        <v/>
      </c>
      <c r="C507" s="206" t="str">
        <f t="shared" si="3"/>
        <v/>
      </c>
      <c r="D507" s="207" t="str">
        <f t="shared" si="0"/>
        <v/>
      </c>
      <c r="E507" s="207"/>
      <c r="F507" s="205" t="str">
        <f>IF(E507="","",VLOOKUP(E507,'ARAMA LİSTELERİ'!C507:G2546,5,))</f>
        <v/>
      </c>
      <c r="G507" s="207"/>
      <c r="H507" s="210"/>
      <c r="I507" s="79"/>
      <c r="J507" s="210"/>
      <c r="K507" s="210"/>
      <c r="L507" s="210" t="str">
        <f t="shared" si="1"/>
        <v/>
      </c>
      <c r="M507" s="79"/>
      <c r="N507" s="207"/>
      <c r="O507" s="207"/>
      <c r="P507" s="207"/>
      <c r="Q507" s="207"/>
    </row>
    <row r="508" spans="1:17" ht="34.5" customHeight="1">
      <c r="A508" s="82"/>
      <c r="B508" s="205" t="str">
        <f t="shared" si="2"/>
        <v/>
      </c>
      <c r="C508" s="206" t="str">
        <f t="shared" si="3"/>
        <v/>
      </c>
      <c r="D508" s="207" t="str">
        <f t="shared" si="0"/>
        <v/>
      </c>
      <c r="E508" s="207"/>
      <c r="F508" s="205" t="str">
        <f>IF(E508="","",VLOOKUP(E508,'ARAMA LİSTELERİ'!C508:G2547,5,))</f>
        <v/>
      </c>
      <c r="G508" s="207"/>
      <c r="H508" s="210"/>
      <c r="I508" s="79"/>
      <c r="J508" s="210"/>
      <c r="K508" s="210"/>
      <c r="L508" s="210" t="str">
        <f t="shared" si="1"/>
        <v/>
      </c>
      <c r="M508" s="79"/>
      <c r="N508" s="207"/>
      <c r="O508" s="207"/>
      <c r="P508" s="207"/>
      <c r="Q508" s="207"/>
    </row>
    <row r="509" spans="1:17" ht="34.5" customHeight="1">
      <c r="A509" s="82"/>
      <c r="B509" s="205" t="str">
        <f t="shared" si="2"/>
        <v/>
      </c>
      <c r="C509" s="206" t="str">
        <f t="shared" si="3"/>
        <v/>
      </c>
      <c r="D509" s="207" t="str">
        <f t="shared" si="0"/>
        <v/>
      </c>
      <c r="E509" s="207"/>
      <c r="F509" s="205" t="str">
        <f>IF(E509="","",VLOOKUP(E509,'ARAMA LİSTELERİ'!C509:G2548,5,))</f>
        <v/>
      </c>
      <c r="G509" s="207"/>
      <c r="H509" s="210"/>
      <c r="I509" s="79"/>
      <c r="J509" s="210"/>
      <c r="K509" s="210"/>
      <c r="L509" s="210" t="str">
        <f t="shared" si="1"/>
        <v/>
      </c>
      <c r="M509" s="79"/>
      <c r="N509" s="207"/>
      <c r="O509" s="207"/>
      <c r="P509" s="207"/>
      <c r="Q509" s="207"/>
    </row>
    <row r="510" spans="1:17" ht="34.5" customHeight="1">
      <c r="A510" s="82"/>
      <c r="B510" s="205" t="str">
        <f t="shared" si="2"/>
        <v/>
      </c>
      <c r="C510" s="206" t="str">
        <f t="shared" si="3"/>
        <v/>
      </c>
      <c r="D510" s="207" t="str">
        <f t="shared" si="0"/>
        <v/>
      </c>
      <c r="E510" s="207"/>
      <c r="F510" s="205" t="str">
        <f>IF(E510="","",VLOOKUP(E510,'ARAMA LİSTELERİ'!C510:G2549,5,))</f>
        <v/>
      </c>
      <c r="G510" s="207"/>
      <c r="H510" s="210"/>
      <c r="I510" s="79"/>
      <c r="J510" s="210"/>
      <c r="K510" s="210"/>
      <c r="L510" s="210" t="str">
        <f t="shared" si="1"/>
        <v/>
      </c>
      <c r="M510" s="79"/>
      <c r="N510" s="207"/>
      <c r="O510" s="207"/>
      <c r="P510" s="207"/>
      <c r="Q510" s="207"/>
    </row>
    <row r="511" spans="1:17" ht="34.5" customHeight="1">
      <c r="A511" s="82"/>
      <c r="B511" s="205" t="str">
        <f t="shared" si="2"/>
        <v/>
      </c>
      <c r="C511" s="206" t="str">
        <f t="shared" si="3"/>
        <v/>
      </c>
      <c r="D511" s="207" t="str">
        <f t="shared" si="0"/>
        <v/>
      </c>
      <c r="E511" s="207"/>
      <c r="F511" s="205" t="str">
        <f>IF(E511="","",VLOOKUP(E511,'ARAMA LİSTELERİ'!C511:G2550,5,))</f>
        <v/>
      </c>
      <c r="G511" s="207"/>
      <c r="H511" s="210"/>
      <c r="I511" s="79"/>
      <c r="J511" s="210"/>
      <c r="K511" s="210"/>
      <c r="L511" s="210" t="str">
        <f t="shared" si="1"/>
        <v/>
      </c>
      <c r="M511" s="79"/>
      <c r="N511" s="207"/>
      <c r="O511" s="207"/>
      <c r="P511" s="207"/>
      <c r="Q511" s="207"/>
    </row>
    <row r="512" spans="1:17" ht="34.5" customHeight="1">
      <c r="A512" s="82"/>
      <c r="B512" s="205" t="str">
        <f t="shared" si="2"/>
        <v/>
      </c>
      <c r="C512" s="206" t="str">
        <f t="shared" si="3"/>
        <v/>
      </c>
      <c r="D512" s="207" t="str">
        <f t="shared" si="0"/>
        <v/>
      </c>
      <c r="E512" s="207"/>
      <c r="F512" s="205" t="str">
        <f>IF(E512="","",VLOOKUP(E512,'ARAMA LİSTELERİ'!C512:G2551,5,))</f>
        <v/>
      </c>
      <c r="G512" s="207"/>
      <c r="H512" s="210"/>
      <c r="I512" s="79"/>
      <c r="J512" s="210"/>
      <c r="K512" s="210"/>
      <c r="L512" s="210" t="str">
        <f t="shared" si="1"/>
        <v/>
      </c>
      <c r="M512" s="79"/>
      <c r="N512" s="207"/>
      <c r="O512" s="207"/>
      <c r="P512" s="207"/>
      <c r="Q512" s="207"/>
    </row>
    <row r="513" spans="1:17" ht="34.5" customHeight="1">
      <c r="A513" s="82"/>
      <c r="B513" s="205" t="str">
        <f t="shared" si="2"/>
        <v/>
      </c>
      <c r="C513" s="206" t="str">
        <f t="shared" si="3"/>
        <v/>
      </c>
      <c r="D513" s="207" t="str">
        <f t="shared" si="0"/>
        <v/>
      </c>
      <c r="E513" s="207"/>
      <c r="F513" s="205" t="str">
        <f>IF(E513="","",VLOOKUP(E513,'ARAMA LİSTELERİ'!C513:G2552,5,))</f>
        <v/>
      </c>
      <c r="G513" s="207"/>
      <c r="H513" s="210"/>
      <c r="I513" s="79"/>
      <c r="J513" s="210"/>
      <c r="K513" s="210"/>
      <c r="L513" s="210" t="str">
        <f t="shared" si="1"/>
        <v/>
      </c>
      <c r="M513" s="79"/>
      <c r="N513" s="207"/>
      <c r="O513" s="207"/>
      <c r="P513" s="207"/>
      <c r="Q513" s="207"/>
    </row>
    <row r="514" spans="1:17" ht="34.5" customHeight="1">
      <c r="A514" s="82"/>
      <c r="B514" s="205" t="str">
        <f t="shared" si="2"/>
        <v/>
      </c>
      <c r="C514" s="206" t="str">
        <f t="shared" si="3"/>
        <v/>
      </c>
      <c r="D514" s="207" t="str">
        <f t="shared" si="0"/>
        <v/>
      </c>
      <c r="E514" s="207"/>
      <c r="F514" s="205" t="str">
        <f>IF(E514="","",VLOOKUP(E514,'ARAMA LİSTELERİ'!C514:G2553,5,))</f>
        <v/>
      </c>
      <c r="G514" s="207"/>
      <c r="H514" s="210"/>
      <c r="I514" s="79"/>
      <c r="J514" s="210"/>
      <c r="K514" s="210"/>
      <c r="L514" s="210" t="str">
        <f t="shared" si="1"/>
        <v/>
      </c>
      <c r="M514" s="79"/>
      <c r="N514" s="207"/>
      <c r="O514" s="207"/>
      <c r="P514" s="207"/>
      <c r="Q514" s="207"/>
    </row>
    <row r="515" spans="1:17" ht="34.5" customHeight="1">
      <c r="A515" s="82"/>
      <c r="B515" s="205" t="str">
        <f t="shared" si="2"/>
        <v/>
      </c>
      <c r="C515" s="206" t="str">
        <f t="shared" si="3"/>
        <v/>
      </c>
      <c r="D515" s="207" t="str">
        <f t="shared" si="0"/>
        <v/>
      </c>
      <c r="E515" s="207"/>
      <c r="F515" s="205" t="str">
        <f>IF(E515="","",VLOOKUP(E515,'ARAMA LİSTELERİ'!C515:G2554,5,))</f>
        <v/>
      </c>
      <c r="G515" s="207"/>
      <c r="H515" s="210"/>
      <c r="I515" s="79"/>
      <c r="J515" s="210"/>
      <c r="K515" s="210"/>
      <c r="L515" s="210" t="str">
        <f t="shared" si="1"/>
        <v/>
      </c>
      <c r="M515" s="79"/>
      <c r="N515" s="207"/>
      <c r="O515" s="207"/>
      <c r="P515" s="207"/>
      <c r="Q515" s="207"/>
    </row>
    <row r="516" spans="1:17" ht="34.5" customHeight="1">
      <c r="A516" s="82"/>
      <c r="B516" s="205" t="str">
        <f t="shared" si="2"/>
        <v/>
      </c>
      <c r="C516" s="206" t="str">
        <f t="shared" si="3"/>
        <v/>
      </c>
      <c r="D516" s="207" t="str">
        <f t="shared" si="0"/>
        <v/>
      </c>
      <c r="E516" s="207"/>
      <c r="F516" s="205" t="str">
        <f>IF(E516="","",VLOOKUP(E516,'ARAMA LİSTELERİ'!C516:G2555,5,))</f>
        <v/>
      </c>
      <c r="G516" s="207"/>
      <c r="H516" s="210"/>
      <c r="I516" s="79"/>
      <c r="J516" s="210"/>
      <c r="K516" s="210"/>
      <c r="L516" s="210" t="str">
        <f t="shared" si="1"/>
        <v/>
      </c>
      <c r="M516" s="79"/>
      <c r="N516" s="207"/>
      <c r="O516" s="207"/>
      <c r="P516" s="207"/>
      <c r="Q516" s="207"/>
    </row>
    <row r="517" spans="1:17" ht="34.5" customHeight="1">
      <c r="A517" s="82"/>
      <c r="B517" s="205" t="str">
        <f t="shared" si="2"/>
        <v/>
      </c>
      <c r="C517" s="206" t="str">
        <f t="shared" si="3"/>
        <v/>
      </c>
      <c r="D517" s="207" t="str">
        <f t="shared" si="0"/>
        <v/>
      </c>
      <c r="E517" s="207"/>
      <c r="F517" s="205" t="str">
        <f>IF(E517="","",VLOOKUP(E517,'ARAMA LİSTELERİ'!C517:G2556,5,))</f>
        <v/>
      </c>
      <c r="G517" s="207"/>
      <c r="H517" s="210"/>
      <c r="I517" s="79"/>
      <c r="J517" s="210"/>
      <c r="K517" s="210"/>
      <c r="L517" s="210" t="str">
        <f t="shared" si="1"/>
        <v/>
      </c>
      <c r="M517" s="79"/>
      <c r="N517" s="207"/>
      <c r="O517" s="207"/>
      <c r="P517" s="207"/>
      <c r="Q517" s="207"/>
    </row>
    <row r="518" spans="1:17" ht="34.5" customHeight="1">
      <c r="A518" s="82"/>
      <c r="B518" s="205" t="str">
        <f t="shared" si="2"/>
        <v/>
      </c>
      <c r="C518" s="206" t="str">
        <f t="shared" si="3"/>
        <v/>
      </c>
      <c r="D518" s="207" t="str">
        <f t="shared" si="0"/>
        <v/>
      </c>
      <c r="E518" s="207"/>
      <c r="F518" s="205" t="str">
        <f>IF(E518="","",VLOOKUP(E518,'ARAMA LİSTELERİ'!C518:G2557,5,))</f>
        <v/>
      </c>
      <c r="G518" s="207"/>
      <c r="H518" s="210"/>
      <c r="I518" s="79"/>
      <c r="J518" s="210"/>
      <c r="K518" s="210"/>
      <c r="L518" s="210" t="str">
        <f t="shared" si="1"/>
        <v/>
      </c>
      <c r="M518" s="79"/>
      <c r="N518" s="207"/>
      <c r="O518" s="207"/>
      <c r="P518" s="207"/>
      <c r="Q518" s="207"/>
    </row>
    <row r="519" spans="1:17" ht="34.5" customHeight="1">
      <c r="A519" s="82"/>
      <c r="B519" s="205" t="str">
        <f t="shared" si="2"/>
        <v/>
      </c>
      <c r="C519" s="206" t="str">
        <f t="shared" si="3"/>
        <v/>
      </c>
      <c r="D519" s="207" t="str">
        <f t="shared" si="0"/>
        <v/>
      </c>
      <c r="E519" s="207"/>
      <c r="F519" s="205" t="str">
        <f>IF(E519="","",VLOOKUP(E519,'ARAMA LİSTELERİ'!C519:G2558,5,))</f>
        <v/>
      </c>
      <c r="G519" s="207"/>
      <c r="H519" s="210"/>
      <c r="I519" s="79"/>
      <c r="J519" s="210"/>
      <c r="K519" s="210"/>
      <c r="L519" s="210" t="str">
        <f t="shared" si="1"/>
        <v/>
      </c>
      <c r="M519" s="79"/>
      <c r="N519" s="207"/>
      <c r="O519" s="207"/>
      <c r="P519" s="207"/>
      <c r="Q519" s="207"/>
    </row>
    <row r="520" spans="1:17" ht="34.5" customHeight="1">
      <c r="A520" s="82"/>
      <c r="B520" s="205" t="str">
        <f t="shared" si="2"/>
        <v/>
      </c>
      <c r="C520" s="206" t="str">
        <f t="shared" si="3"/>
        <v/>
      </c>
      <c r="D520" s="207" t="str">
        <f t="shared" si="0"/>
        <v/>
      </c>
      <c r="E520" s="207"/>
      <c r="F520" s="205" t="str">
        <f>IF(E520="","",VLOOKUP(E520,'ARAMA LİSTELERİ'!C520:G2559,5,))</f>
        <v/>
      </c>
      <c r="G520" s="207"/>
      <c r="H520" s="210"/>
      <c r="I520" s="79"/>
      <c r="J520" s="210"/>
      <c r="K520" s="210"/>
      <c r="L520" s="210" t="str">
        <f t="shared" si="1"/>
        <v/>
      </c>
      <c r="M520" s="79"/>
      <c r="N520" s="207"/>
      <c r="O520" s="207"/>
      <c r="P520" s="207"/>
      <c r="Q520" s="207"/>
    </row>
    <row r="521" spans="1:17" ht="34.5" customHeight="1">
      <c r="A521" s="82"/>
      <c r="B521" s="205" t="str">
        <f t="shared" si="2"/>
        <v/>
      </c>
      <c r="C521" s="206" t="str">
        <f t="shared" si="3"/>
        <v/>
      </c>
      <c r="D521" s="207" t="str">
        <f t="shared" si="0"/>
        <v/>
      </c>
      <c r="E521" s="207"/>
      <c r="F521" s="205" t="str">
        <f>IF(E521="","",VLOOKUP(E521,'ARAMA LİSTELERİ'!C521:G2560,5,))</f>
        <v/>
      </c>
      <c r="G521" s="207"/>
      <c r="H521" s="210"/>
      <c r="I521" s="79"/>
      <c r="J521" s="210"/>
      <c r="K521" s="210"/>
      <c r="L521" s="210" t="str">
        <f t="shared" si="1"/>
        <v/>
      </c>
      <c r="M521" s="79"/>
      <c r="N521" s="207"/>
      <c r="O521" s="207"/>
      <c r="P521" s="207"/>
      <c r="Q521" s="207"/>
    </row>
    <row r="522" spans="1:17" ht="34.5" customHeight="1">
      <c r="A522" s="82"/>
      <c r="B522" s="205" t="str">
        <f t="shared" si="2"/>
        <v/>
      </c>
      <c r="C522" s="206" t="str">
        <f t="shared" si="3"/>
        <v/>
      </c>
      <c r="D522" s="207" t="str">
        <f t="shared" si="0"/>
        <v/>
      </c>
      <c r="E522" s="207"/>
      <c r="F522" s="205" t="str">
        <f>IF(E522="","",VLOOKUP(E522,'ARAMA LİSTELERİ'!C522:G2561,5,))</f>
        <v/>
      </c>
      <c r="G522" s="207"/>
      <c r="H522" s="210"/>
      <c r="I522" s="79"/>
      <c r="J522" s="210"/>
      <c r="K522" s="210"/>
      <c r="L522" s="210" t="str">
        <f t="shared" si="1"/>
        <v/>
      </c>
      <c r="M522" s="79"/>
      <c r="N522" s="207"/>
      <c r="O522" s="207"/>
      <c r="P522" s="207"/>
      <c r="Q522" s="207"/>
    </row>
    <row r="523" spans="1:17" ht="34.5" customHeight="1">
      <c r="A523" s="82"/>
      <c r="B523" s="205" t="str">
        <f t="shared" si="2"/>
        <v/>
      </c>
      <c r="C523" s="206" t="str">
        <f t="shared" si="3"/>
        <v/>
      </c>
      <c r="D523" s="207" t="str">
        <f t="shared" si="0"/>
        <v/>
      </c>
      <c r="E523" s="207"/>
      <c r="F523" s="205" t="str">
        <f>IF(E523="","",VLOOKUP(E523,'ARAMA LİSTELERİ'!C523:G2562,5,))</f>
        <v/>
      </c>
      <c r="G523" s="207"/>
      <c r="H523" s="210"/>
      <c r="I523" s="79"/>
      <c r="J523" s="210"/>
      <c r="K523" s="210"/>
      <c r="L523" s="210" t="str">
        <f t="shared" si="1"/>
        <v/>
      </c>
      <c r="M523" s="79"/>
      <c r="N523" s="207"/>
      <c r="O523" s="207"/>
      <c r="P523" s="207"/>
      <c r="Q523" s="207"/>
    </row>
    <row r="524" spans="1:17" ht="34.5" customHeight="1">
      <c r="A524" s="82"/>
      <c r="B524" s="205" t="str">
        <f t="shared" si="2"/>
        <v/>
      </c>
      <c r="C524" s="206" t="str">
        <f t="shared" si="3"/>
        <v/>
      </c>
      <c r="D524" s="207" t="str">
        <f t="shared" si="0"/>
        <v/>
      </c>
      <c r="E524" s="207"/>
      <c r="F524" s="205" t="str">
        <f>IF(E524="","",VLOOKUP(E524,'ARAMA LİSTELERİ'!C524:G2563,5,))</f>
        <v/>
      </c>
      <c r="G524" s="207"/>
      <c r="H524" s="210"/>
      <c r="I524" s="79"/>
      <c r="J524" s="210"/>
      <c r="K524" s="210"/>
      <c r="L524" s="210" t="str">
        <f t="shared" si="1"/>
        <v/>
      </c>
      <c r="M524" s="79"/>
      <c r="N524" s="207"/>
      <c r="O524" s="207"/>
      <c r="P524" s="207"/>
      <c r="Q524" s="207"/>
    </row>
    <row r="525" spans="1:17" ht="34.5" customHeight="1">
      <c r="A525" s="82"/>
      <c r="B525" s="205" t="str">
        <f t="shared" si="2"/>
        <v/>
      </c>
      <c r="C525" s="206" t="str">
        <f t="shared" si="3"/>
        <v/>
      </c>
      <c r="D525" s="207" t="str">
        <f t="shared" si="0"/>
        <v/>
      </c>
      <c r="E525" s="207"/>
      <c r="F525" s="205" t="str">
        <f>IF(E525="","",VLOOKUP(E525,'ARAMA LİSTELERİ'!C525:G2564,5,))</f>
        <v/>
      </c>
      <c r="G525" s="207"/>
      <c r="H525" s="210"/>
      <c r="I525" s="79"/>
      <c r="J525" s="210"/>
      <c r="K525" s="210"/>
      <c r="L525" s="210" t="str">
        <f t="shared" si="1"/>
        <v/>
      </c>
      <c r="M525" s="79"/>
      <c r="N525" s="207"/>
      <c r="O525" s="207"/>
      <c r="P525" s="207"/>
      <c r="Q525" s="207"/>
    </row>
    <row r="526" spans="1:17" ht="34.5" customHeight="1">
      <c r="A526" s="82"/>
      <c r="B526" s="205" t="str">
        <f t="shared" si="2"/>
        <v/>
      </c>
      <c r="C526" s="206" t="str">
        <f t="shared" si="3"/>
        <v/>
      </c>
      <c r="D526" s="207" t="str">
        <f t="shared" si="0"/>
        <v/>
      </c>
      <c r="E526" s="207"/>
      <c r="F526" s="205" t="str">
        <f>IF(E526="","",VLOOKUP(E526,'ARAMA LİSTELERİ'!C526:G2565,5,))</f>
        <v/>
      </c>
      <c r="G526" s="207"/>
      <c r="H526" s="210"/>
      <c r="I526" s="79"/>
      <c r="J526" s="210"/>
      <c r="K526" s="210"/>
      <c r="L526" s="210" t="str">
        <f t="shared" si="1"/>
        <v/>
      </c>
      <c r="M526" s="79"/>
      <c r="N526" s="207"/>
      <c r="O526" s="207"/>
      <c r="P526" s="207"/>
      <c r="Q526" s="207"/>
    </row>
    <row r="527" spans="1:17" ht="34.5" customHeight="1">
      <c r="A527" s="82"/>
      <c r="B527" s="205" t="str">
        <f t="shared" si="2"/>
        <v/>
      </c>
      <c r="C527" s="206" t="str">
        <f t="shared" si="3"/>
        <v/>
      </c>
      <c r="D527" s="207" t="str">
        <f t="shared" si="0"/>
        <v/>
      </c>
      <c r="E527" s="207"/>
      <c r="F527" s="205" t="str">
        <f>IF(E527="","",VLOOKUP(E527,'ARAMA LİSTELERİ'!C527:G2566,5,))</f>
        <v/>
      </c>
      <c r="G527" s="207"/>
      <c r="H527" s="210"/>
      <c r="I527" s="79"/>
      <c r="J527" s="210"/>
      <c r="K527" s="210"/>
      <c r="L527" s="210" t="str">
        <f t="shared" si="1"/>
        <v/>
      </c>
      <c r="M527" s="79"/>
      <c r="N527" s="207"/>
      <c r="O527" s="207"/>
      <c r="P527" s="207"/>
      <c r="Q527" s="207"/>
    </row>
    <row r="528" spans="1:17" ht="34.5" customHeight="1">
      <c r="A528" s="82"/>
      <c r="B528" s="205" t="str">
        <f t="shared" si="2"/>
        <v/>
      </c>
      <c r="C528" s="206" t="str">
        <f t="shared" si="3"/>
        <v/>
      </c>
      <c r="D528" s="207" t="str">
        <f t="shared" si="0"/>
        <v/>
      </c>
      <c r="E528" s="207"/>
      <c r="F528" s="205" t="str">
        <f>IF(E528="","",VLOOKUP(E528,'ARAMA LİSTELERİ'!C528:G2567,5,))</f>
        <v/>
      </c>
      <c r="G528" s="207"/>
      <c r="H528" s="210"/>
      <c r="I528" s="79"/>
      <c r="J528" s="210"/>
      <c r="K528" s="210"/>
      <c r="L528" s="210" t="str">
        <f t="shared" si="1"/>
        <v/>
      </c>
      <c r="M528" s="79"/>
      <c r="N528" s="207"/>
      <c r="O528" s="207"/>
      <c r="P528" s="207"/>
      <c r="Q528" s="207"/>
    </row>
    <row r="529" spans="1:17" ht="34.5" customHeight="1">
      <c r="A529" s="82"/>
      <c r="B529" s="205" t="str">
        <f t="shared" si="2"/>
        <v/>
      </c>
      <c r="C529" s="206" t="str">
        <f t="shared" si="3"/>
        <v/>
      </c>
      <c r="D529" s="207" t="str">
        <f t="shared" si="0"/>
        <v/>
      </c>
      <c r="E529" s="207"/>
      <c r="F529" s="205" t="str">
        <f>IF(E529="","",VLOOKUP(E529,'ARAMA LİSTELERİ'!C529:G2568,5,))</f>
        <v/>
      </c>
      <c r="G529" s="207"/>
      <c r="H529" s="210"/>
      <c r="I529" s="79"/>
      <c r="J529" s="210"/>
      <c r="K529" s="210"/>
      <c r="L529" s="210" t="str">
        <f t="shared" si="1"/>
        <v/>
      </c>
      <c r="M529" s="79"/>
      <c r="N529" s="207"/>
      <c r="O529" s="207"/>
      <c r="P529" s="207"/>
      <c r="Q529" s="207"/>
    </row>
    <row r="530" spans="1:17" ht="34.5" customHeight="1">
      <c r="A530" s="82"/>
      <c r="B530" s="205" t="str">
        <f t="shared" si="2"/>
        <v/>
      </c>
      <c r="C530" s="206" t="str">
        <f t="shared" si="3"/>
        <v/>
      </c>
      <c r="D530" s="207" t="str">
        <f t="shared" si="0"/>
        <v/>
      </c>
      <c r="E530" s="207"/>
      <c r="F530" s="205" t="str">
        <f>IF(E530="","",VLOOKUP(E530,'ARAMA LİSTELERİ'!C530:G2569,5,))</f>
        <v/>
      </c>
      <c r="G530" s="207"/>
      <c r="H530" s="210"/>
      <c r="I530" s="79"/>
      <c r="J530" s="210"/>
      <c r="K530" s="210"/>
      <c r="L530" s="210" t="str">
        <f t="shared" si="1"/>
        <v/>
      </c>
      <c r="M530" s="79"/>
      <c r="N530" s="207"/>
      <c r="O530" s="207"/>
      <c r="P530" s="207"/>
      <c r="Q530" s="207"/>
    </row>
    <row r="531" spans="1:17" ht="34.5" customHeight="1">
      <c r="A531" s="82"/>
      <c r="B531" s="205" t="str">
        <f t="shared" si="2"/>
        <v/>
      </c>
      <c r="C531" s="206" t="str">
        <f t="shared" si="3"/>
        <v/>
      </c>
      <c r="D531" s="207" t="str">
        <f t="shared" si="0"/>
        <v/>
      </c>
      <c r="E531" s="207"/>
      <c r="F531" s="205" t="str">
        <f>IF(E531="","",VLOOKUP(E531,'ARAMA LİSTELERİ'!C531:G2570,5,))</f>
        <v/>
      </c>
      <c r="G531" s="207"/>
      <c r="H531" s="210"/>
      <c r="I531" s="79"/>
      <c r="J531" s="210"/>
      <c r="K531" s="210"/>
      <c r="L531" s="210" t="str">
        <f t="shared" si="1"/>
        <v/>
      </c>
      <c r="M531" s="79"/>
      <c r="N531" s="207"/>
      <c r="O531" s="207"/>
      <c r="P531" s="207"/>
      <c r="Q531" s="207"/>
    </row>
    <row r="532" spans="1:17" ht="34.5" customHeight="1">
      <c r="A532" s="82"/>
      <c r="B532" s="205" t="str">
        <f t="shared" si="2"/>
        <v/>
      </c>
      <c r="C532" s="206" t="str">
        <f t="shared" si="3"/>
        <v/>
      </c>
      <c r="D532" s="207" t="str">
        <f t="shared" si="0"/>
        <v/>
      </c>
      <c r="E532" s="207"/>
      <c r="F532" s="205" t="str">
        <f>IF(E532="","",VLOOKUP(E532,'ARAMA LİSTELERİ'!C532:G2571,5,))</f>
        <v/>
      </c>
      <c r="G532" s="207"/>
      <c r="H532" s="210"/>
      <c r="I532" s="79"/>
      <c r="J532" s="210"/>
      <c r="K532" s="210"/>
      <c r="L532" s="210" t="str">
        <f t="shared" si="1"/>
        <v/>
      </c>
      <c r="M532" s="79"/>
      <c r="N532" s="207"/>
      <c r="O532" s="207"/>
      <c r="P532" s="207"/>
      <c r="Q532" s="207"/>
    </row>
    <row r="533" spans="1:17" ht="34.5" customHeight="1">
      <c r="A533" s="82"/>
      <c r="B533" s="205" t="str">
        <f t="shared" si="2"/>
        <v/>
      </c>
      <c r="C533" s="206" t="str">
        <f t="shared" si="3"/>
        <v/>
      </c>
      <c r="D533" s="207" t="str">
        <f t="shared" si="0"/>
        <v/>
      </c>
      <c r="E533" s="207"/>
      <c r="F533" s="205" t="str">
        <f>IF(E533="","",VLOOKUP(E533,'ARAMA LİSTELERİ'!C533:G2572,5,))</f>
        <v/>
      </c>
      <c r="G533" s="207"/>
      <c r="H533" s="210"/>
      <c r="I533" s="79"/>
      <c r="J533" s="210"/>
      <c r="K533" s="210"/>
      <c r="L533" s="210" t="str">
        <f t="shared" si="1"/>
        <v/>
      </c>
      <c r="M533" s="79"/>
      <c r="N533" s="207"/>
      <c r="O533" s="207"/>
      <c r="P533" s="207"/>
      <c r="Q533" s="207"/>
    </row>
    <row r="534" spans="1:17" ht="34.5" customHeight="1">
      <c r="A534" s="82"/>
      <c r="B534" s="205" t="str">
        <f t="shared" si="2"/>
        <v/>
      </c>
      <c r="C534" s="206" t="str">
        <f t="shared" si="3"/>
        <v/>
      </c>
      <c r="D534" s="207" t="str">
        <f t="shared" si="0"/>
        <v/>
      </c>
      <c r="E534" s="207"/>
      <c r="F534" s="205" t="str">
        <f>IF(E534="","",VLOOKUP(E534,'ARAMA LİSTELERİ'!C534:G2573,5,))</f>
        <v/>
      </c>
      <c r="G534" s="207"/>
      <c r="H534" s="210"/>
      <c r="I534" s="79"/>
      <c r="J534" s="210"/>
      <c r="K534" s="210"/>
      <c r="L534" s="210" t="str">
        <f t="shared" si="1"/>
        <v/>
      </c>
      <c r="M534" s="79"/>
      <c r="N534" s="207"/>
      <c r="O534" s="207"/>
      <c r="P534" s="207"/>
      <c r="Q534" s="207"/>
    </row>
    <row r="535" spans="1:17" ht="34.5" customHeight="1">
      <c r="A535" s="82"/>
      <c r="B535" s="205" t="str">
        <f t="shared" si="2"/>
        <v/>
      </c>
      <c r="C535" s="206" t="str">
        <f t="shared" si="3"/>
        <v/>
      </c>
      <c r="D535" s="207" t="str">
        <f t="shared" si="0"/>
        <v/>
      </c>
      <c r="E535" s="207"/>
      <c r="F535" s="205" t="str">
        <f>IF(E535="","",VLOOKUP(E535,'ARAMA LİSTELERİ'!C535:G2574,5,))</f>
        <v/>
      </c>
      <c r="G535" s="207"/>
      <c r="H535" s="210"/>
      <c r="I535" s="79"/>
      <c r="J535" s="210"/>
      <c r="K535" s="210"/>
      <c r="L535" s="210" t="str">
        <f t="shared" si="1"/>
        <v/>
      </c>
      <c r="M535" s="79"/>
      <c r="N535" s="207"/>
      <c r="O535" s="207"/>
      <c r="P535" s="207"/>
      <c r="Q535" s="207"/>
    </row>
    <row r="536" spans="1:17" ht="34.5" customHeight="1">
      <c r="A536" s="82"/>
      <c r="B536" s="205" t="str">
        <f t="shared" si="2"/>
        <v/>
      </c>
      <c r="C536" s="206" t="str">
        <f t="shared" si="3"/>
        <v/>
      </c>
      <c r="D536" s="207" t="str">
        <f t="shared" si="0"/>
        <v/>
      </c>
      <c r="E536" s="207"/>
      <c r="F536" s="205" t="str">
        <f>IF(E536="","",VLOOKUP(E536,'ARAMA LİSTELERİ'!C536:G2575,5,))</f>
        <v/>
      </c>
      <c r="G536" s="207"/>
      <c r="H536" s="210"/>
      <c r="I536" s="79"/>
      <c r="J536" s="210"/>
      <c r="K536" s="210"/>
      <c r="L536" s="210" t="str">
        <f t="shared" si="1"/>
        <v/>
      </c>
      <c r="M536" s="79"/>
      <c r="N536" s="207"/>
      <c r="O536" s="207"/>
      <c r="P536" s="207"/>
      <c r="Q536" s="207"/>
    </row>
    <row r="537" spans="1:17" ht="34.5" customHeight="1">
      <c r="A537" s="82"/>
      <c r="B537" s="205" t="str">
        <f t="shared" si="2"/>
        <v/>
      </c>
      <c r="C537" s="206" t="str">
        <f t="shared" si="3"/>
        <v/>
      </c>
      <c r="D537" s="207" t="str">
        <f t="shared" si="0"/>
        <v/>
      </c>
      <c r="E537" s="207"/>
      <c r="F537" s="205" t="str">
        <f>IF(E537="","",VLOOKUP(E537,'ARAMA LİSTELERİ'!C537:G2576,5,))</f>
        <v/>
      </c>
      <c r="G537" s="207"/>
      <c r="H537" s="210"/>
      <c r="I537" s="79"/>
      <c r="J537" s="210"/>
      <c r="K537" s="210"/>
      <c r="L537" s="210" t="str">
        <f t="shared" si="1"/>
        <v/>
      </c>
      <c r="M537" s="79"/>
      <c r="N537" s="207"/>
      <c r="O537" s="207"/>
      <c r="P537" s="207"/>
      <c r="Q537" s="207"/>
    </row>
    <row r="538" spans="1:17" ht="34.5" customHeight="1">
      <c r="A538" s="82"/>
      <c r="B538" s="205" t="str">
        <f t="shared" si="2"/>
        <v/>
      </c>
      <c r="C538" s="206" t="str">
        <f t="shared" si="3"/>
        <v/>
      </c>
      <c r="D538" s="207" t="str">
        <f t="shared" si="0"/>
        <v/>
      </c>
      <c r="E538" s="207"/>
      <c r="F538" s="205" t="str">
        <f>IF(E538="","",VLOOKUP(E538,'ARAMA LİSTELERİ'!C538:G2577,5,))</f>
        <v/>
      </c>
      <c r="G538" s="207"/>
      <c r="H538" s="210"/>
      <c r="I538" s="79"/>
      <c r="J538" s="210"/>
      <c r="K538" s="210"/>
      <c r="L538" s="210" t="str">
        <f t="shared" si="1"/>
        <v/>
      </c>
      <c r="M538" s="79"/>
      <c r="N538" s="207"/>
      <c r="O538" s="207"/>
      <c r="P538" s="207"/>
      <c r="Q538" s="207"/>
    </row>
    <row r="539" spans="1:17" ht="34.5" customHeight="1">
      <c r="A539" s="82"/>
      <c r="B539" s="205" t="str">
        <f t="shared" si="2"/>
        <v/>
      </c>
      <c r="C539" s="206" t="str">
        <f t="shared" si="3"/>
        <v/>
      </c>
      <c r="D539" s="207" t="str">
        <f t="shared" si="0"/>
        <v/>
      </c>
      <c r="E539" s="207"/>
      <c r="F539" s="205" t="str">
        <f>IF(E539="","",VLOOKUP(E539,'ARAMA LİSTELERİ'!C539:G2578,5,))</f>
        <v/>
      </c>
      <c r="G539" s="207"/>
      <c r="H539" s="210"/>
      <c r="I539" s="79"/>
      <c r="J539" s="210"/>
      <c r="K539" s="210"/>
      <c r="L539" s="210" t="str">
        <f t="shared" si="1"/>
        <v/>
      </c>
      <c r="M539" s="79"/>
      <c r="N539" s="207"/>
      <c r="O539" s="207"/>
      <c r="P539" s="207"/>
      <c r="Q539" s="207"/>
    </row>
    <row r="540" spans="1:17" ht="34.5" customHeight="1">
      <c r="A540" s="82"/>
      <c r="B540" s="205" t="str">
        <f t="shared" si="2"/>
        <v/>
      </c>
      <c r="C540" s="206" t="str">
        <f t="shared" si="3"/>
        <v/>
      </c>
      <c r="D540" s="207" t="str">
        <f t="shared" si="0"/>
        <v/>
      </c>
      <c r="E540" s="207"/>
      <c r="F540" s="205" t="str">
        <f>IF(E540="","",VLOOKUP(E540,'ARAMA LİSTELERİ'!C540:G2579,5,))</f>
        <v/>
      </c>
      <c r="G540" s="207"/>
      <c r="H540" s="210"/>
      <c r="I540" s="79"/>
      <c r="J540" s="210"/>
      <c r="K540" s="210"/>
      <c r="L540" s="210" t="str">
        <f t="shared" si="1"/>
        <v/>
      </c>
      <c r="M540" s="79"/>
      <c r="N540" s="207"/>
      <c r="O540" s="207"/>
      <c r="P540" s="207"/>
      <c r="Q540" s="207"/>
    </row>
    <row r="541" spans="1:17" ht="34.5" customHeight="1">
      <c r="A541" s="82"/>
      <c r="B541" s="205" t="str">
        <f t="shared" si="2"/>
        <v/>
      </c>
      <c r="C541" s="206" t="str">
        <f t="shared" si="3"/>
        <v/>
      </c>
      <c r="D541" s="207" t="str">
        <f t="shared" si="0"/>
        <v/>
      </c>
      <c r="E541" s="207"/>
      <c r="F541" s="205" t="str">
        <f>IF(E541="","",VLOOKUP(E541,'ARAMA LİSTELERİ'!C541:G2580,5,))</f>
        <v/>
      </c>
      <c r="G541" s="207"/>
      <c r="H541" s="210"/>
      <c r="I541" s="79"/>
      <c r="J541" s="210"/>
      <c r="K541" s="210"/>
      <c r="L541" s="210" t="str">
        <f t="shared" si="1"/>
        <v/>
      </c>
      <c r="M541" s="79"/>
      <c r="N541" s="207"/>
      <c r="O541" s="207"/>
      <c r="P541" s="207"/>
      <c r="Q541" s="207"/>
    </row>
    <row r="542" spans="1:17" ht="34.5" customHeight="1">
      <c r="A542" s="82"/>
      <c r="B542" s="205" t="str">
        <f t="shared" si="2"/>
        <v/>
      </c>
      <c r="C542" s="206" t="str">
        <f t="shared" si="3"/>
        <v/>
      </c>
      <c r="D542" s="207" t="str">
        <f t="shared" si="0"/>
        <v/>
      </c>
      <c r="E542" s="207"/>
      <c r="F542" s="205" t="str">
        <f>IF(E542="","",VLOOKUP(E542,'ARAMA LİSTELERİ'!C542:G2581,5,))</f>
        <v/>
      </c>
      <c r="G542" s="207"/>
      <c r="H542" s="210"/>
      <c r="I542" s="79"/>
      <c r="J542" s="210"/>
      <c r="K542" s="210"/>
      <c r="L542" s="210" t="str">
        <f t="shared" si="1"/>
        <v/>
      </c>
      <c r="M542" s="79"/>
      <c r="N542" s="207"/>
      <c r="O542" s="207"/>
      <c r="P542" s="207"/>
      <c r="Q542" s="207"/>
    </row>
    <row r="543" spans="1:17" ht="34.5" customHeight="1">
      <c r="A543" s="82"/>
      <c r="B543" s="205" t="str">
        <f t="shared" si="2"/>
        <v/>
      </c>
      <c r="C543" s="206" t="str">
        <f t="shared" si="3"/>
        <v/>
      </c>
      <c r="D543" s="207" t="str">
        <f t="shared" si="0"/>
        <v/>
      </c>
      <c r="E543" s="207"/>
      <c r="F543" s="205" t="str">
        <f>IF(E543="","",VLOOKUP(E543,'ARAMA LİSTELERİ'!C543:G2582,5,))</f>
        <v/>
      </c>
      <c r="G543" s="207"/>
      <c r="H543" s="210"/>
      <c r="I543" s="79"/>
      <c r="J543" s="210"/>
      <c r="K543" s="210"/>
      <c r="L543" s="210" t="str">
        <f t="shared" si="1"/>
        <v/>
      </c>
      <c r="M543" s="79"/>
      <c r="N543" s="207"/>
      <c r="O543" s="207"/>
      <c r="P543" s="207"/>
      <c r="Q543" s="207"/>
    </row>
    <row r="544" spans="1:17" ht="34.5" customHeight="1">
      <c r="A544" s="82"/>
      <c r="B544" s="205" t="str">
        <f t="shared" si="2"/>
        <v/>
      </c>
      <c r="C544" s="206" t="str">
        <f t="shared" si="3"/>
        <v/>
      </c>
      <c r="D544" s="207" t="str">
        <f t="shared" si="0"/>
        <v/>
      </c>
      <c r="E544" s="207"/>
      <c r="F544" s="205" t="str">
        <f>IF(E544="","",VLOOKUP(E544,'ARAMA LİSTELERİ'!C544:G2583,5,))</f>
        <v/>
      </c>
      <c r="G544" s="207"/>
      <c r="H544" s="210"/>
      <c r="I544" s="79"/>
      <c r="J544" s="210"/>
      <c r="K544" s="210"/>
      <c r="L544" s="210" t="str">
        <f t="shared" si="1"/>
        <v/>
      </c>
      <c r="M544" s="79"/>
      <c r="N544" s="207"/>
      <c r="O544" s="207"/>
      <c r="P544" s="207"/>
      <c r="Q544" s="207"/>
    </row>
    <row r="545" spans="1:17" ht="34.5" customHeight="1">
      <c r="A545" s="82"/>
      <c r="B545" s="205" t="str">
        <f t="shared" si="2"/>
        <v/>
      </c>
      <c r="C545" s="206" t="str">
        <f t="shared" si="3"/>
        <v/>
      </c>
      <c r="D545" s="207" t="str">
        <f t="shared" si="0"/>
        <v/>
      </c>
      <c r="E545" s="207"/>
      <c r="F545" s="205" t="str">
        <f>IF(E545="","",VLOOKUP(E545,'ARAMA LİSTELERİ'!C545:G2584,5,))</f>
        <v/>
      </c>
      <c r="G545" s="207"/>
      <c r="H545" s="210"/>
      <c r="I545" s="79"/>
      <c r="J545" s="210"/>
      <c r="K545" s="210"/>
      <c r="L545" s="210" t="str">
        <f t="shared" si="1"/>
        <v/>
      </c>
      <c r="M545" s="79"/>
      <c r="N545" s="207"/>
      <c r="O545" s="207"/>
      <c r="P545" s="207"/>
      <c r="Q545" s="207"/>
    </row>
    <row r="546" spans="1:17" ht="34.5" customHeight="1">
      <c r="A546" s="82"/>
      <c r="B546" s="205" t="str">
        <f t="shared" si="2"/>
        <v/>
      </c>
      <c r="C546" s="206" t="str">
        <f t="shared" si="3"/>
        <v/>
      </c>
      <c r="D546" s="207" t="str">
        <f t="shared" si="0"/>
        <v/>
      </c>
      <c r="E546" s="207"/>
      <c r="F546" s="205" t="str">
        <f>IF(E546="","",VLOOKUP(E546,'ARAMA LİSTELERİ'!C546:G2585,5,))</f>
        <v/>
      </c>
      <c r="G546" s="207"/>
      <c r="H546" s="210"/>
      <c r="I546" s="79"/>
      <c r="J546" s="210"/>
      <c r="K546" s="210"/>
      <c r="L546" s="210" t="str">
        <f t="shared" si="1"/>
        <v/>
      </c>
      <c r="M546" s="79"/>
      <c r="N546" s="207"/>
      <c r="O546" s="207"/>
      <c r="P546" s="207"/>
      <c r="Q546" s="207"/>
    </row>
    <row r="547" spans="1:17" ht="34.5" customHeight="1">
      <c r="A547" s="82"/>
      <c r="B547" s="205" t="str">
        <f t="shared" si="2"/>
        <v/>
      </c>
      <c r="C547" s="206" t="str">
        <f t="shared" si="3"/>
        <v/>
      </c>
      <c r="D547" s="207" t="str">
        <f t="shared" si="0"/>
        <v/>
      </c>
      <c r="E547" s="207"/>
      <c r="F547" s="205" t="str">
        <f>IF(E547="","",VLOOKUP(E547,'ARAMA LİSTELERİ'!C547:G2586,5,))</f>
        <v/>
      </c>
      <c r="G547" s="207"/>
      <c r="H547" s="210"/>
      <c r="I547" s="79"/>
      <c r="J547" s="210"/>
      <c r="K547" s="210"/>
      <c r="L547" s="210" t="str">
        <f t="shared" si="1"/>
        <v/>
      </c>
      <c r="M547" s="79"/>
      <c r="N547" s="207"/>
      <c r="O547" s="207"/>
      <c r="P547" s="207"/>
      <c r="Q547" s="207"/>
    </row>
    <row r="548" spans="1:17" ht="34.5" customHeight="1">
      <c r="A548" s="82"/>
      <c r="B548" s="205" t="str">
        <f t="shared" si="2"/>
        <v/>
      </c>
      <c r="C548" s="206" t="str">
        <f t="shared" si="3"/>
        <v/>
      </c>
      <c r="D548" s="207" t="str">
        <f t="shared" si="0"/>
        <v/>
      </c>
      <c r="E548" s="207"/>
      <c r="F548" s="205" t="str">
        <f>IF(E548="","",VLOOKUP(E548,'ARAMA LİSTELERİ'!C548:G2587,5,))</f>
        <v/>
      </c>
      <c r="G548" s="207"/>
      <c r="H548" s="210"/>
      <c r="I548" s="79"/>
      <c r="J548" s="210"/>
      <c r="K548" s="210"/>
      <c r="L548" s="210" t="str">
        <f t="shared" si="1"/>
        <v/>
      </c>
      <c r="M548" s="79"/>
      <c r="N548" s="207"/>
      <c r="O548" s="207"/>
      <c r="P548" s="207"/>
      <c r="Q548" s="207"/>
    </row>
    <row r="549" spans="1:17" ht="34.5" customHeight="1">
      <c r="A549" s="82"/>
      <c r="B549" s="205" t="str">
        <f t="shared" si="2"/>
        <v/>
      </c>
      <c r="C549" s="206" t="str">
        <f t="shared" si="3"/>
        <v/>
      </c>
      <c r="D549" s="207" t="str">
        <f t="shared" si="0"/>
        <v/>
      </c>
      <c r="E549" s="207"/>
      <c r="F549" s="205" t="str">
        <f>IF(E549="","",VLOOKUP(E549,'ARAMA LİSTELERİ'!C549:G2588,5,))</f>
        <v/>
      </c>
      <c r="G549" s="207"/>
      <c r="H549" s="210"/>
      <c r="I549" s="79"/>
      <c r="J549" s="210"/>
      <c r="K549" s="210"/>
      <c r="L549" s="210" t="str">
        <f t="shared" si="1"/>
        <v/>
      </c>
      <c r="M549" s="79"/>
      <c r="N549" s="207"/>
      <c r="O549" s="207"/>
      <c r="P549" s="207"/>
      <c r="Q549" s="207"/>
    </row>
    <row r="550" spans="1:17" ht="34.5" customHeight="1">
      <c r="A550" s="82"/>
      <c r="B550" s="205" t="str">
        <f t="shared" si="2"/>
        <v/>
      </c>
      <c r="C550" s="206" t="str">
        <f t="shared" si="3"/>
        <v/>
      </c>
      <c r="D550" s="207" t="str">
        <f t="shared" si="0"/>
        <v/>
      </c>
      <c r="E550" s="207"/>
      <c r="F550" s="205" t="str">
        <f>IF(E550="","",VLOOKUP(E550,'ARAMA LİSTELERİ'!C550:G2589,5,))</f>
        <v/>
      </c>
      <c r="G550" s="207"/>
      <c r="H550" s="210"/>
      <c r="I550" s="79"/>
      <c r="J550" s="210"/>
      <c r="K550" s="210"/>
      <c r="L550" s="210" t="str">
        <f t="shared" si="1"/>
        <v/>
      </c>
      <c r="M550" s="79"/>
      <c r="N550" s="207"/>
      <c r="O550" s="207"/>
      <c r="P550" s="207"/>
      <c r="Q550" s="207"/>
    </row>
    <row r="551" spans="1:17" ht="34.5" customHeight="1">
      <c r="A551" s="82"/>
      <c r="B551" s="205" t="str">
        <f t="shared" si="2"/>
        <v/>
      </c>
      <c r="C551" s="206" t="str">
        <f t="shared" si="3"/>
        <v/>
      </c>
      <c r="D551" s="207" t="str">
        <f t="shared" si="0"/>
        <v/>
      </c>
      <c r="E551" s="207"/>
      <c r="F551" s="205" t="str">
        <f>IF(E551="","",VLOOKUP(E551,'ARAMA LİSTELERİ'!C551:G2590,5,))</f>
        <v/>
      </c>
      <c r="G551" s="207"/>
      <c r="H551" s="210"/>
      <c r="I551" s="79"/>
      <c r="J551" s="210"/>
      <c r="K551" s="210"/>
      <c r="L551" s="210" t="str">
        <f t="shared" si="1"/>
        <v/>
      </c>
      <c r="M551" s="79"/>
      <c r="N551" s="207"/>
      <c r="O551" s="207"/>
      <c r="P551" s="207"/>
      <c r="Q551" s="207"/>
    </row>
    <row r="552" spans="1:17" ht="34.5" customHeight="1">
      <c r="A552" s="82"/>
      <c r="B552" s="205" t="str">
        <f t="shared" si="2"/>
        <v/>
      </c>
      <c r="C552" s="206" t="str">
        <f t="shared" si="3"/>
        <v/>
      </c>
      <c r="D552" s="207" t="str">
        <f t="shared" si="0"/>
        <v/>
      </c>
      <c r="E552" s="207"/>
      <c r="F552" s="205" t="str">
        <f>IF(E552="","",VLOOKUP(E552,'ARAMA LİSTELERİ'!C552:G2591,5,))</f>
        <v/>
      </c>
      <c r="G552" s="207"/>
      <c r="H552" s="210"/>
      <c r="I552" s="79"/>
      <c r="J552" s="210"/>
      <c r="K552" s="210"/>
      <c r="L552" s="210" t="str">
        <f t="shared" si="1"/>
        <v/>
      </c>
      <c r="M552" s="79"/>
      <c r="N552" s="207"/>
      <c r="O552" s="207"/>
      <c r="P552" s="207"/>
      <c r="Q552" s="207"/>
    </row>
    <row r="553" spans="1:17" ht="34.5" customHeight="1">
      <c r="A553" s="82"/>
      <c r="B553" s="205" t="str">
        <f t="shared" si="2"/>
        <v/>
      </c>
      <c r="C553" s="206" t="str">
        <f t="shared" si="3"/>
        <v/>
      </c>
      <c r="D553" s="207" t="str">
        <f t="shared" si="0"/>
        <v/>
      </c>
      <c r="E553" s="207"/>
      <c r="F553" s="205" t="str">
        <f>IF(E553="","",VLOOKUP(E553,'ARAMA LİSTELERİ'!C553:G2592,5,))</f>
        <v/>
      </c>
      <c r="G553" s="207"/>
      <c r="H553" s="210"/>
      <c r="I553" s="79"/>
      <c r="J553" s="210"/>
      <c r="K553" s="210"/>
      <c r="L553" s="210" t="str">
        <f t="shared" si="1"/>
        <v/>
      </c>
      <c r="M553" s="79"/>
      <c r="N553" s="207"/>
      <c r="O553" s="207"/>
      <c r="P553" s="207"/>
      <c r="Q553" s="207"/>
    </row>
    <row r="554" spans="1:17" ht="34.5" customHeight="1">
      <c r="A554" s="82"/>
      <c r="B554" s="205" t="str">
        <f t="shared" si="2"/>
        <v/>
      </c>
      <c r="C554" s="206" t="str">
        <f t="shared" si="3"/>
        <v/>
      </c>
      <c r="D554" s="207" t="str">
        <f t="shared" si="0"/>
        <v/>
      </c>
      <c r="E554" s="207"/>
      <c r="F554" s="205" t="str">
        <f>IF(E554="","",VLOOKUP(E554,'ARAMA LİSTELERİ'!C554:G2593,5,))</f>
        <v/>
      </c>
      <c r="G554" s="207"/>
      <c r="H554" s="210"/>
      <c r="I554" s="79"/>
      <c r="J554" s="210"/>
      <c r="K554" s="210"/>
      <c r="L554" s="210" t="str">
        <f t="shared" si="1"/>
        <v/>
      </c>
      <c r="M554" s="79"/>
      <c r="N554" s="207"/>
      <c r="O554" s="207"/>
      <c r="P554" s="207"/>
      <c r="Q554" s="207"/>
    </row>
    <row r="555" spans="1:17" ht="34.5" customHeight="1">
      <c r="A555" s="82"/>
      <c r="B555" s="205" t="str">
        <f t="shared" si="2"/>
        <v/>
      </c>
      <c r="C555" s="206" t="str">
        <f t="shared" si="3"/>
        <v/>
      </c>
      <c r="D555" s="207" t="str">
        <f t="shared" si="0"/>
        <v/>
      </c>
      <c r="E555" s="207"/>
      <c r="F555" s="205" t="str">
        <f>IF(E555="","",VLOOKUP(E555,'ARAMA LİSTELERİ'!C555:G2594,5,))</f>
        <v/>
      </c>
      <c r="G555" s="207"/>
      <c r="H555" s="210"/>
      <c r="I555" s="79"/>
      <c r="J555" s="210"/>
      <c r="K555" s="210"/>
      <c r="L555" s="210" t="str">
        <f t="shared" si="1"/>
        <v/>
      </c>
      <c r="M555" s="79"/>
      <c r="N555" s="207"/>
      <c r="O555" s="207"/>
      <c r="P555" s="207"/>
      <c r="Q555" s="207"/>
    </row>
    <row r="556" spans="1:17" ht="34.5" customHeight="1">
      <c r="A556" s="82"/>
      <c r="B556" s="205" t="str">
        <f t="shared" si="2"/>
        <v/>
      </c>
      <c r="C556" s="206" t="str">
        <f t="shared" si="3"/>
        <v/>
      </c>
      <c r="D556" s="207" t="str">
        <f t="shared" si="0"/>
        <v/>
      </c>
      <c r="E556" s="207"/>
      <c r="F556" s="205" t="str">
        <f>IF(E556="","",VLOOKUP(E556,'ARAMA LİSTELERİ'!C556:G2595,5,))</f>
        <v/>
      </c>
      <c r="G556" s="207"/>
      <c r="H556" s="210"/>
      <c r="I556" s="79"/>
      <c r="J556" s="210"/>
      <c r="K556" s="210"/>
      <c r="L556" s="210" t="str">
        <f t="shared" si="1"/>
        <v/>
      </c>
      <c r="M556" s="79"/>
      <c r="N556" s="207"/>
      <c r="O556" s="207"/>
      <c r="P556" s="207"/>
      <c r="Q556" s="207"/>
    </row>
    <row r="557" spans="1:17" ht="34.5" customHeight="1">
      <c r="A557" s="82"/>
      <c r="B557" s="205" t="str">
        <f t="shared" si="2"/>
        <v/>
      </c>
      <c r="C557" s="206" t="str">
        <f t="shared" si="3"/>
        <v/>
      </c>
      <c r="D557" s="207" t="str">
        <f t="shared" si="0"/>
        <v/>
      </c>
      <c r="E557" s="207"/>
      <c r="F557" s="205" t="str">
        <f>IF(E557="","",VLOOKUP(E557,'ARAMA LİSTELERİ'!C557:G2596,5,))</f>
        <v/>
      </c>
      <c r="G557" s="207"/>
      <c r="H557" s="210"/>
      <c r="I557" s="79"/>
      <c r="J557" s="210"/>
      <c r="K557" s="210"/>
      <c r="L557" s="210" t="str">
        <f t="shared" si="1"/>
        <v/>
      </c>
      <c r="M557" s="79"/>
      <c r="N557" s="207"/>
      <c r="O557" s="207"/>
      <c r="P557" s="207"/>
      <c r="Q557" s="207"/>
    </row>
    <row r="558" spans="1:17" ht="34.5" customHeight="1">
      <c r="A558" s="82"/>
      <c r="B558" s="205" t="str">
        <f t="shared" si="2"/>
        <v/>
      </c>
      <c r="C558" s="206" t="str">
        <f t="shared" si="3"/>
        <v/>
      </c>
      <c r="D558" s="207" t="str">
        <f t="shared" si="0"/>
        <v/>
      </c>
      <c r="E558" s="207"/>
      <c r="F558" s="205" t="str">
        <f>IF(E558="","",VLOOKUP(E558,'ARAMA LİSTELERİ'!C558:G2597,5,))</f>
        <v/>
      </c>
      <c r="G558" s="207"/>
      <c r="H558" s="210"/>
      <c r="I558" s="79"/>
      <c r="J558" s="210"/>
      <c r="K558" s="210"/>
      <c r="L558" s="210" t="str">
        <f t="shared" si="1"/>
        <v/>
      </c>
      <c r="M558" s="79"/>
      <c r="N558" s="207"/>
      <c r="O558" s="207"/>
      <c r="P558" s="207"/>
      <c r="Q558" s="207"/>
    </row>
    <row r="559" spans="1:17" ht="34.5" customHeight="1">
      <c r="A559" s="82"/>
      <c r="B559" s="205" t="str">
        <f t="shared" si="2"/>
        <v/>
      </c>
      <c r="C559" s="206" t="str">
        <f t="shared" si="3"/>
        <v/>
      </c>
      <c r="D559" s="207" t="str">
        <f t="shared" si="0"/>
        <v/>
      </c>
      <c r="E559" s="207"/>
      <c r="F559" s="205" t="str">
        <f>IF(E559="","",VLOOKUP(E559,'ARAMA LİSTELERİ'!C559:G2598,5,))</f>
        <v/>
      </c>
      <c r="G559" s="207"/>
      <c r="H559" s="210"/>
      <c r="I559" s="79"/>
      <c r="J559" s="210"/>
      <c r="K559" s="210"/>
      <c r="L559" s="210" t="str">
        <f t="shared" si="1"/>
        <v/>
      </c>
      <c r="M559" s="79"/>
      <c r="N559" s="207"/>
      <c r="O559" s="207"/>
      <c r="P559" s="207"/>
      <c r="Q559" s="207"/>
    </row>
    <row r="560" spans="1:17" ht="34.5" customHeight="1">
      <c r="A560" s="82"/>
      <c r="B560" s="205" t="str">
        <f t="shared" si="2"/>
        <v/>
      </c>
      <c r="C560" s="206" t="str">
        <f t="shared" si="3"/>
        <v/>
      </c>
      <c r="D560" s="207" t="str">
        <f t="shared" si="0"/>
        <v/>
      </c>
      <c r="E560" s="207"/>
      <c r="F560" s="205" t="str">
        <f>IF(E560="","",VLOOKUP(E560,'ARAMA LİSTELERİ'!C560:G2599,5,))</f>
        <v/>
      </c>
      <c r="G560" s="207"/>
      <c r="H560" s="210"/>
      <c r="I560" s="79"/>
      <c r="J560" s="210"/>
      <c r="K560" s="210"/>
      <c r="L560" s="210" t="str">
        <f t="shared" si="1"/>
        <v/>
      </c>
      <c r="M560" s="79"/>
      <c r="N560" s="207"/>
      <c r="O560" s="207"/>
      <c r="P560" s="207"/>
      <c r="Q560" s="207"/>
    </row>
    <row r="561" spans="1:17" ht="34.5" customHeight="1">
      <c r="A561" s="82"/>
      <c r="B561" s="205" t="str">
        <f t="shared" si="2"/>
        <v/>
      </c>
      <c r="C561" s="206" t="str">
        <f t="shared" si="3"/>
        <v/>
      </c>
      <c r="D561" s="207" t="str">
        <f t="shared" si="0"/>
        <v/>
      </c>
      <c r="E561" s="207"/>
      <c r="F561" s="205" t="str">
        <f>IF(E561="","",VLOOKUP(E561,'ARAMA LİSTELERİ'!C561:G2600,5,))</f>
        <v/>
      </c>
      <c r="G561" s="207"/>
      <c r="H561" s="210"/>
      <c r="I561" s="79"/>
      <c r="J561" s="210"/>
      <c r="K561" s="210"/>
      <c r="L561" s="210" t="str">
        <f t="shared" si="1"/>
        <v/>
      </c>
      <c r="M561" s="79"/>
      <c r="N561" s="207"/>
      <c r="O561" s="207"/>
      <c r="P561" s="207"/>
      <c r="Q561" s="207"/>
    </row>
    <row r="562" spans="1:17" ht="34.5" customHeight="1">
      <c r="A562" s="82"/>
      <c r="B562" s="205" t="str">
        <f t="shared" si="2"/>
        <v/>
      </c>
      <c r="C562" s="206" t="str">
        <f t="shared" si="3"/>
        <v/>
      </c>
      <c r="D562" s="207" t="str">
        <f t="shared" si="0"/>
        <v/>
      </c>
      <c r="E562" s="207"/>
      <c r="F562" s="205" t="str">
        <f>IF(E562="","",VLOOKUP(E562,'ARAMA LİSTELERİ'!C562:G2601,5,))</f>
        <v/>
      </c>
      <c r="G562" s="207"/>
      <c r="H562" s="210"/>
      <c r="I562" s="79"/>
      <c r="J562" s="210"/>
      <c r="K562" s="210"/>
      <c r="L562" s="210" t="str">
        <f t="shared" si="1"/>
        <v/>
      </c>
      <c r="M562" s="79"/>
      <c r="N562" s="207"/>
      <c r="O562" s="207"/>
      <c r="P562" s="207"/>
      <c r="Q562" s="207"/>
    </row>
    <row r="563" spans="1:17" ht="34.5" customHeight="1">
      <c r="A563" s="82"/>
      <c r="B563" s="205" t="str">
        <f t="shared" si="2"/>
        <v/>
      </c>
      <c r="C563" s="206" t="str">
        <f t="shared" si="3"/>
        <v/>
      </c>
      <c r="D563" s="207" t="str">
        <f t="shared" si="0"/>
        <v/>
      </c>
      <c r="E563" s="207"/>
      <c r="F563" s="205" t="str">
        <f>IF(E563="","",VLOOKUP(E563,'ARAMA LİSTELERİ'!C563:G2602,5,))</f>
        <v/>
      </c>
      <c r="G563" s="207"/>
      <c r="H563" s="210"/>
      <c r="I563" s="79"/>
      <c r="J563" s="210"/>
      <c r="K563" s="210"/>
      <c r="L563" s="210" t="str">
        <f t="shared" si="1"/>
        <v/>
      </c>
      <c r="M563" s="79"/>
      <c r="N563" s="207"/>
      <c r="O563" s="207"/>
      <c r="P563" s="207"/>
      <c r="Q563" s="207"/>
    </row>
    <row r="564" spans="1:17" ht="34.5" customHeight="1">
      <c r="A564" s="82"/>
      <c r="B564" s="205" t="str">
        <f t="shared" si="2"/>
        <v/>
      </c>
      <c r="C564" s="206" t="str">
        <f t="shared" si="3"/>
        <v/>
      </c>
      <c r="D564" s="207" t="str">
        <f t="shared" si="0"/>
        <v/>
      </c>
      <c r="E564" s="207"/>
      <c r="F564" s="205" t="str">
        <f>IF(E564="","",VLOOKUP(E564,'ARAMA LİSTELERİ'!C564:G2603,5,))</f>
        <v/>
      </c>
      <c r="G564" s="207"/>
      <c r="H564" s="210"/>
      <c r="I564" s="79"/>
      <c r="J564" s="210"/>
      <c r="K564" s="210"/>
      <c r="L564" s="210" t="str">
        <f t="shared" si="1"/>
        <v/>
      </c>
      <c r="M564" s="79"/>
      <c r="N564" s="207"/>
      <c r="O564" s="207"/>
      <c r="P564" s="207"/>
      <c r="Q564" s="207"/>
    </row>
    <row r="565" spans="1:17" ht="34.5" customHeight="1">
      <c r="A565" s="82"/>
      <c r="B565" s="205" t="str">
        <f t="shared" si="2"/>
        <v/>
      </c>
      <c r="C565" s="206" t="str">
        <f t="shared" si="3"/>
        <v/>
      </c>
      <c r="D565" s="207" t="str">
        <f t="shared" si="0"/>
        <v/>
      </c>
      <c r="E565" s="207"/>
      <c r="F565" s="205" t="str">
        <f>IF(E565="","",VLOOKUP(E565,'ARAMA LİSTELERİ'!C565:G2604,5,))</f>
        <v/>
      </c>
      <c r="G565" s="207"/>
      <c r="H565" s="210"/>
      <c r="I565" s="79"/>
      <c r="J565" s="210"/>
      <c r="K565" s="210"/>
      <c r="L565" s="210" t="str">
        <f t="shared" si="1"/>
        <v/>
      </c>
      <c r="M565" s="79"/>
      <c r="N565" s="207"/>
      <c r="O565" s="207"/>
      <c r="P565" s="207"/>
      <c r="Q565" s="207"/>
    </row>
    <row r="566" spans="1:17" ht="34.5" customHeight="1">
      <c r="A566" s="82"/>
      <c r="B566" s="205" t="str">
        <f t="shared" si="2"/>
        <v/>
      </c>
      <c r="C566" s="206" t="str">
        <f t="shared" si="3"/>
        <v/>
      </c>
      <c r="D566" s="207" t="str">
        <f t="shared" si="0"/>
        <v/>
      </c>
      <c r="E566" s="207"/>
      <c r="F566" s="205" t="str">
        <f>IF(E566="","",VLOOKUP(E566,'ARAMA LİSTELERİ'!C566:G2605,5,))</f>
        <v/>
      </c>
      <c r="G566" s="207"/>
      <c r="H566" s="210"/>
      <c r="I566" s="79"/>
      <c r="J566" s="210"/>
      <c r="K566" s="210"/>
      <c r="L566" s="210" t="str">
        <f t="shared" si="1"/>
        <v/>
      </c>
      <c r="M566" s="79"/>
      <c r="N566" s="207"/>
      <c r="O566" s="207"/>
      <c r="P566" s="207"/>
      <c r="Q566" s="207"/>
    </row>
    <row r="567" spans="1:17" ht="34.5" customHeight="1">
      <c r="A567" s="82"/>
      <c r="B567" s="205" t="str">
        <f t="shared" si="2"/>
        <v/>
      </c>
      <c r="C567" s="206" t="str">
        <f t="shared" si="3"/>
        <v/>
      </c>
      <c r="D567" s="207" t="str">
        <f t="shared" si="0"/>
        <v/>
      </c>
      <c r="E567" s="207"/>
      <c r="F567" s="205" t="str">
        <f>IF(E567="","",VLOOKUP(E567,'ARAMA LİSTELERİ'!C567:G2606,5,))</f>
        <v/>
      </c>
      <c r="G567" s="207"/>
      <c r="H567" s="210"/>
      <c r="I567" s="79"/>
      <c r="J567" s="210"/>
      <c r="K567" s="210"/>
      <c r="L567" s="210" t="str">
        <f t="shared" si="1"/>
        <v/>
      </c>
      <c r="M567" s="79"/>
      <c r="N567" s="207"/>
      <c r="O567" s="207"/>
      <c r="P567" s="207"/>
      <c r="Q567" s="207"/>
    </row>
    <row r="568" spans="1:17" ht="34.5" customHeight="1">
      <c r="A568" s="82"/>
      <c r="B568" s="205" t="str">
        <f t="shared" si="2"/>
        <v/>
      </c>
      <c r="C568" s="206" t="str">
        <f t="shared" si="3"/>
        <v/>
      </c>
      <c r="D568" s="207" t="str">
        <f t="shared" si="0"/>
        <v/>
      </c>
      <c r="E568" s="207"/>
      <c r="F568" s="205" t="str">
        <f>IF(E568="","",VLOOKUP(E568,'ARAMA LİSTELERİ'!C568:G2607,5,))</f>
        <v/>
      </c>
      <c r="G568" s="207"/>
      <c r="H568" s="210"/>
      <c r="I568" s="79"/>
      <c r="J568" s="210"/>
      <c r="K568" s="210"/>
      <c r="L568" s="210" t="str">
        <f t="shared" si="1"/>
        <v/>
      </c>
      <c r="M568" s="79"/>
      <c r="N568" s="207"/>
      <c r="O568" s="207"/>
      <c r="P568" s="207"/>
      <c r="Q568" s="207"/>
    </row>
    <row r="569" spans="1:17" ht="34.5" customHeight="1">
      <c r="A569" s="82"/>
      <c r="B569" s="205" t="str">
        <f t="shared" si="2"/>
        <v/>
      </c>
      <c r="C569" s="206" t="str">
        <f t="shared" si="3"/>
        <v/>
      </c>
      <c r="D569" s="207" t="str">
        <f t="shared" si="0"/>
        <v/>
      </c>
      <c r="E569" s="207"/>
      <c r="F569" s="205" t="str">
        <f>IF(E569="","",VLOOKUP(E569,'ARAMA LİSTELERİ'!C569:G2608,5,))</f>
        <v/>
      </c>
      <c r="G569" s="207"/>
      <c r="H569" s="210"/>
      <c r="I569" s="79"/>
      <c r="J569" s="210"/>
      <c r="K569" s="210"/>
      <c r="L569" s="210" t="str">
        <f t="shared" si="1"/>
        <v/>
      </c>
      <c r="M569" s="79"/>
      <c r="N569" s="207"/>
      <c r="O569" s="207"/>
      <c r="P569" s="207"/>
      <c r="Q569" s="207"/>
    </row>
    <row r="570" spans="1:17" ht="34.5" customHeight="1">
      <c r="A570" s="82"/>
      <c r="B570" s="205" t="str">
        <f t="shared" si="2"/>
        <v/>
      </c>
      <c r="C570" s="206" t="str">
        <f t="shared" si="3"/>
        <v/>
      </c>
      <c r="D570" s="207" t="str">
        <f t="shared" si="0"/>
        <v/>
      </c>
      <c r="E570" s="207"/>
      <c r="F570" s="205" t="str">
        <f>IF(E570="","",VLOOKUP(E570,'ARAMA LİSTELERİ'!C570:G2609,5,))</f>
        <v/>
      </c>
      <c r="G570" s="207"/>
      <c r="H570" s="210"/>
      <c r="I570" s="79"/>
      <c r="J570" s="210"/>
      <c r="K570" s="210"/>
      <c r="L570" s="210" t="str">
        <f t="shared" si="1"/>
        <v/>
      </c>
      <c r="M570" s="79"/>
      <c r="N570" s="207"/>
      <c r="O570" s="207"/>
      <c r="P570" s="207"/>
      <c r="Q570" s="207"/>
    </row>
    <row r="571" spans="1:17" ht="34.5" customHeight="1">
      <c r="A571" s="82"/>
      <c r="B571" s="205" t="str">
        <f t="shared" si="2"/>
        <v/>
      </c>
      <c r="C571" s="206" t="str">
        <f t="shared" si="3"/>
        <v/>
      </c>
      <c r="D571" s="207" t="str">
        <f t="shared" si="0"/>
        <v/>
      </c>
      <c r="E571" s="207"/>
      <c r="F571" s="205" t="str">
        <f>IF(E571="","",VLOOKUP(E571,'ARAMA LİSTELERİ'!C571:G2610,5,))</f>
        <v/>
      </c>
      <c r="G571" s="207"/>
      <c r="H571" s="210"/>
      <c r="I571" s="79"/>
      <c r="J571" s="210"/>
      <c r="K571" s="210"/>
      <c r="L571" s="210" t="str">
        <f t="shared" si="1"/>
        <v/>
      </c>
      <c r="M571" s="79"/>
      <c r="N571" s="207"/>
      <c r="O571" s="207"/>
      <c r="P571" s="207"/>
      <c r="Q571" s="207"/>
    </row>
    <row r="572" spans="1:17" ht="34.5" customHeight="1">
      <c r="A572" s="82"/>
      <c r="B572" s="205" t="str">
        <f t="shared" si="2"/>
        <v/>
      </c>
      <c r="C572" s="206" t="str">
        <f t="shared" si="3"/>
        <v/>
      </c>
      <c r="D572" s="207" t="str">
        <f t="shared" si="0"/>
        <v/>
      </c>
      <c r="E572" s="207"/>
      <c r="F572" s="205" t="str">
        <f>IF(E572="","",VLOOKUP(E572,'ARAMA LİSTELERİ'!C572:G2611,5,))</f>
        <v/>
      </c>
      <c r="G572" s="207"/>
      <c r="H572" s="210"/>
      <c r="I572" s="79"/>
      <c r="J572" s="210"/>
      <c r="K572" s="210"/>
      <c r="L572" s="210" t="str">
        <f t="shared" si="1"/>
        <v/>
      </c>
      <c r="M572" s="79"/>
      <c r="N572" s="207"/>
      <c r="O572" s="207"/>
      <c r="P572" s="207"/>
      <c r="Q572" s="207"/>
    </row>
    <row r="573" spans="1:17" ht="34.5" customHeight="1">
      <c r="A573" s="82"/>
      <c r="B573" s="205" t="str">
        <f t="shared" si="2"/>
        <v/>
      </c>
      <c r="C573" s="206" t="str">
        <f t="shared" si="3"/>
        <v/>
      </c>
      <c r="D573" s="207" t="str">
        <f t="shared" si="0"/>
        <v/>
      </c>
      <c r="E573" s="207"/>
      <c r="F573" s="205" t="str">
        <f>IF(E573="","",VLOOKUP(E573,'ARAMA LİSTELERİ'!C573:G2612,5,))</f>
        <v/>
      </c>
      <c r="G573" s="207"/>
      <c r="H573" s="210"/>
      <c r="I573" s="79"/>
      <c r="J573" s="210"/>
      <c r="K573" s="210"/>
      <c r="L573" s="210" t="str">
        <f t="shared" si="1"/>
        <v/>
      </c>
      <c r="M573" s="79"/>
      <c r="N573" s="207"/>
      <c r="O573" s="207"/>
      <c r="P573" s="207"/>
      <c r="Q573" s="207"/>
    </row>
    <row r="574" spans="1:17" ht="34.5" customHeight="1">
      <c r="A574" s="82"/>
      <c r="B574" s="205" t="str">
        <f t="shared" si="2"/>
        <v/>
      </c>
      <c r="C574" s="206" t="str">
        <f t="shared" si="3"/>
        <v/>
      </c>
      <c r="D574" s="207" t="str">
        <f t="shared" si="0"/>
        <v/>
      </c>
      <c r="E574" s="207"/>
      <c r="F574" s="205" t="str">
        <f>IF(E574="","",VLOOKUP(E574,'ARAMA LİSTELERİ'!C574:G2613,5,))</f>
        <v/>
      </c>
      <c r="G574" s="207"/>
      <c r="H574" s="210"/>
      <c r="I574" s="79"/>
      <c r="J574" s="210"/>
      <c r="K574" s="210"/>
      <c r="L574" s="210" t="str">
        <f t="shared" si="1"/>
        <v/>
      </c>
      <c r="M574" s="79"/>
      <c r="N574" s="207"/>
      <c r="O574" s="207"/>
      <c r="P574" s="207"/>
      <c r="Q574" s="207"/>
    </row>
    <row r="575" spans="1:17" ht="34.5" customHeight="1">
      <c r="A575" s="82"/>
      <c r="B575" s="205" t="str">
        <f t="shared" si="2"/>
        <v/>
      </c>
      <c r="C575" s="206" t="str">
        <f t="shared" si="3"/>
        <v/>
      </c>
      <c r="D575" s="207" t="str">
        <f t="shared" si="0"/>
        <v/>
      </c>
      <c r="E575" s="207"/>
      <c r="F575" s="205" t="str">
        <f>IF(E575="","",VLOOKUP(E575,'ARAMA LİSTELERİ'!C575:G2614,5,))</f>
        <v/>
      </c>
      <c r="G575" s="207"/>
      <c r="H575" s="210"/>
      <c r="I575" s="79"/>
      <c r="J575" s="210"/>
      <c r="K575" s="210"/>
      <c r="L575" s="210" t="str">
        <f t="shared" si="1"/>
        <v/>
      </c>
      <c r="M575" s="79"/>
      <c r="N575" s="207"/>
      <c r="O575" s="207"/>
      <c r="P575" s="207"/>
      <c r="Q575" s="207"/>
    </row>
    <row r="576" spans="1:17" ht="34.5" customHeight="1">
      <c r="A576" s="82"/>
      <c r="B576" s="205" t="str">
        <f t="shared" si="2"/>
        <v/>
      </c>
      <c r="C576" s="206" t="str">
        <f t="shared" si="3"/>
        <v/>
      </c>
      <c r="D576" s="207" t="str">
        <f t="shared" si="0"/>
        <v/>
      </c>
      <c r="E576" s="207"/>
      <c r="F576" s="205" t="str">
        <f>IF(E576="","",VLOOKUP(E576,'ARAMA LİSTELERİ'!C576:G2615,5,))</f>
        <v/>
      </c>
      <c r="G576" s="207"/>
      <c r="H576" s="210"/>
      <c r="I576" s="79"/>
      <c r="J576" s="210"/>
      <c r="K576" s="210"/>
      <c r="L576" s="210" t="str">
        <f t="shared" si="1"/>
        <v/>
      </c>
      <c r="M576" s="79"/>
      <c r="N576" s="207"/>
      <c r="O576" s="207"/>
      <c r="P576" s="207"/>
      <c r="Q576" s="207"/>
    </row>
    <row r="577" spans="1:17" ht="34.5" customHeight="1">
      <c r="A577" s="82"/>
      <c r="B577" s="205" t="str">
        <f t="shared" si="2"/>
        <v/>
      </c>
      <c r="C577" s="206" t="str">
        <f t="shared" si="3"/>
        <v/>
      </c>
      <c r="D577" s="207" t="str">
        <f t="shared" si="0"/>
        <v/>
      </c>
      <c r="E577" s="207"/>
      <c r="F577" s="205" t="str">
        <f>IF(E577="","",VLOOKUP(E577,'ARAMA LİSTELERİ'!C577:G2616,5,))</f>
        <v/>
      </c>
      <c r="G577" s="207"/>
      <c r="H577" s="210"/>
      <c r="I577" s="79"/>
      <c r="J577" s="210"/>
      <c r="K577" s="210"/>
      <c r="L577" s="210" t="str">
        <f t="shared" si="1"/>
        <v/>
      </c>
      <c r="M577" s="79"/>
      <c r="N577" s="207"/>
      <c r="O577" s="207"/>
      <c r="P577" s="207"/>
      <c r="Q577" s="207"/>
    </row>
    <row r="578" spans="1:17" ht="34.5" customHeight="1">
      <c r="A578" s="82"/>
      <c r="B578" s="205" t="str">
        <f t="shared" si="2"/>
        <v/>
      </c>
      <c r="C578" s="206" t="str">
        <f t="shared" si="3"/>
        <v/>
      </c>
      <c r="D578" s="207" t="str">
        <f t="shared" si="0"/>
        <v/>
      </c>
      <c r="E578" s="207"/>
      <c r="F578" s="205" t="str">
        <f>IF(E578="","",VLOOKUP(E578,'ARAMA LİSTELERİ'!C578:G2617,5,))</f>
        <v/>
      </c>
      <c r="G578" s="207"/>
      <c r="H578" s="210"/>
      <c r="I578" s="79"/>
      <c r="J578" s="210"/>
      <c r="K578" s="210"/>
      <c r="L578" s="210" t="str">
        <f t="shared" si="1"/>
        <v/>
      </c>
      <c r="M578" s="79"/>
      <c r="N578" s="207"/>
      <c r="O578" s="207"/>
      <c r="P578" s="207"/>
      <c r="Q578" s="207"/>
    </row>
    <row r="579" spans="1:17" ht="34.5" customHeight="1">
      <c r="A579" s="82"/>
      <c r="B579" s="205" t="str">
        <f t="shared" si="2"/>
        <v/>
      </c>
      <c r="C579" s="206" t="str">
        <f t="shared" si="3"/>
        <v/>
      </c>
      <c r="D579" s="207" t="str">
        <f t="shared" si="0"/>
        <v/>
      </c>
      <c r="E579" s="207"/>
      <c r="F579" s="205" t="str">
        <f>IF(E579="","",VLOOKUP(E579,'ARAMA LİSTELERİ'!C579:G2618,5,))</f>
        <v/>
      </c>
      <c r="G579" s="207"/>
      <c r="H579" s="210"/>
      <c r="I579" s="79"/>
      <c r="J579" s="210"/>
      <c r="K579" s="210"/>
      <c r="L579" s="210" t="str">
        <f t="shared" si="1"/>
        <v/>
      </c>
      <c r="M579" s="79"/>
      <c r="N579" s="207"/>
      <c r="O579" s="207"/>
      <c r="P579" s="207"/>
      <c r="Q579" s="207"/>
    </row>
    <row r="580" spans="1:17" ht="34.5" customHeight="1">
      <c r="A580" s="82"/>
      <c r="B580" s="205" t="str">
        <f t="shared" si="2"/>
        <v/>
      </c>
      <c r="C580" s="206" t="str">
        <f t="shared" si="3"/>
        <v/>
      </c>
      <c r="D580" s="207" t="str">
        <f t="shared" si="0"/>
        <v/>
      </c>
      <c r="E580" s="207"/>
      <c r="F580" s="205" t="str">
        <f>IF(E580="","",VLOOKUP(E580,'ARAMA LİSTELERİ'!C580:G2619,5,))</f>
        <v/>
      </c>
      <c r="G580" s="207"/>
      <c r="H580" s="210"/>
      <c r="I580" s="79"/>
      <c r="J580" s="210"/>
      <c r="K580" s="210"/>
      <c r="L580" s="210" t="str">
        <f t="shared" si="1"/>
        <v/>
      </c>
      <c r="M580" s="79"/>
      <c r="N580" s="207"/>
      <c r="O580" s="207"/>
      <c r="P580" s="207"/>
      <c r="Q580" s="207"/>
    </row>
    <row r="581" spans="1:17" ht="34.5" customHeight="1">
      <c r="A581" s="82"/>
      <c r="B581" s="205" t="str">
        <f t="shared" si="2"/>
        <v/>
      </c>
      <c r="C581" s="206" t="str">
        <f t="shared" si="3"/>
        <v/>
      </c>
      <c r="D581" s="207" t="str">
        <f t="shared" si="0"/>
        <v/>
      </c>
      <c r="E581" s="207"/>
      <c r="F581" s="205" t="str">
        <f>IF(E581="","",VLOOKUP(E581,'ARAMA LİSTELERİ'!C581:G2620,5,))</f>
        <v/>
      </c>
      <c r="G581" s="207"/>
      <c r="H581" s="210"/>
      <c r="I581" s="79"/>
      <c r="J581" s="210"/>
      <c r="K581" s="210"/>
      <c r="L581" s="210" t="str">
        <f t="shared" si="1"/>
        <v/>
      </c>
      <c r="M581" s="79"/>
      <c r="N581" s="207"/>
      <c r="O581" s="207"/>
      <c r="P581" s="207"/>
      <c r="Q581" s="207"/>
    </row>
    <row r="582" spans="1:17" ht="34.5" customHeight="1">
      <c r="A582" s="82"/>
      <c r="B582" s="205" t="str">
        <f t="shared" si="2"/>
        <v/>
      </c>
      <c r="C582" s="206" t="str">
        <f t="shared" si="3"/>
        <v/>
      </c>
      <c r="D582" s="207" t="str">
        <f t="shared" si="0"/>
        <v/>
      </c>
      <c r="E582" s="207"/>
      <c r="F582" s="205" t="str">
        <f>IF(E582="","",VLOOKUP(E582,'ARAMA LİSTELERİ'!C582:G2621,5,))</f>
        <v/>
      </c>
      <c r="G582" s="207"/>
      <c r="H582" s="210"/>
      <c r="I582" s="79"/>
      <c r="J582" s="210"/>
      <c r="K582" s="210"/>
      <c r="L582" s="210" t="str">
        <f t="shared" si="1"/>
        <v/>
      </c>
      <c r="M582" s="79"/>
      <c r="N582" s="207"/>
      <c r="O582" s="207"/>
      <c r="P582" s="207"/>
      <c r="Q582" s="207"/>
    </row>
    <row r="583" spans="1:17" ht="34.5" customHeight="1">
      <c r="A583" s="82"/>
      <c r="B583" s="205" t="str">
        <f t="shared" si="2"/>
        <v/>
      </c>
      <c r="C583" s="206" t="str">
        <f t="shared" si="3"/>
        <v/>
      </c>
      <c r="D583" s="207" t="str">
        <f t="shared" si="0"/>
        <v/>
      </c>
      <c r="E583" s="207"/>
      <c r="F583" s="205" t="str">
        <f>IF(E583="","",VLOOKUP(E583,'ARAMA LİSTELERİ'!C583:G2622,5,))</f>
        <v/>
      </c>
      <c r="G583" s="207"/>
      <c r="H583" s="210"/>
      <c r="I583" s="79"/>
      <c r="J583" s="210"/>
      <c r="K583" s="210"/>
      <c r="L583" s="210" t="str">
        <f t="shared" si="1"/>
        <v/>
      </c>
      <c r="M583" s="79"/>
      <c r="N583" s="207"/>
      <c r="O583" s="207"/>
      <c r="P583" s="207"/>
      <c r="Q583" s="207"/>
    </row>
    <row r="584" spans="1:17" ht="34.5" customHeight="1">
      <c r="A584" s="82"/>
      <c r="B584" s="205" t="str">
        <f t="shared" si="2"/>
        <v/>
      </c>
      <c r="C584" s="206" t="str">
        <f t="shared" si="3"/>
        <v/>
      </c>
      <c r="D584" s="207" t="str">
        <f t="shared" si="0"/>
        <v/>
      </c>
      <c r="E584" s="207"/>
      <c r="F584" s="205" t="str">
        <f>IF(E584="","",VLOOKUP(E584,'ARAMA LİSTELERİ'!C584:G2623,5,))</f>
        <v/>
      </c>
      <c r="G584" s="207"/>
      <c r="H584" s="210"/>
      <c r="I584" s="79"/>
      <c r="J584" s="210"/>
      <c r="K584" s="210"/>
      <c r="L584" s="210" t="str">
        <f t="shared" si="1"/>
        <v/>
      </c>
      <c r="M584" s="79"/>
      <c r="N584" s="207"/>
      <c r="O584" s="207"/>
      <c r="P584" s="207"/>
      <c r="Q584" s="207"/>
    </row>
    <row r="585" spans="1:17" ht="34.5" customHeight="1">
      <c r="A585" s="82"/>
      <c r="B585" s="205" t="str">
        <f t="shared" si="2"/>
        <v/>
      </c>
      <c r="C585" s="206" t="str">
        <f t="shared" si="3"/>
        <v/>
      </c>
      <c r="D585" s="207" t="str">
        <f t="shared" si="0"/>
        <v/>
      </c>
      <c r="E585" s="207"/>
      <c r="F585" s="205" t="str">
        <f>IF(E585="","",VLOOKUP(E585,'ARAMA LİSTELERİ'!C585:G2624,5,))</f>
        <v/>
      </c>
      <c r="G585" s="207"/>
      <c r="H585" s="210"/>
      <c r="I585" s="79"/>
      <c r="J585" s="210"/>
      <c r="K585" s="210"/>
      <c r="L585" s="210" t="str">
        <f t="shared" si="1"/>
        <v/>
      </c>
      <c r="M585" s="79"/>
      <c r="N585" s="207"/>
      <c r="O585" s="207"/>
      <c r="P585" s="207"/>
      <c r="Q585" s="207"/>
    </row>
    <row r="586" spans="1:17" ht="34.5" customHeight="1">
      <c r="A586" s="82"/>
      <c r="B586" s="205" t="str">
        <f t="shared" si="2"/>
        <v/>
      </c>
      <c r="C586" s="206" t="str">
        <f t="shared" si="3"/>
        <v/>
      </c>
      <c r="D586" s="207" t="str">
        <f t="shared" si="0"/>
        <v/>
      </c>
      <c r="E586" s="207"/>
      <c r="F586" s="205" t="str">
        <f>IF(E586="","",VLOOKUP(E586,'ARAMA LİSTELERİ'!C586:G2625,5,))</f>
        <v/>
      </c>
      <c r="G586" s="207"/>
      <c r="H586" s="210"/>
      <c r="I586" s="79"/>
      <c r="J586" s="210"/>
      <c r="K586" s="210"/>
      <c r="L586" s="210" t="str">
        <f t="shared" si="1"/>
        <v/>
      </c>
      <c r="M586" s="79"/>
      <c r="N586" s="207"/>
      <c r="O586" s="207"/>
      <c r="P586" s="207"/>
      <c r="Q586" s="207"/>
    </row>
    <row r="587" spans="1:17" ht="34.5" customHeight="1">
      <c r="A587" s="82"/>
      <c r="B587" s="205" t="str">
        <f t="shared" si="2"/>
        <v/>
      </c>
      <c r="C587" s="206" t="str">
        <f t="shared" si="3"/>
        <v/>
      </c>
      <c r="D587" s="207" t="str">
        <f t="shared" si="0"/>
        <v/>
      </c>
      <c r="E587" s="207"/>
      <c r="F587" s="205" t="str">
        <f>IF(E587="","",VLOOKUP(E587,'ARAMA LİSTELERİ'!C587:G2626,5,))</f>
        <v/>
      </c>
      <c r="G587" s="207"/>
      <c r="H587" s="210"/>
      <c r="I587" s="79"/>
      <c r="J587" s="210"/>
      <c r="K587" s="210"/>
      <c r="L587" s="210" t="str">
        <f t="shared" si="1"/>
        <v/>
      </c>
      <c r="M587" s="79"/>
      <c r="N587" s="207"/>
      <c r="O587" s="207"/>
      <c r="P587" s="207"/>
      <c r="Q587" s="207"/>
    </row>
    <row r="588" spans="1:17" ht="34.5" customHeight="1">
      <c r="A588" s="82"/>
      <c r="B588" s="205" t="str">
        <f t="shared" si="2"/>
        <v/>
      </c>
      <c r="C588" s="206" t="str">
        <f t="shared" si="3"/>
        <v/>
      </c>
      <c r="D588" s="207" t="str">
        <f t="shared" si="0"/>
        <v/>
      </c>
      <c r="E588" s="207"/>
      <c r="F588" s="205" t="str">
        <f>IF(E588="","",VLOOKUP(E588,'ARAMA LİSTELERİ'!C588:G2627,5,))</f>
        <v/>
      </c>
      <c r="G588" s="207"/>
      <c r="H588" s="210"/>
      <c r="I588" s="79"/>
      <c r="J588" s="210"/>
      <c r="K588" s="210"/>
      <c r="L588" s="210" t="str">
        <f t="shared" si="1"/>
        <v/>
      </c>
      <c r="M588" s="79"/>
      <c r="N588" s="207"/>
      <c r="O588" s="207"/>
      <c r="P588" s="207"/>
      <c r="Q588" s="207"/>
    </row>
    <row r="589" spans="1:17" ht="34.5" customHeight="1">
      <c r="A589" s="82"/>
      <c r="B589" s="205" t="str">
        <f t="shared" si="2"/>
        <v/>
      </c>
      <c r="C589" s="206" t="str">
        <f t="shared" si="3"/>
        <v/>
      </c>
      <c r="D589" s="207" t="str">
        <f t="shared" si="0"/>
        <v/>
      </c>
      <c r="E589" s="207"/>
      <c r="F589" s="205" t="str">
        <f>IF(E589="","",VLOOKUP(E589,'ARAMA LİSTELERİ'!C589:G2628,5,))</f>
        <v/>
      </c>
      <c r="G589" s="207"/>
      <c r="H589" s="210"/>
      <c r="I589" s="79"/>
      <c r="J589" s="210"/>
      <c r="K589" s="210"/>
      <c r="L589" s="210" t="str">
        <f t="shared" si="1"/>
        <v/>
      </c>
      <c r="M589" s="79"/>
      <c r="N589" s="207"/>
      <c r="O589" s="207"/>
      <c r="P589" s="207"/>
      <c r="Q589" s="207"/>
    </row>
    <row r="590" spans="1:17" ht="34.5" customHeight="1">
      <c r="A590" s="82"/>
      <c r="B590" s="205" t="str">
        <f t="shared" si="2"/>
        <v/>
      </c>
      <c r="C590" s="206" t="str">
        <f t="shared" si="3"/>
        <v/>
      </c>
      <c r="D590" s="207" t="str">
        <f t="shared" si="0"/>
        <v/>
      </c>
      <c r="E590" s="207"/>
      <c r="F590" s="205" t="str">
        <f>IF(E590="","",VLOOKUP(E590,'ARAMA LİSTELERİ'!C590:G2629,5,))</f>
        <v/>
      </c>
      <c r="G590" s="207"/>
      <c r="H590" s="210"/>
      <c r="I590" s="79"/>
      <c r="J590" s="210"/>
      <c r="K590" s="210"/>
      <c r="L590" s="210" t="str">
        <f t="shared" si="1"/>
        <v/>
      </c>
      <c r="M590" s="79"/>
      <c r="N590" s="207"/>
      <c r="O590" s="207"/>
      <c r="P590" s="207"/>
      <c r="Q590" s="207"/>
    </row>
    <row r="591" spans="1:17" ht="34.5" customHeight="1">
      <c r="A591" s="82"/>
      <c r="B591" s="205" t="str">
        <f t="shared" si="2"/>
        <v/>
      </c>
      <c r="C591" s="206" t="str">
        <f t="shared" si="3"/>
        <v/>
      </c>
      <c r="D591" s="207" t="str">
        <f t="shared" si="0"/>
        <v/>
      </c>
      <c r="E591" s="207"/>
      <c r="F591" s="205" t="str">
        <f>IF(E591="","",VLOOKUP(E591,'ARAMA LİSTELERİ'!C591:G2630,5,))</f>
        <v/>
      </c>
      <c r="G591" s="207"/>
      <c r="H591" s="210"/>
      <c r="I591" s="79"/>
      <c r="J591" s="210"/>
      <c r="K591" s="210"/>
      <c r="L591" s="210" t="str">
        <f t="shared" si="1"/>
        <v/>
      </c>
      <c r="M591" s="79"/>
      <c r="N591" s="207"/>
      <c r="O591" s="207"/>
      <c r="P591" s="207"/>
      <c r="Q591" s="207"/>
    </row>
    <row r="592" spans="1:17" ht="34.5" customHeight="1">
      <c r="A592" s="82"/>
      <c r="B592" s="205" t="str">
        <f t="shared" si="2"/>
        <v/>
      </c>
      <c r="C592" s="206" t="str">
        <f t="shared" si="3"/>
        <v/>
      </c>
      <c r="D592" s="207" t="str">
        <f t="shared" si="0"/>
        <v/>
      </c>
      <c r="E592" s="207"/>
      <c r="F592" s="205" t="str">
        <f>IF(E592="","",VLOOKUP(E592,'ARAMA LİSTELERİ'!C592:G2631,5,))</f>
        <v/>
      </c>
      <c r="G592" s="207"/>
      <c r="H592" s="210"/>
      <c r="I592" s="79"/>
      <c r="J592" s="210"/>
      <c r="K592" s="210"/>
      <c r="L592" s="210" t="str">
        <f t="shared" si="1"/>
        <v/>
      </c>
      <c r="M592" s="79"/>
      <c r="N592" s="207"/>
      <c r="O592" s="207"/>
      <c r="P592" s="207"/>
      <c r="Q592" s="207"/>
    </row>
    <row r="593" spans="1:17" ht="34.5" customHeight="1">
      <c r="A593" s="82"/>
      <c r="B593" s="205" t="str">
        <f t="shared" si="2"/>
        <v/>
      </c>
      <c r="C593" s="206" t="str">
        <f t="shared" si="3"/>
        <v/>
      </c>
      <c r="D593" s="207" t="str">
        <f t="shared" si="0"/>
        <v/>
      </c>
      <c r="E593" s="207"/>
      <c r="F593" s="205" t="str">
        <f>IF(E593="","",VLOOKUP(E593,'ARAMA LİSTELERİ'!C593:G2632,5,))</f>
        <v/>
      </c>
      <c r="G593" s="207"/>
      <c r="H593" s="210"/>
      <c r="I593" s="79"/>
      <c r="J593" s="210"/>
      <c r="K593" s="210"/>
      <c r="L593" s="210" t="str">
        <f t="shared" si="1"/>
        <v/>
      </c>
      <c r="M593" s="79"/>
      <c r="N593" s="207"/>
      <c r="O593" s="207"/>
      <c r="P593" s="207"/>
      <c r="Q593" s="207"/>
    </row>
    <row r="594" spans="1:17" ht="34.5" customHeight="1">
      <c r="A594" s="82"/>
      <c r="B594" s="205" t="str">
        <f t="shared" si="2"/>
        <v/>
      </c>
      <c r="C594" s="206" t="str">
        <f t="shared" si="3"/>
        <v/>
      </c>
      <c r="D594" s="207" t="str">
        <f t="shared" si="0"/>
        <v/>
      </c>
      <c r="E594" s="207"/>
      <c r="F594" s="205" t="str">
        <f>IF(E594="","",VLOOKUP(E594,'ARAMA LİSTELERİ'!C594:G2633,5,))</f>
        <v/>
      </c>
      <c r="G594" s="207"/>
      <c r="H594" s="210"/>
      <c r="I594" s="79"/>
      <c r="J594" s="210"/>
      <c r="K594" s="210"/>
      <c r="L594" s="210" t="str">
        <f t="shared" si="1"/>
        <v/>
      </c>
      <c r="M594" s="79"/>
      <c r="N594" s="207"/>
      <c r="O594" s="207"/>
      <c r="P594" s="207"/>
      <c r="Q594" s="207"/>
    </row>
    <row r="595" spans="1:17" ht="34.5" customHeight="1">
      <c r="A595" s="82"/>
      <c r="B595" s="205" t="str">
        <f t="shared" si="2"/>
        <v/>
      </c>
      <c r="C595" s="206" t="str">
        <f t="shared" si="3"/>
        <v/>
      </c>
      <c r="D595" s="207" t="str">
        <f t="shared" si="0"/>
        <v/>
      </c>
      <c r="E595" s="207"/>
      <c r="F595" s="205" t="str">
        <f>IF(E595="","",VLOOKUP(E595,'ARAMA LİSTELERİ'!C595:G2634,5,))</f>
        <v/>
      </c>
      <c r="G595" s="207"/>
      <c r="H595" s="210"/>
      <c r="I595" s="79"/>
      <c r="J595" s="210"/>
      <c r="K595" s="210"/>
      <c r="L595" s="210" t="str">
        <f t="shared" si="1"/>
        <v/>
      </c>
      <c r="M595" s="79"/>
      <c r="N595" s="207"/>
      <c r="O595" s="207"/>
      <c r="P595" s="207"/>
      <c r="Q595" s="207"/>
    </row>
    <row r="596" spans="1:17" ht="34.5" customHeight="1">
      <c r="A596" s="82"/>
      <c r="B596" s="205" t="str">
        <f t="shared" si="2"/>
        <v/>
      </c>
      <c r="C596" s="206" t="str">
        <f t="shared" si="3"/>
        <v/>
      </c>
      <c r="D596" s="207" t="str">
        <f t="shared" si="0"/>
        <v/>
      </c>
      <c r="E596" s="207"/>
      <c r="F596" s="205" t="str">
        <f>IF(E596="","",VLOOKUP(E596,'ARAMA LİSTELERİ'!C596:G2635,5,))</f>
        <v/>
      </c>
      <c r="G596" s="207"/>
      <c r="H596" s="210"/>
      <c r="I596" s="79"/>
      <c r="J596" s="210"/>
      <c r="K596" s="210"/>
      <c r="L596" s="210" t="str">
        <f t="shared" si="1"/>
        <v/>
      </c>
      <c r="M596" s="79"/>
      <c r="N596" s="207"/>
      <c r="O596" s="207"/>
      <c r="P596" s="207"/>
      <c r="Q596" s="207"/>
    </row>
    <row r="597" spans="1:17" ht="34.5" customHeight="1">
      <c r="A597" s="82"/>
      <c r="B597" s="205" t="str">
        <f t="shared" si="2"/>
        <v/>
      </c>
      <c r="C597" s="206" t="str">
        <f t="shared" si="3"/>
        <v/>
      </c>
      <c r="D597" s="207" t="str">
        <f t="shared" si="0"/>
        <v/>
      </c>
      <c r="E597" s="207"/>
      <c r="F597" s="205" t="str">
        <f>IF(E597="","",VLOOKUP(E597,'ARAMA LİSTELERİ'!C597:G2636,5,))</f>
        <v/>
      </c>
      <c r="G597" s="207"/>
      <c r="H597" s="210"/>
      <c r="I597" s="79"/>
      <c r="J597" s="210"/>
      <c r="K597" s="210"/>
      <c r="L597" s="210" t="str">
        <f t="shared" si="1"/>
        <v/>
      </c>
      <c r="M597" s="79"/>
      <c r="N597" s="207"/>
      <c r="O597" s="207"/>
      <c r="P597" s="207"/>
      <c r="Q597" s="207"/>
    </row>
    <row r="598" spans="1:17" ht="34.5" customHeight="1">
      <c r="A598" s="82"/>
      <c r="B598" s="205" t="str">
        <f t="shared" si="2"/>
        <v/>
      </c>
      <c r="C598" s="206" t="str">
        <f t="shared" si="3"/>
        <v/>
      </c>
      <c r="D598" s="207" t="str">
        <f t="shared" si="0"/>
        <v/>
      </c>
      <c r="E598" s="207"/>
      <c r="F598" s="205" t="str">
        <f>IF(E598="","",VLOOKUP(E598,'ARAMA LİSTELERİ'!C598:G2637,5,))</f>
        <v/>
      </c>
      <c r="G598" s="207"/>
      <c r="H598" s="210"/>
      <c r="I598" s="79"/>
      <c r="J598" s="210"/>
      <c r="K598" s="210"/>
      <c r="L598" s="210" t="str">
        <f t="shared" si="1"/>
        <v/>
      </c>
      <c r="M598" s="79"/>
      <c r="N598" s="207"/>
      <c r="O598" s="207"/>
      <c r="P598" s="207"/>
      <c r="Q598" s="207"/>
    </row>
    <row r="599" spans="1:17" ht="34.5" customHeight="1">
      <c r="A599" s="82"/>
      <c r="B599" s="205" t="str">
        <f t="shared" si="2"/>
        <v/>
      </c>
      <c r="C599" s="206" t="str">
        <f t="shared" si="3"/>
        <v/>
      </c>
      <c r="D599" s="207" t="str">
        <f t="shared" si="0"/>
        <v/>
      </c>
      <c r="E599" s="207"/>
      <c r="F599" s="205" t="str">
        <f>IF(E599="","",VLOOKUP(E599,'ARAMA LİSTELERİ'!C599:G2638,5,))</f>
        <v/>
      </c>
      <c r="G599" s="207"/>
      <c r="H599" s="210"/>
      <c r="I599" s="79"/>
      <c r="J599" s="210"/>
      <c r="K599" s="210"/>
      <c r="L599" s="210" t="str">
        <f t="shared" si="1"/>
        <v/>
      </c>
      <c r="M599" s="79"/>
      <c r="N599" s="207"/>
      <c r="O599" s="207"/>
      <c r="P599" s="207"/>
      <c r="Q599" s="207"/>
    </row>
    <row r="600" spans="1:17" ht="34.5" customHeight="1">
      <c r="A600" s="82"/>
      <c r="B600" s="205" t="str">
        <f t="shared" si="2"/>
        <v/>
      </c>
      <c r="C600" s="206" t="str">
        <f t="shared" si="3"/>
        <v/>
      </c>
      <c r="D600" s="207" t="str">
        <f t="shared" si="0"/>
        <v/>
      </c>
      <c r="E600" s="207"/>
      <c r="F600" s="205" t="str">
        <f>IF(E600="","",VLOOKUP(E600,'ARAMA LİSTELERİ'!C600:G2639,5,))</f>
        <v/>
      </c>
      <c r="G600" s="207"/>
      <c r="H600" s="210"/>
      <c r="I600" s="79"/>
      <c r="J600" s="210"/>
      <c r="K600" s="210"/>
      <c r="L600" s="210" t="str">
        <f t="shared" si="1"/>
        <v/>
      </c>
      <c r="M600" s="79"/>
      <c r="N600" s="207"/>
      <c r="O600" s="207"/>
      <c r="P600" s="207"/>
      <c r="Q600" s="207"/>
    </row>
    <row r="601" spans="1:17" ht="34.5" customHeight="1">
      <c r="A601" s="82"/>
      <c r="B601" s="205" t="str">
        <f t="shared" si="2"/>
        <v/>
      </c>
      <c r="C601" s="206" t="str">
        <f t="shared" si="3"/>
        <v/>
      </c>
      <c r="D601" s="207" t="str">
        <f t="shared" si="0"/>
        <v/>
      </c>
      <c r="E601" s="207"/>
      <c r="F601" s="205" t="str">
        <f>IF(E601="","",VLOOKUP(E601,'ARAMA LİSTELERİ'!C601:G2640,5,))</f>
        <v/>
      </c>
      <c r="G601" s="207"/>
      <c r="H601" s="210"/>
      <c r="I601" s="79"/>
      <c r="J601" s="210"/>
      <c r="K601" s="210"/>
      <c r="L601" s="210" t="str">
        <f t="shared" si="1"/>
        <v/>
      </c>
      <c r="M601" s="79"/>
      <c r="N601" s="207"/>
      <c r="O601" s="207"/>
      <c r="P601" s="207"/>
      <c r="Q601" s="207"/>
    </row>
    <row r="602" spans="1:17" ht="34.5" customHeight="1">
      <c r="A602" s="82"/>
      <c r="B602" s="205" t="str">
        <f t="shared" si="2"/>
        <v/>
      </c>
      <c r="C602" s="206" t="str">
        <f t="shared" si="3"/>
        <v/>
      </c>
      <c r="D602" s="207" t="str">
        <f t="shared" si="0"/>
        <v/>
      </c>
      <c r="E602" s="207"/>
      <c r="F602" s="205" t="str">
        <f>IF(E602="","",VLOOKUP(E602,'ARAMA LİSTELERİ'!C602:G2641,5,))</f>
        <v/>
      </c>
      <c r="G602" s="207"/>
      <c r="H602" s="210"/>
      <c r="I602" s="79"/>
      <c r="J602" s="210"/>
      <c r="K602" s="210"/>
      <c r="L602" s="210" t="str">
        <f t="shared" si="1"/>
        <v/>
      </c>
      <c r="M602" s="79"/>
      <c r="N602" s="207"/>
      <c r="O602" s="207"/>
      <c r="P602" s="207"/>
      <c r="Q602" s="207"/>
    </row>
    <row r="603" spans="1:17" ht="34.5" customHeight="1">
      <c r="A603" s="82"/>
      <c r="B603" s="205" t="str">
        <f t="shared" si="2"/>
        <v/>
      </c>
      <c r="C603" s="206" t="str">
        <f t="shared" si="3"/>
        <v/>
      </c>
      <c r="D603" s="207" t="str">
        <f t="shared" si="0"/>
        <v/>
      </c>
      <c r="E603" s="207"/>
      <c r="F603" s="205" t="str">
        <f>IF(E603="","",VLOOKUP(E603,'ARAMA LİSTELERİ'!C603:G2642,5,))</f>
        <v/>
      </c>
      <c r="G603" s="207"/>
      <c r="H603" s="210"/>
      <c r="I603" s="79"/>
      <c r="J603" s="210"/>
      <c r="K603" s="210"/>
      <c r="L603" s="210" t="str">
        <f t="shared" si="1"/>
        <v/>
      </c>
      <c r="M603" s="79"/>
      <c r="N603" s="207"/>
      <c r="O603" s="207"/>
      <c r="P603" s="207"/>
      <c r="Q603" s="207"/>
    </row>
    <row r="604" spans="1:17" ht="34.5" customHeight="1">
      <c r="A604" s="82"/>
      <c r="B604" s="205" t="str">
        <f t="shared" si="2"/>
        <v/>
      </c>
      <c r="C604" s="206" t="str">
        <f t="shared" si="3"/>
        <v/>
      </c>
      <c r="D604" s="207" t="str">
        <f t="shared" si="0"/>
        <v/>
      </c>
      <c r="E604" s="207"/>
      <c r="F604" s="205" t="str">
        <f>IF(E604="","",VLOOKUP(E604,'ARAMA LİSTELERİ'!C604:G2643,5,))</f>
        <v/>
      </c>
      <c r="G604" s="207"/>
      <c r="H604" s="210"/>
      <c r="I604" s="79"/>
      <c r="J604" s="210"/>
      <c r="K604" s="210"/>
      <c r="L604" s="210" t="str">
        <f t="shared" si="1"/>
        <v/>
      </c>
      <c r="M604" s="79"/>
      <c r="N604" s="207"/>
      <c r="O604" s="207"/>
      <c r="P604" s="207"/>
      <c r="Q604" s="207"/>
    </row>
    <row r="605" spans="1:17" ht="34.5" customHeight="1">
      <c r="A605" s="82"/>
      <c r="B605" s="205" t="str">
        <f t="shared" si="2"/>
        <v/>
      </c>
      <c r="C605" s="206" t="str">
        <f t="shared" si="3"/>
        <v/>
      </c>
      <c r="D605" s="207" t="str">
        <f t="shared" si="0"/>
        <v/>
      </c>
      <c r="E605" s="207"/>
      <c r="F605" s="205" t="str">
        <f>IF(E605="","",VLOOKUP(E605,'ARAMA LİSTELERİ'!C605:G2644,5,))</f>
        <v/>
      </c>
      <c r="G605" s="207"/>
      <c r="H605" s="210"/>
      <c r="I605" s="79"/>
      <c r="J605" s="210"/>
      <c r="K605" s="210"/>
      <c r="L605" s="210" t="str">
        <f t="shared" si="1"/>
        <v/>
      </c>
      <c r="M605" s="79"/>
      <c r="N605" s="207"/>
      <c r="O605" s="207"/>
      <c r="P605" s="207"/>
      <c r="Q605" s="207"/>
    </row>
    <row r="606" spans="1:17" ht="34.5" customHeight="1">
      <c r="A606" s="82"/>
      <c r="B606" s="205" t="str">
        <f t="shared" si="2"/>
        <v/>
      </c>
      <c r="C606" s="206" t="str">
        <f t="shared" si="3"/>
        <v/>
      </c>
      <c r="D606" s="207" t="str">
        <f t="shared" si="0"/>
        <v/>
      </c>
      <c r="E606" s="207"/>
      <c r="F606" s="205" t="str">
        <f>IF(E606="","",VLOOKUP(E606,'ARAMA LİSTELERİ'!C606:G2645,5,))</f>
        <v/>
      </c>
      <c r="G606" s="207"/>
      <c r="H606" s="210"/>
      <c r="I606" s="79"/>
      <c r="J606" s="210"/>
      <c r="K606" s="210"/>
      <c r="L606" s="210" t="str">
        <f t="shared" si="1"/>
        <v/>
      </c>
      <c r="M606" s="79"/>
      <c r="N606" s="207"/>
      <c r="O606" s="207"/>
      <c r="P606" s="207"/>
      <c r="Q606" s="207"/>
    </row>
    <row r="607" spans="1:17" ht="34.5" customHeight="1">
      <c r="A607" s="82"/>
      <c r="B607" s="205" t="str">
        <f t="shared" si="2"/>
        <v/>
      </c>
      <c r="C607" s="206" t="str">
        <f t="shared" si="3"/>
        <v/>
      </c>
      <c r="D607" s="207" t="str">
        <f t="shared" si="0"/>
        <v/>
      </c>
      <c r="E607" s="207"/>
      <c r="F607" s="205" t="str">
        <f>IF(E607="","",VLOOKUP(E607,'ARAMA LİSTELERİ'!C607:G2646,5,))</f>
        <v/>
      </c>
      <c r="G607" s="207"/>
      <c r="H607" s="210"/>
      <c r="I607" s="79"/>
      <c r="J607" s="210"/>
      <c r="K607" s="210"/>
      <c r="L607" s="210" t="str">
        <f t="shared" si="1"/>
        <v/>
      </c>
      <c r="M607" s="79"/>
      <c r="N607" s="207"/>
      <c r="O607" s="207"/>
      <c r="P607" s="207"/>
      <c r="Q607" s="207"/>
    </row>
    <row r="608" spans="1:17" ht="34.5" customHeight="1">
      <c r="A608" s="82"/>
      <c r="B608" s="205" t="str">
        <f t="shared" si="2"/>
        <v/>
      </c>
      <c r="C608" s="206" t="str">
        <f t="shared" si="3"/>
        <v/>
      </c>
      <c r="D608" s="207" t="str">
        <f t="shared" si="0"/>
        <v/>
      </c>
      <c r="E608" s="207"/>
      <c r="F608" s="205" t="str">
        <f>IF(E608="","",VLOOKUP(E608,'ARAMA LİSTELERİ'!C608:G2647,5,))</f>
        <v/>
      </c>
      <c r="G608" s="207"/>
      <c r="H608" s="210"/>
      <c r="I608" s="79"/>
      <c r="J608" s="210"/>
      <c r="K608" s="210"/>
      <c r="L608" s="210" t="str">
        <f t="shared" si="1"/>
        <v/>
      </c>
      <c r="M608" s="79"/>
      <c r="N608" s="207"/>
      <c r="O608" s="207"/>
      <c r="P608" s="207"/>
      <c r="Q608" s="207"/>
    </row>
    <row r="609" spans="1:17" ht="34.5" customHeight="1">
      <c r="A609" s="82"/>
      <c r="B609" s="205" t="str">
        <f t="shared" si="2"/>
        <v/>
      </c>
      <c r="C609" s="206" t="str">
        <f t="shared" si="3"/>
        <v/>
      </c>
      <c r="D609" s="207" t="str">
        <f t="shared" si="0"/>
        <v/>
      </c>
      <c r="E609" s="207"/>
      <c r="F609" s="205" t="str">
        <f>IF(E609="","",VLOOKUP(E609,'ARAMA LİSTELERİ'!C609:G2648,5,))</f>
        <v/>
      </c>
      <c r="G609" s="207"/>
      <c r="H609" s="210"/>
      <c r="I609" s="79"/>
      <c r="J609" s="210"/>
      <c r="K609" s="210"/>
      <c r="L609" s="210" t="str">
        <f t="shared" si="1"/>
        <v/>
      </c>
      <c r="M609" s="79"/>
      <c r="N609" s="207"/>
      <c r="O609" s="207"/>
      <c r="P609" s="207"/>
      <c r="Q609" s="207"/>
    </row>
    <row r="610" spans="1:17" ht="34.5" customHeight="1">
      <c r="A610" s="82"/>
      <c r="B610" s="205" t="str">
        <f t="shared" si="2"/>
        <v/>
      </c>
      <c r="C610" s="206" t="str">
        <f t="shared" si="3"/>
        <v/>
      </c>
      <c r="D610" s="207" t="str">
        <f t="shared" si="0"/>
        <v/>
      </c>
      <c r="E610" s="207"/>
      <c r="F610" s="205" t="str">
        <f>IF(E610="","",VLOOKUP(E610,'ARAMA LİSTELERİ'!C610:G2649,5,))</f>
        <v/>
      </c>
      <c r="G610" s="207"/>
      <c r="H610" s="210"/>
      <c r="I610" s="79"/>
      <c r="J610" s="210"/>
      <c r="K610" s="210"/>
      <c r="L610" s="210" t="str">
        <f t="shared" si="1"/>
        <v/>
      </c>
      <c r="M610" s="79"/>
      <c r="N610" s="207"/>
      <c r="O610" s="207"/>
      <c r="P610" s="207"/>
      <c r="Q610" s="207"/>
    </row>
    <row r="611" spans="1:17" ht="34.5" customHeight="1">
      <c r="A611" s="82"/>
      <c r="B611" s="205" t="str">
        <f t="shared" si="2"/>
        <v/>
      </c>
      <c r="C611" s="206" t="str">
        <f t="shared" si="3"/>
        <v/>
      </c>
      <c r="D611" s="207" t="str">
        <f t="shared" si="0"/>
        <v/>
      </c>
      <c r="E611" s="207"/>
      <c r="F611" s="205" t="str">
        <f>IF(E611="","",VLOOKUP(E611,'ARAMA LİSTELERİ'!C611:G2650,5,))</f>
        <v/>
      </c>
      <c r="G611" s="207"/>
      <c r="H611" s="210"/>
      <c r="I611" s="79"/>
      <c r="J611" s="210"/>
      <c r="K611" s="210"/>
      <c r="L611" s="210" t="str">
        <f t="shared" si="1"/>
        <v/>
      </c>
      <c r="M611" s="79"/>
      <c r="N611" s="207"/>
      <c r="O611" s="207"/>
      <c r="P611" s="207"/>
      <c r="Q611" s="207"/>
    </row>
    <row r="612" spans="1:17" ht="34.5" customHeight="1">
      <c r="A612" s="82"/>
      <c r="B612" s="205" t="str">
        <f t="shared" si="2"/>
        <v/>
      </c>
      <c r="C612" s="206" t="str">
        <f t="shared" si="3"/>
        <v/>
      </c>
      <c r="D612" s="207" t="str">
        <f t="shared" si="0"/>
        <v/>
      </c>
      <c r="E612" s="207"/>
      <c r="F612" s="205" t="str">
        <f>IF(E612="","",VLOOKUP(E612,'ARAMA LİSTELERİ'!C612:G2651,5,))</f>
        <v/>
      </c>
      <c r="G612" s="207"/>
      <c r="H612" s="210"/>
      <c r="I612" s="79"/>
      <c r="J612" s="210"/>
      <c r="K612" s="210"/>
      <c r="L612" s="210" t="str">
        <f t="shared" si="1"/>
        <v/>
      </c>
      <c r="M612" s="79"/>
      <c r="N612" s="207"/>
      <c r="O612" s="207"/>
      <c r="P612" s="207"/>
      <c r="Q612" s="207"/>
    </row>
    <row r="613" spans="1:17" ht="34.5" customHeight="1">
      <c r="A613" s="82"/>
      <c r="B613" s="205" t="str">
        <f t="shared" si="2"/>
        <v/>
      </c>
      <c r="C613" s="206" t="str">
        <f t="shared" si="3"/>
        <v/>
      </c>
      <c r="D613" s="207" t="str">
        <f t="shared" si="0"/>
        <v/>
      </c>
      <c r="E613" s="207"/>
      <c r="F613" s="205" t="str">
        <f>IF(E613="","",VLOOKUP(E613,'ARAMA LİSTELERİ'!C613:G2652,5,))</f>
        <v/>
      </c>
      <c r="G613" s="207"/>
      <c r="H613" s="210"/>
      <c r="I613" s="79"/>
      <c r="J613" s="210"/>
      <c r="K613" s="210"/>
      <c r="L613" s="210" t="str">
        <f t="shared" si="1"/>
        <v/>
      </c>
      <c r="M613" s="79"/>
      <c r="N613" s="207"/>
      <c r="O613" s="207"/>
      <c r="P613" s="207"/>
      <c r="Q613" s="207"/>
    </row>
    <row r="614" spans="1:17" ht="34.5" customHeight="1">
      <c r="A614" s="82"/>
      <c r="B614" s="205" t="str">
        <f t="shared" si="2"/>
        <v/>
      </c>
      <c r="C614" s="206" t="str">
        <f t="shared" si="3"/>
        <v/>
      </c>
      <c r="D614" s="207" t="str">
        <f t="shared" si="0"/>
        <v/>
      </c>
      <c r="E614" s="207"/>
      <c r="F614" s="205" t="str">
        <f>IF(E614="","",VLOOKUP(E614,'ARAMA LİSTELERİ'!C614:G2653,5,))</f>
        <v/>
      </c>
      <c r="G614" s="207"/>
      <c r="H614" s="210"/>
      <c r="I614" s="79"/>
      <c r="J614" s="210"/>
      <c r="K614" s="210"/>
      <c r="L614" s="210" t="str">
        <f t="shared" si="1"/>
        <v/>
      </c>
      <c r="M614" s="79"/>
      <c r="N614" s="207"/>
      <c r="O614" s="207"/>
      <c r="P614" s="207"/>
      <c r="Q614" s="207"/>
    </row>
    <row r="615" spans="1:17" ht="34.5" customHeight="1">
      <c r="A615" s="82"/>
      <c r="B615" s="205" t="str">
        <f t="shared" si="2"/>
        <v/>
      </c>
      <c r="C615" s="206" t="str">
        <f t="shared" si="3"/>
        <v/>
      </c>
      <c r="D615" s="207" t="str">
        <f t="shared" si="0"/>
        <v/>
      </c>
      <c r="E615" s="207"/>
      <c r="F615" s="205" t="str">
        <f>IF(E615="","",VLOOKUP(E615,'ARAMA LİSTELERİ'!C615:G2654,5,))</f>
        <v/>
      </c>
      <c r="G615" s="207"/>
      <c r="H615" s="210"/>
      <c r="I615" s="79"/>
      <c r="J615" s="210"/>
      <c r="K615" s="210"/>
      <c r="L615" s="210" t="str">
        <f t="shared" si="1"/>
        <v/>
      </c>
      <c r="M615" s="79"/>
      <c r="N615" s="207"/>
      <c r="O615" s="207"/>
      <c r="P615" s="207"/>
      <c r="Q615" s="207"/>
    </row>
    <row r="616" spans="1:17" ht="34.5" customHeight="1">
      <c r="A616" s="82"/>
      <c r="B616" s="205" t="str">
        <f t="shared" si="2"/>
        <v/>
      </c>
      <c r="C616" s="206" t="str">
        <f t="shared" si="3"/>
        <v/>
      </c>
      <c r="D616" s="207" t="str">
        <f t="shared" si="0"/>
        <v/>
      </c>
      <c r="E616" s="207"/>
      <c r="F616" s="205" t="str">
        <f>IF(E616="","",VLOOKUP(E616,'ARAMA LİSTELERİ'!C616:G2655,5,))</f>
        <v/>
      </c>
      <c r="G616" s="207"/>
      <c r="H616" s="210"/>
      <c r="I616" s="79"/>
      <c r="J616" s="210"/>
      <c r="K616" s="210"/>
      <c r="L616" s="210" t="str">
        <f t="shared" si="1"/>
        <v/>
      </c>
      <c r="M616" s="79"/>
      <c r="N616" s="207"/>
      <c r="O616" s="207"/>
      <c r="P616" s="207"/>
      <c r="Q616" s="207"/>
    </row>
    <row r="617" spans="1:17" ht="34.5" customHeight="1">
      <c r="A617" s="82"/>
      <c r="B617" s="205" t="str">
        <f t="shared" si="2"/>
        <v/>
      </c>
      <c r="C617" s="206" t="str">
        <f t="shared" si="3"/>
        <v/>
      </c>
      <c r="D617" s="207" t="str">
        <f t="shared" si="0"/>
        <v/>
      </c>
      <c r="E617" s="207"/>
      <c r="F617" s="205" t="str">
        <f>IF(E617="","",VLOOKUP(E617,'ARAMA LİSTELERİ'!C617:G2656,5,))</f>
        <v/>
      </c>
      <c r="G617" s="207"/>
      <c r="H617" s="210"/>
      <c r="I617" s="79"/>
      <c r="J617" s="210"/>
      <c r="K617" s="210"/>
      <c r="L617" s="210" t="str">
        <f t="shared" si="1"/>
        <v/>
      </c>
      <c r="M617" s="79"/>
      <c r="N617" s="207"/>
      <c r="O617" s="207"/>
      <c r="P617" s="207"/>
      <c r="Q617" s="207"/>
    </row>
    <row r="618" spans="1:17" ht="34.5" customHeight="1">
      <c r="A618" s="82"/>
      <c r="B618" s="205" t="str">
        <f t="shared" si="2"/>
        <v/>
      </c>
      <c r="C618" s="206" t="str">
        <f t="shared" si="3"/>
        <v/>
      </c>
      <c r="D618" s="207" t="str">
        <f t="shared" si="0"/>
        <v/>
      </c>
      <c r="E618" s="207"/>
      <c r="F618" s="205" t="str">
        <f>IF(E618="","",VLOOKUP(E618,'ARAMA LİSTELERİ'!C618:G2657,5,))</f>
        <v/>
      </c>
      <c r="G618" s="207"/>
      <c r="H618" s="210"/>
      <c r="I618" s="79"/>
      <c r="J618" s="210"/>
      <c r="K618" s="210"/>
      <c r="L618" s="210" t="str">
        <f t="shared" si="1"/>
        <v/>
      </c>
      <c r="M618" s="79"/>
      <c r="N618" s="207"/>
      <c r="O618" s="207"/>
      <c r="P618" s="207"/>
      <c r="Q618" s="207"/>
    </row>
    <row r="619" spans="1:17" ht="34.5" customHeight="1">
      <c r="A619" s="82"/>
      <c r="B619" s="205" t="str">
        <f t="shared" si="2"/>
        <v/>
      </c>
      <c r="C619" s="206" t="str">
        <f t="shared" si="3"/>
        <v/>
      </c>
      <c r="D619" s="207" t="str">
        <f t="shared" si="0"/>
        <v/>
      </c>
      <c r="E619" s="207"/>
      <c r="F619" s="205" t="str">
        <f>IF(E619="","",VLOOKUP(E619,'ARAMA LİSTELERİ'!C619:G2658,5,))</f>
        <v/>
      </c>
      <c r="G619" s="207"/>
      <c r="H619" s="210"/>
      <c r="I619" s="79"/>
      <c r="J619" s="210"/>
      <c r="K619" s="210"/>
      <c r="L619" s="210" t="str">
        <f t="shared" si="1"/>
        <v/>
      </c>
      <c r="M619" s="79"/>
      <c r="N619" s="207"/>
      <c r="O619" s="207"/>
      <c r="P619" s="207"/>
      <c r="Q619" s="207"/>
    </row>
    <row r="620" spans="1:17" ht="34.5" customHeight="1">
      <c r="A620" s="82"/>
      <c r="B620" s="205" t="str">
        <f t="shared" si="2"/>
        <v/>
      </c>
      <c r="C620" s="206" t="str">
        <f t="shared" si="3"/>
        <v/>
      </c>
      <c r="D620" s="207" t="str">
        <f t="shared" si="0"/>
        <v/>
      </c>
      <c r="E620" s="207"/>
      <c r="F620" s="205" t="str">
        <f>IF(E620="","",VLOOKUP(E620,'ARAMA LİSTELERİ'!C620:G2659,5,))</f>
        <v/>
      </c>
      <c r="G620" s="207"/>
      <c r="H620" s="210"/>
      <c r="I620" s="79"/>
      <c r="J620" s="210"/>
      <c r="K620" s="210"/>
      <c r="L620" s="210" t="str">
        <f t="shared" si="1"/>
        <v/>
      </c>
      <c r="M620" s="79"/>
      <c r="N620" s="207"/>
      <c r="O620" s="207"/>
      <c r="P620" s="207"/>
      <c r="Q620" s="207"/>
    </row>
    <row r="621" spans="1:17" ht="34.5" customHeight="1">
      <c r="A621" s="82"/>
      <c r="B621" s="205" t="str">
        <f t="shared" si="2"/>
        <v/>
      </c>
      <c r="C621" s="206" t="str">
        <f t="shared" si="3"/>
        <v/>
      </c>
      <c r="D621" s="207" t="str">
        <f t="shared" si="0"/>
        <v/>
      </c>
      <c r="E621" s="207"/>
      <c r="F621" s="205" t="str">
        <f>IF(E621="","",VLOOKUP(E621,'ARAMA LİSTELERİ'!C621:G2660,5,))</f>
        <v/>
      </c>
      <c r="G621" s="207"/>
      <c r="H621" s="210"/>
      <c r="I621" s="79"/>
      <c r="J621" s="210"/>
      <c r="K621" s="210"/>
      <c r="L621" s="210" t="str">
        <f t="shared" si="1"/>
        <v/>
      </c>
      <c r="M621" s="79"/>
      <c r="N621" s="207"/>
      <c r="O621" s="207"/>
      <c r="P621" s="207"/>
      <c r="Q621" s="207"/>
    </row>
    <row r="622" spans="1:17" ht="34.5" customHeight="1">
      <c r="A622" s="82"/>
      <c r="B622" s="205" t="str">
        <f t="shared" si="2"/>
        <v/>
      </c>
      <c r="C622" s="206" t="str">
        <f t="shared" si="3"/>
        <v/>
      </c>
      <c r="D622" s="207" t="str">
        <f t="shared" si="0"/>
        <v/>
      </c>
      <c r="E622" s="207"/>
      <c r="F622" s="205" t="str">
        <f>IF(E622="","",VLOOKUP(E622,'ARAMA LİSTELERİ'!C622:G2661,5,))</f>
        <v/>
      </c>
      <c r="G622" s="207"/>
      <c r="H622" s="210"/>
      <c r="I622" s="79"/>
      <c r="J622" s="210"/>
      <c r="K622" s="210"/>
      <c r="L622" s="210" t="str">
        <f t="shared" si="1"/>
        <v/>
      </c>
      <c r="M622" s="79"/>
      <c r="N622" s="207"/>
      <c r="O622" s="207"/>
      <c r="P622" s="207"/>
      <c r="Q622" s="207"/>
    </row>
    <row r="623" spans="1:17" ht="34.5" customHeight="1">
      <c r="A623" s="82"/>
      <c r="B623" s="205" t="str">
        <f t="shared" si="2"/>
        <v/>
      </c>
      <c r="C623" s="206" t="str">
        <f t="shared" si="3"/>
        <v/>
      </c>
      <c r="D623" s="207" t="str">
        <f t="shared" si="0"/>
        <v/>
      </c>
      <c r="E623" s="207"/>
      <c r="F623" s="205" t="str">
        <f>IF(E623="","",VLOOKUP(E623,'ARAMA LİSTELERİ'!C623:G2662,5,))</f>
        <v/>
      </c>
      <c r="G623" s="207"/>
      <c r="H623" s="210"/>
      <c r="I623" s="79"/>
      <c r="J623" s="210"/>
      <c r="K623" s="210"/>
      <c r="L623" s="210" t="str">
        <f t="shared" si="1"/>
        <v/>
      </c>
      <c r="M623" s="79"/>
      <c r="N623" s="207"/>
      <c r="O623" s="207"/>
      <c r="P623" s="207"/>
      <c r="Q623" s="207"/>
    </row>
    <row r="624" spans="1:17" ht="34.5" customHeight="1">
      <c r="A624" s="82"/>
      <c r="B624" s="205" t="str">
        <f t="shared" si="2"/>
        <v/>
      </c>
      <c r="C624" s="206" t="str">
        <f t="shared" si="3"/>
        <v/>
      </c>
      <c r="D624" s="207" t="str">
        <f t="shared" si="0"/>
        <v/>
      </c>
      <c r="E624" s="207"/>
      <c r="F624" s="205" t="str">
        <f>IF(E624="","",VLOOKUP(E624,'ARAMA LİSTELERİ'!C624:G2663,5,))</f>
        <v/>
      </c>
      <c r="G624" s="207"/>
      <c r="H624" s="210"/>
      <c r="I624" s="79"/>
      <c r="J624" s="210"/>
      <c r="K624" s="210"/>
      <c r="L624" s="210" t="str">
        <f t="shared" si="1"/>
        <v/>
      </c>
      <c r="M624" s="79"/>
      <c r="N624" s="207"/>
      <c r="O624" s="207"/>
      <c r="P624" s="207"/>
      <c r="Q624" s="207"/>
    </row>
    <row r="625" spans="1:17" ht="34.5" customHeight="1">
      <c r="A625" s="82"/>
      <c r="B625" s="205" t="str">
        <f t="shared" si="2"/>
        <v/>
      </c>
      <c r="C625" s="206" t="str">
        <f t="shared" si="3"/>
        <v/>
      </c>
      <c r="D625" s="207" t="str">
        <f t="shared" si="0"/>
        <v/>
      </c>
      <c r="E625" s="207"/>
      <c r="F625" s="205" t="str">
        <f>IF(E625="","",VLOOKUP(E625,'ARAMA LİSTELERİ'!C625:G2664,5,))</f>
        <v/>
      </c>
      <c r="G625" s="207"/>
      <c r="H625" s="210"/>
      <c r="I625" s="79"/>
      <c r="J625" s="210"/>
      <c r="K625" s="210"/>
      <c r="L625" s="210" t="str">
        <f t="shared" si="1"/>
        <v/>
      </c>
      <c r="M625" s="79"/>
      <c r="N625" s="207"/>
      <c r="O625" s="207"/>
      <c r="P625" s="207"/>
      <c r="Q625" s="207"/>
    </row>
    <row r="626" spans="1:17" ht="34.5" customHeight="1">
      <c r="A626" s="82"/>
      <c r="B626" s="205" t="str">
        <f t="shared" si="2"/>
        <v/>
      </c>
      <c r="C626" s="206" t="str">
        <f t="shared" si="3"/>
        <v/>
      </c>
      <c r="D626" s="207" t="str">
        <f t="shared" si="0"/>
        <v/>
      </c>
      <c r="E626" s="207"/>
      <c r="F626" s="205" t="str">
        <f>IF(E626="","",VLOOKUP(E626,'ARAMA LİSTELERİ'!C626:G2665,5,))</f>
        <v/>
      </c>
      <c r="G626" s="207"/>
      <c r="H626" s="210"/>
      <c r="I626" s="79"/>
      <c r="J626" s="210"/>
      <c r="K626" s="210"/>
      <c r="L626" s="210" t="str">
        <f t="shared" si="1"/>
        <v/>
      </c>
      <c r="M626" s="79"/>
      <c r="N626" s="207"/>
      <c r="O626" s="207"/>
      <c r="P626" s="207"/>
      <c r="Q626" s="207"/>
    </row>
    <row r="627" spans="1:17" ht="34.5" customHeight="1">
      <c r="A627" s="82"/>
      <c r="B627" s="205" t="str">
        <f t="shared" si="2"/>
        <v/>
      </c>
      <c r="C627" s="206" t="str">
        <f t="shared" si="3"/>
        <v/>
      </c>
      <c r="D627" s="207" t="str">
        <f t="shared" si="0"/>
        <v/>
      </c>
      <c r="E627" s="207"/>
      <c r="F627" s="205" t="str">
        <f>IF(E627="","",VLOOKUP(E627,'ARAMA LİSTELERİ'!C627:G2666,5,))</f>
        <v/>
      </c>
      <c r="G627" s="207"/>
      <c r="H627" s="210"/>
      <c r="I627" s="79"/>
      <c r="J627" s="210"/>
      <c r="K627" s="210"/>
      <c r="L627" s="210" t="str">
        <f t="shared" si="1"/>
        <v/>
      </c>
      <c r="M627" s="79"/>
      <c r="N627" s="207"/>
      <c r="O627" s="207"/>
      <c r="P627" s="207"/>
      <c r="Q627" s="207"/>
    </row>
    <row r="628" spans="1:17" ht="34.5" customHeight="1">
      <c r="A628" s="82"/>
      <c r="B628" s="205" t="str">
        <f t="shared" si="2"/>
        <v/>
      </c>
      <c r="C628" s="206" t="str">
        <f t="shared" si="3"/>
        <v/>
      </c>
      <c r="D628" s="207" t="str">
        <f t="shared" si="0"/>
        <v/>
      </c>
      <c r="E628" s="207"/>
      <c r="F628" s="205" t="str">
        <f>IF(E628="","",VLOOKUP(E628,'ARAMA LİSTELERİ'!C628:G2667,5,))</f>
        <v/>
      </c>
      <c r="G628" s="207"/>
      <c r="H628" s="210"/>
      <c r="I628" s="79"/>
      <c r="J628" s="210"/>
      <c r="K628" s="210"/>
      <c r="L628" s="210" t="str">
        <f t="shared" si="1"/>
        <v/>
      </c>
      <c r="M628" s="79"/>
      <c r="N628" s="207"/>
      <c r="O628" s="207"/>
      <c r="P628" s="207"/>
      <c r="Q628" s="207"/>
    </row>
    <row r="629" spans="1:17" ht="34.5" customHeight="1">
      <c r="A629" s="82"/>
      <c r="B629" s="205" t="str">
        <f t="shared" si="2"/>
        <v/>
      </c>
      <c r="C629" s="206" t="str">
        <f t="shared" si="3"/>
        <v/>
      </c>
      <c r="D629" s="207" t="str">
        <f t="shared" si="0"/>
        <v/>
      </c>
      <c r="E629" s="207"/>
      <c r="F629" s="205" t="str">
        <f>IF(E629="","",VLOOKUP(E629,'ARAMA LİSTELERİ'!C629:G2668,5,))</f>
        <v/>
      </c>
      <c r="G629" s="207"/>
      <c r="H629" s="210"/>
      <c r="I629" s="79"/>
      <c r="J629" s="210"/>
      <c r="K629" s="210"/>
      <c r="L629" s="210" t="str">
        <f t="shared" si="1"/>
        <v/>
      </c>
      <c r="M629" s="79"/>
      <c r="N629" s="207"/>
      <c r="O629" s="207"/>
      <c r="P629" s="207"/>
      <c r="Q629" s="207"/>
    </row>
    <row r="630" spans="1:17" ht="34.5" customHeight="1">
      <c r="A630" s="82"/>
      <c r="B630" s="205" t="str">
        <f t="shared" si="2"/>
        <v/>
      </c>
      <c r="C630" s="206" t="str">
        <f t="shared" si="3"/>
        <v/>
      </c>
      <c r="D630" s="207" t="str">
        <f t="shared" si="0"/>
        <v/>
      </c>
      <c r="E630" s="207"/>
      <c r="F630" s="205" t="str">
        <f>IF(E630="","",VLOOKUP(E630,'ARAMA LİSTELERİ'!C630:G2669,5,))</f>
        <v/>
      </c>
      <c r="G630" s="207"/>
      <c r="H630" s="210"/>
      <c r="I630" s="79"/>
      <c r="J630" s="210"/>
      <c r="K630" s="210"/>
      <c r="L630" s="210" t="str">
        <f t="shared" si="1"/>
        <v/>
      </c>
      <c r="M630" s="79"/>
      <c r="N630" s="207"/>
      <c r="O630" s="207"/>
      <c r="P630" s="207"/>
      <c r="Q630" s="207"/>
    </row>
    <row r="631" spans="1:17" ht="34.5" customHeight="1">
      <c r="A631" s="82"/>
      <c r="B631" s="205" t="str">
        <f t="shared" si="2"/>
        <v/>
      </c>
      <c r="C631" s="206" t="str">
        <f t="shared" si="3"/>
        <v/>
      </c>
      <c r="D631" s="207" t="str">
        <f t="shared" si="0"/>
        <v/>
      </c>
      <c r="E631" s="207"/>
      <c r="F631" s="205" t="str">
        <f>IF(E631="","",VLOOKUP(E631,'ARAMA LİSTELERİ'!C631:G2670,5,))</f>
        <v/>
      </c>
      <c r="G631" s="207"/>
      <c r="H631" s="210"/>
      <c r="I631" s="79"/>
      <c r="J631" s="210"/>
      <c r="K631" s="210"/>
      <c r="L631" s="210" t="str">
        <f t="shared" si="1"/>
        <v/>
      </c>
      <c r="M631" s="79"/>
      <c r="N631" s="207"/>
      <c r="O631" s="207"/>
      <c r="P631" s="207"/>
      <c r="Q631" s="207"/>
    </row>
    <row r="632" spans="1:17" ht="34.5" customHeight="1">
      <c r="A632" s="82"/>
      <c r="B632" s="205" t="str">
        <f t="shared" si="2"/>
        <v/>
      </c>
      <c r="C632" s="206" t="str">
        <f t="shared" si="3"/>
        <v/>
      </c>
      <c r="D632" s="207" t="str">
        <f t="shared" si="0"/>
        <v/>
      </c>
      <c r="E632" s="207"/>
      <c r="F632" s="205" t="str">
        <f>IF(E632="","",VLOOKUP(E632,'ARAMA LİSTELERİ'!C632:G2671,5,))</f>
        <v/>
      </c>
      <c r="G632" s="207"/>
      <c r="H632" s="210"/>
      <c r="I632" s="79"/>
      <c r="J632" s="210"/>
      <c r="K632" s="210"/>
      <c r="L632" s="210" t="str">
        <f t="shared" si="1"/>
        <v/>
      </c>
      <c r="M632" s="79"/>
      <c r="N632" s="207"/>
      <c r="O632" s="207"/>
      <c r="P632" s="207"/>
      <c r="Q632" s="207"/>
    </row>
    <row r="633" spans="1:17" ht="34.5" customHeight="1">
      <c r="A633" s="82"/>
      <c r="B633" s="205" t="str">
        <f t="shared" si="2"/>
        <v/>
      </c>
      <c r="C633" s="206" t="str">
        <f t="shared" si="3"/>
        <v/>
      </c>
      <c r="D633" s="207" t="str">
        <f t="shared" si="0"/>
        <v/>
      </c>
      <c r="E633" s="207"/>
      <c r="F633" s="205" t="str">
        <f>IF(E633="","",VLOOKUP(E633,'ARAMA LİSTELERİ'!C633:G2672,5,))</f>
        <v/>
      </c>
      <c r="G633" s="207"/>
      <c r="H633" s="210"/>
      <c r="I633" s="79"/>
      <c r="J633" s="210"/>
      <c r="K633" s="210"/>
      <c r="L633" s="210" t="str">
        <f t="shared" si="1"/>
        <v/>
      </c>
      <c r="M633" s="79"/>
      <c r="N633" s="207"/>
      <c r="O633" s="207"/>
      <c r="P633" s="207"/>
      <c r="Q633" s="207"/>
    </row>
    <row r="634" spans="1:17" ht="34.5" customHeight="1">
      <c r="A634" s="82"/>
      <c r="B634" s="205" t="str">
        <f t="shared" si="2"/>
        <v/>
      </c>
      <c r="C634" s="206" t="str">
        <f t="shared" si="3"/>
        <v/>
      </c>
      <c r="D634" s="207" t="str">
        <f t="shared" si="0"/>
        <v/>
      </c>
      <c r="E634" s="207"/>
      <c r="F634" s="205" t="str">
        <f>IF(E634="","",VLOOKUP(E634,'ARAMA LİSTELERİ'!C634:G2673,5,))</f>
        <v/>
      </c>
      <c r="G634" s="207"/>
      <c r="H634" s="210"/>
      <c r="I634" s="79"/>
      <c r="J634" s="210"/>
      <c r="K634" s="210"/>
      <c r="L634" s="210" t="str">
        <f t="shared" si="1"/>
        <v/>
      </c>
      <c r="M634" s="79"/>
      <c r="N634" s="207"/>
      <c r="O634" s="207"/>
      <c r="P634" s="207"/>
      <c r="Q634" s="207"/>
    </row>
    <row r="635" spans="1:17" ht="34.5" customHeight="1">
      <c r="A635" s="82"/>
      <c r="B635" s="205" t="str">
        <f t="shared" si="2"/>
        <v/>
      </c>
      <c r="C635" s="206" t="str">
        <f t="shared" si="3"/>
        <v/>
      </c>
      <c r="D635" s="207" t="str">
        <f t="shared" si="0"/>
        <v/>
      </c>
      <c r="E635" s="207"/>
      <c r="F635" s="205" t="str">
        <f>IF(E635="","",VLOOKUP(E635,'ARAMA LİSTELERİ'!C635:G2674,5,))</f>
        <v/>
      </c>
      <c r="G635" s="207"/>
      <c r="H635" s="210"/>
      <c r="I635" s="79"/>
      <c r="J635" s="210"/>
      <c r="K635" s="210"/>
      <c r="L635" s="210" t="str">
        <f t="shared" si="1"/>
        <v/>
      </c>
      <c r="M635" s="79"/>
      <c r="N635" s="207"/>
      <c r="O635" s="207"/>
      <c r="P635" s="207"/>
      <c r="Q635" s="207"/>
    </row>
    <row r="636" spans="1:17" ht="34.5" customHeight="1">
      <c r="A636" s="82"/>
      <c r="B636" s="205" t="str">
        <f t="shared" si="2"/>
        <v/>
      </c>
      <c r="C636" s="206" t="str">
        <f t="shared" si="3"/>
        <v/>
      </c>
      <c r="D636" s="207" t="str">
        <f t="shared" si="0"/>
        <v/>
      </c>
      <c r="E636" s="207"/>
      <c r="F636" s="205" t="str">
        <f>IF(E636="","",VLOOKUP(E636,'ARAMA LİSTELERİ'!C636:G2675,5,))</f>
        <v/>
      </c>
      <c r="G636" s="207"/>
      <c r="H636" s="210"/>
      <c r="I636" s="79"/>
      <c r="J636" s="210"/>
      <c r="K636" s="210"/>
      <c r="L636" s="210" t="str">
        <f t="shared" si="1"/>
        <v/>
      </c>
      <c r="M636" s="79"/>
      <c r="N636" s="207"/>
      <c r="O636" s="207"/>
      <c r="P636" s="207"/>
      <c r="Q636" s="207"/>
    </row>
    <row r="637" spans="1:17" ht="34.5" customHeight="1">
      <c r="A637" s="82"/>
      <c r="B637" s="205" t="str">
        <f t="shared" si="2"/>
        <v/>
      </c>
      <c r="C637" s="206" t="str">
        <f t="shared" si="3"/>
        <v/>
      </c>
      <c r="D637" s="207" t="str">
        <f t="shared" si="0"/>
        <v/>
      </c>
      <c r="E637" s="207"/>
      <c r="F637" s="205" t="str">
        <f>IF(E637="","",VLOOKUP(E637,'ARAMA LİSTELERİ'!C637:G2676,5,))</f>
        <v/>
      </c>
      <c r="G637" s="207"/>
      <c r="H637" s="210"/>
      <c r="I637" s="79"/>
      <c r="J637" s="210"/>
      <c r="K637" s="210"/>
      <c r="L637" s="210" t="str">
        <f t="shared" si="1"/>
        <v/>
      </c>
      <c r="M637" s="79"/>
      <c r="N637" s="207"/>
      <c r="O637" s="207"/>
      <c r="P637" s="207"/>
      <c r="Q637" s="207"/>
    </row>
    <row r="638" spans="1:17" ht="34.5" customHeight="1">
      <c r="A638" s="82"/>
      <c r="B638" s="205" t="str">
        <f t="shared" si="2"/>
        <v/>
      </c>
      <c r="C638" s="206" t="str">
        <f t="shared" si="3"/>
        <v/>
      </c>
      <c r="D638" s="207" t="str">
        <f t="shared" si="0"/>
        <v/>
      </c>
      <c r="E638" s="207"/>
      <c r="F638" s="205" t="str">
        <f>IF(E638="","",VLOOKUP(E638,'ARAMA LİSTELERİ'!C638:G2677,5,))</f>
        <v/>
      </c>
      <c r="G638" s="207"/>
      <c r="H638" s="210"/>
      <c r="I638" s="79"/>
      <c r="J638" s="210"/>
      <c r="K638" s="210"/>
      <c r="L638" s="210" t="str">
        <f t="shared" si="1"/>
        <v/>
      </c>
      <c r="M638" s="79"/>
      <c r="N638" s="207"/>
      <c r="O638" s="207"/>
      <c r="P638" s="207"/>
      <c r="Q638" s="207"/>
    </row>
    <row r="639" spans="1:17" ht="34.5" customHeight="1">
      <c r="A639" s="82"/>
      <c r="B639" s="205" t="str">
        <f t="shared" si="2"/>
        <v/>
      </c>
      <c r="C639" s="206" t="str">
        <f t="shared" si="3"/>
        <v/>
      </c>
      <c r="D639" s="207" t="str">
        <f t="shared" si="0"/>
        <v/>
      </c>
      <c r="E639" s="207"/>
      <c r="F639" s="205" t="str">
        <f>IF(E639="","",VLOOKUP(E639,'ARAMA LİSTELERİ'!C639:G2678,5,))</f>
        <v/>
      </c>
      <c r="G639" s="207"/>
      <c r="H639" s="210"/>
      <c r="I639" s="79"/>
      <c r="J639" s="210"/>
      <c r="K639" s="210"/>
      <c r="L639" s="210" t="str">
        <f t="shared" si="1"/>
        <v/>
      </c>
      <c r="M639" s="79"/>
      <c r="N639" s="207"/>
      <c r="O639" s="207"/>
      <c r="P639" s="207"/>
      <c r="Q639" s="207"/>
    </row>
    <row r="640" spans="1:17" ht="34.5" customHeight="1">
      <c r="A640" s="82"/>
      <c r="B640" s="205" t="str">
        <f t="shared" si="2"/>
        <v/>
      </c>
      <c r="C640" s="206" t="str">
        <f t="shared" si="3"/>
        <v/>
      </c>
      <c r="D640" s="207" t="str">
        <f t="shared" si="0"/>
        <v/>
      </c>
      <c r="E640" s="207"/>
      <c r="F640" s="205" t="str">
        <f>IF(E640="","",VLOOKUP(E640,'ARAMA LİSTELERİ'!C640:G2679,5,))</f>
        <v/>
      </c>
      <c r="G640" s="207"/>
      <c r="H640" s="210"/>
      <c r="I640" s="79"/>
      <c r="J640" s="210"/>
      <c r="K640" s="210"/>
      <c r="L640" s="210" t="str">
        <f t="shared" si="1"/>
        <v/>
      </c>
      <c r="M640" s="79"/>
      <c r="N640" s="207"/>
      <c r="O640" s="207"/>
      <c r="P640" s="207"/>
      <c r="Q640" s="207"/>
    </row>
    <row r="641" spans="1:17" ht="34.5" customHeight="1">
      <c r="A641" s="82"/>
      <c r="B641" s="205" t="str">
        <f t="shared" si="2"/>
        <v/>
      </c>
      <c r="C641" s="206" t="str">
        <f t="shared" si="3"/>
        <v/>
      </c>
      <c r="D641" s="207" t="str">
        <f t="shared" si="0"/>
        <v/>
      </c>
      <c r="E641" s="207"/>
      <c r="F641" s="205" t="str">
        <f>IF(E641="","",VLOOKUP(E641,'ARAMA LİSTELERİ'!C641:G2680,5,))</f>
        <v/>
      </c>
      <c r="G641" s="207"/>
      <c r="H641" s="210"/>
      <c r="I641" s="79"/>
      <c r="J641" s="210"/>
      <c r="K641" s="210"/>
      <c r="L641" s="210" t="str">
        <f t="shared" si="1"/>
        <v/>
      </c>
      <c r="M641" s="79"/>
      <c r="N641" s="207"/>
      <c r="O641" s="207"/>
      <c r="P641" s="207"/>
      <c r="Q641" s="207"/>
    </row>
    <row r="642" spans="1:17" ht="34.5" customHeight="1">
      <c r="A642" s="82"/>
      <c r="B642" s="205" t="str">
        <f t="shared" si="2"/>
        <v/>
      </c>
      <c r="C642" s="206" t="str">
        <f t="shared" si="3"/>
        <v/>
      </c>
      <c r="D642" s="207" t="str">
        <f t="shared" si="0"/>
        <v/>
      </c>
      <c r="E642" s="207"/>
      <c r="F642" s="205" t="str">
        <f>IF(E642="","",VLOOKUP(E642,'ARAMA LİSTELERİ'!C642:G2681,5,))</f>
        <v/>
      </c>
      <c r="G642" s="207"/>
      <c r="H642" s="210"/>
      <c r="I642" s="79"/>
      <c r="J642" s="210"/>
      <c r="K642" s="210"/>
      <c r="L642" s="210" t="str">
        <f t="shared" si="1"/>
        <v/>
      </c>
      <c r="M642" s="79"/>
      <c r="N642" s="207"/>
      <c r="O642" s="207"/>
      <c r="P642" s="207"/>
      <c r="Q642" s="207"/>
    </row>
    <row r="643" spans="1:17" ht="34.5" customHeight="1">
      <c r="A643" s="82"/>
      <c r="B643" s="205" t="str">
        <f t="shared" si="2"/>
        <v/>
      </c>
      <c r="C643" s="206" t="str">
        <f t="shared" si="3"/>
        <v/>
      </c>
      <c r="D643" s="207" t="str">
        <f t="shared" si="0"/>
        <v/>
      </c>
      <c r="E643" s="207"/>
      <c r="F643" s="205" t="str">
        <f>IF(E643="","",VLOOKUP(E643,'ARAMA LİSTELERİ'!C643:G2682,5,))</f>
        <v/>
      </c>
      <c r="G643" s="207"/>
      <c r="H643" s="210"/>
      <c r="I643" s="79"/>
      <c r="J643" s="210"/>
      <c r="K643" s="210"/>
      <c r="L643" s="210" t="str">
        <f t="shared" si="1"/>
        <v/>
      </c>
      <c r="M643" s="79"/>
      <c r="N643" s="207"/>
      <c r="O643" s="207"/>
      <c r="P643" s="207"/>
      <c r="Q643" s="207"/>
    </row>
    <row r="644" spans="1:17" ht="34.5" customHeight="1">
      <c r="A644" s="82"/>
      <c r="B644" s="205" t="str">
        <f t="shared" si="2"/>
        <v/>
      </c>
      <c r="C644" s="206" t="str">
        <f t="shared" si="3"/>
        <v/>
      </c>
      <c r="D644" s="207" t="str">
        <f t="shared" si="0"/>
        <v/>
      </c>
      <c r="E644" s="207"/>
      <c r="F644" s="205" t="str">
        <f>IF(E644="","",VLOOKUP(E644,'ARAMA LİSTELERİ'!C644:G2683,5,))</f>
        <v/>
      </c>
      <c r="G644" s="207"/>
      <c r="H644" s="210"/>
      <c r="I644" s="79"/>
      <c r="J644" s="210"/>
      <c r="K644" s="210"/>
      <c r="L644" s="210" t="str">
        <f t="shared" si="1"/>
        <v/>
      </c>
      <c r="M644" s="79"/>
      <c r="N644" s="207"/>
      <c r="O644" s="207"/>
      <c r="P644" s="207"/>
      <c r="Q644" s="207"/>
    </row>
    <row r="645" spans="1:17" ht="34.5" customHeight="1">
      <c r="A645" s="82"/>
      <c r="B645" s="205" t="str">
        <f t="shared" si="2"/>
        <v/>
      </c>
      <c r="C645" s="206" t="str">
        <f t="shared" si="3"/>
        <v/>
      </c>
      <c r="D645" s="207" t="str">
        <f t="shared" si="0"/>
        <v/>
      </c>
      <c r="E645" s="207"/>
      <c r="F645" s="205" t="str">
        <f>IF(E645="","",VLOOKUP(E645,'ARAMA LİSTELERİ'!C645:G2684,5,))</f>
        <v/>
      </c>
      <c r="G645" s="207"/>
      <c r="H645" s="210"/>
      <c r="I645" s="79"/>
      <c r="J645" s="210"/>
      <c r="K645" s="210"/>
      <c r="L645" s="210" t="str">
        <f t="shared" si="1"/>
        <v/>
      </c>
      <c r="M645" s="79"/>
      <c r="N645" s="207"/>
      <c r="O645" s="207"/>
      <c r="P645" s="207"/>
      <c r="Q645" s="207"/>
    </row>
    <row r="646" spans="1:17" ht="34.5" customHeight="1">
      <c r="A646" s="82"/>
      <c r="B646" s="205" t="str">
        <f t="shared" si="2"/>
        <v/>
      </c>
      <c r="C646" s="206" t="str">
        <f t="shared" si="3"/>
        <v/>
      </c>
      <c r="D646" s="207" t="str">
        <f t="shared" si="0"/>
        <v/>
      </c>
      <c r="E646" s="207"/>
      <c r="F646" s="205" t="str">
        <f>IF(E646="","",VLOOKUP(E646,'ARAMA LİSTELERİ'!C646:G2685,5,))</f>
        <v/>
      </c>
      <c r="G646" s="207"/>
      <c r="H646" s="210"/>
      <c r="I646" s="79"/>
      <c r="J646" s="210"/>
      <c r="K646" s="210"/>
      <c r="L646" s="210" t="str">
        <f t="shared" si="1"/>
        <v/>
      </c>
      <c r="M646" s="79"/>
      <c r="N646" s="207"/>
      <c r="O646" s="207"/>
      <c r="P646" s="207"/>
      <c r="Q646" s="207"/>
    </row>
    <row r="647" spans="1:17" ht="34.5" customHeight="1">
      <c r="A647" s="82"/>
      <c r="B647" s="205" t="str">
        <f t="shared" si="2"/>
        <v/>
      </c>
      <c r="C647" s="206" t="str">
        <f t="shared" si="3"/>
        <v/>
      </c>
      <c r="D647" s="207" t="str">
        <f t="shared" si="0"/>
        <v/>
      </c>
      <c r="E647" s="207"/>
      <c r="F647" s="205" t="str">
        <f>IF(E647="","",VLOOKUP(E647,'ARAMA LİSTELERİ'!C647:G2686,5,))</f>
        <v/>
      </c>
      <c r="G647" s="207"/>
      <c r="H647" s="210"/>
      <c r="I647" s="79"/>
      <c r="J647" s="210"/>
      <c r="K647" s="210"/>
      <c r="L647" s="210" t="str">
        <f t="shared" si="1"/>
        <v/>
      </c>
      <c r="M647" s="79"/>
      <c r="N647" s="207"/>
      <c r="O647" s="207"/>
      <c r="P647" s="207"/>
      <c r="Q647" s="207"/>
    </row>
    <row r="648" spans="1:17" ht="34.5" customHeight="1">
      <c r="A648" s="82"/>
      <c r="B648" s="205" t="str">
        <f t="shared" si="2"/>
        <v/>
      </c>
      <c r="C648" s="206" t="str">
        <f t="shared" si="3"/>
        <v/>
      </c>
      <c r="D648" s="207" t="str">
        <f t="shared" si="0"/>
        <v/>
      </c>
      <c r="E648" s="207"/>
      <c r="F648" s="205" t="str">
        <f>IF(E648="","",VLOOKUP(E648,'ARAMA LİSTELERİ'!C648:G2687,5,))</f>
        <v/>
      </c>
      <c r="G648" s="207"/>
      <c r="H648" s="210"/>
      <c r="I648" s="79"/>
      <c r="J648" s="210"/>
      <c r="K648" s="210"/>
      <c r="L648" s="210" t="str">
        <f t="shared" si="1"/>
        <v/>
      </c>
      <c r="M648" s="79"/>
      <c r="N648" s="207"/>
      <c r="O648" s="207"/>
      <c r="P648" s="207"/>
      <c r="Q648" s="207"/>
    </row>
    <row r="649" spans="1:17" ht="34.5" customHeight="1">
      <c r="A649" s="82"/>
      <c r="B649" s="205" t="str">
        <f t="shared" si="2"/>
        <v/>
      </c>
      <c r="C649" s="206" t="str">
        <f t="shared" si="3"/>
        <v/>
      </c>
      <c r="D649" s="207" t="str">
        <f t="shared" si="0"/>
        <v/>
      </c>
      <c r="E649" s="207"/>
      <c r="F649" s="205" t="str">
        <f>IF(E649="","",VLOOKUP(E649,'ARAMA LİSTELERİ'!C649:G2688,5,))</f>
        <v/>
      </c>
      <c r="G649" s="207"/>
      <c r="H649" s="210"/>
      <c r="I649" s="79"/>
      <c r="J649" s="210"/>
      <c r="K649" s="210"/>
      <c r="L649" s="210" t="str">
        <f t="shared" si="1"/>
        <v/>
      </c>
      <c r="M649" s="79"/>
      <c r="N649" s="207"/>
      <c r="O649" s="207"/>
      <c r="P649" s="207"/>
      <c r="Q649" s="207"/>
    </row>
    <row r="650" spans="1:17" ht="34.5" customHeight="1">
      <c r="A650" s="82"/>
      <c r="B650" s="205" t="str">
        <f t="shared" si="2"/>
        <v/>
      </c>
      <c r="C650" s="206" t="str">
        <f t="shared" si="3"/>
        <v/>
      </c>
      <c r="D650" s="207" t="str">
        <f t="shared" si="0"/>
        <v/>
      </c>
      <c r="E650" s="207"/>
      <c r="F650" s="205" t="str">
        <f>IF(E650="","",VLOOKUP(E650,'ARAMA LİSTELERİ'!C650:G2689,5,))</f>
        <v/>
      </c>
      <c r="G650" s="207"/>
      <c r="H650" s="210"/>
      <c r="I650" s="79"/>
      <c r="J650" s="210"/>
      <c r="K650" s="210"/>
      <c r="L650" s="210" t="str">
        <f t="shared" si="1"/>
        <v/>
      </c>
      <c r="M650" s="79"/>
      <c r="N650" s="207"/>
      <c r="O650" s="207"/>
      <c r="P650" s="207"/>
      <c r="Q650" s="207"/>
    </row>
    <row r="651" spans="1:17" ht="34.5" customHeight="1">
      <c r="A651" s="82"/>
      <c r="B651" s="205" t="str">
        <f t="shared" si="2"/>
        <v/>
      </c>
      <c r="C651" s="206" t="str">
        <f t="shared" si="3"/>
        <v/>
      </c>
      <c r="D651" s="207" t="str">
        <f t="shared" si="0"/>
        <v/>
      </c>
      <c r="E651" s="207"/>
      <c r="F651" s="205" t="str">
        <f>IF(E651="","",VLOOKUP(E651,'ARAMA LİSTELERİ'!C651:G2690,5,))</f>
        <v/>
      </c>
      <c r="G651" s="207"/>
      <c r="H651" s="210"/>
      <c r="I651" s="79"/>
      <c r="J651" s="210"/>
      <c r="K651" s="210"/>
      <c r="L651" s="210" t="str">
        <f t="shared" si="1"/>
        <v/>
      </c>
      <c r="M651" s="79"/>
      <c r="N651" s="207"/>
      <c r="O651" s="207"/>
      <c r="P651" s="207"/>
      <c r="Q651" s="207"/>
    </row>
    <row r="652" spans="1:17" ht="34.5" customHeight="1">
      <c r="A652" s="82"/>
      <c r="B652" s="205" t="str">
        <f t="shared" si="2"/>
        <v/>
      </c>
      <c r="C652" s="206" t="str">
        <f t="shared" si="3"/>
        <v/>
      </c>
      <c r="D652" s="207" t="str">
        <f t="shared" si="0"/>
        <v/>
      </c>
      <c r="E652" s="207"/>
      <c r="F652" s="205" t="str">
        <f>IF(E652="","",VLOOKUP(E652,'ARAMA LİSTELERİ'!C652:G2691,5,))</f>
        <v/>
      </c>
      <c r="G652" s="207"/>
      <c r="H652" s="210"/>
      <c r="I652" s="79"/>
      <c r="J652" s="210"/>
      <c r="K652" s="210"/>
      <c r="L652" s="210" t="str">
        <f t="shared" si="1"/>
        <v/>
      </c>
      <c r="M652" s="79"/>
      <c r="N652" s="207"/>
      <c r="O652" s="207"/>
      <c r="P652" s="207"/>
      <c r="Q652" s="207"/>
    </row>
    <row r="653" spans="1:17" ht="34.5" customHeight="1">
      <c r="A653" s="82"/>
      <c r="B653" s="205" t="str">
        <f t="shared" si="2"/>
        <v/>
      </c>
      <c r="C653" s="206" t="str">
        <f t="shared" si="3"/>
        <v/>
      </c>
      <c r="D653" s="207" t="str">
        <f t="shared" si="0"/>
        <v/>
      </c>
      <c r="E653" s="207"/>
      <c r="F653" s="205" t="str">
        <f>IF(E653="","",VLOOKUP(E653,'ARAMA LİSTELERİ'!C653:G2692,5,))</f>
        <v/>
      </c>
      <c r="G653" s="207"/>
      <c r="H653" s="210"/>
      <c r="I653" s="79"/>
      <c r="J653" s="210"/>
      <c r="K653" s="210"/>
      <c r="L653" s="210" t="str">
        <f t="shared" si="1"/>
        <v/>
      </c>
      <c r="M653" s="79"/>
      <c r="N653" s="207"/>
      <c r="O653" s="207"/>
      <c r="P653" s="207"/>
      <c r="Q653" s="207"/>
    </row>
    <row r="654" spans="1:17" ht="34.5" customHeight="1">
      <c r="A654" s="82"/>
      <c r="B654" s="205" t="str">
        <f t="shared" si="2"/>
        <v/>
      </c>
      <c r="C654" s="206" t="str">
        <f t="shared" si="3"/>
        <v/>
      </c>
      <c r="D654" s="207" t="str">
        <f t="shared" si="0"/>
        <v/>
      </c>
      <c r="E654" s="207"/>
      <c r="F654" s="205" t="str">
        <f>IF(E654="","",VLOOKUP(E654,'ARAMA LİSTELERİ'!C654:G2693,5,))</f>
        <v/>
      </c>
      <c r="G654" s="207"/>
      <c r="H654" s="210"/>
      <c r="I654" s="79"/>
      <c r="J654" s="210"/>
      <c r="K654" s="210"/>
      <c r="L654" s="210" t="str">
        <f t="shared" si="1"/>
        <v/>
      </c>
      <c r="M654" s="79"/>
      <c r="N654" s="207"/>
      <c r="O654" s="207"/>
      <c r="P654" s="207"/>
      <c r="Q654" s="207"/>
    </row>
    <row r="655" spans="1:17" ht="34.5" customHeight="1">
      <c r="A655" s="82"/>
      <c r="B655" s="205" t="str">
        <f t="shared" si="2"/>
        <v/>
      </c>
      <c r="C655" s="206" t="str">
        <f t="shared" si="3"/>
        <v/>
      </c>
      <c r="D655" s="207" t="str">
        <f t="shared" si="0"/>
        <v/>
      </c>
      <c r="E655" s="207"/>
      <c r="F655" s="205" t="str">
        <f>IF(E655="","",VLOOKUP(E655,'ARAMA LİSTELERİ'!C655:G2694,5,))</f>
        <v/>
      </c>
      <c r="G655" s="207"/>
      <c r="H655" s="210"/>
      <c r="I655" s="79"/>
      <c r="J655" s="210"/>
      <c r="K655" s="210"/>
      <c r="L655" s="210" t="str">
        <f t="shared" si="1"/>
        <v/>
      </c>
      <c r="M655" s="79"/>
      <c r="N655" s="207"/>
      <c r="O655" s="207"/>
      <c r="P655" s="207"/>
      <c r="Q655" s="207"/>
    </row>
    <row r="656" spans="1:17" ht="34.5" customHeight="1">
      <c r="A656" s="82"/>
      <c r="B656" s="205" t="str">
        <f t="shared" si="2"/>
        <v/>
      </c>
      <c r="C656" s="206" t="str">
        <f t="shared" si="3"/>
        <v/>
      </c>
      <c r="D656" s="207" t="str">
        <f t="shared" si="0"/>
        <v/>
      </c>
      <c r="E656" s="207"/>
      <c r="F656" s="205" t="str">
        <f>IF(E656="","",VLOOKUP(E656,'ARAMA LİSTELERİ'!C656:G2695,5,))</f>
        <v/>
      </c>
      <c r="G656" s="207"/>
      <c r="H656" s="210"/>
      <c r="I656" s="79"/>
      <c r="J656" s="210"/>
      <c r="K656" s="210"/>
      <c r="L656" s="210" t="str">
        <f t="shared" si="1"/>
        <v/>
      </c>
      <c r="M656" s="79"/>
      <c r="N656" s="207"/>
      <c r="O656" s="207"/>
      <c r="P656" s="207"/>
      <c r="Q656" s="207"/>
    </row>
    <row r="657" spans="1:17" ht="34.5" customHeight="1">
      <c r="A657" s="82"/>
      <c r="B657" s="205" t="str">
        <f t="shared" si="2"/>
        <v/>
      </c>
      <c r="C657" s="206" t="str">
        <f t="shared" si="3"/>
        <v/>
      </c>
      <c r="D657" s="207" t="str">
        <f t="shared" si="0"/>
        <v/>
      </c>
      <c r="E657" s="207"/>
      <c r="F657" s="205" t="str">
        <f>IF(E657="","",VLOOKUP(E657,'ARAMA LİSTELERİ'!C657:G2696,5,))</f>
        <v/>
      </c>
      <c r="G657" s="207"/>
      <c r="H657" s="210"/>
      <c r="I657" s="79"/>
      <c r="J657" s="210"/>
      <c r="K657" s="210"/>
      <c r="L657" s="210" t="str">
        <f t="shared" si="1"/>
        <v/>
      </c>
      <c r="M657" s="79"/>
      <c r="N657" s="207"/>
      <c r="O657" s="207"/>
      <c r="P657" s="207"/>
      <c r="Q657" s="207"/>
    </row>
    <row r="658" spans="1:17" ht="34.5" customHeight="1">
      <c r="A658" s="82"/>
      <c r="B658" s="205" t="str">
        <f t="shared" si="2"/>
        <v/>
      </c>
      <c r="C658" s="206" t="str">
        <f t="shared" si="3"/>
        <v/>
      </c>
      <c r="D658" s="207" t="str">
        <f t="shared" si="0"/>
        <v/>
      </c>
      <c r="E658" s="207"/>
      <c r="F658" s="205" t="str">
        <f>IF(E658="","",VLOOKUP(E658,'ARAMA LİSTELERİ'!C658:G2697,5,))</f>
        <v/>
      </c>
      <c r="G658" s="207"/>
      <c r="H658" s="210"/>
      <c r="I658" s="79"/>
      <c r="J658" s="210"/>
      <c r="K658" s="210"/>
      <c r="L658" s="210" t="str">
        <f t="shared" si="1"/>
        <v/>
      </c>
      <c r="M658" s="79"/>
      <c r="N658" s="207"/>
      <c r="O658" s="207"/>
      <c r="P658" s="207"/>
      <c r="Q658" s="207"/>
    </row>
    <row r="659" spans="1:17" ht="34.5" customHeight="1">
      <c r="A659" s="82"/>
      <c r="B659" s="205" t="str">
        <f t="shared" si="2"/>
        <v/>
      </c>
      <c r="C659" s="206" t="str">
        <f t="shared" si="3"/>
        <v/>
      </c>
      <c r="D659" s="207" t="str">
        <f t="shared" si="0"/>
        <v/>
      </c>
      <c r="E659" s="207"/>
      <c r="F659" s="205" t="str">
        <f>IF(E659="","",VLOOKUP(E659,'ARAMA LİSTELERİ'!C659:G2698,5,))</f>
        <v/>
      </c>
      <c r="G659" s="207"/>
      <c r="H659" s="210"/>
      <c r="I659" s="79"/>
      <c r="J659" s="210"/>
      <c r="K659" s="210"/>
      <c r="L659" s="210" t="str">
        <f t="shared" si="1"/>
        <v/>
      </c>
      <c r="M659" s="79"/>
      <c r="N659" s="207"/>
      <c r="O659" s="207"/>
      <c r="P659" s="207"/>
      <c r="Q659" s="207"/>
    </row>
    <row r="660" spans="1:17" ht="34.5" customHeight="1">
      <c r="A660" s="82"/>
      <c r="B660" s="205" t="str">
        <f t="shared" si="2"/>
        <v/>
      </c>
      <c r="C660" s="206" t="str">
        <f t="shared" si="3"/>
        <v/>
      </c>
      <c r="D660" s="207" t="str">
        <f t="shared" si="0"/>
        <v/>
      </c>
      <c r="E660" s="207"/>
      <c r="F660" s="205" t="str">
        <f>IF(E660="","",VLOOKUP(E660,'ARAMA LİSTELERİ'!C660:G2699,5,))</f>
        <v/>
      </c>
      <c r="G660" s="207"/>
      <c r="H660" s="210"/>
      <c r="I660" s="79"/>
      <c r="J660" s="210"/>
      <c r="K660" s="210"/>
      <c r="L660" s="210" t="str">
        <f t="shared" si="1"/>
        <v/>
      </c>
      <c r="M660" s="79"/>
      <c r="N660" s="207"/>
      <c r="O660" s="207"/>
      <c r="P660" s="207"/>
      <c r="Q660" s="207"/>
    </row>
    <row r="661" spans="1:17" ht="34.5" customHeight="1">
      <c r="A661" s="82"/>
      <c r="B661" s="205" t="str">
        <f t="shared" si="2"/>
        <v/>
      </c>
      <c r="C661" s="206" t="str">
        <f t="shared" si="3"/>
        <v/>
      </c>
      <c r="D661" s="207" t="str">
        <f t="shared" si="0"/>
        <v/>
      </c>
      <c r="E661" s="207"/>
      <c r="F661" s="205" t="str">
        <f>IF(E661="","",VLOOKUP(E661,'ARAMA LİSTELERİ'!C661:G2700,5,))</f>
        <v/>
      </c>
      <c r="G661" s="207"/>
      <c r="H661" s="210"/>
      <c r="I661" s="79"/>
      <c r="J661" s="210"/>
      <c r="K661" s="210"/>
      <c r="L661" s="210" t="str">
        <f t="shared" si="1"/>
        <v/>
      </c>
      <c r="M661" s="79"/>
      <c r="N661" s="207"/>
      <c r="O661" s="207"/>
      <c r="P661" s="207"/>
      <c r="Q661" s="207"/>
    </row>
    <row r="662" spans="1:17" ht="34.5" customHeight="1">
      <c r="A662" s="82"/>
      <c r="B662" s="205" t="str">
        <f t="shared" si="2"/>
        <v/>
      </c>
      <c r="C662" s="206" t="str">
        <f t="shared" si="3"/>
        <v/>
      </c>
      <c r="D662" s="207" t="str">
        <f t="shared" si="0"/>
        <v/>
      </c>
      <c r="E662" s="207"/>
      <c r="F662" s="205" t="str">
        <f>IF(E662="","",VLOOKUP(E662,'ARAMA LİSTELERİ'!C662:G2701,5,))</f>
        <v/>
      </c>
      <c r="G662" s="207"/>
      <c r="H662" s="210"/>
      <c r="I662" s="79"/>
      <c r="J662" s="210"/>
      <c r="K662" s="210"/>
      <c r="L662" s="210" t="str">
        <f t="shared" si="1"/>
        <v/>
      </c>
      <c r="M662" s="79"/>
      <c r="N662" s="207"/>
      <c r="O662" s="207"/>
      <c r="P662" s="207"/>
      <c r="Q662" s="207"/>
    </row>
    <row r="663" spans="1:17" ht="34.5" customHeight="1">
      <c r="A663" s="82"/>
      <c r="B663" s="205" t="str">
        <f t="shared" si="2"/>
        <v/>
      </c>
      <c r="C663" s="206" t="str">
        <f t="shared" si="3"/>
        <v/>
      </c>
      <c r="D663" s="207" t="str">
        <f t="shared" si="0"/>
        <v/>
      </c>
      <c r="E663" s="207"/>
      <c r="F663" s="205" t="str">
        <f>IF(E663="","",VLOOKUP(E663,'ARAMA LİSTELERİ'!C663:G2702,5,))</f>
        <v/>
      </c>
      <c r="G663" s="207"/>
      <c r="H663" s="210"/>
      <c r="I663" s="79"/>
      <c r="J663" s="210"/>
      <c r="K663" s="210"/>
      <c r="L663" s="210" t="str">
        <f t="shared" si="1"/>
        <v/>
      </c>
      <c r="M663" s="79"/>
      <c r="N663" s="207"/>
      <c r="O663" s="207"/>
      <c r="P663" s="207"/>
      <c r="Q663" s="207"/>
    </row>
    <row r="664" spans="1:17" ht="34.5" customHeight="1">
      <c r="A664" s="82"/>
      <c r="B664" s="205" t="str">
        <f t="shared" si="2"/>
        <v/>
      </c>
      <c r="C664" s="206" t="str">
        <f t="shared" si="3"/>
        <v/>
      </c>
      <c r="D664" s="207" t="str">
        <f t="shared" si="0"/>
        <v/>
      </c>
      <c r="E664" s="207"/>
      <c r="F664" s="205" t="str">
        <f>IF(E664="","",VLOOKUP(E664,'ARAMA LİSTELERİ'!C664:G2703,5,))</f>
        <v/>
      </c>
      <c r="G664" s="207"/>
      <c r="H664" s="210"/>
      <c r="I664" s="79"/>
      <c r="J664" s="210"/>
      <c r="K664" s="210"/>
      <c r="L664" s="210" t="str">
        <f t="shared" si="1"/>
        <v/>
      </c>
      <c r="M664" s="79"/>
      <c r="N664" s="207"/>
      <c r="O664" s="207"/>
      <c r="P664" s="207"/>
      <c r="Q664" s="207"/>
    </row>
    <row r="665" spans="1:17" ht="34.5" customHeight="1">
      <c r="A665" s="82"/>
      <c r="B665" s="205" t="str">
        <f t="shared" si="2"/>
        <v/>
      </c>
      <c r="C665" s="206" t="str">
        <f t="shared" si="3"/>
        <v/>
      </c>
      <c r="D665" s="207" t="str">
        <f t="shared" si="0"/>
        <v/>
      </c>
      <c r="E665" s="207"/>
      <c r="F665" s="205" t="str">
        <f>IF(E665="","",VLOOKUP(E665,'ARAMA LİSTELERİ'!C665:G2704,5,))</f>
        <v/>
      </c>
      <c r="G665" s="207"/>
      <c r="H665" s="210"/>
      <c r="I665" s="79"/>
      <c r="J665" s="210"/>
      <c r="K665" s="210"/>
      <c r="L665" s="210" t="str">
        <f t="shared" si="1"/>
        <v/>
      </c>
      <c r="M665" s="79"/>
      <c r="N665" s="207"/>
      <c r="O665" s="207"/>
      <c r="P665" s="207"/>
      <c r="Q665" s="207"/>
    </row>
    <row r="666" spans="1:17" ht="34.5" customHeight="1">
      <c r="A666" s="82"/>
      <c r="B666" s="205" t="str">
        <f t="shared" si="2"/>
        <v/>
      </c>
      <c r="C666" s="206" t="str">
        <f t="shared" si="3"/>
        <v/>
      </c>
      <c r="D666" s="207" t="str">
        <f t="shared" si="0"/>
        <v/>
      </c>
      <c r="E666" s="207"/>
      <c r="F666" s="205" t="str">
        <f>IF(E666="","",VLOOKUP(E666,'ARAMA LİSTELERİ'!C666:G2705,5,))</f>
        <v/>
      </c>
      <c r="G666" s="207"/>
      <c r="H666" s="210"/>
      <c r="I666" s="79"/>
      <c r="J666" s="210"/>
      <c r="K666" s="210"/>
      <c r="L666" s="210" t="str">
        <f t="shared" si="1"/>
        <v/>
      </c>
      <c r="M666" s="79"/>
      <c r="N666" s="207"/>
      <c r="O666" s="207"/>
      <c r="P666" s="207"/>
      <c r="Q666" s="207"/>
    </row>
    <row r="667" spans="1:17" ht="34.5" customHeight="1">
      <c r="A667" s="82"/>
      <c r="B667" s="205" t="str">
        <f t="shared" si="2"/>
        <v/>
      </c>
      <c r="C667" s="206" t="str">
        <f t="shared" si="3"/>
        <v/>
      </c>
      <c r="D667" s="207" t="str">
        <f t="shared" si="0"/>
        <v/>
      </c>
      <c r="E667" s="207"/>
      <c r="F667" s="205" t="str">
        <f>IF(E667="","",VLOOKUP(E667,'ARAMA LİSTELERİ'!C667:G2706,5,))</f>
        <v/>
      </c>
      <c r="G667" s="207"/>
      <c r="H667" s="210"/>
      <c r="I667" s="79"/>
      <c r="J667" s="210"/>
      <c r="K667" s="210"/>
      <c r="L667" s="210" t="str">
        <f t="shared" si="1"/>
        <v/>
      </c>
      <c r="M667" s="79"/>
      <c r="N667" s="207"/>
      <c r="O667" s="207"/>
      <c r="P667" s="207"/>
      <c r="Q667" s="207"/>
    </row>
    <row r="668" spans="1:17" ht="34.5" customHeight="1">
      <c r="A668" s="82"/>
      <c r="B668" s="205" t="str">
        <f t="shared" si="2"/>
        <v/>
      </c>
      <c r="C668" s="206" t="str">
        <f t="shared" si="3"/>
        <v/>
      </c>
      <c r="D668" s="207" t="str">
        <f t="shared" si="0"/>
        <v/>
      </c>
      <c r="E668" s="207"/>
      <c r="F668" s="205" t="str">
        <f>IF(E668="","",VLOOKUP(E668,'ARAMA LİSTELERİ'!C668:G2707,5,))</f>
        <v/>
      </c>
      <c r="G668" s="207"/>
      <c r="H668" s="210"/>
      <c r="I668" s="79"/>
      <c r="J668" s="210"/>
      <c r="K668" s="210"/>
      <c r="L668" s="210" t="str">
        <f t="shared" si="1"/>
        <v/>
      </c>
      <c r="M668" s="79"/>
      <c r="N668" s="207"/>
      <c r="O668" s="207"/>
      <c r="P668" s="207"/>
      <c r="Q668" s="207"/>
    </row>
    <row r="669" spans="1:17" ht="34.5" customHeight="1">
      <c r="A669" s="82"/>
      <c r="B669" s="205" t="str">
        <f t="shared" si="2"/>
        <v/>
      </c>
      <c r="C669" s="206" t="str">
        <f t="shared" si="3"/>
        <v/>
      </c>
      <c r="D669" s="207" t="str">
        <f t="shared" si="0"/>
        <v/>
      </c>
      <c r="E669" s="207"/>
      <c r="F669" s="205" t="str">
        <f>IF(E669="","",VLOOKUP(E669,'ARAMA LİSTELERİ'!C669:G2708,5,))</f>
        <v/>
      </c>
      <c r="G669" s="207"/>
      <c r="H669" s="210"/>
      <c r="I669" s="79"/>
      <c r="J669" s="210"/>
      <c r="K669" s="210"/>
      <c r="L669" s="210" t="str">
        <f t="shared" si="1"/>
        <v/>
      </c>
      <c r="M669" s="79"/>
      <c r="N669" s="207"/>
      <c r="O669" s="207"/>
      <c r="P669" s="207"/>
      <c r="Q669" s="207"/>
    </row>
    <row r="670" spans="1:17" ht="34.5" customHeight="1">
      <c r="A670" s="82"/>
      <c r="B670" s="205" t="str">
        <f t="shared" si="2"/>
        <v/>
      </c>
      <c r="C670" s="206" t="str">
        <f t="shared" si="3"/>
        <v/>
      </c>
      <c r="D670" s="207" t="str">
        <f t="shared" si="0"/>
        <v/>
      </c>
      <c r="E670" s="207"/>
      <c r="F670" s="205" t="str">
        <f>IF(E670="","",VLOOKUP(E670,'ARAMA LİSTELERİ'!C670:G2709,5,))</f>
        <v/>
      </c>
      <c r="G670" s="207"/>
      <c r="H670" s="210"/>
      <c r="I670" s="79"/>
      <c r="J670" s="210"/>
      <c r="K670" s="210"/>
      <c r="L670" s="210" t="str">
        <f t="shared" si="1"/>
        <v/>
      </c>
      <c r="M670" s="79"/>
      <c r="N670" s="207"/>
      <c r="O670" s="207"/>
      <c r="P670" s="207"/>
      <c r="Q670" s="207"/>
    </row>
    <row r="671" spans="1:17" ht="34.5" customHeight="1">
      <c r="A671" s="82"/>
      <c r="B671" s="205" t="str">
        <f t="shared" si="2"/>
        <v/>
      </c>
      <c r="C671" s="206" t="str">
        <f t="shared" si="3"/>
        <v/>
      </c>
      <c r="D671" s="207" t="str">
        <f t="shared" si="0"/>
        <v/>
      </c>
      <c r="E671" s="207"/>
      <c r="F671" s="205" t="str">
        <f>IF(E671="","",VLOOKUP(E671,'ARAMA LİSTELERİ'!C671:G2710,5,))</f>
        <v/>
      </c>
      <c r="G671" s="207"/>
      <c r="H671" s="210"/>
      <c r="I671" s="79"/>
      <c r="J671" s="210"/>
      <c r="K671" s="210"/>
      <c r="L671" s="210" t="str">
        <f t="shared" si="1"/>
        <v/>
      </c>
      <c r="M671" s="79"/>
      <c r="N671" s="207"/>
      <c r="O671" s="207"/>
      <c r="P671" s="207"/>
      <c r="Q671" s="207"/>
    </row>
    <row r="672" spans="1:17" ht="34.5" customHeight="1">
      <c r="A672" s="82"/>
      <c r="B672" s="205" t="str">
        <f t="shared" si="2"/>
        <v/>
      </c>
      <c r="C672" s="206" t="str">
        <f t="shared" si="3"/>
        <v/>
      </c>
      <c r="D672" s="207" t="str">
        <f t="shared" si="0"/>
        <v/>
      </c>
      <c r="E672" s="207"/>
      <c r="F672" s="205" t="str">
        <f>IF(E672="","",VLOOKUP(E672,'ARAMA LİSTELERİ'!C672:G2711,5,))</f>
        <v/>
      </c>
      <c r="G672" s="207"/>
      <c r="H672" s="210"/>
      <c r="I672" s="79"/>
      <c r="J672" s="210"/>
      <c r="K672" s="210"/>
      <c r="L672" s="210" t="str">
        <f t="shared" si="1"/>
        <v/>
      </c>
      <c r="M672" s="79"/>
      <c r="N672" s="207"/>
      <c r="O672" s="207"/>
      <c r="P672" s="207"/>
      <c r="Q672" s="207"/>
    </row>
    <row r="673" spans="1:17" ht="34.5" customHeight="1">
      <c r="A673" s="82"/>
      <c r="B673" s="205" t="str">
        <f t="shared" si="2"/>
        <v/>
      </c>
      <c r="C673" s="206" t="str">
        <f t="shared" si="3"/>
        <v/>
      </c>
      <c r="D673" s="207" t="str">
        <f t="shared" si="0"/>
        <v/>
      </c>
      <c r="E673" s="207"/>
      <c r="F673" s="205" t="str">
        <f>IF(E673="","",VLOOKUP(E673,'ARAMA LİSTELERİ'!C673:G2712,5,))</f>
        <v/>
      </c>
      <c r="G673" s="207"/>
      <c r="H673" s="210"/>
      <c r="I673" s="79"/>
      <c r="J673" s="210"/>
      <c r="K673" s="210"/>
      <c r="L673" s="210" t="str">
        <f t="shared" si="1"/>
        <v/>
      </c>
      <c r="M673" s="79"/>
      <c r="N673" s="207"/>
      <c r="O673" s="207"/>
      <c r="P673" s="207"/>
      <c r="Q673" s="207"/>
    </row>
    <row r="674" spans="1:17" ht="34.5" customHeight="1">
      <c r="A674" s="82"/>
      <c r="B674" s="205" t="str">
        <f t="shared" si="2"/>
        <v/>
      </c>
      <c r="C674" s="206" t="str">
        <f t="shared" si="3"/>
        <v/>
      </c>
      <c r="D674" s="207" t="str">
        <f t="shared" si="0"/>
        <v/>
      </c>
      <c r="E674" s="207"/>
      <c r="F674" s="205" t="str">
        <f>IF(E674="","",VLOOKUP(E674,'ARAMA LİSTELERİ'!C674:G2713,5,))</f>
        <v/>
      </c>
      <c r="G674" s="207"/>
      <c r="H674" s="210"/>
      <c r="I674" s="79"/>
      <c r="J674" s="210"/>
      <c r="K674" s="210"/>
      <c r="L674" s="210" t="str">
        <f t="shared" si="1"/>
        <v/>
      </c>
      <c r="M674" s="79"/>
      <c r="N674" s="207"/>
      <c r="O674" s="207"/>
      <c r="P674" s="207"/>
      <c r="Q674" s="207"/>
    </row>
    <row r="675" spans="1:17" ht="34.5" customHeight="1">
      <c r="A675" s="82"/>
      <c r="B675" s="205" t="str">
        <f t="shared" si="2"/>
        <v/>
      </c>
      <c r="C675" s="206" t="str">
        <f t="shared" si="3"/>
        <v/>
      </c>
      <c r="D675" s="207" t="str">
        <f t="shared" si="0"/>
        <v/>
      </c>
      <c r="E675" s="207"/>
      <c r="F675" s="205" t="str">
        <f>IF(E675="","",VLOOKUP(E675,'ARAMA LİSTELERİ'!C675:G2714,5,))</f>
        <v/>
      </c>
      <c r="G675" s="207"/>
      <c r="H675" s="210"/>
      <c r="I675" s="79"/>
      <c r="J675" s="210"/>
      <c r="K675" s="210"/>
      <c r="L675" s="210" t="str">
        <f t="shared" si="1"/>
        <v/>
      </c>
      <c r="M675" s="79"/>
      <c r="N675" s="207"/>
      <c r="O675" s="207"/>
      <c r="P675" s="207"/>
      <c r="Q675" s="207"/>
    </row>
    <row r="676" spans="1:17" ht="34.5" customHeight="1">
      <c r="A676" s="82"/>
      <c r="B676" s="205" t="str">
        <f t="shared" si="2"/>
        <v/>
      </c>
      <c r="C676" s="206" t="str">
        <f t="shared" si="3"/>
        <v/>
      </c>
      <c r="D676" s="207" t="str">
        <f t="shared" si="0"/>
        <v/>
      </c>
      <c r="E676" s="207"/>
      <c r="F676" s="205" t="str">
        <f>IF(E676="","",VLOOKUP(E676,'ARAMA LİSTELERİ'!C676:G2715,5,))</f>
        <v/>
      </c>
      <c r="G676" s="207"/>
      <c r="H676" s="210"/>
      <c r="I676" s="79"/>
      <c r="J676" s="210"/>
      <c r="K676" s="210"/>
      <c r="L676" s="210" t="str">
        <f t="shared" si="1"/>
        <v/>
      </c>
      <c r="M676" s="79"/>
      <c r="N676" s="207"/>
      <c r="O676" s="207"/>
      <c r="P676" s="207"/>
      <c r="Q676" s="207"/>
    </row>
    <row r="677" spans="1:17" ht="34.5" customHeight="1">
      <c r="A677" s="82"/>
      <c r="B677" s="205" t="str">
        <f t="shared" si="2"/>
        <v/>
      </c>
      <c r="C677" s="206" t="str">
        <f t="shared" si="3"/>
        <v/>
      </c>
      <c r="D677" s="207" t="str">
        <f t="shared" si="0"/>
        <v/>
      </c>
      <c r="E677" s="207"/>
      <c r="F677" s="205" t="str">
        <f>IF(E677="","",VLOOKUP(E677,'ARAMA LİSTELERİ'!C677:G2716,5,))</f>
        <v/>
      </c>
      <c r="G677" s="207"/>
      <c r="H677" s="210"/>
      <c r="I677" s="79"/>
      <c r="J677" s="210"/>
      <c r="K677" s="210"/>
      <c r="L677" s="210" t="str">
        <f t="shared" si="1"/>
        <v/>
      </c>
      <c r="M677" s="79"/>
      <c r="N677" s="207"/>
      <c r="O677" s="207"/>
      <c r="P677" s="207"/>
      <c r="Q677" s="207"/>
    </row>
    <row r="678" spans="1:17" ht="34.5" customHeight="1">
      <c r="A678" s="82"/>
      <c r="B678" s="205" t="str">
        <f t="shared" si="2"/>
        <v/>
      </c>
      <c r="C678" s="206" t="str">
        <f t="shared" si="3"/>
        <v/>
      </c>
      <c r="D678" s="207" t="str">
        <f t="shared" si="0"/>
        <v/>
      </c>
      <c r="E678" s="207"/>
      <c r="F678" s="205" t="str">
        <f>IF(E678="","",VLOOKUP(E678,'ARAMA LİSTELERİ'!C678:G2717,5,))</f>
        <v/>
      </c>
      <c r="G678" s="207"/>
      <c r="H678" s="210"/>
      <c r="I678" s="79"/>
      <c r="J678" s="210"/>
      <c r="K678" s="210"/>
      <c r="L678" s="210" t="str">
        <f t="shared" si="1"/>
        <v/>
      </c>
      <c r="M678" s="79"/>
      <c r="N678" s="207"/>
      <c r="O678" s="207"/>
      <c r="P678" s="207"/>
      <c r="Q678" s="207"/>
    </row>
    <row r="679" spans="1:17" ht="34.5" customHeight="1">
      <c r="A679" s="82"/>
      <c r="B679" s="205" t="str">
        <f t="shared" si="2"/>
        <v/>
      </c>
      <c r="C679" s="206" t="str">
        <f t="shared" si="3"/>
        <v/>
      </c>
      <c r="D679" s="207" t="str">
        <f t="shared" si="0"/>
        <v/>
      </c>
      <c r="E679" s="207"/>
      <c r="F679" s="205" t="str">
        <f>IF(E679="","",VLOOKUP(E679,'ARAMA LİSTELERİ'!C679:G2718,5,))</f>
        <v/>
      </c>
      <c r="G679" s="207"/>
      <c r="H679" s="210"/>
      <c r="I679" s="79"/>
      <c r="J679" s="210"/>
      <c r="K679" s="210"/>
      <c r="L679" s="210" t="str">
        <f t="shared" si="1"/>
        <v/>
      </c>
      <c r="M679" s="79"/>
      <c r="N679" s="207"/>
      <c r="O679" s="207"/>
      <c r="P679" s="207"/>
      <c r="Q679" s="207"/>
    </row>
    <row r="680" spans="1:17" ht="34.5" customHeight="1">
      <c r="A680" s="82"/>
      <c r="B680" s="205" t="str">
        <f t="shared" si="2"/>
        <v/>
      </c>
      <c r="C680" s="206" t="str">
        <f t="shared" si="3"/>
        <v/>
      </c>
      <c r="D680" s="207" t="str">
        <f t="shared" si="0"/>
        <v/>
      </c>
      <c r="E680" s="207"/>
      <c r="F680" s="205" t="str">
        <f>IF(E680="","",VLOOKUP(E680,'ARAMA LİSTELERİ'!C680:G2719,5,))</f>
        <v/>
      </c>
      <c r="G680" s="207"/>
      <c r="H680" s="210"/>
      <c r="I680" s="79"/>
      <c r="J680" s="210"/>
      <c r="K680" s="210"/>
      <c r="L680" s="210" t="str">
        <f t="shared" si="1"/>
        <v/>
      </c>
      <c r="M680" s="79"/>
      <c r="N680" s="207"/>
      <c r="O680" s="207"/>
      <c r="P680" s="207"/>
      <c r="Q680" s="207"/>
    </row>
    <row r="681" spans="1:17" ht="34.5" customHeight="1">
      <c r="A681" s="82"/>
      <c r="B681" s="205" t="str">
        <f t="shared" si="2"/>
        <v/>
      </c>
      <c r="C681" s="206" t="str">
        <f t="shared" si="3"/>
        <v/>
      </c>
      <c r="D681" s="207" t="str">
        <f t="shared" si="0"/>
        <v/>
      </c>
      <c r="E681" s="207"/>
      <c r="F681" s="205" t="str">
        <f>IF(E681="","",VLOOKUP(E681,'ARAMA LİSTELERİ'!C681:G2720,5,))</f>
        <v/>
      </c>
      <c r="G681" s="207"/>
      <c r="H681" s="210"/>
      <c r="I681" s="79"/>
      <c r="J681" s="210"/>
      <c r="K681" s="210"/>
      <c r="L681" s="210" t="str">
        <f t="shared" si="1"/>
        <v/>
      </c>
      <c r="M681" s="79"/>
      <c r="N681" s="207"/>
      <c r="O681" s="207"/>
      <c r="P681" s="207"/>
      <c r="Q681" s="207"/>
    </row>
    <row r="682" spans="1:17" ht="34.5" customHeight="1">
      <c r="A682" s="82"/>
      <c r="B682" s="205" t="str">
        <f t="shared" si="2"/>
        <v/>
      </c>
      <c r="C682" s="206" t="str">
        <f t="shared" si="3"/>
        <v/>
      </c>
      <c r="D682" s="207" t="str">
        <f t="shared" si="0"/>
        <v/>
      </c>
      <c r="E682" s="207"/>
      <c r="F682" s="205" t="str">
        <f>IF(E682="","",VLOOKUP(E682,'ARAMA LİSTELERİ'!C682:G2721,5,))</f>
        <v/>
      </c>
      <c r="G682" s="207"/>
      <c r="H682" s="210"/>
      <c r="I682" s="79"/>
      <c r="J682" s="210"/>
      <c r="K682" s="210"/>
      <c r="L682" s="210" t="str">
        <f t="shared" si="1"/>
        <v/>
      </c>
      <c r="M682" s="79"/>
      <c r="N682" s="207"/>
      <c r="O682" s="207"/>
      <c r="P682" s="207"/>
      <c r="Q682" s="207"/>
    </row>
    <row r="683" spans="1:17" ht="34.5" customHeight="1">
      <c r="A683" s="82"/>
      <c r="B683" s="205" t="str">
        <f t="shared" si="2"/>
        <v/>
      </c>
      <c r="C683" s="206" t="str">
        <f t="shared" si="3"/>
        <v/>
      </c>
      <c r="D683" s="207" t="str">
        <f t="shared" si="0"/>
        <v/>
      </c>
      <c r="E683" s="207"/>
      <c r="F683" s="205" t="str">
        <f>IF(E683="","",VLOOKUP(E683,'ARAMA LİSTELERİ'!C683:G2722,5,))</f>
        <v/>
      </c>
      <c r="G683" s="207"/>
      <c r="H683" s="210"/>
      <c r="I683" s="79"/>
      <c r="J683" s="210"/>
      <c r="K683" s="210"/>
      <c r="L683" s="210" t="str">
        <f t="shared" si="1"/>
        <v/>
      </c>
      <c r="M683" s="79"/>
      <c r="N683" s="207"/>
      <c r="O683" s="207"/>
      <c r="P683" s="207"/>
      <c r="Q683" s="207"/>
    </row>
    <row r="684" spans="1:17" ht="34.5" customHeight="1">
      <c r="A684" s="82"/>
      <c r="B684" s="205" t="str">
        <f t="shared" si="2"/>
        <v/>
      </c>
      <c r="C684" s="206" t="str">
        <f t="shared" si="3"/>
        <v/>
      </c>
      <c r="D684" s="207" t="str">
        <f t="shared" si="0"/>
        <v/>
      </c>
      <c r="E684" s="207"/>
      <c r="F684" s="205" t="str">
        <f>IF(E684="","",VLOOKUP(E684,'ARAMA LİSTELERİ'!C684:G2723,5,))</f>
        <v/>
      </c>
      <c r="G684" s="207"/>
      <c r="H684" s="210"/>
      <c r="I684" s="79"/>
      <c r="J684" s="210"/>
      <c r="K684" s="210"/>
      <c r="L684" s="210" t="str">
        <f t="shared" si="1"/>
        <v/>
      </c>
      <c r="M684" s="79"/>
      <c r="N684" s="207"/>
      <c r="O684" s="207"/>
      <c r="P684" s="207"/>
      <c r="Q684" s="207"/>
    </row>
    <row r="685" spans="1:17" ht="34.5" customHeight="1">
      <c r="A685" s="82"/>
      <c r="B685" s="205" t="str">
        <f t="shared" si="2"/>
        <v/>
      </c>
      <c r="C685" s="206" t="str">
        <f t="shared" si="3"/>
        <v/>
      </c>
      <c r="D685" s="207" t="str">
        <f t="shared" si="0"/>
        <v/>
      </c>
      <c r="E685" s="207"/>
      <c r="F685" s="205" t="str">
        <f>IF(E685="","",VLOOKUP(E685,'ARAMA LİSTELERİ'!C685:G2724,5,))</f>
        <v/>
      </c>
      <c r="G685" s="207"/>
      <c r="H685" s="210"/>
      <c r="I685" s="79"/>
      <c r="J685" s="210"/>
      <c r="K685" s="210"/>
      <c r="L685" s="210" t="str">
        <f t="shared" si="1"/>
        <v/>
      </c>
      <c r="M685" s="79"/>
      <c r="N685" s="207"/>
      <c r="O685" s="207"/>
      <c r="P685" s="207"/>
      <c r="Q685" s="207"/>
    </row>
    <row r="686" spans="1:17" ht="34.5" customHeight="1">
      <c r="A686" s="82"/>
      <c r="B686" s="205" t="str">
        <f t="shared" si="2"/>
        <v/>
      </c>
      <c r="C686" s="206" t="str">
        <f t="shared" si="3"/>
        <v/>
      </c>
      <c r="D686" s="207" t="str">
        <f t="shared" si="0"/>
        <v/>
      </c>
      <c r="E686" s="207"/>
      <c r="F686" s="205" t="str">
        <f>IF(E686="","",VLOOKUP(E686,'ARAMA LİSTELERİ'!C686:G2725,5,))</f>
        <v/>
      </c>
      <c r="G686" s="207"/>
      <c r="H686" s="210"/>
      <c r="I686" s="79"/>
      <c r="J686" s="210"/>
      <c r="K686" s="210"/>
      <c r="L686" s="210" t="str">
        <f t="shared" si="1"/>
        <v/>
      </c>
      <c r="M686" s="79"/>
      <c r="N686" s="207"/>
      <c r="O686" s="207"/>
      <c r="P686" s="207"/>
      <c r="Q686" s="207"/>
    </row>
    <row r="687" spans="1:17" ht="34.5" customHeight="1">
      <c r="A687" s="82"/>
      <c r="B687" s="205" t="str">
        <f t="shared" si="2"/>
        <v/>
      </c>
      <c r="C687" s="206" t="str">
        <f t="shared" si="3"/>
        <v/>
      </c>
      <c r="D687" s="207" t="str">
        <f t="shared" si="0"/>
        <v/>
      </c>
      <c r="E687" s="207"/>
      <c r="F687" s="205" t="str">
        <f>IF(E687="","",VLOOKUP(E687,'ARAMA LİSTELERİ'!C687:G2726,5,))</f>
        <v/>
      </c>
      <c r="G687" s="207"/>
      <c r="H687" s="210"/>
      <c r="I687" s="79"/>
      <c r="J687" s="210"/>
      <c r="K687" s="210"/>
      <c r="L687" s="210" t="str">
        <f t="shared" si="1"/>
        <v/>
      </c>
      <c r="M687" s="79"/>
      <c r="N687" s="207"/>
      <c r="O687" s="207"/>
      <c r="P687" s="207"/>
      <c r="Q687" s="207"/>
    </row>
    <row r="688" spans="1:17" ht="34.5" customHeight="1">
      <c r="A688" s="82"/>
      <c r="B688" s="205" t="str">
        <f t="shared" si="2"/>
        <v/>
      </c>
      <c r="C688" s="206" t="str">
        <f t="shared" si="3"/>
        <v/>
      </c>
      <c r="D688" s="207" t="str">
        <f t="shared" si="0"/>
        <v/>
      </c>
      <c r="E688" s="207"/>
      <c r="F688" s="205" t="str">
        <f>IF(E688="","",VLOOKUP(E688,'ARAMA LİSTELERİ'!C688:G2727,5,))</f>
        <v/>
      </c>
      <c r="G688" s="207"/>
      <c r="H688" s="210"/>
      <c r="I688" s="79"/>
      <c r="J688" s="210"/>
      <c r="K688" s="210"/>
      <c r="L688" s="210" t="str">
        <f t="shared" si="1"/>
        <v/>
      </c>
      <c r="M688" s="79"/>
      <c r="N688" s="207"/>
      <c r="O688" s="207"/>
      <c r="P688" s="207"/>
      <c r="Q688" s="207"/>
    </row>
    <row r="689" spans="1:17" ht="34.5" customHeight="1">
      <c r="A689" s="82"/>
      <c r="B689" s="205" t="str">
        <f t="shared" si="2"/>
        <v/>
      </c>
      <c r="C689" s="206" t="str">
        <f t="shared" si="3"/>
        <v/>
      </c>
      <c r="D689" s="207" t="str">
        <f t="shared" si="0"/>
        <v/>
      </c>
      <c r="E689" s="207"/>
      <c r="F689" s="205" t="str">
        <f>IF(E689="","",VLOOKUP(E689,'ARAMA LİSTELERİ'!C689:G2728,5,))</f>
        <v/>
      </c>
      <c r="G689" s="207"/>
      <c r="H689" s="210"/>
      <c r="I689" s="79"/>
      <c r="J689" s="210"/>
      <c r="K689" s="210"/>
      <c r="L689" s="210" t="str">
        <f t="shared" si="1"/>
        <v/>
      </c>
      <c r="M689" s="79"/>
      <c r="N689" s="207"/>
      <c r="O689" s="207"/>
      <c r="P689" s="207"/>
      <c r="Q689" s="207"/>
    </row>
    <row r="690" spans="1:17" ht="34.5" customHeight="1">
      <c r="A690" s="82"/>
      <c r="B690" s="205" t="str">
        <f t="shared" si="2"/>
        <v/>
      </c>
      <c r="C690" s="206" t="str">
        <f t="shared" si="3"/>
        <v/>
      </c>
      <c r="D690" s="207" t="str">
        <f t="shared" si="0"/>
        <v/>
      </c>
      <c r="E690" s="207"/>
      <c r="F690" s="205" t="str">
        <f>IF(E690="","",VLOOKUP(E690,'ARAMA LİSTELERİ'!C690:G2729,5,))</f>
        <v/>
      </c>
      <c r="G690" s="207"/>
      <c r="H690" s="210"/>
      <c r="I690" s="79"/>
      <c r="J690" s="210"/>
      <c r="K690" s="210"/>
      <c r="L690" s="210" t="str">
        <f t="shared" si="1"/>
        <v/>
      </c>
      <c r="M690" s="79"/>
      <c r="N690" s="207"/>
      <c r="O690" s="207"/>
      <c r="P690" s="207"/>
      <c r="Q690" s="207"/>
    </row>
    <row r="691" spans="1:17" ht="34.5" customHeight="1">
      <c r="A691" s="82"/>
      <c r="B691" s="205" t="str">
        <f t="shared" si="2"/>
        <v/>
      </c>
      <c r="C691" s="206" t="str">
        <f t="shared" si="3"/>
        <v/>
      </c>
      <c r="D691" s="207" t="str">
        <f t="shared" si="0"/>
        <v/>
      </c>
      <c r="E691" s="207"/>
      <c r="F691" s="205" t="str">
        <f>IF(E691="","",VLOOKUP(E691,'ARAMA LİSTELERİ'!C691:G2730,5,))</f>
        <v/>
      </c>
      <c r="G691" s="207"/>
      <c r="H691" s="210"/>
      <c r="I691" s="79"/>
      <c r="J691" s="210"/>
      <c r="K691" s="210"/>
      <c r="L691" s="210" t="str">
        <f t="shared" si="1"/>
        <v/>
      </c>
      <c r="M691" s="79"/>
      <c r="N691" s="207"/>
      <c r="O691" s="207"/>
      <c r="P691" s="207"/>
      <c r="Q691" s="207"/>
    </row>
    <row r="692" spans="1:17" ht="34.5" customHeight="1">
      <c r="A692" s="82"/>
      <c r="B692" s="205" t="str">
        <f t="shared" si="2"/>
        <v/>
      </c>
      <c r="C692" s="206" t="str">
        <f t="shared" si="3"/>
        <v/>
      </c>
      <c r="D692" s="207" t="str">
        <f t="shared" si="0"/>
        <v/>
      </c>
      <c r="E692" s="207"/>
      <c r="F692" s="205" t="str">
        <f>IF(E692="","",VLOOKUP(E692,'ARAMA LİSTELERİ'!C692:G2731,5,))</f>
        <v/>
      </c>
      <c r="G692" s="207"/>
      <c r="H692" s="210"/>
      <c r="I692" s="79"/>
      <c r="J692" s="210"/>
      <c r="K692" s="210"/>
      <c r="L692" s="210" t="str">
        <f t="shared" si="1"/>
        <v/>
      </c>
      <c r="M692" s="79"/>
      <c r="N692" s="207"/>
      <c r="O692" s="207"/>
      <c r="P692" s="207"/>
      <c r="Q692" s="207"/>
    </row>
    <row r="693" spans="1:17" ht="34.5" customHeight="1">
      <c r="A693" s="82"/>
      <c r="B693" s="205" t="str">
        <f t="shared" si="2"/>
        <v/>
      </c>
      <c r="C693" s="206" t="str">
        <f t="shared" si="3"/>
        <v/>
      </c>
      <c r="D693" s="207" t="str">
        <f t="shared" si="0"/>
        <v/>
      </c>
      <c r="E693" s="207"/>
      <c r="F693" s="205" t="str">
        <f>IF(E693="","",VLOOKUP(E693,'ARAMA LİSTELERİ'!C693:G2732,5,))</f>
        <v/>
      </c>
      <c r="G693" s="207"/>
      <c r="H693" s="210"/>
      <c r="I693" s="79"/>
      <c r="J693" s="210"/>
      <c r="K693" s="210"/>
      <c r="L693" s="210" t="str">
        <f t="shared" si="1"/>
        <v/>
      </c>
      <c r="M693" s="79"/>
      <c r="N693" s="207"/>
      <c r="O693" s="207"/>
      <c r="P693" s="207"/>
      <c r="Q693" s="207"/>
    </row>
    <row r="694" spans="1:17" ht="34.5" customHeight="1">
      <c r="A694" s="82"/>
      <c r="B694" s="205" t="str">
        <f t="shared" si="2"/>
        <v/>
      </c>
      <c r="C694" s="206" t="str">
        <f t="shared" si="3"/>
        <v/>
      </c>
      <c r="D694" s="207" t="str">
        <f t="shared" si="0"/>
        <v/>
      </c>
      <c r="E694" s="207"/>
      <c r="F694" s="205" t="str">
        <f>IF(E694="","",VLOOKUP(E694,'ARAMA LİSTELERİ'!C694:G2733,5,))</f>
        <v/>
      </c>
      <c r="G694" s="207"/>
      <c r="H694" s="210"/>
      <c r="I694" s="79"/>
      <c r="J694" s="210"/>
      <c r="K694" s="210"/>
      <c r="L694" s="210" t="str">
        <f t="shared" si="1"/>
        <v/>
      </c>
      <c r="M694" s="79"/>
      <c r="N694" s="207"/>
      <c r="O694" s="207"/>
      <c r="P694" s="207"/>
      <c r="Q694" s="207"/>
    </row>
    <row r="695" spans="1:17" ht="34.5" customHeight="1">
      <c r="A695" s="82"/>
      <c r="B695" s="205" t="str">
        <f t="shared" si="2"/>
        <v/>
      </c>
      <c r="C695" s="206" t="str">
        <f t="shared" si="3"/>
        <v/>
      </c>
      <c r="D695" s="207" t="str">
        <f t="shared" si="0"/>
        <v/>
      </c>
      <c r="E695" s="207"/>
      <c r="F695" s="205" t="str">
        <f>IF(E695="","",VLOOKUP(E695,'ARAMA LİSTELERİ'!C695:G2734,5,))</f>
        <v/>
      </c>
      <c r="G695" s="207"/>
      <c r="H695" s="210"/>
      <c r="I695" s="79"/>
      <c r="J695" s="210"/>
      <c r="K695" s="210"/>
      <c r="L695" s="210" t="str">
        <f t="shared" si="1"/>
        <v/>
      </c>
      <c r="M695" s="79"/>
      <c r="N695" s="207"/>
      <c r="O695" s="207"/>
      <c r="P695" s="207"/>
      <c r="Q695" s="207"/>
    </row>
    <row r="696" spans="1:17" ht="34.5" customHeight="1">
      <c r="A696" s="82"/>
      <c r="B696" s="205" t="str">
        <f t="shared" si="2"/>
        <v/>
      </c>
      <c r="C696" s="206" t="str">
        <f t="shared" si="3"/>
        <v/>
      </c>
      <c r="D696" s="207" t="str">
        <f t="shared" si="0"/>
        <v/>
      </c>
      <c r="E696" s="207"/>
      <c r="F696" s="205" t="str">
        <f>IF(E696="","",VLOOKUP(E696,'ARAMA LİSTELERİ'!C696:G2735,5,))</f>
        <v/>
      </c>
      <c r="G696" s="207"/>
      <c r="H696" s="210"/>
      <c r="I696" s="79"/>
      <c r="J696" s="210"/>
      <c r="K696" s="210"/>
      <c r="L696" s="210" t="str">
        <f t="shared" si="1"/>
        <v/>
      </c>
      <c r="M696" s="79"/>
      <c r="N696" s="207"/>
      <c r="O696" s="207"/>
      <c r="P696" s="207"/>
      <c r="Q696" s="207"/>
    </row>
    <row r="697" spans="1:17" ht="34.5" customHeight="1">
      <c r="A697" s="82"/>
      <c r="B697" s="205" t="str">
        <f t="shared" si="2"/>
        <v/>
      </c>
      <c r="C697" s="206" t="str">
        <f t="shared" si="3"/>
        <v/>
      </c>
      <c r="D697" s="207" t="str">
        <f t="shared" si="0"/>
        <v/>
      </c>
      <c r="E697" s="207"/>
      <c r="F697" s="205" t="str">
        <f>IF(E697="","",VLOOKUP(E697,'ARAMA LİSTELERİ'!C697:G2736,5,))</f>
        <v/>
      </c>
      <c r="G697" s="207"/>
      <c r="H697" s="210"/>
      <c r="I697" s="79"/>
      <c r="J697" s="210"/>
      <c r="K697" s="210"/>
      <c r="L697" s="210" t="str">
        <f t="shared" si="1"/>
        <v/>
      </c>
      <c r="M697" s="79"/>
      <c r="N697" s="207"/>
      <c r="O697" s="207"/>
      <c r="P697" s="207"/>
      <c r="Q697" s="207"/>
    </row>
    <row r="698" spans="1:17" ht="34.5" customHeight="1">
      <c r="A698" s="82"/>
      <c r="B698" s="205" t="str">
        <f t="shared" si="2"/>
        <v/>
      </c>
      <c r="C698" s="206" t="str">
        <f t="shared" si="3"/>
        <v/>
      </c>
      <c r="D698" s="207" t="str">
        <f t="shared" si="0"/>
        <v/>
      </c>
      <c r="E698" s="207"/>
      <c r="F698" s="205" t="str">
        <f>IF(E698="","",VLOOKUP(E698,'ARAMA LİSTELERİ'!C698:G2737,5,))</f>
        <v/>
      </c>
      <c r="G698" s="207"/>
      <c r="H698" s="210"/>
      <c r="I698" s="79"/>
      <c r="J698" s="210"/>
      <c r="K698" s="210"/>
      <c r="L698" s="210" t="str">
        <f t="shared" si="1"/>
        <v/>
      </c>
      <c r="M698" s="79"/>
      <c r="N698" s="207"/>
      <c r="O698" s="207"/>
      <c r="P698" s="207"/>
      <c r="Q698" s="207"/>
    </row>
    <row r="699" spans="1:17" ht="34.5" customHeight="1">
      <c r="A699" s="82"/>
      <c r="B699" s="205" t="str">
        <f t="shared" si="2"/>
        <v/>
      </c>
      <c r="C699" s="206" t="str">
        <f t="shared" si="3"/>
        <v/>
      </c>
      <c r="D699" s="207" t="str">
        <f t="shared" si="0"/>
        <v/>
      </c>
      <c r="E699" s="207"/>
      <c r="F699" s="205" t="str">
        <f>IF(E699="","",VLOOKUP(E699,'ARAMA LİSTELERİ'!C699:G2738,5,))</f>
        <v/>
      </c>
      <c r="G699" s="207"/>
      <c r="H699" s="210"/>
      <c r="I699" s="79"/>
      <c r="J699" s="210"/>
      <c r="K699" s="210"/>
      <c r="L699" s="210" t="str">
        <f t="shared" si="1"/>
        <v/>
      </c>
      <c r="M699" s="79"/>
      <c r="N699" s="207"/>
      <c r="O699" s="207"/>
      <c r="P699" s="207"/>
      <c r="Q699" s="207"/>
    </row>
    <row r="700" spans="1:17" ht="34.5" customHeight="1">
      <c r="A700" s="82"/>
      <c r="B700" s="205" t="str">
        <f t="shared" si="2"/>
        <v/>
      </c>
      <c r="C700" s="206" t="str">
        <f t="shared" si="3"/>
        <v/>
      </c>
      <c r="D700" s="207" t="str">
        <f t="shared" si="0"/>
        <v/>
      </c>
      <c r="E700" s="207"/>
      <c r="F700" s="205" t="str">
        <f>IF(E700="","",VLOOKUP(E700,'ARAMA LİSTELERİ'!C700:G2739,5,))</f>
        <v/>
      </c>
      <c r="G700" s="207"/>
      <c r="H700" s="210"/>
      <c r="I700" s="79"/>
      <c r="J700" s="210"/>
      <c r="K700" s="210"/>
      <c r="L700" s="210" t="str">
        <f t="shared" si="1"/>
        <v/>
      </c>
      <c r="M700" s="79"/>
      <c r="N700" s="207"/>
      <c r="O700" s="207"/>
      <c r="P700" s="207"/>
      <c r="Q700" s="207"/>
    </row>
    <row r="701" spans="1:17" ht="34.5" customHeight="1">
      <c r="A701" s="82"/>
      <c r="B701" s="205" t="str">
        <f t="shared" si="2"/>
        <v/>
      </c>
      <c r="C701" s="206" t="str">
        <f t="shared" si="3"/>
        <v/>
      </c>
      <c r="D701" s="207" t="str">
        <f t="shared" si="0"/>
        <v/>
      </c>
      <c r="E701" s="207"/>
      <c r="F701" s="205" t="str">
        <f>IF(E701="","",VLOOKUP(E701,'ARAMA LİSTELERİ'!C701:G2740,5,))</f>
        <v/>
      </c>
      <c r="G701" s="207"/>
      <c r="H701" s="210"/>
      <c r="I701" s="79"/>
      <c r="J701" s="210"/>
      <c r="K701" s="210"/>
      <c r="L701" s="210" t="str">
        <f t="shared" si="1"/>
        <v/>
      </c>
      <c r="M701" s="79"/>
      <c r="N701" s="207"/>
      <c r="O701" s="207"/>
      <c r="P701" s="207"/>
      <c r="Q701" s="207"/>
    </row>
    <row r="702" spans="1:17" ht="34.5" customHeight="1">
      <c r="A702" s="82"/>
      <c r="B702" s="205" t="str">
        <f t="shared" si="2"/>
        <v/>
      </c>
      <c r="C702" s="206" t="str">
        <f t="shared" si="3"/>
        <v/>
      </c>
      <c r="D702" s="207" t="str">
        <f t="shared" si="0"/>
        <v/>
      </c>
      <c r="E702" s="207"/>
      <c r="F702" s="205" t="str">
        <f>IF(E702="","",VLOOKUP(E702,'ARAMA LİSTELERİ'!C702:G2741,5,))</f>
        <v/>
      </c>
      <c r="G702" s="207"/>
      <c r="H702" s="210"/>
      <c r="I702" s="79"/>
      <c r="J702" s="210"/>
      <c r="K702" s="210"/>
      <c r="L702" s="210" t="str">
        <f t="shared" si="1"/>
        <v/>
      </c>
      <c r="M702" s="79"/>
      <c r="N702" s="207"/>
      <c r="O702" s="207"/>
      <c r="P702" s="207"/>
      <c r="Q702" s="207"/>
    </row>
    <row r="703" spans="1:17" ht="34.5" customHeight="1">
      <c r="A703" s="82"/>
      <c r="B703" s="205" t="str">
        <f t="shared" si="2"/>
        <v/>
      </c>
      <c r="C703" s="206" t="str">
        <f t="shared" si="3"/>
        <v/>
      </c>
      <c r="D703" s="207" t="str">
        <f t="shared" si="0"/>
        <v/>
      </c>
      <c r="E703" s="207"/>
      <c r="F703" s="205" t="str">
        <f>IF(E703="","",VLOOKUP(E703,'ARAMA LİSTELERİ'!C703:G2742,5,))</f>
        <v/>
      </c>
      <c r="G703" s="207"/>
      <c r="H703" s="210"/>
      <c r="I703" s="79"/>
      <c r="J703" s="210"/>
      <c r="K703" s="210"/>
      <c r="L703" s="210" t="str">
        <f t="shared" si="1"/>
        <v/>
      </c>
      <c r="M703" s="79"/>
      <c r="N703" s="207"/>
      <c r="O703" s="207"/>
      <c r="P703" s="207"/>
      <c r="Q703" s="207"/>
    </row>
    <row r="704" spans="1:17" ht="34.5" customHeight="1">
      <c r="A704" s="82"/>
      <c r="B704" s="205" t="str">
        <f t="shared" si="2"/>
        <v/>
      </c>
      <c r="C704" s="206" t="str">
        <f t="shared" si="3"/>
        <v/>
      </c>
      <c r="D704" s="207" t="str">
        <f t="shared" si="0"/>
        <v/>
      </c>
      <c r="E704" s="207"/>
      <c r="F704" s="205" t="str">
        <f>IF(E704="","",VLOOKUP(E704,'ARAMA LİSTELERİ'!C704:G2743,5,))</f>
        <v/>
      </c>
      <c r="G704" s="207"/>
      <c r="H704" s="210"/>
      <c r="I704" s="79"/>
      <c r="J704" s="210"/>
      <c r="K704" s="210"/>
      <c r="L704" s="210" t="str">
        <f t="shared" si="1"/>
        <v/>
      </c>
      <c r="M704" s="79"/>
      <c r="N704" s="207"/>
      <c r="O704" s="207"/>
      <c r="P704" s="207"/>
      <c r="Q704" s="207"/>
    </row>
    <row r="705" spans="1:17" ht="34.5" customHeight="1">
      <c r="A705" s="82"/>
      <c r="B705" s="205" t="str">
        <f t="shared" si="2"/>
        <v/>
      </c>
      <c r="C705" s="206" t="str">
        <f t="shared" si="3"/>
        <v/>
      </c>
      <c r="D705" s="207" t="str">
        <f t="shared" si="0"/>
        <v/>
      </c>
      <c r="E705" s="207"/>
      <c r="F705" s="205" t="str">
        <f>IF(E705="","",VLOOKUP(E705,'ARAMA LİSTELERİ'!C705:G2744,5,))</f>
        <v/>
      </c>
      <c r="G705" s="207"/>
      <c r="H705" s="210"/>
      <c r="I705" s="79"/>
      <c r="J705" s="210"/>
      <c r="K705" s="210"/>
      <c r="L705" s="210" t="str">
        <f t="shared" si="1"/>
        <v/>
      </c>
      <c r="M705" s="79"/>
      <c r="N705" s="207"/>
      <c r="O705" s="207"/>
      <c r="P705" s="207"/>
      <c r="Q705" s="207"/>
    </row>
    <row r="706" spans="1:17" ht="34.5" customHeight="1">
      <c r="A706" s="82"/>
      <c r="B706" s="205" t="str">
        <f t="shared" si="2"/>
        <v/>
      </c>
      <c r="C706" s="206" t="str">
        <f t="shared" si="3"/>
        <v/>
      </c>
      <c r="D706" s="207" t="str">
        <f t="shared" si="0"/>
        <v/>
      </c>
      <c r="E706" s="207"/>
      <c r="F706" s="205" t="str">
        <f>IF(E706="","",VLOOKUP(E706,'ARAMA LİSTELERİ'!C706:G2745,5,))</f>
        <v/>
      </c>
      <c r="G706" s="207"/>
      <c r="H706" s="210"/>
      <c r="I706" s="79"/>
      <c r="J706" s="210"/>
      <c r="K706" s="210"/>
      <c r="L706" s="210" t="str">
        <f t="shared" si="1"/>
        <v/>
      </c>
      <c r="M706" s="79"/>
      <c r="N706" s="207"/>
      <c r="O706" s="207"/>
      <c r="P706" s="207"/>
      <c r="Q706" s="207"/>
    </row>
    <row r="707" spans="1:17" ht="34.5" customHeight="1">
      <c r="A707" s="82"/>
      <c r="B707" s="205" t="str">
        <f t="shared" si="2"/>
        <v/>
      </c>
      <c r="C707" s="206" t="str">
        <f t="shared" si="3"/>
        <v/>
      </c>
      <c r="D707" s="207" t="str">
        <f t="shared" si="0"/>
        <v/>
      </c>
      <c r="E707" s="207"/>
      <c r="F707" s="205" t="str">
        <f>IF(E707="","",VLOOKUP(E707,'ARAMA LİSTELERİ'!C707:G2746,5,))</f>
        <v/>
      </c>
      <c r="G707" s="207"/>
      <c r="H707" s="210"/>
      <c r="I707" s="79"/>
      <c r="J707" s="210"/>
      <c r="K707" s="210"/>
      <c r="L707" s="210" t="str">
        <f t="shared" si="1"/>
        <v/>
      </c>
      <c r="M707" s="79"/>
      <c r="N707" s="207"/>
      <c r="O707" s="207"/>
      <c r="P707" s="207"/>
      <c r="Q707" s="207"/>
    </row>
    <row r="708" spans="1:17" ht="34.5" customHeight="1">
      <c r="A708" s="82"/>
      <c r="B708" s="205" t="str">
        <f t="shared" si="2"/>
        <v/>
      </c>
      <c r="C708" s="206" t="str">
        <f t="shared" si="3"/>
        <v/>
      </c>
      <c r="D708" s="207" t="str">
        <f t="shared" si="0"/>
        <v/>
      </c>
      <c r="E708" s="207"/>
      <c r="F708" s="205" t="str">
        <f>IF(E708="","",VLOOKUP(E708,'ARAMA LİSTELERİ'!C708:G2747,5,))</f>
        <v/>
      </c>
      <c r="G708" s="207"/>
      <c r="H708" s="210"/>
      <c r="I708" s="79"/>
      <c r="J708" s="210"/>
      <c r="K708" s="210"/>
      <c r="L708" s="210" t="str">
        <f t="shared" si="1"/>
        <v/>
      </c>
      <c r="M708" s="79"/>
      <c r="N708" s="207"/>
      <c r="O708" s="207"/>
      <c r="P708" s="207"/>
      <c r="Q708" s="207"/>
    </row>
    <row r="709" spans="1:17" ht="34.5" customHeight="1">
      <c r="A709" s="82"/>
      <c r="B709" s="205" t="str">
        <f t="shared" si="2"/>
        <v/>
      </c>
      <c r="C709" s="206" t="str">
        <f t="shared" si="3"/>
        <v/>
      </c>
      <c r="D709" s="207" t="str">
        <f t="shared" si="0"/>
        <v/>
      </c>
      <c r="E709" s="207"/>
      <c r="F709" s="205" t="str">
        <f>IF(E709="","",VLOOKUP(E709,'ARAMA LİSTELERİ'!C709:G2748,5,))</f>
        <v/>
      </c>
      <c r="G709" s="207"/>
      <c r="H709" s="210"/>
      <c r="I709" s="79"/>
      <c r="J709" s="210"/>
      <c r="K709" s="210"/>
      <c r="L709" s="210" t="str">
        <f t="shared" si="1"/>
        <v/>
      </c>
      <c r="M709" s="79"/>
      <c r="N709" s="207"/>
      <c r="O709" s="207"/>
      <c r="P709" s="207"/>
      <c r="Q709" s="207"/>
    </row>
    <row r="710" spans="1:17" ht="34.5" customHeight="1">
      <c r="A710" s="82"/>
      <c r="B710" s="205" t="str">
        <f t="shared" si="2"/>
        <v/>
      </c>
      <c r="C710" s="206" t="str">
        <f t="shared" si="3"/>
        <v/>
      </c>
      <c r="D710" s="207" t="str">
        <f t="shared" si="0"/>
        <v/>
      </c>
      <c r="E710" s="207"/>
      <c r="F710" s="205" t="str">
        <f>IF(E710="","",VLOOKUP(E710,'ARAMA LİSTELERİ'!C710:G2749,5,))</f>
        <v/>
      </c>
      <c r="G710" s="207"/>
      <c r="H710" s="210"/>
      <c r="I710" s="79"/>
      <c r="J710" s="210"/>
      <c r="K710" s="210"/>
      <c r="L710" s="210" t="str">
        <f t="shared" si="1"/>
        <v/>
      </c>
      <c r="M710" s="79"/>
      <c r="N710" s="207"/>
      <c r="O710" s="207"/>
      <c r="P710" s="207"/>
      <c r="Q710" s="207"/>
    </row>
    <row r="711" spans="1:17" ht="34.5" customHeight="1">
      <c r="A711" s="82"/>
      <c r="B711" s="205" t="str">
        <f t="shared" si="2"/>
        <v/>
      </c>
      <c r="C711" s="206" t="str">
        <f t="shared" si="3"/>
        <v/>
      </c>
      <c r="D711" s="207" t="str">
        <f t="shared" si="0"/>
        <v/>
      </c>
      <c r="E711" s="207"/>
      <c r="F711" s="205" t="str">
        <f>IF(E711="","",VLOOKUP(E711,'ARAMA LİSTELERİ'!C711:G2750,5,))</f>
        <v/>
      </c>
      <c r="G711" s="207"/>
      <c r="H711" s="210"/>
      <c r="I711" s="79"/>
      <c r="J711" s="210"/>
      <c r="K711" s="210"/>
      <c r="L711" s="210" t="str">
        <f t="shared" si="1"/>
        <v/>
      </c>
      <c r="M711" s="79"/>
      <c r="N711" s="207"/>
      <c r="O711" s="207"/>
      <c r="P711" s="207"/>
      <c r="Q711" s="207"/>
    </row>
    <row r="712" spans="1:17" ht="34.5" customHeight="1">
      <c r="A712" s="82"/>
      <c r="B712" s="205" t="str">
        <f t="shared" si="2"/>
        <v/>
      </c>
      <c r="C712" s="206" t="str">
        <f t="shared" si="3"/>
        <v/>
      </c>
      <c r="D712" s="207" t="str">
        <f t="shared" si="0"/>
        <v/>
      </c>
      <c r="E712" s="207"/>
      <c r="F712" s="205" t="str">
        <f>IF(E712="","",VLOOKUP(E712,'ARAMA LİSTELERİ'!C712:G2751,5,))</f>
        <v/>
      </c>
      <c r="G712" s="207"/>
      <c r="H712" s="210"/>
      <c r="I712" s="79"/>
      <c r="J712" s="210"/>
      <c r="K712" s="210"/>
      <c r="L712" s="210" t="str">
        <f t="shared" si="1"/>
        <v/>
      </c>
      <c r="M712" s="79"/>
      <c r="N712" s="207"/>
      <c r="O712" s="207"/>
      <c r="P712" s="207"/>
      <c r="Q712" s="207"/>
    </row>
    <row r="713" spans="1:17" ht="34.5" customHeight="1">
      <c r="A713" s="82"/>
      <c r="B713" s="205" t="str">
        <f t="shared" si="2"/>
        <v/>
      </c>
      <c r="C713" s="206" t="str">
        <f t="shared" si="3"/>
        <v/>
      </c>
      <c r="D713" s="207" t="str">
        <f t="shared" si="0"/>
        <v/>
      </c>
      <c r="E713" s="207"/>
      <c r="F713" s="205" t="str">
        <f>IF(E713="","",VLOOKUP(E713,'ARAMA LİSTELERİ'!C713:G2752,5,))</f>
        <v/>
      </c>
      <c r="G713" s="207"/>
      <c r="H713" s="210"/>
      <c r="I713" s="79"/>
      <c r="J713" s="210"/>
      <c r="K713" s="210"/>
      <c r="L713" s="210" t="str">
        <f t="shared" si="1"/>
        <v/>
      </c>
      <c r="M713" s="79"/>
      <c r="N713" s="207"/>
      <c r="O713" s="207"/>
      <c r="P713" s="207"/>
      <c r="Q713" s="207"/>
    </row>
    <row r="714" spans="1:17" ht="34.5" customHeight="1">
      <c r="A714" s="82"/>
      <c r="B714" s="205" t="str">
        <f t="shared" si="2"/>
        <v/>
      </c>
      <c r="C714" s="206" t="str">
        <f t="shared" si="3"/>
        <v/>
      </c>
      <c r="D714" s="207" t="str">
        <f t="shared" si="0"/>
        <v/>
      </c>
      <c r="E714" s="207"/>
      <c r="F714" s="205" t="str">
        <f>IF(E714="","",VLOOKUP(E714,'ARAMA LİSTELERİ'!C714:G2753,5,))</f>
        <v/>
      </c>
      <c r="G714" s="207"/>
      <c r="H714" s="210"/>
      <c r="I714" s="79"/>
      <c r="J714" s="210"/>
      <c r="K714" s="210"/>
      <c r="L714" s="210" t="str">
        <f t="shared" si="1"/>
        <v/>
      </c>
      <c r="M714" s="79"/>
      <c r="N714" s="207"/>
      <c r="O714" s="207"/>
      <c r="P714" s="207"/>
      <c r="Q714" s="207"/>
    </row>
    <row r="715" spans="1:17" ht="34.5" customHeight="1">
      <c r="A715" s="82"/>
      <c r="B715" s="205" t="str">
        <f t="shared" si="2"/>
        <v/>
      </c>
      <c r="C715" s="206" t="str">
        <f t="shared" si="3"/>
        <v/>
      </c>
      <c r="D715" s="207" t="str">
        <f t="shared" si="0"/>
        <v/>
      </c>
      <c r="E715" s="207"/>
      <c r="F715" s="205" t="str">
        <f>IF(E715="","",VLOOKUP(E715,'ARAMA LİSTELERİ'!C715:G2754,5,))</f>
        <v/>
      </c>
      <c r="G715" s="207"/>
      <c r="H715" s="210"/>
      <c r="I715" s="79"/>
      <c r="J715" s="210"/>
      <c r="K715" s="210"/>
      <c r="L715" s="210" t="str">
        <f t="shared" si="1"/>
        <v/>
      </c>
      <c r="M715" s="79"/>
      <c r="N715" s="207"/>
      <c r="O715" s="207"/>
      <c r="P715" s="207"/>
      <c r="Q715" s="207"/>
    </row>
    <row r="716" spans="1:17" ht="34.5" customHeight="1">
      <c r="A716" s="82"/>
      <c r="B716" s="205" t="str">
        <f t="shared" si="2"/>
        <v/>
      </c>
      <c r="C716" s="206" t="str">
        <f t="shared" si="3"/>
        <v/>
      </c>
      <c r="D716" s="207" t="str">
        <f t="shared" si="0"/>
        <v/>
      </c>
      <c r="E716" s="207"/>
      <c r="F716" s="205" t="str">
        <f>IF(E716="","",VLOOKUP(E716,'ARAMA LİSTELERİ'!C716:G2755,5,))</f>
        <v/>
      </c>
      <c r="G716" s="207"/>
      <c r="H716" s="210"/>
      <c r="I716" s="79"/>
      <c r="J716" s="210"/>
      <c r="K716" s="210"/>
      <c r="L716" s="210" t="str">
        <f t="shared" si="1"/>
        <v/>
      </c>
      <c r="M716" s="79"/>
      <c r="N716" s="207"/>
      <c r="O716" s="207"/>
      <c r="P716" s="207"/>
      <c r="Q716" s="207"/>
    </row>
    <row r="717" spans="1:17" ht="34.5" customHeight="1">
      <c r="A717" s="82"/>
      <c r="B717" s="205" t="str">
        <f t="shared" si="2"/>
        <v/>
      </c>
      <c r="C717" s="206" t="str">
        <f t="shared" si="3"/>
        <v/>
      </c>
      <c r="D717" s="207" t="str">
        <f t="shared" si="0"/>
        <v/>
      </c>
      <c r="E717" s="207"/>
      <c r="F717" s="205" t="str">
        <f>IF(E717="","",VLOOKUP(E717,'ARAMA LİSTELERİ'!C717:G2756,5,))</f>
        <v/>
      </c>
      <c r="G717" s="207"/>
      <c r="H717" s="210"/>
      <c r="I717" s="79"/>
      <c r="J717" s="210"/>
      <c r="K717" s="210"/>
      <c r="L717" s="210" t="str">
        <f t="shared" si="1"/>
        <v/>
      </c>
      <c r="M717" s="79"/>
      <c r="N717" s="207"/>
      <c r="O717" s="207"/>
      <c r="P717" s="207"/>
      <c r="Q717" s="207"/>
    </row>
    <row r="718" spans="1:17" ht="34.5" customHeight="1">
      <c r="A718" s="82"/>
      <c r="B718" s="205" t="str">
        <f t="shared" si="2"/>
        <v/>
      </c>
      <c r="C718" s="206" t="str">
        <f t="shared" si="3"/>
        <v/>
      </c>
      <c r="D718" s="207" t="str">
        <f t="shared" si="0"/>
        <v/>
      </c>
      <c r="E718" s="207"/>
      <c r="F718" s="205" t="str">
        <f>IF(E718="","",VLOOKUP(E718,'ARAMA LİSTELERİ'!C718:G2757,5,))</f>
        <v/>
      </c>
      <c r="G718" s="207"/>
      <c r="H718" s="210"/>
      <c r="I718" s="79"/>
      <c r="J718" s="210"/>
      <c r="K718" s="210"/>
      <c r="L718" s="210" t="str">
        <f t="shared" si="1"/>
        <v/>
      </c>
      <c r="M718" s="79"/>
      <c r="N718" s="207"/>
      <c r="O718" s="207"/>
      <c r="P718" s="207"/>
      <c r="Q718" s="207"/>
    </row>
    <row r="719" spans="1:17" ht="34.5" customHeight="1">
      <c r="A719" s="82"/>
      <c r="B719" s="205" t="str">
        <f t="shared" si="2"/>
        <v/>
      </c>
      <c r="C719" s="206" t="str">
        <f t="shared" si="3"/>
        <v/>
      </c>
      <c r="D719" s="207" t="str">
        <f t="shared" si="0"/>
        <v/>
      </c>
      <c r="E719" s="207"/>
      <c r="F719" s="205" t="str">
        <f>IF(E719="","",VLOOKUP(E719,'ARAMA LİSTELERİ'!C719:G2758,5,))</f>
        <v/>
      </c>
      <c r="G719" s="207"/>
      <c r="H719" s="210"/>
      <c r="I719" s="79"/>
      <c r="J719" s="210"/>
      <c r="K719" s="210"/>
      <c r="L719" s="210" t="str">
        <f t="shared" si="1"/>
        <v/>
      </c>
      <c r="M719" s="79"/>
      <c r="N719" s="207"/>
      <c r="O719" s="207"/>
      <c r="P719" s="207"/>
      <c r="Q719" s="207"/>
    </row>
    <row r="720" spans="1:17" ht="34.5" customHeight="1">
      <c r="A720" s="82"/>
      <c r="B720" s="205" t="str">
        <f t="shared" si="2"/>
        <v/>
      </c>
      <c r="C720" s="206" t="str">
        <f t="shared" si="3"/>
        <v/>
      </c>
      <c r="D720" s="207" t="str">
        <f t="shared" si="0"/>
        <v/>
      </c>
      <c r="E720" s="207"/>
      <c r="F720" s="205" t="str">
        <f>IF(E720="","",VLOOKUP(E720,'ARAMA LİSTELERİ'!C720:G2759,5,))</f>
        <v/>
      </c>
      <c r="G720" s="207"/>
      <c r="H720" s="210"/>
      <c r="I720" s="79"/>
      <c r="J720" s="210"/>
      <c r="K720" s="210"/>
      <c r="L720" s="210" t="str">
        <f t="shared" si="1"/>
        <v/>
      </c>
      <c r="M720" s="79"/>
      <c r="N720" s="207"/>
      <c r="O720" s="207"/>
      <c r="P720" s="207"/>
      <c r="Q720" s="207"/>
    </row>
    <row r="721" spans="1:17" ht="34.5" customHeight="1">
      <c r="A721" s="82"/>
      <c r="B721" s="205" t="str">
        <f t="shared" si="2"/>
        <v/>
      </c>
      <c r="C721" s="206" t="str">
        <f t="shared" si="3"/>
        <v/>
      </c>
      <c r="D721" s="207" t="str">
        <f t="shared" si="0"/>
        <v/>
      </c>
      <c r="E721" s="207"/>
      <c r="F721" s="205" t="str">
        <f>IF(E721="","",VLOOKUP(E721,'ARAMA LİSTELERİ'!C721:G2760,5,))</f>
        <v/>
      </c>
      <c r="G721" s="207"/>
      <c r="H721" s="210"/>
      <c r="I721" s="79"/>
      <c r="J721" s="210"/>
      <c r="K721" s="210"/>
      <c r="L721" s="210" t="str">
        <f t="shared" si="1"/>
        <v/>
      </c>
      <c r="M721" s="79"/>
      <c r="N721" s="207"/>
      <c r="O721" s="207"/>
      <c r="P721" s="207"/>
      <c r="Q721" s="207"/>
    </row>
    <row r="722" spans="1:17" ht="34.5" customHeight="1">
      <c r="A722" s="82"/>
      <c r="B722" s="205" t="str">
        <f t="shared" si="2"/>
        <v/>
      </c>
      <c r="C722" s="206" t="str">
        <f t="shared" si="3"/>
        <v/>
      </c>
      <c r="D722" s="207" t="str">
        <f t="shared" si="0"/>
        <v/>
      </c>
      <c r="E722" s="207"/>
      <c r="F722" s="205" t="str">
        <f>IF(E722="","",VLOOKUP(E722,'ARAMA LİSTELERİ'!C722:G2761,5,))</f>
        <v/>
      </c>
      <c r="G722" s="207"/>
      <c r="H722" s="210"/>
      <c r="I722" s="79"/>
      <c r="J722" s="210"/>
      <c r="K722" s="210"/>
      <c r="L722" s="210" t="str">
        <f t="shared" si="1"/>
        <v/>
      </c>
      <c r="M722" s="79"/>
      <c r="N722" s="207"/>
      <c r="O722" s="207"/>
      <c r="P722" s="207"/>
      <c r="Q722" s="207"/>
    </row>
    <row r="723" spans="1:17" ht="34.5" customHeight="1">
      <c r="A723" s="82"/>
      <c r="B723" s="205" t="str">
        <f t="shared" si="2"/>
        <v/>
      </c>
      <c r="C723" s="206" t="str">
        <f t="shared" si="3"/>
        <v/>
      </c>
      <c r="D723" s="207" t="str">
        <f t="shared" si="0"/>
        <v/>
      </c>
      <c r="E723" s="207"/>
      <c r="F723" s="205" t="str">
        <f>IF(E723="","",VLOOKUP(E723,'ARAMA LİSTELERİ'!C723:G2762,5,))</f>
        <v/>
      </c>
      <c r="G723" s="207"/>
      <c r="H723" s="210"/>
      <c r="I723" s="79"/>
      <c r="J723" s="210"/>
      <c r="K723" s="210"/>
      <c r="L723" s="210" t="str">
        <f t="shared" si="1"/>
        <v/>
      </c>
      <c r="M723" s="79"/>
      <c r="N723" s="207"/>
      <c r="O723" s="207"/>
      <c r="P723" s="207"/>
      <c r="Q723" s="207"/>
    </row>
    <row r="724" spans="1:17" ht="34.5" customHeight="1">
      <c r="A724" s="82"/>
      <c r="B724" s="205" t="str">
        <f t="shared" si="2"/>
        <v/>
      </c>
      <c r="C724" s="206" t="str">
        <f t="shared" si="3"/>
        <v/>
      </c>
      <c r="D724" s="207" t="str">
        <f t="shared" si="0"/>
        <v/>
      </c>
      <c r="E724" s="207"/>
      <c r="F724" s="205" t="str">
        <f>IF(E724="","",VLOOKUP(E724,'ARAMA LİSTELERİ'!C724:G2763,5,))</f>
        <v/>
      </c>
      <c r="G724" s="207"/>
      <c r="H724" s="210"/>
      <c r="I724" s="79"/>
      <c r="J724" s="210"/>
      <c r="K724" s="210"/>
      <c r="L724" s="210" t="str">
        <f t="shared" si="1"/>
        <v/>
      </c>
      <c r="M724" s="79"/>
      <c r="N724" s="207"/>
      <c r="O724" s="207"/>
      <c r="P724" s="207"/>
      <c r="Q724" s="207"/>
    </row>
    <row r="725" spans="1:17" ht="34.5" customHeight="1">
      <c r="A725" s="82"/>
      <c r="B725" s="205" t="str">
        <f t="shared" si="2"/>
        <v/>
      </c>
      <c r="C725" s="206" t="str">
        <f t="shared" si="3"/>
        <v/>
      </c>
      <c r="D725" s="207" t="str">
        <f t="shared" si="0"/>
        <v/>
      </c>
      <c r="E725" s="207"/>
      <c r="F725" s="205" t="str">
        <f>IF(E725="","",VLOOKUP(E725,'ARAMA LİSTELERİ'!C725:G2764,5,))</f>
        <v/>
      </c>
      <c r="G725" s="207"/>
      <c r="H725" s="210"/>
      <c r="I725" s="79"/>
      <c r="J725" s="210"/>
      <c r="K725" s="210"/>
      <c r="L725" s="210" t="str">
        <f t="shared" si="1"/>
        <v/>
      </c>
      <c r="M725" s="79"/>
      <c r="N725" s="207"/>
      <c r="O725" s="207"/>
      <c r="P725" s="207"/>
      <c r="Q725" s="207"/>
    </row>
    <row r="726" spans="1:17" ht="34.5" customHeight="1">
      <c r="A726" s="82"/>
      <c r="B726" s="205" t="str">
        <f t="shared" si="2"/>
        <v/>
      </c>
      <c r="C726" s="206" t="str">
        <f t="shared" si="3"/>
        <v/>
      </c>
      <c r="D726" s="207" t="str">
        <f t="shared" si="0"/>
        <v/>
      </c>
      <c r="E726" s="207"/>
      <c r="F726" s="205" t="str">
        <f>IF(E726="","",VLOOKUP(E726,'ARAMA LİSTELERİ'!C726:G2765,5,))</f>
        <v/>
      </c>
      <c r="G726" s="207"/>
      <c r="H726" s="210"/>
      <c r="I726" s="79"/>
      <c r="J726" s="210"/>
      <c r="K726" s="210"/>
      <c r="L726" s="210" t="str">
        <f t="shared" si="1"/>
        <v/>
      </c>
      <c r="M726" s="79"/>
      <c r="N726" s="207"/>
      <c r="O726" s="207"/>
      <c r="P726" s="207"/>
      <c r="Q726" s="207"/>
    </row>
    <row r="727" spans="1:17" ht="34.5" customHeight="1">
      <c r="A727" s="82"/>
      <c r="B727" s="205" t="str">
        <f t="shared" si="2"/>
        <v/>
      </c>
      <c r="C727" s="206" t="str">
        <f t="shared" si="3"/>
        <v/>
      </c>
      <c r="D727" s="207" t="str">
        <f t="shared" si="0"/>
        <v/>
      </c>
      <c r="E727" s="207"/>
      <c r="F727" s="205" t="str">
        <f>IF(E727="","",VLOOKUP(E727,'ARAMA LİSTELERİ'!C727:G2766,5,))</f>
        <v/>
      </c>
      <c r="G727" s="207"/>
      <c r="H727" s="210"/>
      <c r="I727" s="79"/>
      <c r="J727" s="210"/>
      <c r="K727" s="210"/>
      <c r="L727" s="210" t="str">
        <f t="shared" si="1"/>
        <v/>
      </c>
      <c r="M727" s="79"/>
      <c r="N727" s="207"/>
      <c r="O727" s="207"/>
      <c r="P727" s="207"/>
      <c r="Q727" s="207"/>
    </row>
    <row r="728" spans="1:17" ht="34.5" customHeight="1">
      <c r="A728" s="82"/>
      <c r="B728" s="205" t="str">
        <f t="shared" si="2"/>
        <v/>
      </c>
      <c r="C728" s="206" t="str">
        <f t="shared" si="3"/>
        <v/>
      </c>
      <c r="D728" s="207" t="str">
        <f t="shared" si="0"/>
        <v/>
      </c>
      <c r="E728" s="207"/>
      <c r="F728" s="205" t="str">
        <f>IF(E728="","",VLOOKUP(E728,'ARAMA LİSTELERİ'!C728:G2767,5,))</f>
        <v/>
      </c>
      <c r="G728" s="207"/>
      <c r="H728" s="210"/>
      <c r="I728" s="79"/>
      <c r="J728" s="210"/>
      <c r="K728" s="210"/>
      <c r="L728" s="210" t="str">
        <f t="shared" si="1"/>
        <v/>
      </c>
      <c r="M728" s="79"/>
      <c r="N728" s="207"/>
      <c r="O728" s="207"/>
      <c r="P728" s="207"/>
      <c r="Q728" s="207"/>
    </row>
    <row r="729" spans="1:17" ht="34.5" customHeight="1">
      <c r="A729" s="82"/>
      <c r="B729" s="205" t="str">
        <f t="shared" si="2"/>
        <v/>
      </c>
      <c r="C729" s="206" t="str">
        <f t="shared" si="3"/>
        <v/>
      </c>
      <c r="D729" s="207" t="str">
        <f t="shared" si="0"/>
        <v/>
      </c>
      <c r="E729" s="207"/>
      <c r="F729" s="205" t="str">
        <f>IF(E729="","",VLOOKUP(E729,'ARAMA LİSTELERİ'!C729:G2768,5,))</f>
        <v/>
      </c>
      <c r="G729" s="207"/>
      <c r="H729" s="210"/>
      <c r="I729" s="79"/>
      <c r="J729" s="210"/>
      <c r="K729" s="210"/>
      <c r="L729" s="210" t="str">
        <f t="shared" si="1"/>
        <v/>
      </c>
      <c r="M729" s="79"/>
      <c r="N729" s="207"/>
      <c r="O729" s="207"/>
      <c r="P729" s="207"/>
      <c r="Q729" s="207"/>
    </row>
    <row r="730" spans="1:17" ht="34.5" customHeight="1">
      <c r="A730" s="82"/>
      <c r="B730" s="205" t="str">
        <f t="shared" si="2"/>
        <v/>
      </c>
      <c r="C730" s="206" t="str">
        <f t="shared" si="3"/>
        <v/>
      </c>
      <c r="D730" s="207" t="str">
        <f t="shared" si="0"/>
        <v/>
      </c>
      <c r="E730" s="207"/>
      <c r="F730" s="205" t="str">
        <f>IF(E730="","",VLOOKUP(E730,'ARAMA LİSTELERİ'!C730:G2769,5,))</f>
        <v/>
      </c>
      <c r="G730" s="207"/>
      <c r="H730" s="210"/>
      <c r="I730" s="79"/>
      <c r="J730" s="210"/>
      <c r="K730" s="210"/>
      <c r="L730" s="210" t="str">
        <f t="shared" si="1"/>
        <v/>
      </c>
      <c r="M730" s="79"/>
      <c r="N730" s="207"/>
      <c r="O730" s="207"/>
      <c r="P730" s="207"/>
      <c r="Q730" s="207"/>
    </row>
    <row r="731" spans="1:17" ht="34.5" customHeight="1">
      <c r="A731" s="82"/>
      <c r="B731" s="205" t="str">
        <f t="shared" si="2"/>
        <v/>
      </c>
      <c r="C731" s="206" t="str">
        <f t="shared" si="3"/>
        <v/>
      </c>
      <c r="D731" s="207" t="str">
        <f t="shared" si="0"/>
        <v/>
      </c>
      <c r="E731" s="207"/>
      <c r="F731" s="205" t="str">
        <f>IF(E731="","",VLOOKUP(E731,'ARAMA LİSTELERİ'!C731:G2770,5,))</f>
        <v/>
      </c>
      <c r="G731" s="207"/>
      <c r="H731" s="210"/>
      <c r="I731" s="79"/>
      <c r="J731" s="210"/>
      <c r="K731" s="210"/>
      <c r="L731" s="210" t="str">
        <f t="shared" si="1"/>
        <v/>
      </c>
      <c r="M731" s="79"/>
      <c r="N731" s="207"/>
      <c r="O731" s="207"/>
      <c r="P731" s="207"/>
      <c r="Q731" s="207"/>
    </row>
    <row r="732" spans="1:17" ht="34.5" customHeight="1">
      <c r="A732" s="82"/>
      <c r="B732" s="205" t="str">
        <f t="shared" si="2"/>
        <v/>
      </c>
      <c r="C732" s="206" t="str">
        <f t="shared" si="3"/>
        <v/>
      </c>
      <c r="D732" s="207" t="str">
        <f t="shared" si="0"/>
        <v/>
      </c>
      <c r="E732" s="207"/>
      <c r="F732" s="205" t="str">
        <f>IF(E732="","",VLOOKUP(E732,'ARAMA LİSTELERİ'!C732:G2771,5,))</f>
        <v/>
      </c>
      <c r="G732" s="207"/>
      <c r="H732" s="210"/>
      <c r="I732" s="79"/>
      <c r="J732" s="210"/>
      <c r="K732" s="210"/>
      <c r="L732" s="210" t="str">
        <f t="shared" si="1"/>
        <v/>
      </c>
      <c r="M732" s="79"/>
      <c r="N732" s="207"/>
      <c r="O732" s="207"/>
      <c r="P732" s="207"/>
      <c r="Q732" s="207"/>
    </row>
    <row r="733" spans="1:17" ht="34.5" customHeight="1">
      <c r="A733" s="82"/>
      <c r="B733" s="205" t="str">
        <f t="shared" si="2"/>
        <v/>
      </c>
      <c r="C733" s="206" t="str">
        <f t="shared" si="3"/>
        <v/>
      </c>
      <c r="D733" s="207" t="str">
        <f t="shared" si="0"/>
        <v/>
      </c>
      <c r="E733" s="207"/>
      <c r="F733" s="205" t="str">
        <f>IF(E733="","",VLOOKUP(E733,'ARAMA LİSTELERİ'!C733:G2772,5,))</f>
        <v/>
      </c>
      <c r="G733" s="207"/>
      <c r="H733" s="210"/>
      <c r="I733" s="79"/>
      <c r="J733" s="210"/>
      <c r="K733" s="210"/>
      <c r="L733" s="210" t="str">
        <f t="shared" si="1"/>
        <v/>
      </c>
      <c r="M733" s="79"/>
      <c r="N733" s="207"/>
      <c r="O733" s="207"/>
      <c r="P733" s="207"/>
      <c r="Q733" s="207"/>
    </row>
    <row r="734" spans="1:17" ht="34.5" customHeight="1">
      <c r="A734" s="82"/>
      <c r="B734" s="205" t="str">
        <f t="shared" si="2"/>
        <v/>
      </c>
      <c r="C734" s="206" t="str">
        <f t="shared" si="3"/>
        <v/>
      </c>
      <c r="D734" s="207" t="str">
        <f t="shared" si="0"/>
        <v/>
      </c>
      <c r="E734" s="207"/>
      <c r="F734" s="205" t="str">
        <f>IF(E734="","",VLOOKUP(E734,'ARAMA LİSTELERİ'!C734:G2773,5,))</f>
        <v/>
      </c>
      <c r="G734" s="207"/>
      <c r="H734" s="210"/>
      <c r="I734" s="79"/>
      <c r="J734" s="210"/>
      <c r="K734" s="210"/>
      <c r="L734" s="210" t="str">
        <f t="shared" si="1"/>
        <v/>
      </c>
      <c r="M734" s="79"/>
      <c r="N734" s="207"/>
      <c r="O734" s="207"/>
      <c r="P734" s="207"/>
      <c r="Q734" s="207"/>
    </row>
    <row r="735" spans="1:17" ht="34.5" customHeight="1">
      <c r="A735" s="82"/>
      <c r="B735" s="205" t="str">
        <f t="shared" si="2"/>
        <v/>
      </c>
      <c r="C735" s="206" t="str">
        <f t="shared" si="3"/>
        <v/>
      </c>
      <c r="D735" s="207" t="str">
        <f t="shared" si="0"/>
        <v/>
      </c>
      <c r="E735" s="207"/>
      <c r="F735" s="205" t="str">
        <f>IF(E735="","",VLOOKUP(E735,'ARAMA LİSTELERİ'!C735:G2774,5,))</f>
        <v/>
      </c>
      <c r="G735" s="207"/>
      <c r="H735" s="210"/>
      <c r="I735" s="79"/>
      <c r="J735" s="210"/>
      <c r="K735" s="210"/>
      <c r="L735" s="210" t="str">
        <f t="shared" si="1"/>
        <v/>
      </c>
      <c r="M735" s="79"/>
      <c r="N735" s="207"/>
      <c r="O735" s="207"/>
      <c r="P735" s="207"/>
      <c r="Q735" s="207"/>
    </row>
    <row r="736" spans="1:17" ht="34.5" customHeight="1">
      <c r="A736" s="82"/>
      <c r="B736" s="205" t="str">
        <f t="shared" si="2"/>
        <v/>
      </c>
      <c r="C736" s="206" t="str">
        <f t="shared" si="3"/>
        <v/>
      </c>
      <c r="D736" s="207" t="str">
        <f t="shared" si="0"/>
        <v/>
      </c>
      <c r="E736" s="207"/>
      <c r="F736" s="205" t="str">
        <f>IF(E736="","",VLOOKUP(E736,'ARAMA LİSTELERİ'!C736:G2775,5,))</f>
        <v/>
      </c>
      <c r="G736" s="207"/>
      <c r="H736" s="210"/>
      <c r="I736" s="79"/>
      <c r="J736" s="210"/>
      <c r="K736" s="210"/>
      <c r="L736" s="210" t="str">
        <f t="shared" si="1"/>
        <v/>
      </c>
      <c r="M736" s="79"/>
      <c r="N736" s="207"/>
      <c r="O736" s="207"/>
      <c r="P736" s="207"/>
      <c r="Q736" s="207"/>
    </row>
    <row r="737" spans="1:17" ht="34.5" customHeight="1">
      <c r="A737" s="82"/>
      <c r="B737" s="205" t="str">
        <f t="shared" si="2"/>
        <v/>
      </c>
      <c r="C737" s="206" t="str">
        <f t="shared" si="3"/>
        <v/>
      </c>
      <c r="D737" s="207" t="str">
        <f t="shared" si="0"/>
        <v/>
      </c>
      <c r="E737" s="207"/>
      <c r="F737" s="205" t="str">
        <f>IF(E737="","",VLOOKUP(E737,'ARAMA LİSTELERİ'!C737:G2776,5,))</f>
        <v/>
      </c>
      <c r="G737" s="207"/>
      <c r="H737" s="210"/>
      <c r="I737" s="79"/>
      <c r="J737" s="210"/>
      <c r="K737" s="210"/>
      <c r="L737" s="210" t="str">
        <f t="shared" si="1"/>
        <v/>
      </c>
      <c r="M737" s="79"/>
      <c r="N737" s="207"/>
      <c r="O737" s="207"/>
      <c r="P737" s="207"/>
      <c r="Q737" s="207"/>
    </row>
    <row r="738" spans="1:17" ht="34.5" customHeight="1">
      <c r="A738" s="82"/>
      <c r="B738" s="205" t="str">
        <f t="shared" si="2"/>
        <v/>
      </c>
      <c r="C738" s="206" t="str">
        <f t="shared" si="3"/>
        <v/>
      </c>
      <c r="D738" s="207" t="str">
        <f t="shared" si="0"/>
        <v/>
      </c>
      <c r="E738" s="207"/>
      <c r="F738" s="205" t="str">
        <f>IF(E738="","",VLOOKUP(E738,'ARAMA LİSTELERİ'!C738:G2777,5,))</f>
        <v/>
      </c>
      <c r="G738" s="207"/>
      <c r="H738" s="210"/>
      <c r="I738" s="79"/>
      <c r="J738" s="210"/>
      <c r="K738" s="210"/>
      <c r="L738" s="210" t="str">
        <f t="shared" si="1"/>
        <v/>
      </c>
      <c r="M738" s="79"/>
      <c r="N738" s="207"/>
      <c r="O738" s="207"/>
      <c r="P738" s="207"/>
      <c r="Q738" s="207"/>
    </row>
    <row r="739" spans="1:17" ht="34.5" customHeight="1">
      <c r="A739" s="82"/>
      <c r="B739" s="205" t="str">
        <f t="shared" si="2"/>
        <v/>
      </c>
      <c r="C739" s="206" t="str">
        <f t="shared" si="3"/>
        <v/>
      </c>
      <c r="D739" s="207" t="str">
        <f t="shared" si="0"/>
        <v/>
      </c>
      <c r="E739" s="207"/>
      <c r="F739" s="205" t="str">
        <f>IF(E739="","",VLOOKUP(E739,'ARAMA LİSTELERİ'!C739:G2778,5,))</f>
        <v/>
      </c>
      <c r="G739" s="207"/>
      <c r="H739" s="210"/>
      <c r="I739" s="79"/>
      <c r="J739" s="210"/>
      <c r="K739" s="210"/>
      <c r="L739" s="210" t="str">
        <f t="shared" si="1"/>
        <v/>
      </c>
      <c r="M739" s="79"/>
      <c r="N739" s="207"/>
      <c r="O739" s="207"/>
      <c r="P739" s="207"/>
      <c r="Q739" s="207"/>
    </row>
    <row r="740" spans="1:17" ht="34.5" customHeight="1">
      <c r="A740" s="82"/>
      <c r="B740" s="205" t="str">
        <f t="shared" si="2"/>
        <v/>
      </c>
      <c r="C740" s="206" t="str">
        <f t="shared" si="3"/>
        <v/>
      </c>
      <c r="D740" s="207" t="str">
        <f t="shared" si="0"/>
        <v/>
      </c>
      <c r="E740" s="207"/>
      <c r="F740" s="205" t="str">
        <f>IF(E740="","",VLOOKUP(E740,'ARAMA LİSTELERİ'!C740:G2779,5,))</f>
        <v/>
      </c>
      <c r="G740" s="207"/>
      <c r="H740" s="210"/>
      <c r="I740" s="79"/>
      <c r="J740" s="210"/>
      <c r="K740" s="210"/>
      <c r="L740" s="210" t="str">
        <f t="shared" si="1"/>
        <v/>
      </c>
      <c r="M740" s="79"/>
      <c r="N740" s="207"/>
      <c r="O740" s="207"/>
      <c r="P740" s="207"/>
      <c r="Q740" s="207"/>
    </row>
    <row r="741" spans="1:17" ht="34.5" customHeight="1">
      <c r="A741" s="82"/>
      <c r="B741" s="205" t="str">
        <f t="shared" si="2"/>
        <v/>
      </c>
      <c r="C741" s="206" t="str">
        <f t="shared" si="3"/>
        <v/>
      </c>
      <c r="D741" s="207" t="str">
        <f t="shared" si="0"/>
        <v/>
      </c>
      <c r="E741" s="207"/>
      <c r="F741" s="205" t="str">
        <f>IF(E741="","",VLOOKUP(E741,'ARAMA LİSTELERİ'!C741:G2780,5,))</f>
        <v/>
      </c>
      <c r="G741" s="207"/>
      <c r="H741" s="210"/>
      <c r="I741" s="79"/>
      <c r="J741" s="210"/>
      <c r="K741" s="210"/>
      <c r="L741" s="210" t="str">
        <f t="shared" si="1"/>
        <v/>
      </c>
      <c r="M741" s="79"/>
      <c r="N741" s="207"/>
      <c r="O741" s="207"/>
      <c r="P741" s="207"/>
      <c r="Q741" s="207"/>
    </row>
    <row r="742" spans="1:17" ht="34.5" customHeight="1">
      <c r="A742" s="82"/>
      <c r="B742" s="205" t="str">
        <f t="shared" si="2"/>
        <v/>
      </c>
      <c r="C742" s="206" t="str">
        <f t="shared" si="3"/>
        <v/>
      </c>
      <c r="D742" s="207" t="str">
        <f t="shared" si="0"/>
        <v/>
      </c>
      <c r="E742" s="207"/>
      <c r="F742" s="205" t="str">
        <f>IF(E742="","",VLOOKUP(E742,'ARAMA LİSTELERİ'!C742:G2781,5,))</f>
        <v/>
      </c>
      <c r="G742" s="207"/>
      <c r="H742" s="210"/>
      <c r="I742" s="79"/>
      <c r="J742" s="210"/>
      <c r="K742" s="210"/>
      <c r="L742" s="210" t="str">
        <f t="shared" si="1"/>
        <v/>
      </c>
      <c r="M742" s="79"/>
      <c r="N742" s="207"/>
      <c r="O742" s="207"/>
      <c r="P742" s="207"/>
      <c r="Q742" s="207"/>
    </row>
    <row r="743" spans="1:17" ht="34.5" customHeight="1">
      <c r="A743" s="82"/>
      <c r="B743" s="205" t="str">
        <f t="shared" si="2"/>
        <v/>
      </c>
      <c r="C743" s="206" t="str">
        <f t="shared" si="3"/>
        <v/>
      </c>
      <c r="D743" s="207" t="str">
        <f t="shared" si="0"/>
        <v/>
      </c>
      <c r="E743" s="207"/>
      <c r="F743" s="205" t="str">
        <f>IF(E743="","",VLOOKUP(E743,'ARAMA LİSTELERİ'!C743:G2782,5,))</f>
        <v/>
      </c>
      <c r="G743" s="207"/>
      <c r="H743" s="210"/>
      <c r="I743" s="79"/>
      <c r="J743" s="210"/>
      <c r="K743" s="210"/>
      <c r="L743" s="210" t="str">
        <f t="shared" si="1"/>
        <v/>
      </c>
      <c r="M743" s="79"/>
      <c r="N743" s="207"/>
      <c r="O743" s="207"/>
      <c r="P743" s="207"/>
      <c r="Q743" s="207"/>
    </row>
    <row r="744" spans="1:17" ht="34.5" customHeight="1">
      <c r="A744" s="82"/>
      <c r="B744" s="205" t="str">
        <f t="shared" si="2"/>
        <v/>
      </c>
      <c r="C744" s="206" t="str">
        <f t="shared" si="3"/>
        <v/>
      </c>
      <c r="D744" s="207" t="str">
        <f t="shared" si="0"/>
        <v/>
      </c>
      <c r="E744" s="207"/>
      <c r="F744" s="205" t="str">
        <f>IF(E744="","",VLOOKUP(E744,'ARAMA LİSTELERİ'!C744:G2783,5,))</f>
        <v/>
      </c>
      <c r="G744" s="207"/>
      <c r="H744" s="210"/>
      <c r="I744" s="79"/>
      <c r="J744" s="210"/>
      <c r="K744" s="210"/>
      <c r="L744" s="210" t="str">
        <f t="shared" si="1"/>
        <v/>
      </c>
      <c r="M744" s="79"/>
      <c r="N744" s="207"/>
      <c r="O744" s="207"/>
      <c r="P744" s="207"/>
      <c r="Q744" s="207"/>
    </row>
    <row r="745" spans="1:17" ht="34.5" customHeight="1">
      <c r="A745" s="82"/>
      <c r="B745" s="205" t="str">
        <f t="shared" si="2"/>
        <v/>
      </c>
      <c r="C745" s="206" t="str">
        <f t="shared" si="3"/>
        <v/>
      </c>
      <c r="D745" s="207" t="str">
        <f t="shared" si="0"/>
        <v/>
      </c>
      <c r="E745" s="207"/>
      <c r="F745" s="205" t="str">
        <f>IF(E745="","",VLOOKUP(E745,'ARAMA LİSTELERİ'!C745:G2784,5,))</f>
        <v/>
      </c>
      <c r="G745" s="207"/>
      <c r="H745" s="210"/>
      <c r="I745" s="79"/>
      <c r="J745" s="210"/>
      <c r="K745" s="210"/>
      <c r="L745" s="210" t="str">
        <f t="shared" si="1"/>
        <v/>
      </c>
      <c r="M745" s="79"/>
      <c r="N745" s="207"/>
      <c r="O745" s="207"/>
      <c r="P745" s="207"/>
      <c r="Q745" s="207"/>
    </row>
    <row r="746" spans="1:17" ht="34.5" customHeight="1">
      <c r="A746" s="82"/>
      <c r="B746" s="205" t="str">
        <f t="shared" si="2"/>
        <v/>
      </c>
      <c r="C746" s="206" t="str">
        <f t="shared" si="3"/>
        <v/>
      </c>
      <c r="D746" s="207" t="str">
        <f t="shared" si="0"/>
        <v/>
      </c>
      <c r="E746" s="207"/>
      <c r="F746" s="205" t="str">
        <f>IF(E746="","",VLOOKUP(E746,'ARAMA LİSTELERİ'!C746:G2785,5,))</f>
        <v/>
      </c>
      <c r="G746" s="207"/>
      <c r="H746" s="210"/>
      <c r="I746" s="79"/>
      <c r="J746" s="210"/>
      <c r="K746" s="210"/>
      <c r="L746" s="210" t="str">
        <f t="shared" si="1"/>
        <v/>
      </c>
      <c r="M746" s="79"/>
      <c r="N746" s="207"/>
      <c r="O746" s="207"/>
      <c r="P746" s="207"/>
      <c r="Q746" s="207"/>
    </row>
    <row r="747" spans="1:17" ht="34.5" customHeight="1">
      <c r="A747" s="82"/>
      <c r="B747" s="205" t="str">
        <f t="shared" si="2"/>
        <v/>
      </c>
      <c r="C747" s="206" t="str">
        <f t="shared" si="3"/>
        <v/>
      </c>
      <c r="D747" s="207" t="str">
        <f t="shared" si="0"/>
        <v/>
      </c>
      <c r="E747" s="207"/>
      <c r="F747" s="205" t="str">
        <f>IF(E747="","",VLOOKUP(E747,'ARAMA LİSTELERİ'!C747:G2786,5,))</f>
        <v/>
      </c>
      <c r="G747" s="207"/>
      <c r="H747" s="210"/>
      <c r="I747" s="79"/>
      <c r="J747" s="210"/>
      <c r="K747" s="210"/>
      <c r="L747" s="210" t="str">
        <f t="shared" si="1"/>
        <v/>
      </c>
      <c r="M747" s="79"/>
      <c r="N747" s="207"/>
      <c r="O747" s="207"/>
      <c r="P747" s="207"/>
      <c r="Q747" s="207"/>
    </row>
    <row r="748" spans="1:17" ht="34.5" customHeight="1">
      <c r="A748" s="82"/>
      <c r="B748" s="205" t="str">
        <f t="shared" si="2"/>
        <v/>
      </c>
      <c r="C748" s="206" t="str">
        <f t="shared" si="3"/>
        <v/>
      </c>
      <c r="D748" s="207" t="str">
        <f t="shared" si="0"/>
        <v/>
      </c>
      <c r="E748" s="207"/>
      <c r="F748" s="205" t="str">
        <f>IF(E748="","",VLOOKUP(E748,'ARAMA LİSTELERİ'!C748:G2787,5,))</f>
        <v/>
      </c>
      <c r="G748" s="207"/>
      <c r="H748" s="210"/>
      <c r="I748" s="79"/>
      <c r="J748" s="210"/>
      <c r="K748" s="210"/>
      <c r="L748" s="210" t="str">
        <f t="shared" si="1"/>
        <v/>
      </c>
      <c r="M748" s="79"/>
      <c r="N748" s="207"/>
      <c r="O748" s="207"/>
      <c r="P748" s="207"/>
      <c r="Q748" s="207"/>
    </row>
    <row r="749" spans="1:17" ht="34.5" customHeight="1">
      <c r="A749" s="82"/>
      <c r="B749" s="205" t="str">
        <f t="shared" si="2"/>
        <v/>
      </c>
      <c r="C749" s="206" t="str">
        <f t="shared" si="3"/>
        <v/>
      </c>
      <c r="D749" s="207" t="str">
        <f t="shared" si="0"/>
        <v/>
      </c>
      <c r="E749" s="207"/>
      <c r="F749" s="205" t="str">
        <f>IF(E749="","",VLOOKUP(E749,'ARAMA LİSTELERİ'!C749:G2788,5,))</f>
        <v/>
      </c>
      <c r="G749" s="207"/>
      <c r="H749" s="210"/>
      <c r="I749" s="79"/>
      <c r="J749" s="210"/>
      <c r="K749" s="210"/>
      <c r="L749" s="210" t="str">
        <f t="shared" si="1"/>
        <v/>
      </c>
      <c r="M749" s="79"/>
      <c r="N749" s="207"/>
      <c r="O749" s="207"/>
      <c r="P749" s="207"/>
      <c r="Q749" s="207"/>
    </row>
    <row r="750" spans="1:17" ht="34.5" customHeight="1">
      <c r="A750" s="82"/>
      <c r="B750" s="205" t="str">
        <f t="shared" si="2"/>
        <v/>
      </c>
      <c r="C750" s="206" t="str">
        <f t="shared" si="3"/>
        <v/>
      </c>
      <c r="D750" s="207" t="str">
        <f t="shared" si="0"/>
        <v/>
      </c>
      <c r="E750" s="207"/>
      <c r="F750" s="205" t="str">
        <f>IF(E750="","",VLOOKUP(E750,'ARAMA LİSTELERİ'!C750:G2789,5,))</f>
        <v/>
      </c>
      <c r="G750" s="207"/>
      <c r="H750" s="210"/>
      <c r="I750" s="79"/>
      <c r="J750" s="210"/>
      <c r="K750" s="210"/>
      <c r="L750" s="210" t="str">
        <f t="shared" si="1"/>
        <v/>
      </c>
      <c r="M750" s="79"/>
      <c r="N750" s="207"/>
      <c r="O750" s="207"/>
      <c r="P750" s="207"/>
      <c r="Q750" s="207"/>
    </row>
    <row r="751" spans="1:17" ht="34.5" customHeight="1">
      <c r="A751" s="82"/>
      <c r="B751" s="205" t="str">
        <f t="shared" si="2"/>
        <v/>
      </c>
      <c r="C751" s="206" t="str">
        <f t="shared" si="3"/>
        <v/>
      </c>
      <c r="D751" s="207" t="str">
        <f t="shared" si="0"/>
        <v/>
      </c>
      <c r="E751" s="207"/>
      <c r="F751" s="205" t="str">
        <f>IF(E751="","",VLOOKUP(E751,'ARAMA LİSTELERİ'!C751:G2790,5,))</f>
        <v/>
      </c>
      <c r="G751" s="207"/>
      <c r="H751" s="210"/>
      <c r="I751" s="79"/>
      <c r="J751" s="210"/>
      <c r="K751" s="210"/>
      <c r="L751" s="210" t="str">
        <f t="shared" si="1"/>
        <v/>
      </c>
      <c r="M751" s="79"/>
      <c r="N751" s="207"/>
      <c r="O751" s="207"/>
      <c r="P751" s="207"/>
      <c r="Q751" s="207"/>
    </row>
    <row r="752" spans="1:17" ht="34.5" customHeight="1">
      <c r="A752" s="82"/>
      <c r="B752" s="205" t="str">
        <f t="shared" si="2"/>
        <v/>
      </c>
      <c r="C752" s="206" t="str">
        <f t="shared" si="3"/>
        <v/>
      </c>
      <c r="D752" s="207" t="str">
        <f t="shared" si="0"/>
        <v/>
      </c>
      <c r="E752" s="207"/>
      <c r="F752" s="205" t="str">
        <f>IF(E752="","",VLOOKUP(E752,'ARAMA LİSTELERİ'!C752:G2791,5,))</f>
        <v/>
      </c>
      <c r="G752" s="207"/>
      <c r="H752" s="210"/>
      <c r="I752" s="79"/>
      <c r="J752" s="210"/>
      <c r="K752" s="210"/>
      <c r="L752" s="210" t="str">
        <f t="shared" si="1"/>
        <v/>
      </c>
      <c r="M752" s="79"/>
      <c r="N752" s="207"/>
      <c r="O752" s="207"/>
      <c r="P752" s="207"/>
      <c r="Q752" s="207"/>
    </row>
    <row r="753" spans="1:17" ht="34.5" customHeight="1">
      <c r="A753" s="82"/>
      <c r="B753" s="205" t="str">
        <f t="shared" si="2"/>
        <v/>
      </c>
      <c r="C753" s="206" t="str">
        <f t="shared" si="3"/>
        <v/>
      </c>
      <c r="D753" s="207" t="str">
        <f t="shared" si="0"/>
        <v/>
      </c>
      <c r="E753" s="207"/>
      <c r="F753" s="205" t="str">
        <f>IF(E753="","",VLOOKUP(E753,'ARAMA LİSTELERİ'!C753:G2792,5,))</f>
        <v/>
      </c>
      <c r="G753" s="207"/>
      <c r="H753" s="210"/>
      <c r="I753" s="79"/>
      <c r="J753" s="210"/>
      <c r="K753" s="210"/>
      <c r="L753" s="210" t="str">
        <f t="shared" si="1"/>
        <v/>
      </c>
      <c r="M753" s="79"/>
      <c r="N753" s="207"/>
      <c r="O753" s="207"/>
      <c r="P753" s="207"/>
      <c r="Q753" s="207"/>
    </row>
    <row r="754" spans="1:17" ht="34.5" customHeight="1">
      <c r="A754" s="82"/>
      <c r="B754" s="205" t="str">
        <f t="shared" si="2"/>
        <v/>
      </c>
      <c r="C754" s="206" t="str">
        <f t="shared" si="3"/>
        <v/>
      </c>
      <c r="D754" s="207" t="str">
        <f t="shared" si="0"/>
        <v/>
      </c>
      <c r="E754" s="207"/>
      <c r="F754" s="205" t="str">
        <f>IF(E754="","",VLOOKUP(E754,'ARAMA LİSTELERİ'!C754:G2793,5,))</f>
        <v/>
      </c>
      <c r="G754" s="207"/>
      <c r="H754" s="210"/>
      <c r="I754" s="79"/>
      <c r="J754" s="210"/>
      <c r="K754" s="210"/>
      <c r="L754" s="210" t="str">
        <f t="shared" si="1"/>
        <v/>
      </c>
      <c r="M754" s="79"/>
      <c r="N754" s="207"/>
      <c r="O754" s="207"/>
      <c r="P754" s="207"/>
      <c r="Q754" s="207"/>
    </row>
    <row r="755" spans="1:17" ht="34.5" customHeight="1">
      <c r="A755" s="82"/>
      <c r="B755" s="205" t="str">
        <f t="shared" si="2"/>
        <v/>
      </c>
      <c r="C755" s="206" t="str">
        <f t="shared" si="3"/>
        <v/>
      </c>
      <c r="D755" s="207" t="str">
        <f t="shared" si="0"/>
        <v/>
      </c>
      <c r="E755" s="207"/>
      <c r="F755" s="205" t="str">
        <f>IF(E755="","",VLOOKUP(E755,'ARAMA LİSTELERİ'!C755:G2794,5,))</f>
        <v/>
      </c>
      <c r="G755" s="207"/>
      <c r="H755" s="210"/>
      <c r="I755" s="79"/>
      <c r="J755" s="210"/>
      <c r="K755" s="210"/>
      <c r="L755" s="210" t="str">
        <f t="shared" si="1"/>
        <v/>
      </c>
      <c r="M755" s="79"/>
      <c r="N755" s="207"/>
      <c r="O755" s="207"/>
      <c r="P755" s="207"/>
      <c r="Q755" s="207"/>
    </row>
    <row r="756" spans="1:17" ht="34.5" customHeight="1">
      <c r="A756" s="82"/>
      <c r="B756" s="205" t="str">
        <f t="shared" si="2"/>
        <v/>
      </c>
      <c r="C756" s="206" t="str">
        <f t="shared" si="3"/>
        <v/>
      </c>
      <c r="D756" s="207" t="str">
        <f t="shared" si="0"/>
        <v/>
      </c>
      <c r="E756" s="207"/>
      <c r="F756" s="205" t="str">
        <f>IF(E756="","",VLOOKUP(E756,'ARAMA LİSTELERİ'!C756:G2795,5,))</f>
        <v/>
      </c>
      <c r="G756" s="207"/>
      <c r="H756" s="210"/>
      <c r="I756" s="79"/>
      <c r="J756" s="210"/>
      <c r="K756" s="210"/>
      <c r="L756" s="210" t="str">
        <f t="shared" si="1"/>
        <v/>
      </c>
      <c r="M756" s="79"/>
      <c r="N756" s="207"/>
      <c r="O756" s="207"/>
      <c r="P756" s="207"/>
      <c r="Q756" s="207"/>
    </row>
    <row r="757" spans="1:17" ht="34.5" customHeight="1">
      <c r="A757" s="82"/>
      <c r="B757" s="205" t="str">
        <f t="shared" si="2"/>
        <v/>
      </c>
      <c r="C757" s="206" t="str">
        <f t="shared" si="3"/>
        <v/>
      </c>
      <c r="D757" s="207" t="str">
        <f t="shared" si="0"/>
        <v/>
      </c>
      <c r="E757" s="207"/>
      <c r="F757" s="205" t="str">
        <f>IF(E757="","",VLOOKUP(E757,'ARAMA LİSTELERİ'!C757:G2796,5,))</f>
        <v/>
      </c>
      <c r="G757" s="207"/>
      <c r="H757" s="210"/>
      <c r="I757" s="79"/>
      <c r="J757" s="210"/>
      <c r="K757" s="210"/>
      <c r="L757" s="210" t="str">
        <f t="shared" si="1"/>
        <v/>
      </c>
      <c r="M757" s="79"/>
      <c r="N757" s="207"/>
      <c r="O757" s="207"/>
      <c r="P757" s="207"/>
      <c r="Q757" s="207"/>
    </row>
    <row r="758" spans="1:17" ht="34.5" customHeight="1">
      <c r="A758" s="82"/>
      <c r="B758" s="205" t="str">
        <f t="shared" si="2"/>
        <v/>
      </c>
      <c r="C758" s="206" t="str">
        <f t="shared" si="3"/>
        <v/>
      </c>
      <c r="D758" s="207" t="str">
        <f t="shared" si="0"/>
        <v/>
      </c>
      <c r="E758" s="207"/>
      <c r="F758" s="205" t="str">
        <f>IF(E758="","",VLOOKUP(E758,'ARAMA LİSTELERİ'!C758:G2797,5,))</f>
        <v/>
      </c>
      <c r="G758" s="207"/>
      <c r="H758" s="210"/>
      <c r="I758" s="79"/>
      <c r="J758" s="210"/>
      <c r="K758" s="210"/>
      <c r="L758" s="210" t="str">
        <f t="shared" si="1"/>
        <v/>
      </c>
      <c r="M758" s="79"/>
      <c r="N758" s="207"/>
      <c r="O758" s="207"/>
      <c r="P758" s="207"/>
      <c r="Q758" s="207"/>
    </row>
    <row r="759" spans="1:17" ht="34.5" customHeight="1">
      <c r="A759" s="82"/>
      <c r="B759" s="205" t="str">
        <f t="shared" si="2"/>
        <v/>
      </c>
      <c r="C759" s="206" t="str">
        <f t="shared" si="3"/>
        <v/>
      </c>
      <c r="D759" s="207" t="str">
        <f t="shared" si="0"/>
        <v/>
      </c>
      <c r="E759" s="207"/>
      <c r="F759" s="205" t="str">
        <f>IF(E759="","",VLOOKUP(E759,'ARAMA LİSTELERİ'!C759:G2798,5,))</f>
        <v/>
      </c>
      <c r="G759" s="207"/>
      <c r="H759" s="210"/>
      <c r="I759" s="79"/>
      <c r="J759" s="210"/>
      <c r="K759" s="210"/>
      <c r="L759" s="210" t="str">
        <f t="shared" si="1"/>
        <v/>
      </c>
      <c r="M759" s="79"/>
      <c r="N759" s="207"/>
      <c r="O759" s="207"/>
      <c r="P759" s="207"/>
      <c r="Q759" s="207"/>
    </row>
    <row r="760" spans="1:17" ht="34.5" customHeight="1">
      <c r="A760" s="82"/>
      <c r="B760" s="205" t="str">
        <f t="shared" si="2"/>
        <v/>
      </c>
      <c r="C760" s="206" t="str">
        <f t="shared" si="3"/>
        <v/>
      </c>
      <c r="D760" s="207" t="str">
        <f t="shared" si="0"/>
        <v/>
      </c>
      <c r="E760" s="207"/>
      <c r="F760" s="205" t="str">
        <f>IF(E760="","",VLOOKUP(E760,'ARAMA LİSTELERİ'!C760:G2799,5,))</f>
        <v/>
      </c>
      <c r="G760" s="207"/>
      <c r="H760" s="210"/>
      <c r="I760" s="79"/>
      <c r="J760" s="210"/>
      <c r="K760" s="210"/>
      <c r="L760" s="210" t="str">
        <f t="shared" si="1"/>
        <v/>
      </c>
      <c r="M760" s="79"/>
      <c r="N760" s="207"/>
      <c r="O760" s="207"/>
      <c r="P760" s="207"/>
      <c r="Q760" s="207"/>
    </row>
    <row r="761" spans="1:17" ht="34.5" customHeight="1">
      <c r="A761" s="82"/>
      <c r="B761" s="205" t="str">
        <f t="shared" si="2"/>
        <v/>
      </c>
      <c r="C761" s="206" t="str">
        <f t="shared" si="3"/>
        <v/>
      </c>
      <c r="D761" s="207" t="str">
        <f t="shared" si="0"/>
        <v/>
      </c>
      <c r="E761" s="207"/>
      <c r="F761" s="205" t="str">
        <f>IF(E761="","",VLOOKUP(E761,'ARAMA LİSTELERİ'!C761:G2800,5,))</f>
        <v/>
      </c>
      <c r="G761" s="207"/>
      <c r="H761" s="210"/>
      <c r="I761" s="79"/>
      <c r="J761" s="210"/>
      <c r="K761" s="210"/>
      <c r="L761" s="210" t="str">
        <f t="shared" si="1"/>
        <v/>
      </c>
      <c r="M761" s="79"/>
      <c r="N761" s="207"/>
      <c r="O761" s="207"/>
      <c r="P761" s="207"/>
      <c r="Q761" s="207"/>
    </row>
    <row r="762" spans="1:17" ht="34.5" customHeight="1">
      <c r="A762" s="82"/>
      <c r="B762" s="205" t="str">
        <f t="shared" si="2"/>
        <v/>
      </c>
      <c r="C762" s="206" t="str">
        <f t="shared" si="3"/>
        <v/>
      </c>
      <c r="D762" s="207" t="str">
        <f t="shared" si="0"/>
        <v/>
      </c>
      <c r="E762" s="207"/>
      <c r="F762" s="205" t="str">
        <f>IF(E762="","",VLOOKUP(E762,'ARAMA LİSTELERİ'!C762:G2801,5,))</f>
        <v/>
      </c>
      <c r="G762" s="207"/>
      <c r="H762" s="210"/>
      <c r="I762" s="79"/>
      <c r="J762" s="210"/>
      <c r="K762" s="210"/>
      <c r="L762" s="210" t="str">
        <f t="shared" si="1"/>
        <v/>
      </c>
      <c r="M762" s="79"/>
      <c r="N762" s="207"/>
      <c r="O762" s="207"/>
      <c r="P762" s="207"/>
      <c r="Q762" s="207"/>
    </row>
    <row r="763" spans="1:17" ht="34.5" customHeight="1">
      <c r="A763" s="82"/>
      <c r="B763" s="205" t="str">
        <f t="shared" si="2"/>
        <v/>
      </c>
      <c r="C763" s="206" t="str">
        <f t="shared" si="3"/>
        <v/>
      </c>
      <c r="D763" s="207" t="str">
        <f t="shared" si="0"/>
        <v/>
      </c>
      <c r="E763" s="207"/>
      <c r="F763" s="205" t="str">
        <f>IF(E763="","",VLOOKUP(E763,'ARAMA LİSTELERİ'!C763:G2802,5,))</f>
        <v/>
      </c>
      <c r="G763" s="207"/>
      <c r="H763" s="210"/>
      <c r="I763" s="79"/>
      <c r="J763" s="210"/>
      <c r="K763" s="210"/>
      <c r="L763" s="210" t="str">
        <f t="shared" si="1"/>
        <v/>
      </c>
      <c r="M763" s="79"/>
      <c r="N763" s="207"/>
      <c r="O763" s="207"/>
      <c r="P763" s="207"/>
      <c r="Q763" s="207"/>
    </row>
    <row r="764" spans="1:17" ht="34.5" customHeight="1">
      <c r="A764" s="82"/>
      <c r="B764" s="205" t="str">
        <f t="shared" si="2"/>
        <v/>
      </c>
      <c r="C764" s="206" t="str">
        <f t="shared" si="3"/>
        <v/>
      </c>
      <c r="D764" s="207" t="str">
        <f t="shared" si="0"/>
        <v/>
      </c>
      <c r="E764" s="207"/>
      <c r="F764" s="205" t="str">
        <f>IF(E764="","",VLOOKUP(E764,'ARAMA LİSTELERİ'!C764:G2803,5,))</f>
        <v/>
      </c>
      <c r="G764" s="207"/>
      <c r="H764" s="210"/>
      <c r="I764" s="79"/>
      <c r="J764" s="210"/>
      <c r="K764" s="210"/>
      <c r="L764" s="210" t="str">
        <f t="shared" si="1"/>
        <v/>
      </c>
      <c r="M764" s="79"/>
      <c r="N764" s="207"/>
      <c r="O764" s="207"/>
      <c r="P764" s="207"/>
      <c r="Q764" s="207"/>
    </row>
    <row r="765" spans="1:17" ht="34.5" customHeight="1">
      <c r="A765" s="82"/>
      <c r="B765" s="205" t="str">
        <f t="shared" si="2"/>
        <v/>
      </c>
      <c r="C765" s="206" t="str">
        <f t="shared" si="3"/>
        <v/>
      </c>
      <c r="D765" s="207" t="str">
        <f t="shared" si="0"/>
        <v/>
      </c>
      <c r="E765" s="207"/>
      <c r="F765" s="205" t="str">
        <f>IF(E765="","",VLOOKUP(E765,'ARAMA LİSTELERİ'!C765:G2804,5,))</f>
        <v/>
      </c>
      <c r="G765" s="207"/>
      <c r="H765" s="210"/>
      <c r="I765" s="79"/>
      <c r="J765" s="210"/>
      <c r="K765" s="210"/>
      <c r="L765" s="210" t="str">
        <f t="shared" si="1"/>
        <v/>
      </c>
      <c r="M765" s="79"/>
      <c r="N765" s="207"/>
      <c r="O765" s="207"/>
      <c r="P765" s="207"/>
      <c r="Q765" s="207"/>
    </row>
    <row r="766" spans="1:17" ht="34.5" customHeight="1">
      <c r="A766" s="82"/>
      <c r="B766" s="205" t="str">
        <f t="shared" si="2"/>
        <v/>
      </c>
      <c r="C766" s="206" t="str">
        <f t="shared" si="3"/>
        <v/>
      </c>
      <c r="D766" s="207" t="str">
        <f t="shared" si="0"/>
        <v/>
      </c>
      <c r="E766" s="207"/>
      <c r="F766" s="205" t="str">
        <f>IF(E766="","",VLOOKUP(E766,'ARAMA LİSTELERİ'!C766:G2805,5,))</f>
        <v/>
      </c>
      <c r="G766" s="207"/>
      <c r="H766" s="210"/>
      <c r="I766" s="79"/>
      <c r="J766" s="210"/>
      <c r="K766" s="210"/>
      <c r="L766" s="210" t="str">
        <f t="shared" si="1"/>
        <v/>
      </c>
      <c r="M766" s="79"/>
      <c r="N766" s="207"/>
      <c r="O766" s="207"/>
      <c r="P766" s="207"/>
      <c r="Q766" s="207"/>
    </row>
    <row r="767" spans="1:17" ht="34.5" customHeight="1">
      <c r="A767" s="82"/>
      <c r="B767" s="205" t="str">
        <f t="shared" si="2"/>
        <v/>
      </c>
      <c r="C767" s="206" t="str">
        <f t="shared" si="3"/>
        <v/>
      </c>
      <c r="D767" s="207" t="str">
        <f t="shared" si="0"/>
        <v/>
      </c>
      <c r="E767" s="207"/>
      <c r="F767" s="205" t="str">
        <f>IF(E767="","",VLOOKUP(E767,'ARAMA LİSTELERİ'!C767:G2806,5,))</f>
        <v/>
      </c>
      <c r="G767" s="207"/>
      <c r="H767" s="210"/>
      <c r="I767" s="79"/>
      <c r="J767" s="210"/>
      <c r="K767" s="210"/>
      <c r="L767" s="210" t="str">
        <f t="shared" si="1"/>
        <v/>
      </c>
      <c r="M767" s="79"/>
      <c r="N767" s="207"/>
      <c r="O767" s="207"/>
      <c r="P767" s="207"/>
      <c r="Q767" s="207"/>
    </row>
    <row r="768" spans="1:17" ht="34.5" customHeight="1">
      <c r="A768" s="82"/>
      <c r="B768" s="205" t="str">
        <f t="shared" si="2"/>
        <v/>
      </c>
      <c r="C768" s="206" t="str">
        <f t="shared" si="3"/>
        <v/>
      </c>
      <c r="D768" s="207" t="str">
        <f t="shared" si="0"/>
        <v/>
      </c>
      <c r="E768" s="207"/>
      <c r="F768" s="205" t="str">
        <f>IF(E768="","",VLOOKUP(E768,'ARAMA LİSTELERİ'!C768:G2807,5,))</f>
        <v/>
      </c>
      <c r="G768" s="207"/>
      <c r="H768" s="210"/>
      <c r="I768" s="79"/>
      <c r="J768" s="210"/>
      <c r="K768" s="210"/>
      <c r="L768" s="210" t="str">
        <f t="shared" si="1"/>
        <v/>
      </c>
      <c r="M768" s="79"/>
      <c r="N768" s="207"/>
      <c r="O768" s="207"/>
      <c r="P768" s="207"/>
      <c r="Q768" s="207"/>
    </row>
    <row r="769" spans="1:17" ht="34.5" customHeight="1">
      <c r="A769" s="82"/>
      <c r="B769" s="205" t="str">
        <f t="shared" si="2"/>
        <v/>
      </c>
      <c r="C769" s="206" t="str">
        <f t="shared" si="3"/>
        <v/>
      </c>
      <c r="D769" s="207" t="str">
        <f t="shared" si="0"/>
        <v/>
      </c>
      <c r="E769" s="207"/>
      <c r="F769" s="205" t="str">
        <f>IF(E769="","",VLOOKUP(E769,'ARAMA LİSTELERİ'!C769:G2808,5,))</f>
        <v/>
      </c>
      <c r="G769" s="207"/>
      <c r="H769" s="210"/>
      <c r="I769" s="79"/>
      <c r="J769" s="210"/>
      <c r="K769" s="210"/>
      <c r="L769" s="210" t="str">
        <f t="shared" si="1"/>
        <v/>
      </c>
      <c r="M769" s="79"/>
      <c r="N769" s="207"/>
      <c r="O769" s="207"/>
      <c r="P769" s="207"/>
      <c r="Q769" s="207"/>
    </row>
    <row r="770" spans="1:17" ht="34.5" customHeight="1">
      <c r="A770" s="82"/>
      <c r="B770" s="205" t="str">
        <f t="shared" si="2"/>
        <v/>
      </c>
      <c r="C770" s="206" t="str">
        <f t="shared" si="3"/>
        <v/>
      </c>
      <c r="D770" s="207" t="str">
        <f t="shared" si="0"/>
        <v/>
      </c>
      <c r="E770" s="207"/>
      <c r="F770" s="205" t="str">
        <f>IF(E770="","",VLOOKUP(E770,'ARAMA LİSTELERİ'!C770:G2809,5,))</f>
        <v/>
      </c>
      <c r="G770" s="207"/>
      <c r="H770" s="210"/>
      <c r="I770" s="79"/>
      <c r="J770" s="210"/>
      <c r="K770" s="210"/>
      <c r="L770" s="210" t="str">
        <f t="shared" si="1"/>
        <v/>
      </c>
      <c r="M770" s="79"/>
      <c r="N770" s="207"/>
      <c r="O770" s="207"/>
      <c r="P770" s="207"/>
      <c r="Q770" s="207"/>
    </row>
    <row r="771" spans="1:17" ht="34.5" customHeight="1">
      <c r="A771" s="82"/>
      <c r="B771" s="205" t="str">
        <f t="shared" si="2"/>
        <v/>
      </c>
      <c r="C771" s="206" t="str">
        <f t="shared" si="3"/>
        <v/>
      </c>
      <c r="D771" s="207" t="str">
        <f t="shared" si="0"/>
        <v/>
      </c>
      <c r="E771" s="207"/>
      <c r="F771" s="205" t="str">
        <f>IF(E771="","",VLOOKUP(E771,'ARAMA LİSTELERİ'!C771:G2810,5,))</f>
        <v/>
      </c>
      <c r="G771" s="207"/>
      <c r="H771" s="210"/>
      <c r="I771" s="79"/>
      <c r="J771" s="210"/>
      <c r="K771" s="210"/>
      <c r="L771" s="210" t="str">
        <f t="shared" si="1"/>
        <v/>
      </c>
      <c r="M771" s="79"/>
      <c r="N771" s="207"/>
      <c r="O771" s="207"/>
      <c r="P771" s="207"/>
      <c r="Q771" s="207"/>
    </row>
    <row r="772" spans="1:17" ht="34.5" customHeight="1">
      <c r="A772" s="82"/>
      <c r="B772" s="205" t="str">
        <f t="shared" si="2"/>
        <v/>
      </c>
      <c r="C772" s="206" t="str">
        <f t="shared" si="3"/>
        <v/>
      </c>
      <c r="D772" s="207" t="str">
        <f t="shared" si="0"/>
        <v/>
      </c>
      <c r="E772" s="207"/>
      <c r="F772" s="205" t="str">
        <f>IF(E772="","",VLOOKUP(E772,'ARAMA LİSTELERİ'!C772:G2811,5,))</f>
        <v/>
      </c>
      <c r="G772" s="207"/>
      <c r="H772" s="210"/>
      <c r="I772" s="79"/>
      <c r="J772" s="210"/>
      <c r="K772" s="210"/>
      <c r="L772" s="210" t="str">
        <f t="shared" si="1"/>
        <v/>
      </c>
      <c r="M772" s="79"/>
      <c r="N772" s="207"/>
      <c r="O772" s="207"/>
      <c r="P772" s="207"/>
      <c r="Q772" s="207"/>
    </row>
    <row r="773" spans="1:17" ht="34.5" customHeight="1">
      <c r="A773" s="82"/>
      <c r="B773" s="205" t="str">
        <f t="shared" si="2"/>
        <v/>
      </c>
      <c r="C773" s="206" t="str">
        <f t="shared" si="3"/>
        <v/>
      </c>
      <c r="D773" s="207" t="str">
        <f t="shared" si="0"/>
        <v/>
      </c>
      <c r="E773" s="207"/>
      <c r="F773" s="205" t="str">
        <f>IF(E773="","",VLOOKUP(E773,'ARAMA LİSTELERİ'!C773:G2812,5,))</f>
        <v/>
      </c>
      <c r="G773" s="207"/>
      <c r="H773" s="210"/>
      <c r="I773" s="79"/>
      <c r="J773" s="210"/>
      <c r="K773" s="210"/>
      <c r="L773" s="210" t="str">
        <f t="shared" si="1"/>
        <v/>
      </c>
      <c r="M773" s="79"/>
      <c r="N773" s="207"/>
      <c r="O773" s="207"/>
      <c r="P773" s="207"/>
      <c r="Q773" s="207"/>
    </row>
    <row r="774" spans="1:17" ht="34.5" customHeight="1">
      <c r="A774" s="82"/>
      <c r="B774" s="205" t="str">
        <f t="shared" si="2"/>
        <v/>
      </c>
      <c r="C774" s="206" t="str">
        <f t="shared" si="3"/>
        <v/>
      </c>
      <c r="D774" s="207" t="str">
        <f t="shared" si="0"/>
        <v/>
      </c>
      <c r="E774" s="207"/>
      <c r="F774" s="205" t="str">
        <f>IF(E774="","",VLOOKUP(E774,'ARAMA LİSTELERİ'!C774:G2813,5,))</f>
        <v/>
      </c>
      <c r="G774" s="207"/>
      <c r="H774" s="210"/>
      <c r="I774" s="79"/>
      <c r="J774" s="210"/>
      <c r="K774" s="210"/>
      <c r="L774" s="210" t="str">
        <f t="shared" si="1"/>
        <v/>
      </c>
      <c r="M774" s="79"/>
      <c r="N774" s="207"/>
      <c r="O774" s="207"/>
      <c r="P774" s="207"/>
      <c r="Q774" s="207"/>
    </row>
    <row r="775" spans="1:17" ht="34.5" customHeight="1">
      <c r="A775" s="82"/>
      <c r="B775" s="205" t="str">
        <f t="shared" si="2"/>
        <v/>
      </c>
      <c r="C775" s="206" t="str">
        <f t="shared" si="3"/>
        <v/>
      </c>
      <c r="D775" s="207" t="str">
        <f t="shared" si="0"/>
        <v/>
      </c>
      <c r="E775" s="207"/>
      <c r="F775" s="205" t="str">
        <f>IF(E775="","",VLOOKUP(E775,'ARAMA LİSTELERİ'!C775:G2814,5,))</f>
        <v/>
      </c>
      <c r="G775" s="207"/>
      <c r="H775" s="210"/>
      <c r="I775" s="79"/>
      <c r="J775" s="210"/>
      <c r="K775" s="210"/>
      <c r="L775" s="210" t="str">
        <f t="shared" si="1"/>
        <v/>
      </c>
      <c r="M775" s="79"/>
      <c r="N775" s="207"/>
      <c r="O775" s="207"/>
      <c r="P775" s="207"/>
      <c r="Q775" s="207"/>
    </row>
    <row r="776" spans="1:17" ht="34.5" customHeight="1">
      <c r="A776" s="82"/>
      <c r="B776" s="205" t="str">
        <f t="shared" si="2"/>
        <v/>
      </c>
      <c r="C776" s="206" t="str">
        <f t="shared" si="3"/>
        <v/>
      </c>
      <c r="D776" s="207" t="str">
        <f t="shared" si="0"/>
        <v/>
      </c>
      <c r="E776" s="207"/>
      <c r="F776" s="205" t="str">
        <f>IF(E776="","",VLOOKUP(E776,'ARAMA LİSTELERİ'!C776:G2815,5,))</f>
        <v/>
      </c>
      <c r="G776" s="207"/>
      <c r="H776" s="210"/>
      <c r="I776" s="79"/>
      <c r="J776" s="210"/>
      <c r="K776" s="210"/>
      <c r="L776" s="210" t="str">
        <f t="shared" si="1"/>
        <v/>
      </c>
      <c r="M776" s="79"/>
      <c r="N776" s="207"/>
      <c r="O776" s="207"/>
      <c r="P776" s="207"/>
      <c r="Q776" s="207"/>
    </row>
    <row r="777" spans="1:17" ht="34.5" customHeight="1">
      <c r="A777" s="82"/>
      <c r="B777" s="205" t="str">
        <f t="shared" si="2"/>
        <v/>
      </c>
      <c r="C777" s="206" t="str">
        <f t="shared" si="3"/>
        <v/>
      </c>
      <c r="D777" s="207" t="str">
        <f t="shared" si="0"/>
        <v/>
      </c>
      <c r="E777" s="207"/>
      <c r="F777" s="205" t="str">
        <f>IF(E777="","",VLOOKUP(E777,'ARAMA LİSTELERİ'!C777:G2816,5,))</f>
        <v/>
      </c>
      <c r="G777" s="207"/>
      <c r="H777" s="210"/>
      <c r="I777" s="79"/>
      <c r="J777" s="210"/>
      <c r="K777" s="210"/>
      <c r="L777" s="210" t="str">
        <f t="shared" si="1"/>
        <v/>
      </c>
      <c r="M777" s="79"/>
      <c r="N777" s="207"/>
      <c r="O777" s="207"/>
      <c r="P777" s="207"/>
      <c r="Q777" s="207"/>
    </row>
    <row r="778" spans="1:17" ht="34.5" customHeight="1">
      <c r="A778" s="82"/>
      <c r="B778" s="205" t="str">
        <f t="shared" si="2"/>
        <v/>
      </c>
      <c r="C778" s="206" t="str">
        <f t="shared" si="3"/>
        <v/>
      </c>
      <c r="D778" s="207" t="str">
        <f t="shared" si="0"/>
        <v/>
      </c>
      <c r="E778" s="207"/>
      <c r="F778" s="205" t="str">
        <f>IF(E778="","",VLOOKUP(E778,'ARAMA LİSTELERİ'!C778:G2817,5,))</f>
        <v/>
      </c>
      <c r="G778" s="207"/>
      <c r="H778" s="210"/>
      <c r="I778" s="79"/>
      <c r="J778" s="210"/>
      <c r="K778" s="210"/>
      <c r="L778" s="210" t="str">
        <f t="shared" si="1"/>
        <v/>
      </c>
      <c r="M778" s="79"/>
      <c r="N778" s="207"/>
      <c r="O778" s="207"/>
      <c r="P778" s="207"/>
      <c r="Q778" s="207"/>
    </row>
    <row r="779" spans="1:17" ht="34.5" customHeight="1">
      <c r="A779" s="82"/>
      <c r="B779" s="205" t="str">
        <f t="shared" si="2"/>
        <v/>
      </c>
      <c r="C779" s="206" t="str">
        <f t="shared" si="3"/>
        <v/>
      </c>
      <c r="D779" s="207" t="str">
        <f t="shared" si="0"/>
        <v/>
      </c>
      <c r="E779" s="207"/>
      <c r="F779" s="205" t="str">
        <f>IF(E779="","",VLOOKUP(E779,'ARAMA LİSTELERİ'!C779:G2818,5,))</f>
        <v/>
      </c>
      <c r="G779" s="207"/>
      <c r="H779" s="210"/>
      <c r="I779" s="79"/>
      <c r="J779" s="210"/>
      <c r="K779" s="210"/>
      <c r="L779" s="210" t="str">
        <f t="shared" si="1"/>
        <v/>
      </c>
      <c r="M779" s="79"/>
      <c r="N779" s="207"/>
      <c r="O779" s="207"/>
      <c r="P779" s="207"/>
      <c r="Q779" s="207"/>
    </row>
    <row r="780" spans="1:17" ht="34.5" customHeight="1">
      <c r="A780" s="82"/>
      <c r="B780" s="205" t="str">
        <f t="shared" si="2"/>
        <v/>
      </c>
      <c r="C780" s="206" t="str">
        <f t="shared" si="3"/>
        <v/>
      </c>
      <c r="D780" s="207" t="str">
        <f t="shared" si="0"/>
        <v/>
      </c>
      <c r="E780" s="207"/>
      <c r="F780" s="205" t="str">
        <f>IF(E780="","",VLOOKUP(E780,'ARAMA LİSTELERİ'!C780:G2819,5,))</f>
        <v/>
      </c>
      <c r="G780" s="207"/>
      <c r="H780" s="210"/>
      <c r="I780" s="79"/>
      <c r="J780" s="210"/>
      <c r="K780" s="210"/>
      <c r="L780" s="210" t="str">
        <f t="shared" si="1"/>
        <v/>
      </c>
      <c r="M780" s="79"/>
      <c r="N780" s="207"/>
      <c r="O780" s="207"/>
      <c r="P780" s="207"/>
      <c r="Q780" s="207"/>
    </row>
    <row r="781" spans="1:17" ht="34.5" customHeight="1">
      <c r="A781" s="82"/>
      <c r="B781" s="205" t="str">
        <f t="shared" si="2"/>
        <v/>
      </c>
      <c r="C781" s="206" t="str">
        <f t="shared" si="3"/>
        <v/>
      </c>
      <c r="D781" s="207" t="str">
        <f t="shared" si="0"/>
        <v/>
      </c>
      <c r="E781" s="207"/>
      <c r="F781" s="205" t="str">
        <f>IF(E781="","",VLOOKUP(E781,'ARAMA LİSTELERİ'!C781:G2820,5,))</f>
        <v/>
      </c>
      <c r="G781" s="207"/>
      <c r="H781" s="210"/>
      <c r="I781" s="79"/>
      <c r="J781" s="210"/>
      <c r="K781" s="210"/>
      <c r="L781" s="210" t="str">
        <f t="shared" si="1"/>
        <v/>
      </c>
      <c r="M781" s="79"/>
      <c r="N781" s="207"/>
      <c r="O781" s="207"/>
      <c r="P781" s="207"/>
      <c r="Q781" s="207"/>
    </row>
    <row r="782" spans="1:17" ht="34.5" customHeight="1">
      <c r="A782" s="82"/>
      <c r="B782" s="205" t="str">
        <f t="shared" si="2"/>
        <v/>
      </c>
      <c r="C782" s="206" t="str">
        <f t="shared" si="3"/>
        <v/>
      </c>
      <c r="D782" s="207" t="str">
        <f t="shared" si="0"/>
        <v/>
      </c>
      <c r="E782" s="207"/>
      <c r="F782" s="205" t="str">
        <f>IF(E782="","",VLOOKUP(E782,'ARAMA LİSTELERİ'!C782:G2821,5,))</f>
        <v/>
      </c>
      <c r="G782" s="207"/>
      <c r="H782" s="210"/>
      <c r="I782" s="79"/>
      <c r="J782" s="210"/>
      <c r="K782" s="210"/>
      <c r="L782" s="210" t="str">
        <f t="shared" si="1"/>
        <v/>
      </c>
      <c r="M782" s="79"/>
      <c r="N782" s="207"/>
      <c r="O782" s="207"/>
      <c r="P782" s="207"/>
      <c r="Q782" s="207"/>
    </row>
    <row r="783" spans="1:17" ht="34.5" customHeight="1">
      <c r="A783" s="82"/>
      <c r="B783" s="205" t="str">
        <f t="shared" si="2"/>
        <v/>
      </c>
      <c r="C783" s="206" t="str">
        <f t="shared" si="3"/>
        <v/>
      </c>
      <c r="D783" s="207" t="str">
        <f t="shared" si="0"/>
        <v/>
      </c>
      <c r="E783" s="207"/>
      <c r="F783" s="205" t="str">
        <f>IF(E783="","",VLOOKUP(E783,'ARAMA LİSTELERİ'!C783:G2822,5,))</f>
        <v/>
      </c>
      <c r="G783" s="207"/>
      <c r="H783" s="210"/>
      <c r="I783" s="79"/>
      <c r="J783" s="210"/>
      <c r="K783" s="210"/>
      <c r="L783" s="210" t="str">
        <f t="shared" si="1"/>
        <v/>
      </c>
      <c r="M783" s="79"/>
      <c r="N783" s="207"/>
      <c r="O783" s="207"/>
      <c r="P783" s="207"/>
      <c r="Q783" s="207"/>
    </row>
    <row r="784" spans="1:17" ht="34.5" customHeight="1">
      <c r="A784" s="82"/>
      <c r="B784" s="205" t="str">
        <f t="shared" si="2"/>
        <v/>
      </c>
      <c r="C784" s="206" t="str">
        <f t="shared" si="3"/>
        <v/>
      </c>
      <c r="D784" s="207" t="str">
        <f t="shared" si="0"/>
        <v/>
      </c>
      <c r="E784" s="207"/>
      <c r="F784" s="205" t="str">
        <f>IF(E784="","",VLOOKUP(E784,'ARAMA LİSTELERİ'!C784:G2823,5,))</f>
        <v/>
      </c>
      <c r="G784" s="207"/>
      <c r="H784" s="210"/>
      <c r="I784" s="79"/>
      <c r="J784" s="210"/>
      <c r="K784" s="210"/>
      <c r="L784" s="210" t="str">
        <f t="shared" si="1"/>
        <v/>
      </c>
      <c r="M784" s="79"/>
      <c r="N784" s="207"/>
      <c r="O784" s="207"/>
      <c r="P784" s="207"/>
      <c r="Q784" s="207"/>
    </row>
    <row r="785" spans="1:17" ht="34.5" customHeight="1">
      <c r="A785" s="82"/>
      <c r="B785" s="205" t="str">
        <f t="shared" si="2"/>
        <v/>
      </c>
      <c r="C785" s="206" t="str">
        <f t="shared" si="3"/>
        <v/>
      </c>
      <c r="D785" s="207" t="str">
        <f t="shared" si="0"/>
        <v/>
      </c>
      <c r="E785" s="207"/>
      <c r="F785" s="205" t="str">
        <f>IF(E785="","",VLOOKUP(E785,'ARAMA LİSTELERİ'!C785:G2824,5,))</f>
        <v/>
      </c>
      <c r="G785" s="207"/>
      <c r="H785" s="210"/>
      <c r="I785" s="79"/>
      <c r="J785" s="210"/>
      <c r="K785" s="210"/>
      <c r="L785" s="210" t="str">
        <f t="shared" si="1"/>
        <v/>
      </c>
      <c r="M785" s="79"/>
      <c r="N785" s="207"/>
      <c r="O785" s="207"/>
      <c r="P785" s="207"/>
      <c r="Q785" s="207"/>
    </row>
    <row r="786" spans="1:17" ht="34.5" customHeight="1">
      <c r="A786" s="82"/>
      <c r="B786" s="205" t="str">
        <f t="shared" si="2"/>
        <v/>
      </c>
      <c r="C786" s="206" t="str">
        <f t="shared" si="3"/>
        <v/>
      </c>
      <c r="D786" s="207" t="str">
        <f t="shared" si="0"/>
        <v/>
      </c>
      <c r="E786" s="207"/>
      <c r="F786" s="205" t="str">
        <f>IF(E786="","",VLOOKUP(E786,'ARAMA LİSTELERİ'!C786:G2825,5,))</f>
        <v/>
      </c>
      <c r="G786" s="207"/>
      <c r="H786" s="210"/>
      <c r="I786" s="79"/>
      <c r="J786" s="210"/>
      <c r="K786" s="210"/>
      <c r="L786" s="210" t="str">
        <f t="shared" si="1"/>
        <v/>
      </c>
      <c r="M786" s="79"/>
      <c r="N786" s="207"/>
      <c r="O786" s="207"/>
      <c r="P786" s="207"/>
      <c r="Q786" s="207"/>
    </row>
    <row r="787" spans="1:17" ht="34.5" customHeight="1">
      <c r="A787" s="82"/>
      <c r="B787" s="205" t="str">
        <f t="shared" si="2"/>
        <v/>
      </c>
      <c r="C787" s="206" t="str">
        <f t="shared" si="3"/>
        <v/>
      </c>
      <c r="D787" s="207" t="str">
        <f t="shared" si="0"/>
        <v/>
      </c>
      <c r="E787" s="207"/>
      <c r="F787" s="205" t="str">
        <f>IF(E787="","",VLOOKUP(E787,'ARAMA LİSTELERİ'!C787:G2826,5,))</f>
        <v/>
      </c>
      <c r="G787" s="207"/>
      <c r="H787" s="210"/>
      <c r="I787" s="79"/>
      <c r="J787" s="210"/>
      <c r="K787" s="210"/>
      <c r="L787" s="210" t="str">
        <f t="shared" si="1"/>
        <v/>
      </c>
      <c r="M787" s="79"/>
      <c r="N787" s="207"/>
      <c r="O787" s="207"/>
      <c r="P787" s="207"/>
      <c r="Q787" s="207"/>
    </row>
    <row r="788" spans="1:17" ht="34.5" customHeight="1">
      <c r="A788" s="82"/>
      <c r="B788" s="205" t="str">
        <f t="shared" si="2"/>
        <v/>
      </c>
      <c r="C788" s="206" t="str">
        <f t="shared" si="3"/>
        <v/>
      </c>
      <c r="D788" s="207" t="str">
        <f t="shared" si="0"/>
        <v/>
      </c>
      <c r="E788" s="207"/>
      <c r="F788" s="205" t="str">
        <f>IF(E788="","",VLOOKUP(E788,'ARAMA LİSTELERİ'!C788:G2827,5,))</f>
        <v/>
      </c>
      <c r="G788" s="207"/>
      <c r="H788" s="210"/>
      <c r="I788" s="79"/>
      <c r="J788" s="210"/>
      <c r="K788" s="210"/>
      <c r="L788" s="210" t="str">
        <f t="shared" si="1"/>
        <v/>
      </c>
      <c r="M788" s="79"/>
      <c r="N788" s="207"/>
      <c r="O788" s="207"/>
      <c r="P788" s="207"/>
      <c r="Q788" s="207"/>
    </row>
    <row r="789" spans="1:17" ht="34.5" customHeight="1">
      <c r="A789" s="82"/>
      <c r="B789" s="205" t="str">
        <f t="shared" si="2"/>
        <v/>
      </c>
      <c r="C789" s="206" t="str">
        <f t="shared" si="3"/>
        <v/>
      </c>
      <c r="D789" s="207" t="str">
        <f t="shared" si="0"/>
        <v/>
      </c>
      <c r="E789" s="207"/>
      <c r="F789" s="205" t="str">
        <f>IF(E789="","",VLOOKUP(E789,'ARAMA LİSTELERİ'!C789:G2828,5,))</f>
        <v/>
      </c>
      <c r="G789" s="207"/>
      <c r="H789" s="210"/>
      <c r="I789" s="79"/>
      <c r="J789" s="210"/>
      <c r="K789" s="210"/>
      <c r="L789" s="210" t="str">
        <f t="shared" si="1"/>
        <v/>
      </c>
      <c r="M789" s="79"/>
      <c r="N789" s="207"/>
      <c r="O789" s="207"/>
      <c r="P789" s="207"/>
      <c r="Q789" s="207"/>
    </row>
    <row r="790" spans="1:17" ht="34.5" customHeight="1">
      <c r="A790" s="82"/>
      <c r="B790" s="205" t="str">
        <f t="shared" si="2"/>
        <v/>
      </c>
      <c r="C790" s="206" t="str">
        <f t="shared" si="3"/>
        <v/>
      </c>
      <c r="D790" s="207" t="str">
        <f t="shared" si="0"/>
        <v/>
      </c>
      <c r="E790" s="207"/>
      <c r="F790" s="205" t="str">
        <f>IF(E790="","",VLOOKUP(E790,'ARAMA LİSTELERİ'!C790:G2829,5,))</f>
        <v/>
      </c>
      <c r="G790" s="207"/>
      <c r="H790" s="210"/>
      <c r="I790" s="79"/>
      <c r="J790" s="210"/>
      <c r="K790" s="210"/>
      <c r="L790" s="210" t="str">
        <f t="shared" si="1"/>
        <v/>
      </c>
      <c r="M790" s="79"/>
      <c r="N790" s="207"/>
      <c r="O790" s="207"/>
      <c r="P790" s="207"/>
      <c r="Q790" s="207"/>
    </row>
    <row r="791" spans="1:17" ht="34.5" customHeight="1">
      <c r="A791" s="82"/>
      <c r="B791" s="205" t="str">
        <f t="shared" si="2"/>
        <v/>
      </c>
      <c r="C791" s="206" t="str">
        <f t="shared" si="3"/>
        <v/>
      </c>
      <c r="D791" s="207" t="str">
        <f t="shared" si="0"/>
        <v/>
      </c>
      <c r="E791" s="207"/>
      <c r="F791" s="205" t="str">
        <f>IF(E791="","",VLOOKUP(E791,'ARAMA LİSTELERİ'!C791:G2830,5,))</f>
        <v/>
      </c>
      <c r="G791" s="207"/>
      <c r="H791" s="210"/>
      <c r="I791" s="79"/>
      <c r="J791" s="210"/>
      <c r="K791" s="210"/>
      <c r="L791" s="210" t="str">
        <f t="shared" si="1"/>
        <v/>
      </c>
      <c r="M791" s="79"/>
      <c r="N791" s="207"/>
      <c r="O791" s="207"/>
      <c r="P791" s="207"/>
      <c r="Q791" s="207"/>
    </row>
    <row r="792" spans="1:17" ht="34.5" customHeight="1">
      <c r="A792" s="82"/>
      <c r="B792" s="205" t="str">
        <f t="shared" si="2"/>
        <v/>
      </c>
      <c r="C792" s="206" t="str">
        <f t="shared" si="3"/>
        <v/>
      </c>
      <c r="D792" s="207" t="str">
        <f t="shared" si="0"/>
        <v/>
      </c>
      <c r="E792" s="207"/>
      <c r="F792" s="205" t="str">
        <f>IF(E792="","",VLOOKUP(E792,'ARAMA LİSTELERİ'!C792:G2831,5,))</f>
        <v/>
      </c>
      <c r="G792" s="207"/>
      <c r="H792" s="210"/>
      <c r="I792" s="79"/>
      <c r="J792" s="210"/>
      <c r="K792" s="210"/>
      <c r="L792" s="210" t="str">
        <f t="shared" si="1"/>
        <v/>
      </c>
      <c r="M792" s="79"/>
      <c r="N792" s="207"/>
      <c r="O792" s="207"/>
      <c r="P792" s="207"/>
      <c r="Q792" s="207"/>
    </row>
    <row r="793" spans="1:17" ht="34.5" customHeight="1">
      <c r="A793" s="82"/>
      <c r="B793" s="205" t="str">
        <f t="shared" si="2"/>
        <v/>
      </c>
      <c r="C793" s="206" t="str">
        <f t="shared" si="3"/>
        <v/>
      </c>
      <c r="D793" s="207" t="str">
        <f t="shared" si="0"/>
        <v/>
      </c>
      <c r="E793" s="207"/>
      <c r="F793" s="205" t="str">
        <f>IF(E793="","",VLOOKUP(E793,'ARAMA LİSTELERİ'!C793:G2832,5,))</f>
        <v/>
      </c>
      <c r="G793" s="207"/>
      <c r="H793" s="210"/>
      <c r="I793" s="79"/>
      <c r="J793" s="210"/>
      <c r="K793" s="210"/>
      <c r="L793" s="210" t="str">
        <f t="shared" si="1"/>
        <v/>
      </c>
      <c r="M793" s="79"/>
      <c r="N793" s="207"/>
      <c r="O793" s="207"/>
      <c r="P793" s="207"/>
      <c r="Q793" s="207"/>
    </row>
    <row r="794" spans="1:17" ht="34.5" customHeight="1">
      <c r="A794" s="82"/>
      <c r="B794" s="205" t="str">
        <f t="shared" si="2"/>
        <v/>
      </c>
      <c r="C794" s="206" t="str">
        <f t="shared" si="3"/>
        <v/>
      </c>
      <c r="D794" s="207" t="str">
        <f t="shared" si="0"/>
        <v/>
      </c>
      <c r="E794" s="207"/>
      <c r="F794" s="205" t="str">
        <f>IF(E794="","",VLOOKUP(E794,'ARAMA LİSTELERİ'!C794:G2833,5,))</f>
        <v/>
      </c>
      <c r="G794" s="207"/>
      <c r="H794" s="210"/>
      <c r="I794" s="79"/>
      <c r="J794" s="210"/>
      <c r="K794" s="210"/>
      <c r="L794" s="210" t="str">
        <f t="shared" si="1"/>
        <v/>
      </c>
      <c r="M794" s="79"/>
      <c r="N794" s="207"/>
      <c r="O794" s="207"/>
      <c r="P794" s="207"/>
      <c r="Q794" s="207"/>
    </row>
    <row r="795" spans="1:17" ht="34.5" customHeight="1">
      <c r="A795" s="82"/>
      <c r="B795" s="205" t="str">
        <f t="shared" si="2"/>
        <v/>
      </c>
      <c r="C795" s="206" t="str">
        <f t="shared" si="3"/>
        <v/>
      </c>
      <c r="D795" s="207" t="str">
        <f t="shared" si="0"/>
        <v/>
      </c>
      <c r="E795" s="207"/>
      <c r="F795" s="205" t="str">
        <f>IF(E795="","",VLOOKUP(E795,'ARAMA LİSTELERİ'!C795:G2834,5,))</f>
        <v/>
      </c>
      <c r="G795" s="207"/>
      <c r="H795" s="210"/>
      <c r="I795" s="79"/>
      <c r="J795" s="210"/>
      <c r="K795" s="210"/>
      <c r="L795" s="210" t="str">
        <f t="shared" si="1"/>
        <v/>
      </c>
      <c r="M795" s="79"/>
      <c r="N795" s="207"/>
      <c r="O795" s="207"/>
      <c r="P795" s="207"/>
      <c r="Q795" s="207"/>
    </row>
    <row r="796" spans="1:17" ht="34.5" customHeight="1">
      <c r="A796" s="82"/>
      <c r="B796" s="205" t="str">
        <f t="shared" si="2"/>
        <v/>
      </c>
      <c r="C796" s="206" t="str">
        <f t="shared" si="3"/>
        <v/>
      </c>
      <c r="D796" s="207" t="str">
        <f t="shared" si="0"/>
        <v/>
      </c>
      <c r="E796" s="207"/>
      <c r="F796" s="205" t="str">
        <f>IF(E796="","",VLOOKUP(E796,'ARAMA LİSTELERİ'!C796:G2835,5,))</f>
        <v/>
      </c>
      <c r="G796" s="207"/>
      <c r="H796" s="210"/>
      <c r="I796" s="79"/>
      <c r="J796" s="210"/>
      <c r="K796" s="210"/>
      <c r="L796" s="210" t="str">
        <f t="shared" si="1"/>
        <v/>
      </c>
      <c r="M796" s="79"/>
      <c r="N796" s="207"/>
      <c r="O796" s="207"/>
      <c r="P796" s="207"/>
      <c r="Q796" s="207"/>
    </row>
    <row r="797" spans="1:17" ht="34.5" customHeight="1">
      <c r="A797" s="82"/>
      <c r="B797" s="205" t="str">
        <f t="shared" si="2"/>
        <v/>
      </c>
      <c r="C797" s="206" t="str">
        <f t="shared" si="3"/>
        <v/>
      </c>
      <c r="D797" s="207" t="str">
        <f t="shared" si="0"/>
        <v/>
      </c>
      <c r="E797" s="207"/>
      <c r="F797" s="205" t="str">
        <f>IF(E797="","",VLOOKUP(E797,'ARAMA LİSTELERİ'!C797:G2836,5,))</f>
        <v/>
      </c>
      <c r="G797" s="207"/>
      <c r="H797" s="210"/>
      <c r="I797" s="79"/>
      <c r="J797" s="210"/>
      <c r="K797" s="210"/>
      <c r="L797" s="210" t="str">
        <f t="shared" si="1"/>
        <v/>
      </c>
      <c r="M797" s="79"/>
      <c r="N797" s="207"/>
      <c r="O797" s="207"/>
      <c r="P797" s="207"/>
      <c r="Q797" s="207"/>
    </row>
    <row r="798" spans="1:17" ht="34.5" customHeight="1">
      <c r="A798" s="82"/>
      <c r="B798" s="205" t="str">
        <f t="shared" si="2"/>
        <v/>
      </c>
      <c r="C798" s="206" t="str">
        <f t="shared" si="3"/>
        <v/>
      </c>
      <c r="D798" s="207" t="str">
        <f t="shared" si="0"/>
        <v/>
      </c>
      <c r="E798" s="207"/>
      <c r="F798" s="205" t="str">
        <f>IF(E798="","",VLOOKUP(E798,'ARAMA LİSTELERİ'!C798:G2837,5,))</f>
        <v/>
      </c>
      <c r="G798" s="207"/>
      <c r="H798" s="210"/>
      <c r="I798" s="79"/>
      <c r="J798" s="210"/>
      <c r="K798" s="210"/>
      <c r="L798" s="210" t="str">
        <f t="shared" si="1"/>
        <v/>
      </c>
      <c r="M798" s="79"/>
      <c r="N798" s="207"/>
      <c r="O798" s="207"/>
      <c r="P798" s="207"/>
      <c r="Q798" s="207"/>
    </row>
    <row r="799" spans="1:17" ht="34.5" customHeight="1">
      <c r="A799" s="82"/>
      <c r="B799" s="205" t="str">
        <f t="shared" si="2"/>
        <v/>
      </c>
      <c r="C799" s="206" t="str">
        <f t="shared" si="3"/>
        <v/>
      </c>
      <c r="D799" s="207" t="str">
        <f t="shared" si="0"/>
        <v/>
      </c>
      <c r="E799" s="207"/>
      <c r="F799" s="205" t="str">
        <f>IF(E799="","",VLOOKUP(E799,'ARAMA LİSTELERİ'!C799:G2838,5,))</f>
        <v/>
      </c>
      <c r="G799" s="207"/>
      <c r="H799" s="210"/>
      <c r="I799" s="79"/>
      <c r="J799" s="210"/>
      <c r="K799" s="210"/>
      <c r="L799" s="210" t="str">
        <f t="shared" si="1"/>
        <v/>
      </c>
      <c r="M799" s="79"/>
      <c r="N799" s="207"/>
      <c r="O799" s="207"/>
      <c r="P799" s="207"/>
      <c r="Q799" s="207"/>
    </row>
    <row r="800" spans="1:17" ht="34.5" customHeight="1">
      <c r="A800" s="82"/>
      <c r="B800" s="205" t="str">
        <f t="shared" si="2"/>
        <v/>
      </c>
      <c r="C800" s="206" t="str">
        <f t="shared" si="3"/>
        <v/>
      </c>
      <c r="D800" s="207" t="str">
        <f t="shared" si="0"/>
        <v/>
      </c>
      <c r="E800" s="207"/>
      <c r="F800" s="205" t="str">
        <f>IF(E800="","",VLOOKUP(E800,'ARAMA LİSTELERİ'!C800:G2839,5,))</f>
        <v/>
      </c>
      <c r="G800" s="207"/>
      <c r="H800" s="210"/>
      <c r="I800" s="79"/>
      <c r="J800" s="210"/>
      <c r="K800" s="210"/>
      <c r="L800" s="210" t="str">
        <f t="shared" si="1"/>
        <v/>
      </c>
      <c r="M800" s="79"/>
      <c r="N800" s="207"/>
      <c r="O800" s="207"/>
      <c r="P800" s="207"/>
      <c r="Q800" s="207"/>
    </row>
    <row r="801" spans="1:17" ht="34.5" customHeight="1">
      <c r="A801" s="82"/>
      <c r="B801" s="205" t="str">
        <f t="shared" si="2"/>
        <v/>
      </c>
      <c r="C801" s="206" t="str">
        <f t="shared" si="3"/>
        <v/>
      </c>
      <c r="D801" s="207" t="str">
        <f t="shared" si="0"/>
        <v/>
      </c>
      <c r="E801" s="207"/>
      <c r="F801" s="205" t="str">
        <f>IF(E801="","",VLOOKUP(E801,'ARAMA LİSTELERİ'!C801:G2840,5,))</f>
        <v/>
      </c>
      <c r="G801" s="207"/>
      <c r="H801" s="210"/>
      <c r="I801" s="79"/>
      <c r="J801" s="210"/>
      <c r="K801" s="210"/>
      <c r="L801" s="210" t="str">
        <f t="shared" si="1"/>
        <v/>
      </c>
      <c r="M801" s="79"/>
      <c r="N801" s="207"/>
      <c r="O801" s="207"/>
      <c r="P801" s="207"/>
      <c r="Q801" s="207"/>
    </row>
    <row r="802" spans="1:17" ht="34.5" customHeight="1">
      <c r="A802" s="82"/>
      <c r="B802" s="205" t="str">
        <f t="shared" si="2"/>
        <v/>
      </c>
      <c r="C802" s="206" t="str">
        <f t="shared" si="3"/>
        <v/>
      </c>
      <c r="D802" s="207" t="str">
        <f t="shared" si="0"/>
        <v/>
      </c>
      <c r="E802" s="207"/>
      <c r="F802" s="205" t="str">
        <f>IF(E802="","",VLOOKUP(E802,'ARAMA LİSTELERİ'!C802:G2841,5,))</f>
        <v/>
      </c>
      <c r="G802" s="207"/>
      <c r="H802" s="210"/>
      <c r="I802" s="79"/>
      <c r="J802" s="210"/>
      <c r="K802" s="210"/>
      <c r="L802" s="210" t="str">
        <f t="shared" si="1"/>
        <v/>
      </c>
      <c r="M802" s="79"/>
      <c r="N802" s="207"/>
      <c r="O802" s="207"/>
      <c r="P802" s="207"/>
      <c r="Q802" s="207"/>
    </row>
    <row r="803" spans="1:17" ht="34.5" customHeight="1">
      <c r="A803" s="82"/>
      <c r="B803" s="205" t="str">
        <f t="shared" si="2"/>
        <v/>
      </c>
      <c r="C803" s="206" t="str">
        <f t="shared" si="3"/>
        <v/>
      </c>
      <c r="D803" s="207" t="str">
        <f t="shared" si="0"/>
        <v/>
      </c>
      <c r="E803" s="207"/>
      <c r="F803" s="205" t="str">
        <f>IF(E803="","",VLOOKUP(E803,'ARAMA LİSTELERİ'!C803:G2842,5,))</f>
        <v/>
      </c>
      <c r="G803" s="207"/>
      <c r="H803" s="210"/>
      <c r="I803" s="79"/>
      <c r="J803" s="210"/>
      <c r="K803" s="210"/>
      <c r="L803" s="210" t="str">
        <f t="shared" si="1"/>
        <v/>
      </c>
      <c r="M803" s="79"/>
      <c r="N803" s="207"/>
      <c r="O803" s="207"/>
      <c r="P803" s="207"/>
      <c r="Q803" s="207"/>
    </row>
    <row r="804" spans="1:17" ht="34.5" customHeight="1">
      <c r="A804" s="82"/>
      <c r="B804" s="205" t="str">
        <f t="shared" si="2"/>
        <v/>
      </c>
      <c r="C804" s="206" t="str">
        <f t="shared" si="3"/>
        <v/>
      </c>
      <c r="D804" s="207" t="str">
        <f t="shared" si="0"/>
        <v/>
      </c>
      <c r="E804" s="207"/>
      <c r="F804" s="205" t="str">
        <f>IF(E804="","",VLOOKUP(E804,'ARAMA LİSTELERİ'!C804:G2843,5,))</f>
        <v/>
      </c>
      <c r="G804" s="207"/>
      <c r="H804" s="210"/>
      <c r="I804" s="79"/>
      <c r="J804" s="210"/>
      <c r="K804" s="210"/>
      <c r="L804" s="210" t="str">
        <f t="shared" si="1"/>
        <v/>
      </c>
      <c r="M804" s="79"/>
      <c r="N804" s="207"/>
      <c r="O804" s="207"/>
      <c r="P804" s="207"/>
      <c r="Q804" s="207"/>
    </row>
    <row r="805" spans="1:17" ht="34.5" customHeight="1">
      <c r="A805" s="82"/>
      <c r="B805" s="205" t="str">
        <f t="shared" si="2"/>
        <v/>
      </c>
      <c r="C805" s="206" t="str">
        <f t="shared" si="3"/>
        <v/>
      </c>
      <c r="D805" s="207" t="str">
        <f t="shared" si="0"/>
        <v/>
      </c>
      <c r="E805" s="207"/>
      <c r="F805" s="205" t="str">
        <f>IF(E805="","",VLOOKUP(E805,'ARAMA LİSTELERİ'!C805:G2844,5,))</f>
        <v/>
      </c>
      <c r="G805" s="207"/>
      <c r="H805" s="210"/>
      <c r="I805" s="79"/>
      <c r="J805" s="210"/>
      <c r="K805" s="210"/>
      <c r="L805" s="210" t="str">
        <f t="shared" si="1"/>
        <v/>
      </c>
      <c r="M805" s="79"/>
      <c r="N805" s="207"/>
      <c r="O805" s="207"/>
      <c r="P805" s="207"/>
      <c r="Q805" s="207"/>
    </row>
    <row r="806" spans="1:17" ht="34.5" customHeight="1">
      <c r="A806" s="82"/>
      <c r="B806" s="205" t="str">
        <f t="shared" si="2"/>
        <v/>
      </c>
      <c r="C806" s="206" t="str">
        <f t="shared" si="3"/>
        <v/>
      </c>
      <c r="D806" s="207" t="str">
        <f t="shared" si="0"/>
        <v/>
      </c>
      <c r="E806" s="207"/>
      <c r="F806" s="205" t="str">
        <f>IF(E806="","",VLOOKUP(E806,'ARAMA LİSTELERİ'!C806:G2845,5,))</f>
        <v/>
      </c>
      <c r="G806" s="207"/>
      <c r="H806" s="210"/>
      <c r="I806" s="79"/>
      <c r="J806" s="210"/>
      <c r="K806" s="210"/>
      <c r="L806" s="210" t="str">
        <f t="shared" si="1"/>
        <v/>
      </c>
      <c r="M806" s="79"/>
      <c r="N806" s="207"/>
      <c r="O806" s="207"/>
      <c r="P806" s="207"/>
      <c r="Q806" s="207"/>
    </row>
    <row r="807" spans="1:17" ht="34.5" customHeight="1">
      <c r="A807" s="82"/>
      <c r="B807" s="205" t="str">
        <f t="shared" si="2"/>
        <v/>
      </c>
      <c r="C807" s="206" t="str">
        <f t="shared" si="3"/>
        <v/>
      </c>
      <c r="D807" s="207" t="str">
        <f t="shared" si="0"/>
        <v/>
      </c>
      <c r="E807" s="207"/>
      <c r="F807" s="205" t="str">
        <f>IF(E807="","",VLOOKUP(E807,'ARAMA LİSTELERİ'!C807:G2846,5,))</f>
        <v/>
      </c>
      <c r="G807" s="207"/>
      <c r="H807" s="210"/>
      <c r="I807" s="79"/>
      <c r="J807" s="210"/>
      <c r="K807" s="210"/>
      <c r="L807" s="210" t="str">
        <f t="shared" si="1"/>
        <v/>
      </c>
      <c r="M807" s="79"/>
      <c r="N807" s="207"/>
      <c r="O807" s="207"/>
      <c r="P807" s="207"/>
      <c r="Q807" s="207"/>
    </row>
    <row r="808" spans="1:17" ht="34.5" customHeight="1">
      <c r="A808" s="82"/>
      <c r="B808" s="205" t="str">
        <f t="shared" si="2"/>
        <v/>
      </c>
      <c r="C808" s="206" t="str">
        <f t="shared" si="3"/>
        <v/>
      </c>
      <c r="D808" s="207" t="str">
        <f t="shared" si="0"/>
        <v/>
      </c>
      <c r="E808" s="207"/>
      <c r="F808" s="205" t="str">
        <f>IF(E808="","",VLOOKUP(E808,'ARAMA LİSTELERİ'!C808:G2847,5,))</f>
        <v/>
      </c>
      <c r="G808" s="207"/>
      <c r="H808" s="210"/>
      <c r="I808" s="79"/>
      <c r="J808" s="210"/>
      <c r="K808" s="210"/>
      <c r="L808" s="210" t="str">
        <f t="shared" si="1"/>
        <v/>
      </c>
      <c r="M808" s="79"/>
      <c r="N808" s="207"/>
      <c r="O808" s="207"/>
      <c r="P808" s="207"/>
      <c r="Q808" s="207"/>
    </row>
    <row r="809" spans="1:17" ht="34.5" customHeight="1">
      <c r="A809" s="82"/>
      <c r="B809" s="205" t="str">
        <f t="shared" si="2"/>
        <v/>
      </c>
      <c r="C809" s="206" t="str">
        <f t="shared" si="3"/>
        <v/>
      </c>
      <c r="D809" s="207" t="str">
        <f t="shared" si="0"/>
        <v/>
      </c>
      <c r="E809" s="207"/>
      <c r="F809" s="205" t="str">
        <f>IF(E809="","",VLOOKUP(E809,'ARAMA LİSTELERİ'!C809:G2848,5,))</f>
        <v/>
      </c>
      <c r="G809" s="207"/>
      <c r="H809" s="210"/>
      <c r="I809" s="79"/>
      <c r="J809" s="210"/>
      <c r="K809" s="210"/>
      <c r="L809" s="210" t="str">
        <f t="shared" si="1"/>
        <v/>
      </c>
      <c r="M809" s="79"/>
      <c r="N809" s="207"/>
      <c r="O809" s="207"/>
      <c r="P809" s="207"/>
      <c r="Q809" s="207"/>
    </row>
    <row r="810" spans="1:17" ht="34.5" customHeight="1">
      <c r="A810" s="82"/>
      <c r="B810" s="205" t="str">
        <f t="shared" si="2"/>
        <v/>
      </c>
      <c r="C810" s="206" t="str">
        <f t="shared" si="3"/>
        <v/>
      </c>
      <c r="D810" s="207" t="str">
        <f t="shared" si="0"/>
        <v/>
      </c>
      <c r="E810" s="207"/>
      <c r="F810" s="205" t="str">
        <f>IF(E810="","",VLOOKUP(E810,'ARAMA LİSTELERİ'!C810:G2849,5,))</f>
        <v/>
      </c>
      <c r="G810" s="207"/>
      <c r="H810" s="210"/>
      <c r="I810" s="79"/>
      <c r="J810" s="210"/>
      <c r="K810" s="210"/>
      <c r="L810" s="210" t="str">
        <f t="shared" si="1"/>
        <v/>
      </c>
      <c r="M810" s="79"/>
      <c r="N810" s="207"/>
      <c r="O810" s="207"/>
      <c r="P810" s="207"/>
      <c r="Q810" s="207"/>
    </row>
    <row r="811" spans="1:17" ht="34.5" customHeight="1">
      <c r="A811" s="82"/>
      <c r="B811" s="205" t="str">
        <f t="shared" si="2"/>
        <v/>
      </c>
      <c r="C811" s="206" t="str">
        <f t="shared" si="3"/>
        <v/>
      </c>
      <c r="D811" s="207" t="str">
        <f t="shared" si="0"/>
        <v/>
      </c>
      <c r="E811" s="207"/>
      <c r="F811" s="205" t="str">
        <f>IF(E811="","",VLOOKUP(E811,'ARAMA LİSTELERİ'!C811:G2850,5,))</f>
        <v/>
      </c>
      <c r="G811" s="207"/>
      <c r="H811" s="210"/>
      <c r="I811" s="79"/>
      <c r="J811" s="210"/>
      <c r="K811" s="210"/>
      <c r="L811" s="210" t="str">
        <f t="shared" si="1"/>
        <v/>
      </c>
      <c r="M811" s="79"/>
      <c r="N811" s="207"/>
      <c r="O811" s="207"/>
      <c r="P811" s="207"/>
      <c r="Q811" s="207"/>
    </row>
    <row r="812" spans="1:17" ht="34.5" customHeight="1">
      <c r="A812" s="82"/>
      <c r="B812" s="205" t="str">
        <f t="shared" si="2"/>
        <v/>
      </c>
      <c r="C812" s="206" t="str">
        <f t="shared" si="3"/>
        <v/>
      </c>
      <c r="D812" s="207" t="str">
        <f t="shared" si="0"/>
        <v/>
      </c>
      <c r="E812" s="207"/>
      <c r="F812" s="205" t="str">
        <f>IF(E812="","",VLOOKUP(E812,'ARAMA LİSTELERİ'!C812:G2851,5,))</f>
        <v/>
      </c>
      <c r="G812" s="207"/>
      <c r="H812" s="210"/>
      <c r="I812" s="79"/>
      <c r="J812" s="210"/>
      <c r="K812" s="210"/>
      <c r="L812" s="210" t="str">
        <f t="shared" si="1"/>
        <v/>
      </c>
      <c r="M812" s="79"/>
      <c r="N812" s="207"/>
      <c r="O812" s="207"/>
      <c r="P812" s="207"/>
      <c r="Q812" s="207"/>
    </row>
    <row r="813" spans="1:17" ht="34.5" customHeight="1">
      <c r="A813" s="82"/>
      <c r="B813" s="205" t="str">
        <f t="shared" si="2"/>
        <v/>
      </c>
      <c r="C813" s="206" t="str">
        <f t="shared" si="3"/>
        <v/>
      </c>
      <c r="D813" s="207" t="str">
        <f t="shared" si="0"/>
        <v/>
      </c>
      <c r="E813" s="207"/>
      <c r="F813" s="205" t="str">
        <f>IF(E813="","",VLOOKUP(E813,'ARAMA LİSTELERİ'!C813:G2852,5,))</f>
        <v/>
      </c>
      <c r="G813" s="207"/>
      <c r="H813" s="210"/>
      <c r="I813" s="79"/>
      <c r="J813" s="210"/>
      <c r="K813" s="210"/>
      <c r="L813" s="210" t="str">
        <f t="shared" si="1"/>
        <v/>
      </c>
      <c r="M813" s="79"/>
      <c r="N813" s="207"/>
      <c r="O813" s="207"/>
      <c r="P813" s="207"/>
      <c r="Q813" s="207"/>
    </row>
    <row r="814" spans="1:17" ht="34.5" customHeight="1">
      <c r="A814" s="82"/>
      <c r="B814" s="205" t="str">
        <f t="shared" si="2"/>
        <v/>
      </c>
      <c r="C814" s="206" t="str">
        <f t="shared" si="3"/>
        <v/>
      </c>
      <c r="D814" s="207" t="str">
        <f t="shared" si="0"/>
        <v/>
      </c>
      <c r="E814" s="207"/>
      <c r="F814" s="205" t="str">
        <f>IF(E814="","",VLOOKUP(E814,'ARAMA LİSTELERİ'!C814:G2853,5,))</f>
        <v/>
      </c>
      <c r="G814" s="207"/>
      <c r="H814" s="210"/>
      <c r="I814" s="79"/>
      <c r="J814" s="210"/>
      <c r="K814" s="210"/>
      <c r="L814" s="210" t="str">
        <f t="shared" si="1"/>
        <v/>
      </c>
      <c r="M814" s="79"/>
      <c r="N814" s="207"/>
      <c r="O814" s="207"/>
      <c r="P814" s="207"/>
      <c r="Q814" s="207"/>
    </row>
    <row r="815" spans="1:17" ht="34.5" customHeight="1">
      <c r="A815" s="82"/>
      <c r="B815" s="205" t="str">
        <f t="shared" si="2"/>
        <v/>
      </c>
      <c r="C815" s="206" t="str">
        <f t="shared" si="3"/>
        <v/>
      </c>
      <c r="D815" s="207" t="str">
        <f t="shared" si="0"/>
        <v/>
      </c>
      <c r="E815" s="207"/>
      <c r="F815" s="205" t="str">
        <f>IF(E815="","",VLOOKUP(E815,'ARAMA LİSTELERİ'!C815:G2854,5,))</f>
        <v/>
      </c>
      <c r="G815" s="207"/>
      <c r="H815" s="210"/>
      <c r="I815" s="79"/>
      <c r="J815" s="210"/>
      <c r="K815" s="210"/>
      <c r="L815" s="210" t="str">
        <f t="shared" si="1"/>
        <v/>
      </c>
      <c r="M815" s="79"/>
      <c r="N815" s="207"/>
      <c r="O815" s="207"/>
      <c r="P815" s="207"/>
      <c r="Q815" s="207"/>
    </row>
    <row r="816" spans="1:17" ht="34.5" customHeight="1">
      <c r="A816" s="82"/>
      <c r="B816" s="205" t="str">
        <f t="shared" si="2"/>
        <v/>
      </c>
      <c r="C816" s="206" t="str">
        <f t="shared" si="3"/>
        <v/>
      </c>
      <c r="D816" s="207" t="str">
        <f t="shared" si="0"/>
        <v/>
      </c>
      <c r="E816" s="207"/>
      <c r="F816" s="205" t="str">
        <f>IF(E816="","",VLOOKUP(E816,'ARAMA LİSTELERİ'!C816:G2855,5,))</f>
        <v/>
      </c>
      <c r="G816" s="207"/>
      <c r="H816" s="210"/>
      <c r="I816" s="79"/>
      <c r="J816" s="210"/>
      <c r="K816" s="210"/>
      <c r="L816" s="210" t="str">
        <f t="shared" si="1"/>
        <v/>
      </c>
      <c r="M816" s="79"/>
      <c r="N816" s="207"/>
      <c r="O816" s="207"/>
      <c r="P816" s="207"/>
      <c r="Q816" s="207"/>
    </row>
    <row r="817" spans="1:17" ht="34.5" customHeight="1">
      <c r="A817" s="82"/>
      <c r="B817" s="205" t="str">
        <f t="shared" si="2"/>
        <v/>
      </c>
      <c r="C817" s="206" t="str">
        <f t="shared" si="3"/>
        <v/>
      </c>
      <c r="D817" s="207" t="str">
        <f t="shared" si="0"/>
        <v/>
      </c>
      <c r="E817" s="207"/>
      <c r="F817" s="205" t="str">
        <f>IF(E817="","",VLOOKUP(E817,'ARAMA LİSTELERİ'!C817:G2856,5,))</f>
        <v/>
      </c>
      <c r="G817" s="207"/>
      <c r="H817" s="210"/>
      <c r="I817" s="79"/>
      <c r="J817" s="210"/>
      <c r="K817" s="210"/>
      <c r="L817" s="210" t="str">
        <f t="shared" si="1"/>
        <v/>
      </c>
      <c r="M817" s="79"/>
      <c r="N817" s="207"/>
      <c r="O817" s="207"/>
      <c r="P817" s="207"/>
      <c r="Q817" s="207"/>
    </row>
    <row r="818" spans="1:17" ht="34.5" customHeight="1">
      <c r="A818" s="82"/>
      <c r="B818" s="205" t="str">
        <f t="shared" si="2"/>
        <v/>
      </c>
      <c r="C818" s="206" t="str">
        <f t="shared" si="3"/>
        <v/>
      </c>
      <c r="D818" s="207" t="str">
        <f t="shared" si="0"/>
        <v/>
      </c>
      <c r="E818" s="207"/>
      <c r="F818" s="205" t="str">
        <f>IF(E818="","",VLOOKUP(E818,'ARAMA LİSTELERİ'!C818:G2857,5,))</f>
        <v/>
      </c>
      <c r="G818" s="207"/>
      <c r="H818" s="210"/>
      <c r="I818" s="79"/>
      <c r="J818" s="210"/>
      <c r="K818" s="210"/>
      <c r="L818" s="210" t="str">
        <f t="shared" si="1"/>
        <v/>
      </c>
      <c r="M818" s="79"/>
      <c r="N818" s="207"/>
      <c r="O818" s="207"/>
      <c r="P818" s="207"/>
      <c r="Q818" s="207"/>
    </row>
    <row r="819" spans="1:17" ht="34.5" customHeight="1">
      <c r="A819" s="82"/>
      <c r="B819" s="205" t="str">
        <f t="shared" si="2"/>
        <v/>
      </c>
      <c r="C819" s="206" t="str">
        <f t="shared" si="3"/>
        <v/>
      </c>
      <c r="D819" s="207" t="str">
        <f t="shared" si="0"/>
        <v/>
      </c>
      <c r="E819" s="207"/>
      <c r="F819" s="205" t="str">
        <f>IF(E819="","",VLOOKUP(E819,'ARAMA LİSTELERİ'!C819:G2858,5,))</f>
        <v/>
      </c>
      <c r="G819" s="207"/>
      <c r="H819" s="210"/>
      <c r="I819" s="79"/>
      <c r="J819" s="210"/>
      <c r="K819" s="210"/>
      <c r="L819" s="210" t="str">
        <f t="shared" si="1"/>
        <v/>
      </c>
      <c r="M819" s="79"/>
      <c r="N819" s="207"/>
      <c r="O819" s="207"/>
      <c r="P819" s="207"/>
      <c r="Q819" s="207"/>
    </row>
    <row r="820" spans="1:17" ht="34.5" customHeight="1">
      <c r="A820" s="82"/>
      <c r="B820" s="205" t="str">
        <f t="shared" si="2"/>
        <v/>
      </c>
      <c r="C820" s="206" t="str">
        <f t="shared" si="3"/>
        <v/>
      </c>
      <c r="D820" s="207" t="str">
        <f t="shared" si="0"/>
        <v/>
      </c>
      <c r="E820" s="207"/>
      <c r="F820" s="205" t="str">
        <f>IF(E820="","",VLOOKUP(E820,'ARAMA LİSTELERİ'!C820:G2859,5,))</f>
        <v/>
      </c>
      <c r="G820" s="207"/>
      <c r="H820" s="210"/>
      <c r="I820" s="79"/>
      <c r="J820" s="210"/>
      <c r="K820" s="210"/>
      <c r="L820" s="210" t="str">
        <f t="shared" si="1"/>
        <v/>
      </c>
      <c r="M820" s="79"/>
      <c r="N820" s="207"/>
      <c r="O820" s="207"/>
      <c r="P820" s="207"/>
      <c r="Q820" s="207"/>
    </row>
    <row r="821" spans="1:17" ht="34.5" customHeight="1">
      <c r="A821" s="82"/>
      <c r="B821" s="205" t="str">
        <f t="shared" si="2"/>
        <v/>
      </c>
      <c r="C821" s="206" t="str">
        <f t="shared" si="3"/>
        <v/>
      </c>
      <c r="D821" s="207" t="str">
        <f t="shared" si="0"/>
        <v/>
      </c>
      <c r="E821" s="207"/>
      <c r="F821" s="205" t="str">
        <f>IF(E821="","",VLOOKUP(E821,'ARAMA LİSTELERİ'!C821:G2860,5,))</f>
        <v/>
      </c>
      <c r="G821" s="207"/>
      <c r="H821" s="210"/>
      <c r="I821" s="79"/>
      <c r="J821" s="210"/>
      <c r="K821" s="210"/>
      <c r="L821" s="210" t="str">
        <f t="shared" si="1"/>
        <v/>
      </c>
      <c r="M821" s="79"/>
      <c r="N821" s="207"/>
      <c r="O821" s="207"/>
      <c r="P821" s="207"/>
      <c r="Q821" s="207"/>
    </row>
    <row r="822" spans="1:17" ht="34.5" customHeight="1">
      <c r="A822" s="82"/>
      <c r="B822" s="205" t="str">
        <f t="shared" si="2"/>
        <v/>
      </c>
      <c r="C822" s="206" t="str">
        <f t="shared" si="3"/>
        <v/>
      </c>
      <c r="D822" s="207" t="str">
        <f t="shared" si="0"/>
        <v/>
      </c>
      <c r="E822" s="207"/>
      <c r="F822" s="205" t="str">
        <f>IF(E822="","",VLOOKUP(E822,'ARAMA LİSTELERİ'!C822:G2861,5,))</f>
        <v/>
      </c>
      <c r="G822" s="207"/>
      <c r="H822" s="210"/>
      <c r="I822" s="79"/>
      <c r="J822" s="210"/>
      <c r="K822" s="210"/>
      <c r="L822" s="210" t="str">
        <f t="shared" si="1"/>
        <v/>
      </c>
      <c r="M822" s="79"/>
      <c r="N822" s="207"/>
      <c r="O822" s="207"/>
      <c r="P822" s="207"/>
      <c r="Q822" s="207"/>
    </row>
    <row r="823" spans="1:17" ht="34.5" customHeight="1">
      <c r="A823" s="82"/>
      <c r="B823" s="205" t="str">
        <f t="shared" si="2"/>
        <v/>
      </c>
      <c r="C823" s="206" t="str">
        <f t="shared" si="3"/>
        <v/>
      </c>
      <c r="D823" s="207" t="str">
        <f t="shared" si="0"/>
        <v/>
      </c>
      <c r="E823" s="207"/>
      <c r="F823" s="205" t="str">
        <f>IF(E823="","",VLOOKUP(E823,'ARAMA LİSTELERİ'!C823:G2862,5,))</f>
        <v/>
      </c>
      <c r="G823" s="207"/>
      <c r="H823" s="210"/>
      <c r="I823" s="79"/>
      <c r="J823" s="210"/>
      <c r="K823" s="210"/>
      <c r="L823" s="210" t="str">
        <f t="shared" si="1"/>
        <v/>
      </c>
      <c r="M823" s="79"/>
      <c r="N823" s="207"/>
      <c r="O823" s="207"/>
      <c r="P823" s="207"/>
      <c r="Q823" s="207"/>
    </row>
    <row r="824" spans="1:17" ht="34.5" customHeight="1">
      <c r="A824" s="82"/>
      <c r="B824" s="205" t="str">
        <f t="shared" si="2"/>
        <v/>
      </c>
      <c r="C824" s="206" t="str">
        <f t="shared" si="3"/>
        <v/>
      </c>
      <c r="D824" s="207" t="str">
        <f t="shared" si="0"/>
        <v/>
      </c>
      <c r="E824" s="207"/>
      <c r="F824" s="205" t="str">
        <f>IF(E824="","",VLOOKUP(E824,'ARAMA LİSTELERİ'!C824:G2863,5,))</f>
        <v/>
      </c>
      <c r="G824" s="207"/>
      <c r="H824" s="210"/>
      <c r="I824" s="79"/>
      <c r="J824" s="210"/>
      <c r="K824" s="210"/>
      <c r="L824" s="210" t="str">
        <f t="shared" si="1"/>
        <v/>
      </c>
      <c r="M824" s="79"/>
      <c r="N824" s="207"/>
      <c r="O824" s="207"/>
      <c r="P824" s="207"/>
      <c r="Q824" s="207"/>
    </row>
    <row r="825" spans="1:17" ht="34.5" customHeight="1">
      <c r="A825" s="82"/>
      <c r="B825" s="205" t="str">
        <f t="shared" si="2"/>
        <v/>
      </c>
      <c r="C825" s="206" t="str">
        <f t="shared" si="3"/>
        <v/>
      </c>
      <c r="D825" s="207" t="str">
        <f t="shared" si="0"/>
        <v/>
      </c>
      <c r="E825" s="207"/>
      <c r="F825" s="205" t="str">
        <f>IF(E825="","",VLOOKUP(E825,'ARAMA LİSTELERİ'!C825:G2864,5,))</f>
        <v/>
      </c>
      <c r="G825" s="207"/>
      <c r="H825" s="210"/>
      <c r="I825" s="79"/>
      <c r="J825" s="210"/>
      <c r="K825" s="210"/>
      <c r="L825" s="210" t="str">
        <f t="shared" si="1"/>
        <v/>
      </c>
      <c r="M825" s="79"/>
      <c r="N825" s="207"/>
      <c r="O825" s="207"/>
      <c r="P825" s="207"/>
      <c r="Q825" s="207"/>
    </row>
    <row r="826" spans="1:17" ht="34.5" customHeight="1">
      <c r="A826" s="82"/>
      <c r="B826" s="205" t="str">
        <f t="shared" si="2"/>
        <v/>
      </c>
      <c r="C826" s="206" t="str">
        <f t="shared" si="3"/>
        <v/>
      </c>
      <c r="D826" s="207" t="str">
        <f t="shared" si="0"/>
        <v/>
      </c>
      <c r="E826" s="207"/>
      <c r="F826" s="205" t="str">
        <f>IF(E826="","",VLOOKUP(E826,'ARAMA LİSTELERİ'!C826:G2865,5,))</f>
        <v/>
      </c>
      <c r="G826" s="207"/>
      <c r="H826" s="210"/>
      <c r="I826" s="79"/>
      <c r="J826" s="210"/>
      <c r="K826" s="210"/>
      <c r="L826" s="210" t="str">
        <f t="shared" si="1"/>
        <v/>
      </c>
      <c r="M826" s="79"/>
      <c r="N826" s="207"/>
      <c r="O826" s="207"/>
      <c r="P826" s="207"/>
      <c r="Q826" s="207"/>
    </row>
    <row r="827" spans="1:17" ht="34.5" customHeight="1">
      <c r="A827" s="82"/>
      <c r="B827" s="205" t="str">
        <f t="shared" si="2"/>
        <v/>
      </c>
      <c r="C827" s="206" t="str">
        <f t="shared" si="3"/>
        <v/>
      </c>
      <c r="D827" s="207" t="str">
        <f t="shared" si="0"/>
        <v/>
      </c>
      <c r="E827" s="207"/>
      <c r="F827" s="205" t="str">
        <f>IF(E827="","",VLOOKUP(E827,'ARAMA LİSTELERİ'!C827:G2866,5,))</f>
        <v/>
      </c>
      <c r="G827" s="207"/>
      <c r="H827" s="210"/>
      <c r="I827" s="79"/>
      <c r="J827" s="210"/>
      <c r="K827" s="210"/>
      <c r="L827" s="210" t="str">
        <f t="shared" si="1"/>
        <v/>
      </c>
      <c r="M827" s="79"/>
      <c r="N827" s="207"/>
      <c r="O827" s="207"/>
      <c r="P827" s="207"/>
      <c r="Q827" s="207"/>
    </row>
    <row r="828" spans="1:17" ht="34.5" customHeight="1">
      <c r="A828" s="82"/>
      <c r="B828" s="205" t="str">
        <f t="shared" si="2"/>
        <v/>
      </c>
      <c r="C828" s="206" t="str">
        <f t="shared" si="3"/>
        <v/>
      </c>
      <c r="D828" s="207" t="str">
        <f t="shared" si="0"/>
        <v/>
      </c>
      <c r="E828" s="207"/>
      <c r="F828" s="205" t="str">
        <f>IF(E828="","",VLOOKUP(E828,'ARAMA LİSTELERİ'!C828:G2867,5,))</f>
        <v/>
      </c>
      <c r="G828" s="207"/>
      <c r="H828" s="210"/>
      <c r="I828" s="79"/>
      <c r="J828" s="210"/>
      <c r="K828" s="210"/>
      <c r="L828" s="210" t="str">
        <f t="shared" si="1"/>
        <v/>
      </c>
      <c r="M828" s="79"/>
      <c r="N828" s="207"/>
      <c r="O828" s="207"/>
      <c r="P828" s="207"/>
      <c r="Q828" s="207"/>
    </row>
    <row r="829" spans="1:17" ht="34.5" customHeight="1">
      <c r="A829" s="82"/>
      <c r="B829" s="205" t="str">
        <f t="shared" si="2"/>
        <v/>
      </c>
      <c r="C829" s="206" t="str">
        <f t="shared" si="3"/>
        <v/>
      </c>
      <c r="D829" s="207" t="str">
        <f t="shared" si="0"/>
        <v/>
      </c>
      <c r="E829" s="207"/>
      <c r="F829" s="205" t="str">
        <f>IF(E829="","",VLOOKUP(E829,'ARAMA LİSTELERİ'!C829:G2868,5,))</f>
        <v/>
      </c>
      <c r="G829" s="207"/>
      <c r="H829" s="210"/>
      <c r="I829" s="79"/>
      <c r="J829" s="210"/>
      <c r="K829" s="210"/>
      <c r="L829" s="210" t="str">
        <f t="shared" si="1"/>
        <v/>
      </c>
      <c r="M829" s="79"/>
      <c r="N829" s="207"/>
      <c r="O829" s="207"/>
      <c r="P829" s="207"/>
      <c r="Q829" s="207"/>
    </row>
    <row r="830" spans="1:17" ht="34.5" customHeight="1">
      <c r="A830" s="82"/>
      <c r="B830" s="205" t="str">
        <f t="shared" si="2"/>
        <v/>
      </c>
      <c r="C830" s="206" t="str">
        <f t="shared" si="3"/>
        <v/>
      </c>
      <c r="D830" s="207" t="str">
        <f t="shared" si="0"/>
        <v/>
      </c>
      <c r="E830" s="207"/>
      <c r="F830" s="205" t="str">
        <f>IF(E830="","",VLOOKUP(E830,'ARAMA LİSTELERİ'!C830:G2869,5,))</f>
        <v/>
      </c>
      <c r="G830" s="207"/>
      <c r="H830" s="210"/>
      <c r="I830" s="79"/>
      <c r="J830" s="210"/>
      <c r="K830" s="210"/>
      <c r="L830" s="210" t="str">
        <f t="shared" si="1"/>
        <v/>
      </c>
      <c r="M830" s="79"/>
      <c r="N830" s="207"/>
      <c r="O830" s="207"/>
      <c r="P830" s="207"/>
      <c r="Q830" s="207"/>
    </row>
    <row r="831" spans="1:17" ht="34.5" customHeight="1">
      <c r="A831" s="82"/>
      <c r="B831" s="205" t="str">
        <f t="shared" si="2"/>
        <v/>
      </c>
      <c r="C831" s="206" t="str">
        <f t="shared" si="3"/>
        <v/>
      </c>
      <c r="D831" s="207" t="str">
        <f t="shared" si="0"/>
        <v/>
      </c>
      <c r="E831" s="207"/>
      <c r="F831" s="205" t="str">
        <f>IF(E831="","",VLOOKUP(E831,'ARAMA LİSTELERİ'!C831:G2870,5,))</f>
        <v/>
      </c>
      <c r="G831" s="207"/>
      <c r="H831" s="210"/>
      <c r="I831" s="79"/>
      <c r="J831" s="210"/>
      <c r="K831" s="210"/>
      <c r="L831" s="210" t="str">
        <f t="shared" si="1"/>
        <v/>
      </c>
      <c r="M831" s="79"/>
      <c r="N831" s="207"/>
      <c r="O831" s="207"/>
      <c r="P831" s="207"/>
      <c r="Q831" s="207"/>
    </row>
    <row r="832" spans="1:17" ht="34.5" customHeight="1">
      <c r="A832" s="82"/>
      <c r="B832" s="205" t="str">
        <f t="shared" si="2"/>
        <v/>
      </c>
      <c r="C832" s="206" t="str">
        <f t="shared" si="3"/>
        <v/>
      </c>
      <c r="D832" s="207" t="str">
        <f t="shared" si="0"/>
        <v/>
      </c>
      <c r="E832" s="207"/>
      <c r="F832" s="205" t="str">
        <f>IF(E832="","",VLOOKUP(E832,'ARAMA LİSTELERİ'!C832:G2871,5,))</f>
        <v/>
      </c>
      <c r="G832" s="207"/>
      <c r="H832" s="210"/>
      <c r="I832" s="79"/>
      <c r="J832" s="210"/>
      <c r="K832" s="210"/>
      <c r="L832" s="210" t="str">
        <f t="shared" si="1"/>
        <v/>
      </c>
      <c r="M832" s="79"/>
      <c r="N832" s="207"/>
      <c r="O832" s="207"/>
      <c r="P832" s="207"/>
      <c r="Q832" s="207"/>
    </row>
    <row r="833" spans="1:17" ht="34.5" customHeight="1">
      <c r="A833" s="82"/>
      <c r="B833" s="205" t="str">
        <f t="shared" si="2"/>
        <v/>
      </c>
      <c r="C833" s="206" t="str">
        <f t="shared" si="3"/>
        <v/>
      </c>
      <c r="D833" s="207" t="str">
        <f t="shared" si="0"/>
        <v/>
      </c>
      <c r="E833" s="207"/>
      <c r="F833" s="205" t="str">
        <f>IF(E833="","",VLOOKUP(E833,'ARAMA LİSTELERİ'!C833:G2872,5,))</f>
        <v/>
      </c>
      <c r="G833" s="207"/>
      <c r="H833" s="210"/>
      <c r="I833" s="79"/>
      <c r="J833" s="210"/>
      <c r="K833" s="210"/>
      <c r="L833" s="210" t="str">
        <f t="shared" si="1"/>
        <v/>
      </c>
      <c r="M833" s="79"/>
      <c r="N833" s="207"/>
      <c r="O833" s="207"/>
      <c r="P833" s="207"/>
      <c r="Q833" s="207"/>
    </row>
    <row r="834" spans="1:17" ht="34.5" customHeight="1">
      <c r="A834" s="82"/>
      <c r="B834" s="205" t="str">
        <f t="shared" si="2"/>
        <v/>
      </c>
      <c r="C834" s="206" t="str">
        <f t="shared" si="3"/>
        <v/>
      </c>
      <c r="D834" s="207" t="str">
        <f t="shared" si="0"/>
        <v/>
      </c>
      <c r="E834" s="207"/>
      <c r="F834" s="205" t="str">
        <f>IF(E834="","",VLOOKUP(E834,'ARAMA LİSTELERİ'!C834:G2873,5,))</f>
        <v/>
      </c>
      <c r="G834" s="207"/>
      <c r="H834" s="210"/>
      <c r="I834" s="79"/>
      <c r="J834" s="210"/>
      <c r="K834" s="210"/>
      <c r="L834" s="210" t="str">
        <f t="shared" si="1"/>
        <v/>
      </c>
      <c r="M834" s="79"/>
      <c r="N834" s="207"/>
      <c r="O834" s="207"/>
      <c r="P834" s="207"/>
      <c r="Q834" s="207"/>
    </row>
    <row r="835" spans="1:17" ht="34.5" customHeight="1">
      <c r="A835" s="82"/>
      <c r="B835" s="205" t="str">
        <f t="shared" si="2"/>
        <v/>
      </c>
      <c r="C835" s="206" t="str">
        <f t="shared" si="3"/>
        <v/>
      </c>
      <c r="D835" s="207" t="str">
        <f t="shared" si="0"/>
        <v/>
      </c>
      <c r="E835" s="207"/>
      <c r="F835" s="205" t="str">
        <f>IF(E835="","",VLOOKUP(E835,'ARAMA LİSTELERİ'!C835:G2874,5,))</f>
        <v/>
      </c>
      <c r="G835" s="207"/>
      <c r="H835" s="210"/>
      <c r="I835" s="79"/>
      <c r="J835" s="210"/>
      <c r="K835" s="210"/>
      <c r="L835" s="210" t="str">
        <f t="shared" si="1"/>
        <v/>
      </c>
      <c r="M835" s="79"/>
      <c r="N835" s="207"/>
      <c r="O835" s="207"/>
      <c r="P835" s="207"/>
      <c r="Q835" s="207"/>
    </row>
    <row r="836" spans="1:17" ht="34.5" customHeight="1">
      <c r="A836" s="82"/>
      <c r="B836" s="205" t="str">
        <f t="shared" si="2"/>
        <v/>
      </c>
      <c r="C836" s="206" t="str">
        <f t="shared" si="3"/>
        <v/>
      </c>
      <c r="D836" s="207" t="str">
        <f t="shared" si="0"/>
        <v/>
      </c>
      <c r="E836" s="207"/>
      <c r="F836" s="205" t="str">
        <f>IF(E836="","",VLOOKUP(E836,'ARAMA LİSTELERİ'!C836:G2875,5,))</f>
        <v/>
      </c>
      <c r="G836" s="207"/>
      <c r="H836" s="210"/>
      <c r="I836" s="79"/>
      <c r="J836" s="210"/>
      <c r="K836" s="210"/>
      <c r="L836" s="210" t="str">
        <f t="shared" si="1"/>
        <v/>
      </c>
      <c r="M836" s="79"/>
      <c r="N836" s="207"/>
      <c r="O836" s="207"/>
      <c r="P836" s="207"/>
      <c r="Q836" s="207"/>
    </row>
    <row r="837" spans="1:17" ht="34.5" customHeight="1">
      <c r="A837" s="82"/>
      <c r="B837" s="205" t="str">
        <f t="shared" si="2"/>
        <v/>
      </c>
      <c r="C837" s="206" t="str">
        <f t="shared" si="3"/>
        <v/>
      </c>
      <c r="D837" s="207" t="str">
        <f t="shared" si="0"/>
        <v/>
      </c>
      <c r="E837" s="207"/>
      <c r="F837" s="205" t="str">
        <f>IF(E837="","",VLOOKUP(E837,'ARAMA LİSTELERİ'!C837:G2876,5,))</f>
        <v/>
      </c>
      <c r="G837" s="207"/>
      <c r="H837" s="210"/>
      <c r="I837" s="79"/>
      <c r="J837" s="210"/>
      <c r="K837" s="210"/>
      <c r="L837" s="210" t="str">
        <f t="shared" si="1"/>
        <v/>
      </c>
      <c r="M837" s="79"/>
      <c r="N837" s="207"/>
      <c r="O837" s="207"/>
      <c r="P837" s="207"/>
      <c r="Q837" s="207"/>
    </row>
    <row r="838" spans="1:17" ht="34.5" customHeight="1">
      <c r="A838" s="82"/>
      <c r="B838" s="205" t="str">
        <f t="shared" si="2"/>
        <v/>
      </c>
      <c r="C838" s="206" t="str">
        <f t="shared" si="3"/>
        <v/>
      </c>
      <c r="D838" s="207" t="str">
        <f t="shared" si="0"/>
        <v/>
      </c>
      <c r="E838" s="207"/>
      <c r="F838" s="205" t="str">
        <f>IF(E838="","",VLOOKUP(E838,'ARAMA LİSTELERİ'!C838:G2877,5,))</f>
        <v/>
      </c>
      <c r="G838" s="207"/>
      <c r="H838" s="210"/>
      <c r="I838" s="79"/>
      <c r="J838" s="210"/>
      <c r="K838" s="210"/>
      <c r="L838" s="210" t="str">
        <f t="shared" si="1"/>
        <v/>
      </c>
      <c r="M838" s="79"/>
      <c r="N838" s="207"/>
      <c r="O838" s="207"/>
      <c r="P838" s="207"/>
      <c r="Q838" s="207"/>
    </row>
    <row r="839" spans="1:17" ht="34.5" customHeight="1">
      <c r="A839" s="82"/>
      <c r="B839" s="205" t="str">
        <f t="shared" si="2"/>
        <v/>
      </c>
      <c r="C839" s="206" t="str">
        <f t="shared" si="3"/>
        <v/>
      </c>
      <c r="D839" s="207" t="str">
        <f t="shared" si="0"/>
        <v/>
      </c>
      <c r="E839" s="207"/>
      <c r="F839" s="205" t="str">
        <f>IF(E839="","",VLOOKUP(E839,'ARAMA LİSTELERİ'!C839:G2878,5,))</f>
        <v/>
      </c>
      <c r="G839" s="207"/>
      <c r="H839" s="210"/>
      <c r="I839" s="79"/>
      <c r="J839" s="210"/>
      <c r="K839" s="210"/>
      <c r="L839" s="210" t="str">
        <f t="shared" si="1"/>
        <v/>
      </c>
      <c r="M839" s="79"/>
      <c r="N839" s="207"/>
      <c r="O839" s="207"/>
      <c r="P839" s="207"/>
      <c r="Q839" s="207"/>
    </row>
    <row r="840" spans="1:17" ht="34.5" customHeight="1">
      <c r="A840" s="82"/>
      <c r="B840" s="205" t="str">
        <f t="shared" si="2"/>
        <v/>
      </c>
      <c r="C840" s="206" t="str">
        <f t="shared" si="3"/>
        <v/>
      </c>
      <c r="D840" s="207" t="str">
        <f t="shared" si="0"/>
        <v/>
      </c>
      <c r="E840" s="207"/>
      <c r="F840" s="205" t="str">
        <f>IF(E840="","",VLOOKUP(E840,'ARAMA LİSTELERİ'!C840:G2879,5,))</f>
        <v/>
      </c>
      <c r="G840" s="207"/>
      <c r="H840" s="210"/>
      <c r="I840" s="79"/>
      <c r="J840" s="210"/>
      <c r="K840" s="210"/>
      <c r="L840" s="210" t="str">
        <f t="shared" si="1"/>
        <v/>
      </c>
      <c r="M840" s="79"/>
      <c r="N840" s="207"/>
      <c r="O840" s="207"/>
      <c r="P840" s="207"/>
      <c r="Q840" s="207"/>
    </row>
    <row r="841" spans="1:17" ht="34.5" customHeight="1">
      <c r="A841" s="82"/>
      <c r="B841" s="205" t="str">
        <f t="shared" si="2"/>
        <v/>
      </c>
      <c r="C841" s="206" t="str">
        <f t="shared" si="3"/>
        <v/>
      </c>
      <c r="D841" s="207" t="str">
        <f t="shared" si="0"/>
        <v/>
      </c>
      <c r="E841" s="207"/>
      <c r="F841" s="205" t="str">
        <f>IF(E841="","",VLOOKUP(E841,'ARAMA LİSTELERİ'!C841:G2880,5,))</f>
        <v/>
      </c>
      <c r="G841" s="207"/>
      <c r="H841" s="210"/>
      <c r="I841" s="79"/>
      <c r="J841" s="210"/>
      <c r="K841" s="210"/>
      <c r="L841" s="210" t="str">
        <f t="shared" si="1"/>
        <v/>
      </c>
      <c r="M841" s="79"/>
      <c r="N841" s="207"/>
      <c r="O841" s="207"/>
      <c r="P841" s="207"/>
      <c r="Q841" s="207"/>
    </row>
    <row r="842" spans="1:17" ht="34.5" customHeight="1">
      <c r="A842" s="82"/>
      <c r="B842" s="205" t="str">
        <f t="shared" si="2"/>
        <v/>
      </c>
      <c r="C842" s="206" t="str">
        <f t="shared" si="3"/>
        <v/>
      </c>
      <c r="D842" s="207" t="str">
        <f t="shared" si="0"/>
        <v/>
      </c>
      <c r="E842" s="207"/>
      <c r="F842" s="205" t="str">
        <f>IF(E842="","",VLOOKUP(E842,'ARAMA LİSTELERİ'!C842:G2881,5,))</f>
        <v/>
      </c>
      <c r="G842" s="207"/>
      <c r="H842" s="210"/>
      <c r="I842" s="79"/>
      <c r="J842" s="210"/>
      <c r="K842" s="210"/>
      <c r="L842" s="210" t="str">
        <f t="shared" si="1"/>
        <v/>
      </c>
      <c r="M842" s="79"/>
      <c r="N842" s="207"/>
      <c r="O842" s="207"/>
      <c r="P842" s="207"/>
      <c r="Q842" s="207"/>
    </row>
    <row r="843" spans="1:17" ht="34.5" customHeight="1">
      <c r="A843" s="82"/>
      <c r="B843" s="205" t="str">
        <f t="shared" si="2"/>
        <v/>
      </c>
      <c r="C843" s="206" t="str">
        <f t="shared" si="3"/>
        <v/>
      </c>
      <c r="D843" s="207" t="str">
        <f t="shared" si="0"/>
        <v/>
      </c>
      <c r="E843" s="207"/>
      <c r="F843" s="205" t="str">
        <f>IF(E843="","",VLOOKUP(E843,'ARAMA LİSTELERİ'!C843:G2882,5,))</f>
        <v/>
      </c>
      <c r="G843" s="207"/>
      <c r="H843" s="210"/>
      <c r="I843" s="79"/>
      <c r="J843" s="210"/>
      <c r="K843" s="210"/>
      <c r="L843" s="210" t="str">
        <f t="shared" si="1"/>
        <v/>
      </c>
      <c r="M843" s="79"/>
      <c r="N843" s="207"/>
      <c r="O843" s="207"/>
      <c r="P843" s="207"/>
      <c r="Q843" s="207"/>
    </row>
    <row r="844" spans="1:17" ht="34.5" customHeight="1">
      <c r="A844" s="82"/>
      <c r="B844" s="205" t="str">
        <f t="shared" si="2"/>
        <v/>
      </c>
      <c r="C844" s="206" t="str">
        <f t="shared" si="3"/>
        <v/>
      </c>
      <c r="D844" s="207" t="str">
        <f t="shared" si="0"/>
        <v/>
      </c>
      <c r="E844" s="207"/>
      <c r="F844" s="205" t="str">
        <f>IF(E844="","",VLOOKUP(E844,'ARAMA LİSTELERİ'!C844:G2883,5,))</f>
        <v/>
      </c>
      <c r="G844" s="207"/>
      <c r="H844" s="210"/>
      <c r="I844" s="79"/>
      <c r="J844" s="210"/>
      <c r="K844" s="210"/>
      <c r="L844" s="210" t="str">
        <f t="shared" si="1"/>
        <v/>
      </c>
      <c r="M844" s="79"/>
      <c r="N844" s="207"/>
      <c r="O844" s="207"/>
      <c r="P844" s="207"/>
      <c r="Q844" s="207"/>
    </row>
    <row r="845" spans="1:17" ht="34.5" customHeight="1">
      <c r="A845" s="82"/>
      <c r="B845" s="205" t="str">
        <f t="shared" si="2"/>
        <v/>
      </c>
      <c r="C845" s="206" t="str">
        <f t="shared" si="3"/>
        <v/>
      </c>
      <c r="D845" s="207" t="str">
        <f t="shared" si="0"/>
        <v/>
      </c>
      <c r="E845" s="207"/>
      <c r="F845" s="205" t="str">
        <f>IF(E845="","",VLOOKUP(E845,'ARAMA LİSTELERİ'!C845:G2884,5,))</f>
        <v/>
      </c>
      <c r="G845" s="207"/>
      <c r="H845" s="210"/>
      <c r="I845" s="79"/>
      <c r="J845" s="210"/>
      <c r="K845" s="210"/>
      <c r="L845" s="210" t="str">
        <f t="shared" si="1"/>
        <v/>
      </c>
      <c r="M845" s="79"/>
      <c r="N845" s="207"/>
      <c r="O845" s="207"/>
      <c r="P845" s="207"/>
      <c r="Q845" s="207"/>
    </row>
    <row r="846" spans="1:17" ht="34.5" customHeight="1">
      <c r="A846" s="82"/>
      <c r="B846" s="205" t="str">
        <f t="shared" si="2"/>
        <v/>
      </c>
      <c r="C846" s="206" t="str">
        <f t="shared" si="3"/>
        <v/>
      </c>
      <c r="D846" s="207" t="str">
        <f t="shared" si="0"/>
        <v/>
      </c>
      <c r="E846" s="207"/>
      <c r="F846" s="205" t="str">
        <f>IF(E846="","",VLOOKUP(E846,'ARAMA LİSTELERİ'!C846:G2885,5,))</f>
        <v/>
      </c>
      <c r="G846" s="207"/>
      <c r="H846" s="210"/>
      <c r="I846" s="79"/>
      <c r="J846" s="210"/>
      <c r="K846" s="210"/>
      <c r="L846" s="210" t="str">
        <f t="shared" si="1"/>
        <v/>
      </c>
      <c r="M846" s="79"/>
      <c r="N846" s="207"/>
      <c r="O846" s="207"/>
      <c r="P846" s="207"/>
      <c r="Q846" s="207"/>
    </row>
    <row r="847" spans="1:17" ht="34.5" customHeight="1">
      <c r="A847" s="82"/>
      <c r="B847" s="205" t="str">
        <f t="shared" si="2"/>
        <v/>
      </c>
      <c r="C847" s="206" t="str">
        <f t="shared" si="3"/>
        <v/>
      </c>
      <c r="D847" s="207" t="str">
        <f t="shared" si="0"/>
        <v/>
      </c>
      <c r="E847" s="207"/>
      <c r="F847" s="205" t="str">
        <f>IF(E847="","",VLOOKUP(E847,'ARAMA LİSTELERİ'!C847:G2886,5,))</f>
        <v/>
      </c>
      <c r="G847" s="207"/>
      <c r="H847" s="210"/>
      <c r="I847" s="79"/>
      <c r="J847" s="210"/>
      <c r="K847" s="210"/>
      <c r="L847" s="210" t="str">
        <f t="shared" si="1"/>
        <v/>
      </c>
      <c r="M847" s="79"/>
      <c r="N847" s="207"/>
      <c r="O847" s="207"/>
      <c r="P847" s="207"/>
      <c r="Q847" s="207"/>
    </row>
    <row r="848" spans="1:17" ht="34.5" customHeight="1">
      <c r="A848" s="82"/>
      <c r="B848" s="205" t="str">
        <f t="shared" si="2"/>
        <v/>
      </c>
      <c r="C848" s="206" t="str">
        <f t="shared" si="3"/>
        <v/>
      </c>
      <c r="D848" s="207" t="str">
        <f t="shared" si="0"/>
        <v/>
      </c>
      <c r="E848" s="207"/>
      <c r="F848" s="205" t="str">
        <f>IF(E848="","",VLOOKUP(E848,'ARAMA LİSTELERİ'!C848:G2887,5,))</f>
        <v/>
      </c>
      <c r="G848" s="207"/>
      <c r="H848" s="210"/>
      <c r="I848" s="79"/>
      <c r="J848" s="210"/>
      <c r="K848" s="210"/>
      <c r="L848" s="210" t="str">
        <f t="shared" si="1"/>
        <v/>
      </c>
      <c r="M848" s="79"/>
      <c r="N848" s="207"/>
      <c r="O848" s="207"/>
      <c r="P848" s="207"/>
      <c r="Q848" s="207"/>
    </row>
    <row r="849" spans="1:17" ht="34.5" customHeight="1">
      <c r="A849" s="82"/>
      <c r="B849" s="205" t="str">
        <f t="shared" si="2"/>
        <v/>
      </c>
      <c r="C849" s="206" t="str">
        <f t="shared" si="3"/>
        <v/>
      </c>
      <c r="D849" s="207" t="str">
        <f t="shared" si="0"/>
        <v/>
      </c>
      <c r="E849" s="207"/>
      <c r="F849" s="205" t="str">
        <f>IF(E849="","",VLOOKUP(E849,'ARAMA LİSTELERİ'!C849:G2888,5,))</f>
        <v/>
      </c>
      <c r="G849" s="207"/>
      <c r="H849" s="210"/>
      <c r="I849" s="79"/>
      <c r="J849" s="210"/>
      <c r="K849" s="210"/>
      <c r="L849" s="210" t="str">
        <f t="shared" si="1"/>
        <v/>
      </c>
      <c r="M849" s="79"/>
      <c r="N849" s="207"/>
      <c r="O849" s="207"/>
      <c r="P849" s="207"/>
      <c r="Q849" s="207"/>
    </row>
    <row r="850" spans="1:17" ht="34.5" customHeight="1">
      <c r="A850" s="82"/>
      <c r="B850" s="205" t="str">
        <f t="shared" si="2"/>
        <v/>
      </c>
      <c r="C850" s="206" t="str">
        <f t="shared" si="3"/>
        <v/>
      </c>
      <c r="D850" s="207" t="str">
        <f t="shared" si="0"/>
        <v/>
      </c>
      <c r="E850" s="207"/>
      <c r="F850" s="205" t="str">
        <f>IF(E850="","",VLOOKUP(E850,'ARAMA LİSTELERİ'!C850:G2889,5,))</f>
        <v/>
      </c>
      <c r="G850" s="207"/>
      <c r="H850" s="210"/>
      <c r="I850" s="79"/>
      <c r="J850" s="210"/>
      <c r="K850" s="210"/>
      <c r="L850" s="210" t="str">
        <f t="shared" si="1"/>
        <v/>
      </c>
      <c r="M850" s="79"/>
      <c r="N850" s="207"/>
      <c r="O850" s="207"/>
      <c r="P850" s="207"/>
      <c r="Q850" s="207"/>
    </row>
    <row r="851" spans="1:17" ht="34.5" customHeight="1">
      <c r="A851" s="82"/>
      <c r="B851" s="205" t="str">
        <f t="shared" si="2"/>
        <v/>
      </c>
      <c r="C851" s="206" t="str">
        <f t="shared" si="3"/>
        <v/>
      </c>
      <c r="D851" s="207" t="str">
        <f t="shared" si="0"/>
        <v/>
      </c>
      <c r="E851" s="207"/>
      <c r="F851" s="205" t="str">
        <f>IF(E851="","",VLOOKUP(E851,'ARAMA LİSTELERİ'!C851:G2890,5,))</f>
        <v/>
      </c>
      <c r="G851" s="207"/>
      <c r="H851" s="210"/>
      <c r="I851" s="79"/>
      <c r="J851" s="210"/>
      <c r="K851" s="210"/>
      <c r="L851" s="210" t="str">
        <f t="shared" si="1"/>
        <v/>
      </c>
      <c r="M851" s="79"/>
      <c r="N851" s="207"/>
      <c r="O851" s="207"/>
      <c r="P851" s="207"/>
      <c r="Q851" s="207"/>
    </row>
    <row r="852" spans="1:17" ht="34.5" customHeight="1">
      <c r="A852" s="82"/>
      <c r="B852" s="205" t="str">
        <f t="shared" si="2"/>
        <v/>
      </c>
      <c r="C852" s="206" t="str">
        <f t="shared" si="3"/>
        <v/>
      </c>
      <c r="D852" s="207" t="str">
        <f t="shared" si="0"/>
        <v/>
      </c>
      <c r="E852" s="207"/>
      <c r="F852" s="205" t="str">
        <f>IF(E852="","",VLOOKUP(E852,'ARAMA LİSTELERİ'!C852:G2891,5,))</f>
        <v/>
      </c>
      <c r="G852" s="207"/>
      <c r="H852" s="210"/>
      <c r="I852" s="79"/>
      <c r="J852" s="210"/>
      <c r="K852" s="210"/>
      <c r="L852" s="210" t="str">
        <f t="shared" si="1"/>
        <v/>
      </c>
      <c r="M852" s="79"/>
      <c r="N852" s="207"/>
      <c r="O852" s="207"/>
      <c r="P852" s="207"/>
      <c r="Q852" s="207"/>
    </row>
    <row r="853" spans="1:17" ht="34.5" customHeight="1">
      <c r="A853" s="82"/>
      <c r="B853" s="205" t="str">
        <f t="shared" si="2"/>
        <v/>
      </c>
      <c r="C853" s="206" t="str">
        <f t="shared" si="3"/>
        <v/>
      </c>
      <c r="D853" s="207" t="str">
        <f t="shared" si="0"/>
        <v/>
      </c>
      <c r="E853" s="207"/>
      <c r="F853" s="205" t="str">
        <f>IF(E853="","",VLOOKUP(E853,'ARAMA LİSTELERİ'!C853:G2892,5,))</f>
        <v/>
      </c>
      <c r="G853" s="207"/>
      <c r="H853" s="210"/>
      <c r="I853" s="79"/>
      <c r="J853" s="210"/>
      <c r="K853" s="210"/>
      <c r="L853" s="210" t="str">
        <f t="shared" si="1"/>
        <v/>
      </c>
      <c r="M853" s="79"/>
      <c r="N853" s="207"/>
      <c r="O853" s="207"/>
      <c r="P853" s="207"/>
      <c r="Q853" s="207"/>
    </row>
    <row r="854" spans="1:17" ht="34.5" customHeight="1">
      <c r="A854" s="82"/>
      <c r="B854" s="205" t="str">
        <f t="shared" si="2"/>
        <v/>
      </c>
      <c r="C854" s="206" t="str">
        <f t="shared" si="3"/>
        <v/>
      </c>
      <c r="D854" s="207" t="str">
        <f t="shared" si="0"/>
        <v/>
      </c>
      <c r="E854" s="207"/>
      <c r="F854" s="205" t="str">
        <f>IF(E854="","",VLOOKUP(E854,'ARAMA LİSTELERİ'!C854:G2893,5,))</f>
        <v/>
      </c>
      <c r="G854" s="207"/>
      <c r="H854" s="210"/>
      <c r="I854" s="79"/>
      <c r="J854" s="210"/>
      <c r="K854" s="210"/>
      <c r="L854" s="210" t="str">
        <f t="shared" si="1"/>
        <v/>
      </c>
      <c r="M854" s="79"/>
      <c r="N854" s="207"/>
      <c r="O854" s="207"/>
      <c r="P854" s="207"/>
      <c r="Q854" s="207"/>
    </row>
    <row r="855" spans="1:17" ht="34.5" customHeight="1">
      <c r="A855" s="82"/>
      <c r="B855" s="205" t="str">
        <f t="shared" si="2"/>
        <v/>
      </c>
      <c r="C855" s="206" t="str">
        <f t="shared" si="3"/>
        <v/>
      </c>
      <c r="D855" s="207" t="str">
        <f t="shared" si="0"/>
        <v/>
      </c>
      <c r="E855" s="207"/>
      <c r="F855" s="205" t="str">
        <f>IF(E855="","",VLOOKUP(E855,'ARAMA LİSTELERİ'!C855:G2894,5,))</f>
        <v/>
      </c>
      <c r="G855" s="207"/>
      <c r="H855" s="210"/>
      <c r="I855" s="79"/>
      <c r="J855" s="210"/>
      <c r="K855" s="210"/>
      <c r="L855" s="210" t="str">
        <f t="shared" si="1"/>
        <v/>
      </c>
      <c r="M855" s="79"/>
      <c r="N855" s="207"/>
      <c r="O855" s="207"/>
      <c r="P855" s="207"/>
      <c r="Q855" s="207"/>
    </row>
    <row r="856" spans="1:17" ht="34.5" customHeight="1">
      <c r="A856" s="82"/>
      <c r="B856" s="205" t="str">
        <f t="shared" si="2"/>
        <v/>
      </c>
      <c r="C856" s="206" t="str">
        <f t="shared" si="3"/>
        <v/>
      </c>
      <c r="D856" s="207" t="str">
        <f t="shared" si="0"/>
        <v/>
      </c>
      <c r="E856" s="207"/>
      <c r="F856" s="205" t="str">
        <f>IF(E856="","",VLOOKUP(E856,'ARAMA LİSTELERİ'!C856:G2895,5,))</f>
        <v/>
      </c>
      <c r="G856" s="207"/>
      <c r="H856" s="210"/>
      <c r="I856" s="79"/>
      <c r="J856" s="210"/>
      <c r="K856" s="210"/>
      <c r="L856" s="210" t="str">
        <f t="shared" si="1"/>
        <v/>
      </c>
      <c r="M856" s="79"/>
      <c r="N856" s="207"/>
      <c r="O856" s="207"/>
      <c r="P856" s="207"/>
      <c r="Q856" s="207"/>
    </row>
    <row r="857" spans="1:17" ht="34.5" customHeight="1">
      <c r="A857" s="82"/>
      <c r="B857" s="205" t="str">
        <f t="shared" si="2"/>
        <v/>
      </c>
      <c r="C857" s="206" t="str">
        <f t="shared" si="3"/>
        <v/>
      </c>
      <c r="D857" s="207" t="str">
        <f t="shared" si="0"/>
        <v/>
      </c>
      <c r="E857" s="207"/>
      <c r="F857" s="205" t="str">
        <f>IF(E857="","",VLOOKUP(E857,'ARAMA LİSTELERİ'!C857:G2896,5,))</f>
        <v/>
      </c>
      <c r="G857" s="207"/>
      <c r="H857" s="210"/>
      <c r="I857" s="79"/>
      <c r="J857" s="210"/>
      <c r="K857" s="210"/>
      <c r="L857" s="210" t="str">
        <f t="shared" si="1"/>
        <v/>
      </c>
      <c r="M857" s="79"/>
      <c r="N857" s="207"/>
      <c r="O857" s="207"/>
      <c r="P857" s="207"/>
      <c r="Q857" s="207"/>
    </row>
    <row r="858" spans="1:17" ht="34.5" customHeight="1">
      <c r="A858" s="82"/>
      <c r="B858" s="205" t="str">
        <f t="shared" si="2"/>
        <v/>
      </c>
      <c r="C858" s="206" t="str">
        <f t="shared" si="3"/>
        <v/>
      </c>
      <c r="D858" s="207" t="str">
        <f t="shared" si="0"/>
        <v/>
      </c>
      <c r="E858" s="207"/>
      <c r="F858" s="205" t="str">
        <f>IF(E858="","",VLOOKUP(E858,'ARAMA LİSTELERİ'!C858:G2897,5,))</f>
        <v/>
      </c>
      <c r="G858" s="207"/>
      <c r="H858" s="210"/>
      <c r="I858" s="79"/>
      <c r="J858" s="210"/>
      <c r="K858" s="210"/>
      <c r="L858" s="210" t="str">
        <f t="shared" si="1"/>
        <v/>
      </c>
      <c r="M858" s="79"/>
      <c r="N858" s="207"/>
      <c r="O858" s="207"/>
      <c r="P858" s="207"/>
      <c r="Q858" s="207"/>
    </row>
    <row r="859" spans="1:17" ht="34.5" customHeight="1">
      <c r="A859" s="82"/>
      <c r="B859" s="205" t="str">
        <f t="shared" si="2"/>
        <v/>
      </c>
      <c r="C859" s="206" t="str">
        <f t="shared" si="3"/>
        <v/>
      </c>
      <c r="D859" s="207" t="str">
        <f t="shared" si="0"/>
        <v/>
      </c>
      <c r="E859" s="207"/>
      <c r="F859" s="205" t="str">
        <f>IF(E859="","",VLOOKUP(E859,'ARAMA LİSTELERİ'!C859:G2898,5,))</f>
        <v/>
      </c>
      <c r="G859" s="207"/>
      <c r="H859" s="210"/>
      <c r="I859" s="79"/>
      <c r="J859" s="210"/>
      <c r="K859" s="210"/>
      <c r="L859" s="210" t="str">
        <f t="shared" si="1"/>
        <v/>
      </c>
      <c r="M859" s="79"/>
      <c r="N859" s="207"/>
      <c r="O859" s="207"/>
      <c r="P859" s="207"/>
      <c r="Q859" s="207"/>
    </row>
    <row r="860" spans="1:17" ht="34.5" customHeight="1">
      <c r="A860" s="82"/>
      <c r="B860" s="205" t="str">
        <f t="shared" si="2"/>
        <v/>
      </c>
      <c r="C860" s="206" t="str">
        <f t="shared" si="3"/>
        <v/>
      </c>
      <c r="D860" s="207" t="str">
        <f t="shared" si="0"/>
        <v/>
      </c>
      <c r="E860" s="207"/>
      <c r="F860" s="205" t="str">
        <f>IF(E860="","",VLOOKUP(E860,'ARAMA LİSTELERİ'!C860:G2899,5,))</f>
        <v/>
      </c>
      <c r="G860" s="207"/>
      <c r="H860" s="210"/>
      <c r="I860" s="79"/>
      <c r="J860" s="210"/>
      <c r="K860" s="210"/>
      <c r="L860" s="210" t="str">
        <f t="shared" si="1"/>
        <v/>
      </c>
      <c r="M860" s="79"/>
      <c r="N860" s="207"/>
      <c r="O860" s="207"/>
      <c r="P860" s="207"/>
      <c r="Q860" s="207"/>
    </row>
    <row r="861" spans="1:17" ht="34.5" customHeight="1">
      <c r="A861" s="82"/>
      <c r="B861" s="205" t="str">
        <f t="shared" si="2"/>
        <v/>
      </c>
      <c r="C861" s="206" t="str">
        <f t="shared" si="3"/>
        <v/>
      </c>
      <c r="D861" s="207" t="str">
        <f t="shared" si="0"/>
        <v/>
      </c>
      <c r="E861" s="207"/>
      <c r="F861" s="205" t="str">
        <f>IF(E861="","",VLOOKUP(E861,'ARAMA LİSTELERİ'!C861:G2900,5,))</f>
        <v/>
      </c>
      <c r="G861" s="207"/>
      <c r="H861" s="210"/>
      <c r="I861" s="79"/>
      <c r="J861" s="210"/>
      <c r="K861" s="210"/>
      <c r="L861" s="210" t="str">
        <f t="shared" si="1"/>
        <v/>
      </c>
      <c r="M861" s="79"/>
      <c r="N861" s="207"/>
      <c r="O861" s="207"/>
      <c r="P861" s="207"/>
      <c r="Q861" s="207"/>
    </row>
    <row r="862" spans="1:17" ht="34.5" customHeight="1">
      <c r="A862" s="82"/>
      <c r="B862" s="205" t="str">
        <f t="shared" si="2"/>
        <v/>
      </c>
      <c r="C862" s="206" t="str">
        <f t="shared" si="3"/>
        <v/>
      </c>
      <c r="D862" s="207" t="str">
        <f t="shared" si="0"/>
        <v/>
      </c>
      <c r="E862" s="207"/>
      <c r="F862" s="205" t="str">
        <f>IF(E862="","",VLOOKUP(E862,'ARAMA LİSTELERİ'!C862:G2901,5,))</f>
        <v/>
      </c>
      <c r="G862" s="207"/>
      <c r="H862" s="210"/>
      <c r="I862" s="79"/>
      <c r="J862" s="210"/>
      <c r="K862" s="210"/>
      <c r="L862" s="210" t="str">
        <f t="shared" si="1"/>
        <v/>
      </c>
      <c r="M862" s="79"/>
      <c r="N862" s="207"/>
      <c r="O862" s="207"/>
      <c r="P862" s="207"/>
      <c r="Q862" s="207"/>
    </row>
    <row r="863" spans="1:17" ht="34.5" customHeight="1">
      <c r="A863" s="82"/>
      <c r="B863" s="205" t="str">
        <f t="shared" si="2"/>
        <v/>
      </c>
      <c r="C863" s="206" t="str">
        <f t="shared" si="3"/>
        <v/>
      </c>
      <c r="D863" s="207" t="str">
        <f t="shared" si="0"/>
        <v/>
      </c>
      <c r="E863" s="207"/>
      <c r="F863" s="205" t="str">
        <f>IF(E863="","",VLOOKUP(E863,'ARAMA LİSTELERİ'!C863:G2902,5,))</f>
        <v/>
      </c>
      <c r="G863" s="207"/>
      <c r="H863" s="210"/>
      <c r="I863" s="79"/>
      <c r="J863" s="210"/>
      <c r="K863" s="210"/>
      <c r="L863" s="210" t="str">
        <f t="shared" si="1"/>
        <v/>
      </c>
      <c r="M863" s="79"/>
      <c r="N863" s="207"/>
      <c r="O863" s="207"/>
      <c r="P863" s="207"/>
      <c r="Q863" s="207"/>
    </row>
    <row r="864" spans="1:17" ht="34.5" customHeight="1">
      <c r="A864" s="82"/>
      <c r="B864" s="205" t="str">
        <f t="shared" si="2"/>
        <v/>
      </c>
      <c r="C864" s="206" t="str">
        <f t="shared" si="3"/>
        <v/>
      </c>
      <c r="D864" s="207" t="str">
        <f t="shared" si="0"/>
        <v/>
      </c>
      <c r="E864" s="207"/>
      <c r="F864" s="205" t="str">
        <f>IF(E864="","",VLOOKUP(E864,'ARAMA LİSTELERİ'!C864:G2903,5,))</f>
        <v/>
      </c>
      <c r="G864" s="207"/>
      <c r="H864" s="210"/>
      <c r="I864" s="79"/>
      <c r="J864" s="210"/>
      <c r="K864" s="210"/>
      <c r="L864" s="210" t="str">
        <f t="shared" si="1"/>
        <v/>
      </c>
      <c r="M864" s="79"/>
      <c r="N864" s="207"/>
      <c r="O864" s="207"/>
      <c r="P864" s="207"/>
      <c r="Q864" s="207"/>
    </row>
    <row r="865" spans="1:17" ht="34.5" customHeight="1">
      <c r="A865" s="82"/>
      <c r="B865" s="205" t="str">
        <f t="shared" si="2"/>
        <v/>
      </c>
      <c r="C865" s="206" t="str">
        <f t="shared" si="3"/>
        <v/>
      </c>
      <c r="D865" s="207" t="str">
        <f t="shared" si="0"/>
        <v/>
      </c>
      <c r="E865" s="207"/>
      <c r="F865" s="205" t="str">
        <f>IF(E865="","",VLOOKUP(E865,'ARAMA LİSTELERİ'!C865:G2904,5,))</f>
        <v/>
      </c>
      <c r="G865" s="207"/>
      <c r="H865" s="210"/>
      <c r="I865" s="79"/>
      <c r="J865" s="210"/>
      <c r="K865" s="210"/>
      <c r="L865" s="210" t="str">
        <f t="shared" si="1"/>
        <v/>
      </c>
      <c r="M865" s="79"/>
      <c r="N865" s="207"/>
      <c r="O865" s="207"/>
      <c r="P865" s="207"/>
      <c r="Q865" s="207"/>
    </row>
    <row r="866" spans="1:17" ht="34.5" customHeight="1">
      <c r="A866" s="82"/>
      <c r="B866" s="205" t="str">
        <f t="shared" si="2"/>
        <v/>
      </c>
      <c r="C866" s="206" t="str">
        <f t="shared" si="3"/>
        <v/>
      </c>
      <c r="D866" s="207" t="str">
        <f t="shared" si="0"/>
        <v/>
      </c>
      <c r="E866" s="207"/>
      <c r="F866" s="205" t="str">
        <f>IF(E866="","",VLOOKUP(E866,'ARAMA LİSTELERİ'!C866:G2905,5,))</f>
        <v/>
      </c>
      <c r="G866" s="207"/>
      <c r="H866" s="210"/>
      <c r="I866" s="79"/>
      <c r="J866" s="210"/>
      <c r="K866" s="210"/>
      <c r="L866" s="210" t="str">
        <f t="shared" si="1"/>
        <v/>
      </c>
      <c r="M866" s="79"/>
      <c r="N866" s="207"/>
      <c r="O866" s="207"/>
      <c r="P866" s="207"/>
      <c r="Q866" s="207"/>
    </row>
    <row r="867" spans="1:17" ht="34.5" customHeight="1">
      <c r="A867" s="82"/>
      <c r="B867" s="205" t="str">
        <f t="shared" si="2"/>
        <v/>
      </c>
      <c r="C867" s="206" t="str">
        <f t="shared" si="3"/>
        <v/>
      </c>
      <c r="D867" s="207" t="str">
        <f t="shared" si="0"/>
        <v/>
      </c>
      <c r="E867" s="207"/>
      <c r="F867" s="205" t="str">
        <f>IF(E867="","",VLOOKUP(E867,'ARAMA LİSTELERİ'!C867:G2906,5,))</f>
        <v/>
      </c>
      <c r="G867" s="207"/>
      <c r="H867" s="210"/>
      <c r="I867" s="79"/>
      <c r="J867" s="210"/>
      <c r="K867" s="210"/>
      <c r="L867" s="210" t="str">
        <f t="shared" si="1"/>
        <v/>
      </c>
      <c r="M867" s="79"/>
      <c r="N867" s="207"/>
      <c r="O867" s="207"/>
      <c r="P867" s="207"/>
      <c r="Q867" s="207"/>
    </row>
    <row r="868" spans="1:17" ht="34.5" customHeight="1">
      <c r="A868" s="82"/>
      <c r="B868" s="205" t="str">
        <f t="shared" si="2"/>
        <v/>
      </c>
      <c r="C868" s="206" t="str">
        <f t="shared" si="3"/>
        <v/>
      </c>
      <c r="D868" s="207" t="str">
        <f t="shared" si="0"/>
        <v/>
      </c>
      <c r="E868" s="207"/>
      <c r="F868" s="205" t="str">
        <f>IF(E868="","",VLOOKUP(E868,'ARAMA LİSTELERİ'!C868:G2907,5,))</f>
        <v/>
      </c>
      <c r="G868" s="207"/>
      <c r="H868" s="210"/>
      <c r="I868" s="79"/>
      <c r="J868" s="210"/>
      <c r="K868" s="210"/>
      <c r="L868" s="210" t="str">
        <f t="shared" si="1"/>
        <v/>
      </c>
      <c r="M868" s="79"/>
      <c r="N868" s="207"/>
      <c r="O868" s="207"/>
      <c r="P868" s="207"/>
      <c r="Q868" s="207"/>
    </row>
    <row r="869" spans="1:17" ht="34.5" customHeight="1">
      <c r="A869" s="82"/>
      <c r="B869" s="205" t="str">
        <f t="shared" si="2"/>
        <v/>
      </c>
      <c r="C869" s="206" t="str">
        <f t="shared" si="3"/>
        <v/>
      </c>
      <c r="D869" s="207" t="str">
        <f t="shared" si="0"/>
        <v/>
      </c>
      <c r="E869" s="207"/>
      <c r="F869" s="205" t="str">
        <f>IF(E869="","",VLOOKUP(E869,'ARAMA LİSTELERİ'!C869:G2908,5,))</f>
        <v/>
      </c>
      <c r="G869" s="207"/>
      <c r="H869" s="210"/>
      <c r="I869" s="79"/>
      <c r="J869" s="210"/>
      <c r="K869" s="210"/>
      <c r="L869" s="210" t="str">
        <f t="shared" si="1"/>
        <v/>
      </c>
      <c r="M869" s="79"/>
      <c r="N869" s="207"/>
      <c r="O869" s="207"/>
      <c r="P869" s="207"/>
      <c r="Q869" s="207"/>
    </row>
    <row r="870" spans="1:17" ht="34.5" customHeight="1">
      <c r="A870" s="82"/>
      <c r="B870" s="205" t="str">
        <f t="shared" si="2"/>
        <v/>
      </c>
      <c r="C870" s="206" t="str">
        <f t="shared" si="3"/>
        <v/>
      </c>
      <c r="D870" s="207" t="str">
        <f t="shared" si="0"/>
        <v/>
      </c>
      <c r="E870" s="207"/>
      <c r="F870" s="205" t="str">
        <f>IF(E870="","",VLOOKUP(E870,'ARAMA LİSTELERİ'!C870:G2909,5,))</f>
        <v/>
      </c>
      <c r="G870" s="207"/>
      <c r="H870" s="210"/>
      <c r="I870" s="79"/>
      <c r="J870" s="210"/>
      <c r="K870" s="210"/>
      <c r="L870" s="210" t="str">
        <f t="shared" si="1"/>
        <v/>
      </c>
      <c r="M870" s="79"/>
      <c r="N870" s="207"/>
      <c r="O870" s="207"/>
      <c r="P870" s="207"/>
      <c r="Q870" s="207"/>
    </row>
    <row r="871" spans="1:17" ht="34.5" customHeight="1">
      <c r="A871" s="82"/>
      <c r="B871" s="205" t="str">
        <f t="shared" si="2"/>
        <v/>
      </c>
      <c r="C871" s="206" t="str">
        <f t="shared" si="3"/>
        <v/>
      </c>
      <c r="D871" s="207" t="str">
        <f t="shared" si="0"/>
        <v/>
      </c>
      <c r="E871" s="207"/>
      <c r="F871" s="205" t="str">
        <f>IF(E871="","",VLOOKUP(E871,'ARAMA LİSTELERİ'!C871:G2910,5,))</f>
        <v/>
      </c>
      <c r="G871" s="207"/>
      <c r="H871" s="210"/>
      <c r="I871" s="79"/>
      <c r="J871" s="210"/>
      <c r="K871" s="210"/>
      <c r="L871" s="210" t="str">
        <f t="shared" si="1"/>
        <v/>
      </c>
      <c r="M871" s="79"/>
      <c r="N871" s="207"/>
      <c r="O871" s="207"/>
      <c r="P871" s="207"/>
      <c r="Q871" s="207"/>
    </row>
    <row r="872" spans="1:17" ht="34.5" customHeight="1">
      <c r="A872" s="82"/>
      <c r="B872" s="205" t="str">
        <f t="shared" si="2"/>
        <v/>
      </c>
      <c r="C872" s="206" t="str">
        <f t="shared" si="3"/>
        <v/>
      </c>
      <c r="D872" s="207" t="str">
        <f t="shared" si="0"/>
        <v/>
      </c>
      <c r="E872" s="207"/>
      <c r="F872" s="205" t="str">
        <f>IF(E872="","",VLOOKUP(E872,'ARAMA LİSTELERİ'!C872:G2911,5,))</f>
        <v/>
      </c>
      <c r="G872" s="207"/>
      <c r="H872" s="210"/>
      <c r="I872" s="79"/>
      <c r="J872" s="210"/>
      <c r="K872" s="210"/>
      <c r="L872" s="210" t="str">
        <f t="shared" si="1"/>
        <v/>
      </c>
      <c r="M872" s="79"/>
      <c r="N872" s="207"/>
      <c r="O872" s="207"/>
      <c r="P872" s="207"/>
      <c r="Q872" s="207"/>
    </row>
    <row r="873" spans="1:17" ht="34.5" customHeight="1">
      <c r="A873" s="82"/>
      <c r="B873" s="205" t="str">
        <f t="shared" si="2"/>
        <v/>
      </c>
      <c r="C873" s="206" t="str">
        <f t="shared" si="3"/>
        <v/>
      </c>
      <c r="D873" s="207" t="str">
        <f t="shared" si="0"/>
        <v/>
      </c>
      <c r="E873" s="207"/>
      <c r="F873" s="205" t="str">
        <f>IF(E873="","",VLOOKUP(E873,'ARAMA LİSTELERİ'!C873:G2912,5,))</f>
        <v/>
      </c>
      <c r="G873" s="207"/>
      <c r="H873" s="210"/>
      <c r="I873" s="79"/>
      <c r="J873" s="210"/>
      <c r="K873" s="210"/>
      <c r="L873" s="210" t="str">
        <f t="shared" si="1"/>
        <v/>
      </c>
      <c r="M873" s="79"/>
      <c r="N873" s="207"/>
      <c r="O873" s="207"/>
      <c r="P873" s="207"/>
      <c r="Q873" s="207"/>
    </row>
    <row r="874" spans="1:17" ht="34.5" customHeight="1">
      <c r="A874" s="82"/>
      <c r="B874" s="205" t="str">
        <f t="shared" si="2"/>
        <v/>
      </c>
      <c r="C874" s="206" t="str">
        <f t="shared" si="3"/>
        <v/>
      </c>
      <c r="D874" s="207" t="str">
        <f t="shared" si="0"/>
        <v/>
      </c>
      <c r="E874" s="207"/>
      <c r="F874" s="205" t="str">
        <f>IF(E874="","",VLOOKUP(E874,'ARAMA LİSTELERİ'!C874:G2913,5,))</f>
        <v/>
      </c>
      <c r="G874" s="207"/>
      <c r="H874" s="210"/>
      <c r="I874" s="79"/>
      <c r="J874" s="210"/>
      <c r="K874" s="210"/>
      <c r="L874" s="210" t="str">
        <f t="shared" si="1"/>
        <v/>
      </c>
      <c r="M874" s="79"/>
      <c r="N874" s="207"/>
      <c r="O874" s="207"/>
      <c r="P874" s="207"/>
      <c r="Q874" s="207"/>
    </row>
    <row r="875" spans="1:17" ht="34.5" customHeight="1">
      <c r="A875" s="82"/>
      <c r="B875" s="205" t="str">
        <f t="shared" si="2"/>
        <v/>
      </c>
      <c r="C875" s="206" t="str">
        <f t="shared" si="3"/>
        <v/>
      </c>
      <c r="D875" s="207" t="str">
        <f t="shared" si="0"/>
        <v/>
      </c>
      <c r="E875" s="207"/>
      <c r="F875" s="205" t="str">
        <f>IF(E875="","",VLOOKUP(E875,'ARAMA LİSTELERİ'!C875:G2914,5,))</f>
        <v/>
      </c>
      <c r="G875" s="207"/>
      <c r="H875" s="210"/>
      <c r="I875" s="79"/>
      <c r="J875" s="210"/>
      <c r="K875" s="210"/>
      <c r="L875" s="210" t="str">
        <f t="shared" si="1"/>
        <v/>
      </c>
      <c r="M875" s="79"/>
      <c r="N875" s="207"/>
      <c r="O875" s="207"/>
      <c r="P875" s="207"/>
      <c r="Q875" s="207"/>
    </row>
    <row r="876" spans="1:17" ht="34.5" customHeight="1">
      <c r="A876" s="82"/>
      <c r="B876" s="205" t="str">
        <f t="shared" si="2"/>
        <v/>
      </c>
      <c r="C876" s="206" t="str">
        <f t="shared" si="3"/>
        <v/>
      </c>
      <c r="D876" s="207" t="str">
        <f t="shared" si="0"/>
        <v/>
      </c>
      <c r="E876" s="207"/>
      <c r="F876" s="205" t="str">
        <f>IF(E876="","",VLOOKUP(E876,'ARAMA LİSTELERİ'!C876:G2915,5,))</f>
        <v/>
      </c>
      <c r="G876" s="207"/>
      <c r="H876" s="210"/>
      <c r="I876" s="79"/>
      <c r="J876" s="210"/>
      <c r="K876" s="210"/>
      <c r="L876" s="210" t="str">
        <f t="shared" si="1"/>
        <v/>
      </c>
      <c r="M876" s="79"/>
      <c r="N876" s="207"/>
      <c r="O876" s="207"/>
      <c r="P876" s="207"/>
      <c r="Q876" s="207"/>
    </row>
    <row r="877" spans="1:17" ht="34.5" customHeight="1">
      <c r="A877" s="82"/>
      <c r="B877" s="205" t="str">
        <f t="shared" si="2"/>
        <v/>
      </c>
      <c r="C877" s="206" t="str">
        <f t="shared" si="3"/>
        <v/>
      </c>
      <c r="D877" s="207" t="str">
        <f t="shared" si="0"/>
        <v/>
      </c>
      <c r="E877" s="207"/>
      <c r="F877" s="205" t="str">
        <f>IF(E877="","",VLOOKUP(E877,'ARAMA LİSTELERİ'!C877:G2916,5,))</f>
        <v/>
      </c>
      <c r="G877" s="207"/>
      <c r="H877" s="210"/>
      <c r="I877" s="79"/>
      <c r="J877" s="210"/>
      <c r="K877" s="210"/>
      <c r="L877" s="210" t="str">
        <f t="shared" si="1"/>
        <v/>
      </c>
      <c r="M877" s="79"/>
      <c r="N877" s="207"/>
      <c r="O877" s="207"/>
      <c r="P877" s="207"/>
      <c r="Q877" s="207"/>
    </row>
    <row r="878" spans="1:17" ht="34.5" customHeight="1">
      <c r="A878" s="82"/>
      <c r="B878" s="205" t="str">
        <f t="shared" si="2"/>
        <v/>
      </c>
      <c r="C878" s="206" t="str">
        <f t="shared" si="3"/>
        <v/>
      </c>
      <c r="D878" s="207" t="str">
        <f t="shared" si="0"/>
        <v/>
      </c>
      <c r="E878" s="207"/>
      <c r="F878" s="205" t="str">
        <f>IF(E878="","",VLOOKUP(E878,'ARAMA LİSTELERİ'!C878:G2917,5,))</f>
        <v/>
      </c>
      <c r="G878" s="207"/>
      <c r="H878" s="210"/>
      <c r="I878" s="79"/>
      <c r="J878" s="210"/>
      <c r="K878" s="210"/>
      <c r="L878" s="210" t="str">
        <f t="shared" si="1"/>
        <v/>
      </c>
      <c r="M878" s="79"/>
      <c r="N878" s="207"/>
      <c r="O878" s="207"/>
      <c r="P878" s="207"/>
      <c r="Q878" s="207"/>
    </row>
    <row r="879" spans="1:17" ht="34.5" customHeight="1">
      <c r="A879" s="82"/>
      <c r="B879" s="205" t="str">
        <f t="shared" si="2"/>
        <v/>
      </c>
      <c r="C879" s="206" t="str">
        <f t="shared" si="3"/>
        <v/>
      </c>
      <c r="D879" s="207" t="str">
        <f t="shared" si="0"/>
        <v/>
      </c>
      <c r="E879" s="207"/>
      <c r="F879" s="205" t="str">
        <f>IF(E879="","",VLOOKUP(E879,'ARAMA LİSTELERİ'!C879:G2918,5,))</f>
        <v/>
      </c>
      <c r="G879" s="207"/>
      <c r="H879" s="210"/>
      <c r="I879" s="79"/>
      <c r="J879" s="210"/>
      <c r="K879" s="210"/>
      <c r="L879" s="210" t="str">
        <f t="shared" si="1"/>
        <v/>
      </c>
      <c r="M879" s="79"/>
      <c r="N879" s="207"/>
      <c r="O879" s="207"/>
      <c r="P879" s="207"/>
      <c r="Q879" s="207"/>
    </row>
    <row r="880" spans="1:17" ht="34.5" customHeight="1">
      <c r="A880" s="82"/>
      <c r="B880" s="205" t="str">
        <f t="shared" si="2"/>
        <v/>
      </c>
      <c r="C880" s="206" t="str">
        <f t="shared" si="3"/>
        <v/>
      </c>
      <c r="D880" s="207" t="str">
        <f t="shared" si="0"/>
        <v/>
      </c>
      <c r="E880" s="207"/>
      <c r="F880" s="205" t="str">
        <f>IF(E880="","",VLOOKUP(E880,'ARAMA LİSTELERİ'!C880:G2919,5,))</f>
        <v/>
      </c>
      <c r="G880" s="207"/>
      <c r="H880" s="210"/>
      <c r="I880" s="79"/>
      <c r="J880" s="210"/>
      <c r="K880" s="210"/>
      <c r="L880" s="210" t="str">
        <f t="shared" si="1"/>
        <v/>
      </c>
      <c r="M880" s="79"/>
      <c r="N880" s="207"/>
      <c r="O880" s="207"/>
      <c r="P880" s="207"/>
      <c r="Q880" s="207"/>
    </row>
    <row r="881" spans="1:17" ht="34.5" customHeight="1">
      <c r="A881" s="82"/>
      <c r="B881" s="205" t="str">
        <f t="shared" si="2"/>
        <v/>
      </c>
      <c r="C881" s="206" t="str">
        <f t="shared" si="3"/>
        <v/>
      </c>
      <c r="D881" s="207" t="str">
        <f t="shared" si="0"/>
        <v/>
      </c>
      <c r="E881" s="207"/>
      <c r="F881" s="205" t="str">
        <f>IF(E881="","",VLOOKUP(E881,'ARAMA LİSTELERİ'!C881:G2920,5,))</f>
        <v/>
      </c>
      <c r="G881" s="207"/>
      <c r="H881" s="210"/>
      <c r="I881" s="79"/>
      <c r="J881" s="210"/>
      <c r="K881" s="210"/>
      <c r="L881" s="210" t="str">
        <f t="shared" si="1"/>
        <v/>
      </c>
      <c r="M881" s="79"/>
      <c r="N881" s="207"/>
      <c r="O881" s="207"/>
      <c r="P881" s="207"/>
      <c r="Q881" s="207"/>
    </row>
    <row r="882" spans="1:17" ht="34.5" customHeight="1">
      <c r="A882" s="82"/>
      <c r="B882" s="205" t="str">
        <f t="shared" si="2"/>
        <v/>
      </c>
      <c r="C882" s="206" t="str">
        <f t="shared" si="3"/>
        <v/>
      </c>
      <c r="D882" s="207" t="str">
        <f t="shared" si="0"/>
        <v/>
      </c>
      <c r="E882" s="207"/>
      <c r="F882" s="205" t="str">
        <f>IF(E882="","",VLOOKUP(E882,'ARAMA LİSTELERİ'!C882:G2921,5,))</f>
        <v/>
      </c>
      <c r="G882" s="207"/>
      <c r="H882" s="210"/>
      <c r="I882" s="79"/>
      <c r="J882" s="210"/>
      <c r="K882" s="210"/>
      <c r="L882" s="210" t="str">
        <f t="shared" si="1"/>
        <v/>
      </c>
      <c r="M882" s="79"/>
      <c r="N882" s="207"/>
      <c r="O882" s="207"/>
      <c r="P882" s="207"/>
      <c r="Q882" s="207"/>
    </row>
    <row r="883" spans="1:17" ht="34.5" customHeight="1">
      <c r="A883" s="82"/>
      <c r="B883" s="205" t="str">
        <f t="shared" si="2"/>
        <v/>
      </c>
      <c r="C883" s="206" t="str">
        <f t="shared" si="3"/>
        <v/>
      </c>
      <c r="D883" s="207" t="str">
        <f t="shared" si="0"/>
        <v/>
      </c>
      <c r="E883" s="207"/>
      <c r="F883" s="205" t="str">
        <f>IF(E883="","",VLOOKUP(E883,'ARAMA LİSTELERİ'!C883:G2922,5,))</f>
        <v/>
      </c>
      <c r="G883" s="207"/>
      <c r="H883" s="210"/>
      <c r="I883" s="79"/>
      <c r="J883" s="210"/>
      <c r="K883" s="210"/>
      <c r="L883" s="210" t="str">
        <f t="shared" si="1"/>
        <v/>
      </c>
      <c r="M883" s="79"/>
      <c r="N883" s="207"/>
      <c r="O883" s="207"/>
      <c r="P883" s="207"/>
      <c r="Q883" s="207"/>
    </row>
    <row r="884" spans="1:17" ht="34.5" customHeight="1">
      <c r="A884" s="82"/>
      <c r="B884" s="205" t="str">
        <f t="shared" si="2"/>
        <v/>
      </c>
      <c r="C884" s="206" t="str">
        <f t="shared" si="3"/>
        <v/>
      </c>
      <c r="D884" s="207" t="str">
        <f t="shared" si="0"/>
        <v/>
      </c>
      <c r="E884" s="207"/>
      <c r="F884" s="205" t="str">
        <f>IF(E884="","",VLOOKUP(E884,'ARAMA LİSTELERİ'!C884:G2923,5,))</f>
        <v/>
      </c>
      <c r="G884" s="207"/>
      <c r="H884" s="210"/>
      <c r="I884" s="79"/>
      <c r="J884" s="210"/>
      <c r="K884" s="210"/>
      <c r="L884" s="210" t="str">
        <f t="shared" si="1"/>
        <v/>
      </c>
      <c r="M884" s="79"/>
      <c r="N884" s="207"/>
      <c r="O884" s="207"/>
      <c r="P884" s="207"/>
      <c r="Q884" s="207"/>
    </row>
    <row r="885" spans="1:17" ht="34.5" customHeight="1">
      <c r="A885" s="82"/>
      <c r="B885" s="205" t="str">
        <f t="shared" si="2"/>
        <v/>
      </c>
      <c r="C885" s="206" t="str">
        <f t="shared" si="3"/>
        <v/>
      </c>
      <c r="D885" s="207" t="str">
        <f t="shared" si="0"/>
        <v/>
      </c>
      <c r="E885" s="207"/>
      <c r="F885" s="205" t="str">
        <f>IF(E885="","",VLOOKUP(E885,'ARAMA LİSTELERİ'!C885:G2924,5,))</f>
        <v/>
      </c>
      <c r="G885" s="207"/>
      <c r="H885" s="210"/>
      <c r="I885" s="79"/>
      <c r="J885" s="210"/>
      <c r="K885" s="210"/>
      <c r="L885" s="210" t="str">
        <f t="shared" si="1"/>
        <v/>
      </c>
      <c r="M885" s="79"/>
      <c r="N885" s="207"/>
      <c r="O885" s="207"/>
      <c r="P885" s="207"/>
      <c r="Q885" s="207"/>
    </row>
    <row r="886" spans="1:17" ht="34.5" customHeight="1">
      <c r="A886" s="82"/>
      <c r="B886" s="205" t="str">
        <f t="shared" si="2"/>
        <v/>
      </c>
      <c r="C886" s="206" t="str">
        <f t="shared" si="3"/>
        <v/>
      </c>
      <c r="D886" s="207" t="str">
        <f t="shared" si="0"/>
        <v/>
      </c>
      <c r="E886" s="207"/>
      <c r="F886" s="205" t="str">
        <f>IF(E886="","",VLOOKUP(E886,'ARAMA LİSTELERİ'!C886:G2925,5,))</f>
        <v/>
      </c>
      <c r="G886" s="207"/>
      <c r="H886" s="210"/>
      <c r="I886" s="79"/>
      <c r="J886" s="210"/>
      <c r="K886" s="210"/>
      <c r="L886" s="210" t="str">
        <f t="shared" si="1"/>
        <v/>
      </c>
      <c r="M886" s="79"/>
      <c r="N886" s="207"/>
      <c r="O886" s="207"/>
      <c r="P886" s="207"/>
      <c r="Q886" s="207"/>
    </row>
    <row r="887" spans="1:17" ht="34.5" customHeight="1">
      <c r="A887" s="82"/>
      <c r="B887" s="205" t="str">
        <f t="shared" si="2"/>
        <v/>
      </c>
      <c r="C887" s="206" t="str">
        <f t="shared" si="3"/>
        <v/>
      </c>
      <c r="D887" s="207" t="str">
        <f t="shared" si="0"/>
        <v/>
      </c>
      <c r="E887" s="207"/>
      <c r="F887" s="205" t="str">
        <f>IF(E887="","",VLOOKUP(E887,'ARAMA LİSTELERİ'!C887:G2926,5,))</f>
        <v/>
      </c>
      <c r="G887" s="207"/>
      <c r="H887" s="210"/>
      <c r="I887" s="79"/>
      <c r="J887" s="210"/>
      <c r="K887" s="210"/>
      <c r="L887" s="210" t="str">
        <f t="shared" si="1"/>
        <v/>
      </c>
      <c r="M887" s="79"/>
      <c r="N887" s="207"/>
      <c r="O887" s="207"/>
      <c r="P887" s="207"/>
      <c r="Q887" s="207"/>
    </row>
    <row r="888" spans="1:17" ht="34.5" customHeight="1">
      <c r="A888" s="82"/>
      <c r="B888" s="205" t="str">
        <f t="shared" si="2"/>
        <v/>
      </c>
      <c r="C888" s="206" t="str">
        <f t="shared" si="3"/>
        <v/>
      </c>
      <c r="D888" s="207" t="str">
        <f t="shared" si="0"/>
        <v/>
      </c>
      <c r="E888" s="207"/>
      <c r="F888" s="205" t="str">
        <f>IF(E888="","",VLOOKUP(E888,'ARAMA LİSTELERİ'!C888:G2927,5,))</f>
        <v/>
      </c>
      <c r="G888" s="207"/>
      <c r="H888" s="210"/>
      <c r="I888" s="79"/>
      <c r="J888" s="210"/>
      <c r="K888" s="210"/>
      <c r="L888" s="210" t="str">
        <f t="shared" si="1"/>
        <v/>
      </c>
      <c r="M888" s="79"/>
      <c r="N888" s="207"/>
      <c r="O888" s="207"/>
      <c r="P888" s="207"/>
      <c r="Q888" s="207"/>
    </row>
    <row r="889" spans="1:17" ht="34.5" customHeight="1">
      <c r="A889" s="82"/>
      <c r="B889" s="205" t="str">
        <f t="shared" si="2"/>
        <v/>
      </c>
      <c r="C889" s="206" t="str">
        <f t="shared" si="3"/>
        <v/>
      </c>
      <c r="D889" s="207" t="str">
        <f t="shared" si="0"/>
        <v/>
      </c>
      <c r="E889" s="207"/>
      <c r="F889" s="205" t="str">
        <f>IF(E889="","",VLOOKUP(E889,'ARAMA LİSTELERİ'!C889:G2928,5,))</f>
        <v/>
      </c>
      <c r="G889" s="207"/>
      <c r="H889" s="210"/>
      <c r="I889" s="79"/>
      <c r="J889" s="210"/>
      <c r="K889" s="210"/>
      <c r="L889" s="210" t="str">
        <f t="shared" si="1"/>
        <v/>
      </c>
      <c r="M889" s="79"/>
      <c r="N889" s="207"/>
      <c r="O889" s="207"/>
      <c r="P889" s="207"/>
      <c r="Q889" s="207"/>
    </row>
    <row r="890" spans="1:17" ht="34.5" customHeight="1">
      <c r="A890" s="82"/>
      <c r="B890" s="205" t="str">
        <f t="shared" si="2"/>
        <v/>
      </c>
      <c r="C890" s="206" t="str">
        <f t="shared" si="3"/>
        <v/>
      </c>
      <c r="D890" s="207" t="str">
        <f t="shared" si="0"/>
        <v/>
      </c>
      <c r="E890" s="207"/>
      <c r="F890" s="205" t="str">
        <f>IF(E890="","",VLOOKUP(E890,'ARAMA LİSTELERİ'!C890:G2929,5,))</f>
        <v/>
      </c>
      <c r="G890" s="207"/>
      <c r="H890" s="210"/>
      <c r="I890" s="79"/>
      <c r="J890" s="210"/>
      <c r="K890" s="210"/>
      <c r="L890" s="210" t="str">
        <f t="shared" si="1"/>
        <v/>
      </c>
      <c r="M890" s="79"/>
      <c r="N890" s="207"/>
      <c r="O890" s="207"/>
      <c r="P890" s="207"/>
      <c r="Q890" s="207"/>
    </row>
    <row r="891" spans="1:17" ht="34.5" customHeight="1">
      <c r="A891" s="82"/>
      <c r="B891" s="205" t="str">
        <f t="shared" si="2"/>
        <v/>
      </c>
      <c r="C891" s="206" t="str">
        <f t="shared" si="3"/>
        <v/>
      </c>
      <c r="D891" s="207" t="str">
        <f t="shared" si="0"/>
        <v/>
      </c>
      <c r="E891" s="207"/>
      <c r="F891" s="205" t="str">
        <f>IF(E891="","",VLOOKUP(E891,'ARAMA LİSTELERİ'!C891:G2930,5,))</f>
        <v/>
      </c>
      <c r="G891" s="207"/>
      <c r="H891" s="210"/>
      <c r="I891" s="79"/>
      <c r="J891" s="210"/>
      <c r="K891" s="210"/>
      <c r="L891" s="210" t="str">
        <f t="shared" si="1"/>
        <v/>
      </c>
      <c r="M891" s="79"/>
      <c r="N891" s="207"/>
      <c r="O891" s="207"/>
      <c r="P891" s="207"/>
      <c r="Q891" s="207"/>
    </row>
    <row r="892" spans="1:17" ht="34.5" customHeight="1">
      <c r="A892" s="82"/>
      <c r="B892" s="205" t="str">
        <f t="shared" si="2"/>
        <v/>
      </c>
      <c r="C892" s="206" t="str">
        <f t="shared" si="3"/>
        <v/>
      </c>
      <c r="D892" s="207" t="str">
        <f t="shared" si="0"/>
        <v/>
      </c>
      <c r="E892" s="207"/>
      <c r="F892" s="205" t="str">
        <f>IF(E892="","",VLOOKUP(E892,'ARAMA LİSTELERİ'!C892:G2931,5,))</f>
        <v/>
      </c>
      <c r="G892" s="207"/>
      <c r="H892" s="210"/>
      <c r="I892" s="79"/>
      <c r="J892" s="210"/>
      <c r="K892" s="210"/>
      <c r="L892" s="210" t="str">
        <f t="shared" si="1"/>
        <v/>
      </c>
      <c r="M892" s="79"/>
      <c r="N892" s="207"/>
      <c r="O892" s="207"/>
      <c r="P892" s="207"/>
      <c r="Q892" s="207"/>
    </row>
    <row r="893" spans="1:17" ht="34.5" customHeight="1">
      <c r="A893" s="82"/>
      <c r="B893" s="205" t="str">
        <f t="shared" si="2"/>
        <v/>
      </c>
      <c r="C893" s="206" t="str">
        <f t="shared" si="3"/>
        <v/>
      </c>
      <c r="D893" s="207" t="str">
        <f t="shared" si="0"/>
        <v/>
      </c>
      <c r="E893" s="207"/>
      <c r="F893" s="205" t="str">
        <f>IF(E893="","",VLOOKUP(E893,'ARAMA LİSTELERİ'!C893:G2932,5,))</f>
        <v/>
      </c>
      <c r="G893" s="207"/>
      <c r="H893" s="210"/>
      <c r="I893" s="79"/>
      <c r="J893" s="210"/>
      <c r="K893" s="210"/>
      <c r="L893" s="210" t="str">
        <f t="shared" si="1"/>
        <v/>
      </c>
      <c r="M893" s="79"/>
      <c r="N893" s="207"/>
      <c r="O893" s="207"/>
      <c r="P893" s="207"/>
      <c r="Q893" s="207"/>
    </row>
    <row r="894" spans="1:17" ht="34.5" customHeight="1">
      <c r="A894" s="82"/>
      <c r="B894" s="205" t="str">
        <f t="shared" si="2"/>
        <v/>
      </c>
      <c r="C894" s="206" t="str">
        <f t="shared" si="3"/>
        <v/>
      </c>
      <c r="D894" s="207" t="str">
        <f t="shared" si="0"/>
        <v/>
      </c>
      <c r="E894" s="207"/>
      <c r="F894" s="205" t="str">
        <f>IF(E894="","",VLOOKUP(E894,'ARAMA LİSTELERİ'!C894:G2933,5,))</f>
        <v/>
      </c>
      <c r="G894" s="207"/>
      <c r="H894" s="210"/>
      <c r="I894" s="79"/>
      <c r="J894" s="210"/>
      <c r="K894" s="210"/>
      <c r="L894" s="210" t="str">
        <f t="shared" si="1"/>
        <v/>
      </c>
      <c r="M894" s="79"/>
      <c r="N894" s="207"/>
      <c r="O894" s="207"/>
      <c r="P894" s="207"/>
      <c r="Q894" s="207"/>
    </row>
    <row r="895" spans="1:17" ht="34.5" customHeight="1">
      <c r="A895" s="82"/>
      <c r="B895" s="205" t="str">
        <f t="shared" si="2"/>
        <v/>
      </c>
      <c r="C895" s="206" t="str">
        <f t="shared" si="3"/>
        <v/>
      </c>
      <c r="D895" s="207" t="str">
        <f t="shared" si="0"/>
        <v/>
      </c>
      <c r="E895" s="207"/>
      <c r="F895" s="205" t="str">
        <f>IF(E895="","",VLOOKUP(E895,'ARAMA LİSTELERİ'!C895:G2934,5,))</f>
        <v/>
      </c>
      <c r="G895" s="207"/>
      <c r="H895" s="210"/>
      <c r="I895" s="79"/>
      <c r="J895" s="210"/>
      <c r="K895" s="210"/>
      <c r="L895" s="210" t="str">
        <f t="shared" si="1"/>
        <v/>
      </c>
      <c r="M895" s="79"/>
      <c r="N895" s="207"/>
      <c r="O895" s="207"/>
      <c r="P895" s="207"/>
      <c r="Q895" s="207"/>
    </row>
    <row r="896" spans="1:17" ht="34.5" customHeight="1">
      <c r="A896" s="82"/>
      <c r="B896" s="205" t="str">
        <f t="shared" si="2"/>
        <v/>
      </c>
      <c r="C896" s="206" t="str">
        <f t="shared" si="3"/>
        <v/>
      </c>
      <c r="D896" s="207" t="str">
        <f t="shared" si="0"/>
        <v/>
      </c>
      <c r="E896" s="207"/>
      <c r="F896" s="205" t="str">
        <f>IF(E896="","",VLOOKUP(E896,'ARAMA LİSTELERİ'!C896:G2935,5,))</f>
        <v/>
      </c>
      <c r="G896" s="207"/>
      <c r="H896" s="210"/>
      <c r="I896" s="79"/>
      <c r="J896" s="210"/>
      <c r="K896" s="210"/>
      <c r="L896" s="210" t="str">
        <f t="shared" si="1"/>
        <v/>
      </c>
      <c r="M896" s="79"/>
      <c r="N896" s="207"/>
      <c r="O896" s="207"/>
      <c r="P896" s="207"/>
      <c r="Q896" s="207"/>
    </row>
    <row r="897" spans="1:17" ht="34.5" customHeight="1">
      <c r="A897" s="82"/>
      <c r="B897" s="205" t="str">
        <f t="shared" si="2"/>
        <v/>
      </c>
      <c r="C897" s="206" t="str">
        <f t="shared" si="3"/>
        <v/>
      </c>
      <c r="D897" s="207" t="str">
        <f t="shared" si="0"/>
        <v/>
      </c>
      <c r="E897" s="207"/>
      <c r="F897" s="205" t="str">
        <f>IF(E897="","",VLOOKUP(E897,'ARAMA LİSTELERİ'!C897:G2936,5,))</f>
        <v/>
      </c>
      <c r="G897" s="207"/>
      <c r="H897" s="210"/>
      <c r="I897" s="79"/>
      <c r="J897" s="210"/>
      <c r="K897" s="210"/>
      <c r="L897" s="210" t="str">
        <f t="shared" si="1"/>
        <v/>
      </c>
      <c r="M897" s="79"/>
      <c r="N897" s="207"/>
      <c r="O897" s="207"/>
      <c r="P897" s="207"/>
      <c r="Q897" s="207"/>
    </row>
    <row r="898" spans="1:17" ht="34.5" customHeight="1">
      <c r="A898" s="82"/>
      <c r="B898" s="205" t="str">
        <f t="shared" si="2"/>
        <v/>
      </c>
      <c r="C898" s="206" t="str">
        <f t="shared" si="3"/>
        <v/>
      </c>
      <c r="D898" s="207" t="str">
        <f t="shared" si="0"/>
        <v/>
      </c>
      <c r="E898" s="207"/>
      <c r="F898" s="205" t="str">
        <f>IF(E898="","",VLOOKUP(E898,'ARAMA LİSTELERİ'!C898:G2937,5,))</f>
        <v/>
      </c>
      <c r="G898" s="207"/>
      <c r="H898" s="210"/>
      <c r="I898" s="79"/>
      <c r="J898" s="210"/>
      <c r="K898" s="210"/>
      <c r="L898" s="210" t="str">
        <f t="shared" si="1"/>
        <v/>
      </c>
      <c r="M898" s="79"/>
      <c r="N898" s="207"/>
      <c r="O898" s="207"/>
      <c r="P898" s="207"/>
      <c r="Q898" s="207"/>
    </row>
    <row r="899" spans="1:17" ht="34.5" customHeight="1">
      <c r="A899" s="82"/>
      <c r="B899" s="205" t="str">
        <f t="shared" si="2"/>
        <v/>
      </c>
      <c r="C899" s="206" t="str">
        <f t="shared" si="3"/>
        <v/>
      </c>
      <c r="D899" s="207" t="str">
        <f t="shared" si="0"/>
        <v/>
      </c>
      <c r="E899" s="207"/>
      <c r="F899" s="205" t="str">
        <f>IF(E899="","",VLOOKUP(E899,'ARAMA LİSTELERİ'!C899:G2938,5,))</f>
        <v/>
      </c>
      <c r="G899" s="207"/>
      <c r="H899" s="210"/>
      <c r="I899" s="79"/>
      <c r="J899" s="210"/>
      <c r="K899" s="210"/>
      <c r="L899" s="210" t="str">
        <f t="shared" si="1"/>
        <v/>
      </c>
      <c r="M899" s="79"/>
      <c r="N899" s="207"/>
      <c r="O899" s="207"/>
      <c r="P899" s="207"/>
      <c r="Q899" s="207"/>
    </row>
    <row r="900" spans="1:17" ht="34.5" customHeight="1">
      <c r="A900" s="82"/>
      <c r="B900" s="205" t="str">
        <f t="shared" si="2"/>
        <v/>
      </c>
      <c r="C900" s="206" t="str">
        <f t="shared" si="3"/>
        <v/>
      </c>
      <c r="D900" s="207" t="str">
        <f t="shared" si="0"/>
        <v/>
      </c>
      <c r="E900" s="207"/>
      <c r="F900" s="205" t="str">
        <f>IF(E900="","",VLOOKUP(E900,'ARAMA LİSTELERİ'!C900:G2939,5,))</f>
        <v/>
      </c>
      <c r="G900" s="207"/>
      <c r="H900" s="210"/>
      <c r="I900" s="79"/>
      <c r="J900" s="210"/>
      <c r="K900" s="210"/>
      <c r="L900" s="210" t="str">
        <f t="shared" si="1"/>
        <v/>
      </c>
      <c r="M900" s="79"/>
      <c r="N900" s="207"/>
      <c r="O900" s="207"/>
      <c r="P900" s="207"/>
      <c r="Q900" s="207"/>
    </row>
    <row r="901" spans="1:17" ht="34.5" customHeight="1">
      <c r="A901" s="82"/>
      <c r="B901" s="205" t="str">
        <f t="shared" si="2"/>
        <v/>
      </c>
      <c r="C901" s="206" t="str">
        <f t="shared" si="3"/>
        <v/>
      </c>
      <c r="D901" s="207" t="str">
        <f t="shared" si="0"/>
        <v/>
      </c>
      <c r="E901" s="207"/>
      <c r="F901" s="205" t="str">
        <f>IF(E901="","",VLOOKUP(E901,'ARAMA LİSTELERİ'!C901:G2940,5,))</f>
        <v/>
      </c>
      <c r="G901" s="207"/>
      <c r="H901" s="210"/>
      <c r="I901" s="79"/>
      <c r="J901" s="210"/>
      <c r="K901" s="210"/>
      <c r="L901" s="210" t="str">
        <f t="shared" si="1"/>
        <v/>
      </c>
      <c r="M901" s="79"/>
      <c r="N901" s="207"/>
      <c r="O901" s="207"/>
      <c r="P901" s="207"/>
      <c r="Q901" s="207"/>
    </row>
    <row r="902" spans="1:17" ht="34.5" customHeight="1">
      <c r="A902" s="82"/>
      <c r="B902" s="205" t="str">
        <f t="shared" si="2"/>
        <v/>
      </c>
      <c r="C902" s="206" t="str">
        <f t="shared" si="3"/>
        <v/>
      </c>
      <c r="D902" s="207" t="str">
        <f t="shared" si="0"/>
        <v/>
      </c>
      <c r="E902" s="207"/>
      <c r="F902" s="205" t="str">
        <f>IF(E902="","",VLOOKUP(E902,'ARAMA LİSTELERİ'!C902:G2941,5,))</f>
        <v/>
      </c>
      <c r="G902" s="207"/>
      <c r="H902" s="210"/>
      <c r="I902" s="79"/>
      <c r="J902" s="210"/>
      <c r="K902" s="210"/>
      <c r="L902" s="210" t="str">
        <f t="shared" si="1"/>
        <v/>
      </c>
      <c r="M902" s="79"/>
      <c r="N902" s="207"/>
      <c r="O902" s="207"/>
      <c r="P902" s="207"/>
      <c r="Q902" s="207"/>
    </row>
    <row r="903" spans="1:17" ht="34.5" customHeight="1">
      <c r="A903" s="82"/>
      <c r="B903" s="205" t="str">
        <f t="shared" si="2"/>
        <v/>
      </c>
      <c r="C903" s="206" t="str">
        <f t="shared" si="3"/>
        <v/>
      </c>
      <c r="D903" s="207" t="str">
        <f t="shared" si="0"/>
        <v/>
      </c>
      <c r="E903" s="207"/>
      <c r="F903" s="205" t="str">
        <f>IF(E903="","",VLOOKUP(E903,'ARAMA LİSTELERİ'!C903:G2942,5,))</f>
        <v/>
      </c>
      <c r="G903" s="207"/>
      <c r="H903" s="210"/>
      <c r="I903" s="79"/>
      <c r="J903" s="210"/>
      <c r="K903" s="210"/>
      <c r="L903" s="210" t="str">
        <f t="shared" si="1"/>
        <v/>
      </c>
      <c r="M903" s="79"/>
      <c r="N903" s="207"/>
      <c r="O903" s="207"/>
      <c r="P903" s="207"/>
      <c r="Q903" s="207"/>
    </row>
    <row r="904" spans="1:17" ht="34.5" customHeight="1">
      <c r="A904" s="82"/>
      <c r="B904" s="205" t="str">
        <f t="shared" si="2"/>
        <v/>
      </c>
      <c r="C904" s="206" t="str">
        <f t="shared" si="3"/>
        <v/>
      </c>
      <c r="D904" s="207" t="str">
        <f t="shared" si="0"/>
        <v/>
      </c>
      <c r="E904" s="207"/>
      <c r="F904" s="205" t="str">
        <f>IF(E904="","",VLOOKUP(E904,'ARAMA LİSTELERİ'!C904:G2943,5,))</f>
        <v/>
      </c>
      <c r="G904" s="207"/>
      <c r="H904" s="210"/>
      <c r="I904" s="79"/>
      <c r="J904" s="210"/>
      <c r="K904" s="210"/>
      <c r="L904" s="210" t="str">
        <f t="shared" si="1"/>
        <v/>
      </c>
      <c r="M904" s="79"/>
      <c r="N904" s="207"/>
      <c r="O904" s="207"/>
      <c r="P904" s="207"/>
      <c r="Q904" s="207"/>
    </row>
    <row r="905" spans="1:17" ht="34.5" customHeight="1">
      <c r="A905" s="82"/>
      <c r="B905" s="205" t="str">
        <f t="shared" si="2"/>
        <v/>
      </c>
      <c r="C905" s="206" t="str">
        <f t="shared" si="3"/>
        <v/>
      </c>
      <c r="D905" s="207" t="str">
        <f t="shared" si="0"/>
        <v/>
      </c>
      <c r="E905" s="207"/>
      <c r="F905" s="205" t="str">
        <f>IF(E905="","",VLOOKUP(E905,'ARAMA LİSTELERİ'!C905:G2944,5,))</f>
        <v/>
      </c>
      <c r="G905" s="207"/>
      <c r="H905" s="210"/>
      <c r="I905" s="79"/>
      <c r="J905" s="210"/>
      <c r="K905" s="210"/>
      <c r="L905" s="210" t="str">
        <f t="shared" si="1"/>
        <v/>
      </c>
      <c r="M905" s="79"/>
      <c r="N905" s="207"/>
      <c r="O905" s="207"/>
      <c r="P905" s="207"/>
      <c r="Q905" s="207"/>
    </row>
    <row r="906" spans="1:17" ht="34.5" customHeight="1">
      <c r="A906" s="82"/>
      <c r="B906" s="205" t="str">
        <f t="shared" si="2"/>
        <v/>
      </c>
      <c r="C906" s="206" t="str">
        <f t="shared" si="3"/>
        <v/>
      </c>
      <c r="D906" s="207" t="str">
        <f t="shared" si="0"/>
        <v/>
      </c>
      <c r="E906" s="207"/>
      <c r="F906" s="205" t="str">
        <f>IF(E906="","",VLOOKUP(E906,'ARAMA LİSTELERİ'!C906:G2945,5,))</f>
        <v/>
      </c>
      <c r="G906" s="207"/>
      <c r="H906" s="210"/>
      <c r="I906" s="79"/>
      <c r="J906" s="210"/>
      <c r="K906" s="210"/>
      <c r="L906" s="210" t="str">
        <f t="shared" si="1"/>
        <v/>
      </c>
      <c r="M906" s="79"/>
      <c r="N906" s="207"/>
      <c r="O906" s="207"/>
      <c r="P906" s="207"/>
      <c r="Q906" s="207"/>
    </row>
    <row r="907" spans="1:17" ht="34.5" customHeight="1">
      <c r="A907" s="82"/>
      <c r="B907" s="205" t="str">
        <f t="shared" si="2"/>
        <v/>
      </c>
      <c r="C907" s="206" t="str">
        <f t="shared" si="3"/>
        <v/>
      </c>
      <c r="D907" s="207" t="str">
        <f t="shared" si="0"/>
        <v/>
      </c>
      <c r="E907" s="207"/>
      <c r="F907" s="205" t="str">
        <f>IF(E907="","",VLOOKUP(E907,'ARAMA LİSTELERİ'!C907:G2946,5,))</f>
        <v/>
      </c>
      <c r="G907" s="207"/>
      <c r="H907" s="210"/>
      <c r="I907" s="79"/>
      <c r="J907" s="210"/>
      <c r="K907" s="210"/>
      <c r="L907" s="210" t="str">
        <f t="shared" si="1"/>
        <v/>
      </c>
      <c r="M907" s="79"/>
      <c r="N907" s="207"/>
      <c r="O907" s="207"/>
      <c r="P907" s="207"/>
      <c r="Q907" s="207"/>
    </row>
    <row r="908" spans="1:17" ht="34.5" customHeight="1">
      <c r="A908" s="82"/>
      <c r="B908" s="205" t="str">
        <f t="shared" si="2"/>
        <v/>
      </c>
      <c r="C908" s="206" t="str">
        <f t="shared" si="3"/>
        <v/>
      </c>
      <c r="D908" s="207" t="str">
        <f t="shared" si="0"/>
        <v/>
      </c>
      <c r="E908" s="207"/>
      <c r="F908" s="205" t="str">
        <f>IF(E908="","",VLOOKUP(E908,'ARAMA LİSTELERİ'!C908:G2947,5,))</f>
        <v/>
      </c>
      <c r="G908" s="207"/>
      <c r="H908" s="210"/>
      <c r="I908" s="79"/>
      <c r="J908" s="210"/>
      <c r="K908" s="210"/>
      <c r="L908" s="210" t="str">
        <f t="shared" si="1"/>
        <v/>
      </c>
      <c r="M908" s="79"/>
      <c r="N908" s="207"/>
      <c r="O908" s="207"/>
      <c r="P908" s="207"/>
      <c r="Q908" s="207"/>
    </row>
    <row r="909" spans="1:17" ht="34.5" customHeight="1">
      <c r="A909" s="82"/>
      <c r="B909" s="205" t="str">
        <f t="shared" si="2"/>
        <v/>
      </c>
      <c r="C909" s="206" t="str">
        <f t="shared" si="3"/>
        <v/>
      </c>
      <c r="D909" s="207" t="str">
        <f t="shared" si="0"/>
        <v/>
      </c>
      <c r="E909" s="207"/>
      <c r="F909" s="205" t="str">
        <f>IF(E909="","",VLOOKUP(E909,'ARAMA LİSTELERİ'!C909:G2948,5,))</f>
        <v/>
      </c>
      <c r="G909" s="207"/>
      <c r="H909" s="210"/>
      <c r="I909" s="79"/>
      <c r="J909" s="210"/>
      <c r="K909" s="210"/>
      <c r="L909" s="210" t="str">
        <f t="shared" si="1"/>
        <v/>
      </c>
      <c r="M909" s="79"/>
      <c r="N909" s="207"/>
      <c r="O909" s="207"/>
      <c r="P909" s="207"/>
      <c r="Q909" s="207"/>
    </row>
    <row r="910" spans="1:17" ht="34.5" customHeight="1">
      <c r="A910" s="82"/>
      <c r="B910" s="205" t="str">
        <f t="shared" si="2"/>
        <v/>
      </c>
      <c r="C910" s="206" t="str">
        <f t="shared" si="3"/>
        <v/>
      </c>
      <c r="D910" s="207" t="str">
        <f t="shared" si="0"/>
        <v/>
      </c>
      <c r="E910" s="207"/>
      <c r="F910" s="205" t="str">
        <f>IF(E910="","",VLOOKUP(E910,'ARAMA LİSTELERİ'!C910:G2949,5,))</f>
        <v/>
      </c>
      <c r="G910" s="207"/>
      <c r="H910" s="210"/>
      <c r="I910" s="79"/>
      <c r="J910" s="210"/>
      <c r="K910" s="210"/>
      <c r="L910" s="210" t="str">
        <f t="shared" si="1"/>
        <v/>
      </c>
      <c r="M910" s="79"/>
      <c r="N910" s="207"/>
      <c r="O910" s="207"/>
      <c r="P910" s="207"/>
      <c r="Q910" s="207"/>
    </row>
    <row r="911" spans="1:17" ht="34.5" customHeight="1">
      <c r="A911" s="82"/>
      <c r="B911" s="205" t="str">
        <f t="shared" si="2"/>
        <v/>
      </c>
      <c r="C911" s="206" t="str">
        <f t="shared" si="3"/>
        <v/>
      </c>
      <c r="D911" s="207" t="str">
        <f t="shared" si="0"/>
        <v/>
      </c>
      <c r="E911" s="207"/>
      <c r="F911" s="205" t="str">
        <f>IF(E911="","",VLOOKUP(E911,'ARAMA LİSTELERİ'!C911:G2950,5,))</f>
        <v/>
      </c>
      <c r="G911" s="207"/>
      <c r="H911" s="210"/>
      <c r="I911" s="79"/>
      <c r="J911" s="210"/>
      <c r="K911" s="210"/>
      <c r="L911" s="210" t="str">
        <f t="shared" si="1"/>
        <v/>
      </c>
      <c r="M911" s="79"/>
      <c r="N911" s="207"/>
      <c r="O911" s="207"/>
      <c r="P911" s="207"/>
      <c r="Q911" s="207"/>
    </row>
    <row r="912" spans="1:17" ht="34.5" customHeight="1">
      <c r="A912" s="82"/>
      <c r="B912" s="205" t="str">
        <f t="shared" si="2"/>
        <v/>
      </c>
      <c r="C912" s="206" t="str">
        <f t="shared" si="3"/>
        <v/>
      </c>
      <c r="D912" s="207" t="str">
        <f t="shared" si="0"/>
        <v/>
      </c>
      <c r="E912" s="207"/>
      <c r="F912" s="205" t="str">
        <f>IF(E912="","",VLOOKUP(E912,'ARAMA LİSTELERİ'!C912:G2951,5,))</f>
        <v/>
      </c>
      <c r="G912" s="207"/>
      <c r="H912" s="210"/>
      <c r="I912" s="79"/>
      <c r="J912" s="210"/>
      <c r="K912" s="210"/>
      <c r="L912" s="210" t="str">
        <f t="shared" si="1"/>
        <v/>
      </c>
      <c r="M912" s="79"/>
      <c r="N912" s="207"/>
      <c r="O912" s="207"/>
      <c r="P912" s="207"/>
      <c r="Q912" s="207"/>
    </row>
    <row r="913" spans="1:17" ht="34.5" customHeight="1">
      <c r="A913" s="82"/>
      <c r="B913" s="205" t="str">
        <f t="shared" si="2"/>
        <v/>
      </c>
      <c r="C913" s="206" t="str">
        <f t="shared" si="3"/>
        <v/>
      </c>
      <c r="D913" s="207" t="str">
        <f t="shared" si="0"/>
        <v/>
      </c>
      <c r="E913" s="207"/>
      <c r="F913" s="205" t="str">
        <f>IF(E913="","",VLOOKUP(E913,'ARAMA LİSTELERİ'!C913:G2952,5,))</f>
        <v/>
      </c>
      <c r="G913" s="207"/>
      <c r="H913" s="210"/>
      <c r="I913" s="79"/>
      <c r="J913" s="210"/>
      <c r="K913" s="210"/>
      <c r="L913" s="210" t="str">
        <f t="shared" si="1"/>
        <v/>
      </c>
      <c r="M913" s="79"/>
      <c r="N913" s="207"/>
      <c r="O913" s="207"/>
      <c r="P913" s="207"/>
      <c r="Q913" s="207"/>
    </row>
    <row r="914" spans="1:17" ht="34.5" customHeight="1">
      <c r="A914" s="82"/>
      <c r="B914" s="205" t="str">
        <f t="shared" si="2"/>
        <v/>
      </c>
      <c r="C914" s="206" t="str">
        <f t="shared" si="3"/>
        <v/>
      </c>
      <c r="D914" s="207" t="str">
        <f t="shared" si="0"/>
        <v/>
      </c>
      <c r="E914" s="207"/>
      <c r="F914" s="205" t="str">
        <f>IF(E914="","",VLOOKUP(E914,'ARAMA LİSTELERİ'!C914:G2953,5,))</f>
        <v/>
      </c>
      <c r="G914" s="207"/>
      <c r="H914" s="210"/>
      <c r="I914" s="79"/>
      <c r="J914" s="210"/>
      <c r="K914" s="210"/>
      <c r="L914" s="210" t="str">
        <f t="shared" si="1"/>
        <v/>
      </c>
      <c r="M914" s="79"/>
      <c r="N914" s="207"/>
      <c r="O914" s="207"/>
      <c r="P914" s="207"/>
      <c r="Q914" s="207"/>
    </row>
    <row r="915" spans="1:17" ht="34.5" customHeight="1">
      <c r="A915" s="82"/>
      <c r="B915" s="205" t="str">
        <f t="shared" si="2"/>
        <v/>
      </c>
      <c r="C915" s="206" t="str">
        <f t="shared" si="3"/>
        <v/>
      </c>
      <c r="D915" s="207" t="str">
        <f t="shared" si="0"/>
        <v/>
      </c>
      <c r="E915" s="207"/>
      <c r="F915" s="205" t="str">
        <f>IF(E915="","",VLOOKUP(E915,'ARAMA LİSTELERİ'!C915:G2954,5,))</f>
        <v/>
      </c>
      <c r="G915" s="207"/>
      <c r="H915" s="210"/>
      <c r="I915" s="79"/>
      <c r="J915" s="210"/>
      <c r="K915" s="210"/>
      <c r="L915" s="210" t="str">
        <f t="shared" si="1"/>
        <v/>
      </c>
      <c r="M915" s="79"/>
      <c r="N915" s="207"/>
      <c r="O915" s="207"/>
      <c r="P915" s="207"/>
      <c r="Q915" s="207"/>
    </row>
    <row r="916" spans="1:17" ht="34.5" customHeight="1">
      <c r="A916" s="82"/>
      <c r="B916" s="205" t="str">
        <f t="shared" si="2"/>
        <v/>
      </c>
      <c r="C916" s="206" t="str">
        <f t="shared" si="3"/>
        <v/>
      </c>
      <c r="D916" s="207" t="str">
        <f t="shared" si="0"/>
        <v/>
      </c>
      <c r="E916" s="207"/>
      <c r="F916" s="205" t="str">
        <f>IF(E916="","",VLOOKUP(E916,'ARAMA LİSTELERİ'!C916:G2955,5,))</f>
        <v/>
      </c>
      <c r="G916" s="207"/>
      <c r="H916" s="210"/>
      <c r="I916" s="79"/>
      <c r="J916" s="210"/>
      <c r="K916" s="210"/>
      <c r="L916" s="210" t="str">
        <f t="shared" si="1"/>
        <v/>
      </c>
      <c r="M916" s="79"/>
      <c r="N916" s="207"/>
      <c r="O916" s="207"/>
      <c r="P916" s="207"/>
      <c r="Q916" s="207"/>
    </row>
    <row r="917" spans="1:17" ht="34.5" customHeight="1">
      <c r="A917" s="82"/>
      <c r="B917" s="205" t="str">
        <f t="shared" si="2"/>
        <v/>
      </c>
      <c r="C917" s="206" t="str">
        <f t="shared" si="3"/>
        <v/>
      </c>
      <c r="D917" s="207" t="str">
        <f t="shared" si="0"/>
        <v/>
      </c>
      <c r="E917" s="207"/>
      <c r="F917" s="205" t="str">
        <f>IF(E917="","",VLOOKUP(E917,'ARAMA LİSTELERİ'!C917:G2956,5,))</f>
        <v/>
      </c>
      <c r="G917" s="207"/>
      <c r="H917" s="210"/>
      <c r="I917" s="79"/>
      <c r="J917" s="210"/>
      <c r="K917" s="210"/>
      <c r="L917" s="210" t="str">
        <f t="shared" si="1"/>
        <v/>
      </c>
      <c r="M917" s="79"/>
      <c r="N917" s="207"/>
      <c r="O917" s="207"/>
      <c r="P917" s="207"/>
      <c r="Q917" s="207"/>
    </row>
    <row r="918" spans="1:17" ht="34.5" customHeight="1">
      <c r="A918" s="82"/>
      <c r="B918" s="205" t="str">
        <f t="shared" si="2"/>
        <v/>
      </c>
      <c r="C918" s="206" t="str">
        <f t="shared" si="3"/>
        <v/>
      </c>
      <c r="D918" s="207" t="str">
        <f t="shared" si="0"/>
        <v/>
      </c>
      <c r="E918" s="207"/>
      <c r="F918" s="205" t="str">
        <f>IF(E918="","",VLOOKUP(E918,'ARAMA LİSTELERİ'!C918:G2957,5,))</f>
        <v/>
      </c>
      <c r="G918" s="207"/>
      <c r="H918" s="210"/>
      <c r="I918" s="79"/>
      <c r="J918" s="210"/>
      <c r="K918" s="210"/>
      <c r="L918" s="210" t="str">
        <f t="shared" si="1"/>
        <v/>
      </c>
      <c r="M918" s="79"/>
      <c r="N918" s="207"/>
      <c r="O918" s="207"/>
      <c r="P918" s="207"/>
      <c r="Q918" s="207"/>
    </row>
    <row r="919" spans="1:17" ht="34.5" customHeight="1">
      <c r="A919" s="82"/>
      <c r="B919" s="205" t="str">
        <f t="shared" si="2"/>
        <v/>
      </c>
      <c r="C919" s="206" t="str">
        <f t="shared" si="3"/>
        <v/>
      </c>
      <c r="D919" s="207" t="str">
        <f t="shared" si="0"/>
        <v/>
      </c>
      <c r="E919" s="207"/>
      <c r="F919" s="205" t="str">
        <f>IF(E919="","",VLOOKUP(E919,'ARAMA LİSTELERİ'!C919:G2958,5,))</f>
        <v/>
      </c>
      <c r="G919" s="207"/>
      <c r="H919" s="210"/>
      <c r="I919" s="79"/>
      <c r="J919" s="210"/>
      <c r="K919" s="210"/>
      <c r="L919" s="210" t="str">
        <f t="shared" si="1"/>
        <v/>
      </c>
      <c r="M919" s="79"/>
      <c r="N919" s="207"/>
      <c r="O919" s="207"/>
      <c r="P919" s="207"/>
      <c r="Q919" s="207"/>
    </row>
    <row r="920" spans="1:17" ht="34.5" customHeight="1">
      <c r="A920" s="82"/>
      <c r="B920" s="205" t="str">
        <f t="shared" si="2"/>
        <v/>
      </c>
      <c r="C920" s="206" t="str">
        <f t="shared" si="3"/>
        <v/>
      </c>
      <c r="D920" s="207" t="str">
        <f t="shared" si="0"/>
        <v/>
      </c>
      <c r="E920" s="207"/>
      <c r="F920" s="205" t="str">
        <f>IF(E920="","",VLOOKUP(E920,'ARAMA LİSTELERİ'!C920:G2959,5,))</f>
        <v/>
      </c>
      <c r="G920" s="207"/>
      <c r="H920" s="210"/>
      <c r="I920" s="79"/>
      <c r="J920" s="210"/>
      <c r="K920" s="210"/>
      <c r="L920" s="210" t="str">
        <f t="shared" si="1"/>
        <v/>
      </c>
      <c r="M920" s="79"/>
      <c r="N920" s="207"/>
      <c r="O920" s="207"/>
      <c r="P920" s="207"/>
      <c r="Q920" s="207"/>
    </row>
    <row r="921" spans="1:17" ht="34.5" customHeight="1">
      <c r="A921" s="82"/>
      <c r="B921" s="205" t="str">
        <f t="shared" si="2"/>
        <v/>
      </c>
      <c r="C921" s="206" t="str">
        <f t="shared" si="3"/>
        <v/>
      </c>
      <c r="D921" s="207" t="str">
        <f t="shared" si="0"/>
        <v/>
      </c>
      <c r="E921" s="207"/>
      <c r="F921" s="205" t="str">
        <f>IF(E921="","",VLOOKUP(E921,'ARAMA LİSTELERİ'!C921:G2960,5,))</f>
        <v/>
      </c>
      <c r="G921" s="207"/>
      <c r="H921" s="210"/>
      <c r="I921" s="79"/>
      <c r="J921" s="210"/>
      <c r="K921" s="210"/>
      <c r="L921" s="210" t="str">
        <f t="shared" si="1"/>
        <v/>
      </c>
      <c r="M921" s="79"/>
      <c r="N921" s="207"/>
      <c r="O921" s="207"/>
      <c r="P921" s="207"/>
      <c r="Q921" s="207"/>
    </row>
    <row r="922" spans="1:17" ht="34.5" customHeight="1">
      <c r="A922" s="82"/>
      <c r="B922" s="205" t="str">
        <f t="shared" si="2"/>
        <v/>
      </c>
      <c r="C922" s="206" t="str">
        <f t="shared" si="3"/>
        <v/>
      </c>
      <c r="D922" s="207" t="str">
        <f t="shared" si="0"/>
        <v/>
      </c>
      <c r="E922" s="207"/>
      <c r="F922" s="205" t="str">
        <f>IF(E922="","",VLOOKUP(E922,'ARAMA LİSTELERİ'!C922:G2961,5,))</f>
        <v/>
      </c>
      <c r="G922" s="207"/>
      <c r="H922" s="210"/>
      <c r="I922" s="79"/>
      <c r="J922" s="210"/>
      <c r="K922" s="210"/>
      <c r="L922" s="210" t="str">
        <f t="shared" si="1"/>
        <v/>
      </c>
      <c r="M922" s="79"/>
      <c r="N922" s="207"/>
      <c r="O922" s="207"/>
      <c r="P922" s="207"/>
      <c r="Q922" s="207"/>
    </row>
    <row r="923" spans="1:17" ht="34.5" customHeight="1">
      <c r="A923" s="82"/>
      <c r="B923" s="205" t="str">
        <f t="shared" si="2"/>
        <v/>
      </c>
      <c r="C923" s="206" t="str">
        <f t="shared" si="3"/>
        <v/>
      </c>
      <c r="D923" s="207" t="str">
        <f t="shared" si="0"/>
        <v/>
      </c>
      <c r="E923" s="207"/>
      <c r="F923" s="205" t="str">
        <f>IF(E923="","",VLOOKUP(E923,'ARAMA LİSTELERİ'!C923:G2962,5,))</f>
        <v/>
      </c>
      <c r="G923" s="207"/>
      <c r="H923" s="210"/>
      <c r="I923" s="79"/>
      <c r="J923" s="210"/>
      <c r="K923" s="210"/>
      <c r="L923" s="210" t="str">
        <f t="shared" si="1"/>
        <v/>
      </c>
      <c r="M923" s="79"/>
      <c r="N923" s="207"/>
      <c r="O923" s="207"/>
      <c r="P923" s="207"/>
      <c r="Q923" s="207"/>
    </row>
    <row r="924" spans="1:17" ht="34.5" customHeight="1">
      <c r="A924" s="82"/>
      <c r="B924" s="205" t="str">
        <f t="shared" si="2"/>
        <v/>
      </c>
      <c r="C924" s="206" t="str">
        <f t="shared" si="3"/>
        <v/>
      </c>
      <c r="D924" s="207" t="str">
        <f t="shared" si="0"/>
        <v/>
      </c>
      <c r="E924" s="207"/>
      <c r="F924" s="205" t="str">
        <f>IF(E924="","",VLOOKUP(E924,'ARAMA LİSTELERİ'!C924:G2963,5,))</f>
        <v/>
      </c>
      <c r="G924" s="207"/>
      <c r="H924" s="210"/>
      <c r="I924" s="79"/>
      <c r="J924" s="210"/>
      <c r="K924" s="210"/>
      <c r="L924" s="210" t="str">
        <f t="shared" si="1"/>
        <v/>
      </c>
      <c r="M924" s="79"/>
      <c r="N924" s="207"/>
      <c r="O924" s="207"/>
      <c r="P924" s="207"/>
      <c r="Q924" s="207"/>
    </row>
    <row r="925" spans="1:17" ht="34.5" customHeight="1">
      <c r="A925" s="82"/>
      <c r="B925" s="205" t="str">
        <f t="shared" si="2"/>
        <v/>
      </c>
      <c r="C925" s="206" t="str">
        <f t="shared" si="3"/>
        <v/>
      </c>
      <c r="D925" s="207" t="str">
        <f t="shared" si="0"/>
        <v/>
      </c>
      <c r="E925" s="207"/>
      <c r="F925" s="205" t="str">
        <f>IF(E925="","",VLOOKUP(E925,'ARAMA LİSTELERİ'!C925:G2964,5,))</f>
        <v/>
      </c>
      <c r="G925" s="207"/>
      <c r="H925" s="210"/>
      <c r="I925" s="79"/>
      <c r="J925" s="210"/>
      <c r="K925" s="210"/>
      <c r="L925" s="210" t="str">
        <f t="shared" si="1"/>
        <v/>
      </c>
      <c r="M925" s="79"/>
      <c r="N925" s="207"/>
      <c r="O925" s="207"/>
      <c r="P925" s="207"/>
      <c r="Q925" s="207"/>
    </row>
    <row r="926" spans="1:17" ht="34.5" customHeight="1">
      <c r="A926" s="82"/>
      <c r="B926" s="205" t="str">
        <f t="shared" si="2"/>
        <v/>
      </c>
      <c r="C926" s="206" t="str">
        <f t="shared" si="3"/>
        <v/>
      </c>
      <c r="D926" s="207" t="str">
        <f t="shared" si="0"/>
        <v/>
      </c>
      <c r="E926" s="207"/>
      <c r="F926" s="205" t="str">
        <f>IF(E926="","",VLOOKUP(E926,'ARAMA LİSTELERİ'!C926:G2965,5,))</f>
        <v/>
      </c>
      <c r="G926" s="207"/>
      <c r="H926" s="210"/>
      <c r="I926" s="79"/>
      <c r="J926" s="210"/>
      <c r="K926" s="210"/>
      <c r="L926" s="210" t="str">
        <f t="shared" si="1"/>
        <v/>
      </c>
      <c r="M926" s="79"/>
      <c r="N926" s="207"/>
      <c r="O926" s="207"/>
      <c r="P926" s="207"/>
      <c r="Q926" s="207"/>
    </row>
    <row r="927" spans="1:17" ht="34.5" customHeight="1">
      <c r="A927" s="82"/>
      <c r="B927" s="205" t="str">
        <f t="shared" si="2"/>
        <v/>
      </c>
      <c r="C927" s="206" t="str">
        <f t="shared" si="3"/>
        <v/>
      </c>
      <c r="D927" s="207" t="str">
        <f t="shared" si="0"/>
        <v/>
      </c>
      <c r="E927" s="207"/>
      <c r="F927" s="205" t="str">
        <f>IF(E927="","",VLOOKUP(E927,'ARAMA LİSTELERİ'!C927:G2966,5,))</f>
        <v/>
      </c>
      <c r="G927" s="207"/>
      <c r="H927" s="210"/>
      <c r="I927" s="79"/>
      <c r="J927" s="210"/>
      <c r="K927" s="210"/>
      <c r="L927" s="210" t="str">
        <f t="shared" si="1"/>
        <v/>
      </c>
      <c r="M927" s="79"/>
      <c r="N927" s="207"/>
      <c r="O927" s="207"/>
      <c r="P927" s="207"/>
      <c r="Q927" s="207"/>
    </row>
    <row r="928" spans="1:17" ht="34.5" customHeight="1">
      <c r="A928" s="82"/>
      <c r="B928" s="205" t="str">
        <f t="shared" si="2"/>
        <v/>
      </c>
      <c r="C928" s="206" t="str">
        <f t="shared" si="3"/>
        <v/>
      </c>
      <c r="D928" s="207" t="str">
        <f t="shared" si="0"/>
        <v/>
      </c>
      <c r="E928" s="207"/>
      <c r="F928" s="205" t="str">
        <f>IF(E928="","",VLOOKUP(E928,'ARAMA LİSTELERİ'!C928:G2967,5,))</f>
        <v/>
      </c>
      <c r="G928" s="207"/>
      <c r="H928" s="210"/>
      <c r="I928" s="79"/>
      <c r="J928" s="210"/>
      <c r="K928" s="210"/>
      <c r="L928" s="210" t="str">
        <f t="shared" si="1"/>
        <v/>
      </c>
      <c r="M928" s="79"/>
      <c r="N928" s="207"/>
      <c r="O928" s="207"/>
      <c r="P928" s="207"/>
      <c r="Q928" s="207"/>
    </row>
    <row r="929" spans="1:17" ht="34.5" customHeight="1">
      <c r="A929" s="82"/>
      <c r="B929" s="205" t="str">
        <f t="shared" si="2"/>
        <v/>
      </c>
      <c r="C929" s="206" t="str">
        <f t="shared" si="3"/>
        <v/>
      </c>
      <c r="D929" s="207" t="str">
        <f t="shared" si="0"/>
        <v/>
      </c>
      <c r="E929" s="207"/>
      <c r="F929" s="205" t="str">
        <f>IF(E929="","",VLOOKUP(E929,'ARAMA LİSTELERİ'!C929:G2968,5,))</f>
        <v/>
      </c>
      <c r="G929" s="207"/>
      <c r="H929" s="210"/>
      <c r="I929" s="79"/>
      <c r="J929" s="210"/>
      <c r="K929" s="210"/>
      <c r="L929" s="210" t="str">
        <f t="shared" si="1"/>
        <v/>
      </c>
      <c r="M929" s="79"/>
      <c r="N929" s="207"/>
      <c r="O929" s="207"/>
      <c r="P929" s="207"/>
      <c r="Q929" s="207"/>
    </row>
    <row r="930" spans="1:17" ht="34.5" customHeight="1">
      <c r="A930" s="82"/>
      <c r="B930" s="205" t="str">
        <f t="shared" si="2"/>
        <v/>
      </c>
      <c r="C930" s="206" t="str">
        <f t="shared" si="3"/>
        <v/>
      </c>
      <c r="D930" s="207" t="str">
        <f t="shared" si="0"/>
        <v/>
      </c>
      <c r="E930" s="207"/>
      <c r="F930" s="205" t="str">
        <f>IF(E930="","",VLOOKUP(E930,'ARAMA LİSTELERİ'!C930:G2969,5,))</f>
        <v/>
      </c>
      <c r="G930" s="207"/>
      <c r="H930" s="210"/>
      <c r="I930" s="79"/>
      <c r="J930" s="210"/>
      <c r="K930" s="210"/>
      <c r="L930" s="210" t="str">
        <f t="shared" si="1"/>
        <v/>
      </c>
      <c r="M930" s="79"/>
      <c r="N930" s="207"/>
      <c r="O930" s="207"/>
      <c r="P930" s="207"/>
      <c r="Q930" s="207"/>
    </row>
    <row r="931" spans="1:17" ht="34.5" customHeight="1">
      <c r="A931" s="82"/>
      <c r="B931" s="205" t="str">
        <f t="shared" si="2"/>
        <v/>
      </c>
      <c r="C931" s="206" t="str">
        <f t="shared" si="3"/>
        <v/>
      </c>
      <c r="D931" s="207" t="str">
        <f t="shared" si="0"/>
        <v/>
      </c>
      <c r="E931" s="207"/>
      <c r="F931" s="205" t="str">
        <f>IF(E931="","",VLOOKUP(E931,'ARAMA LİSTELERİ'!C931:G2970,5,))</f>
        <v/>
      </c>
      <c r="G931" s="207"/>
      <c r="H931" s="210"/>
      <c r="I931" s="79"/>
      <c r="J931" s="210"/>
      <c r="K931" s="210"/>
      <c r="L931" s="210" t="str">
        <f t="shared" si="1"/>
        <v/>
      </c>
      <c r="M931" s="79"/>
      <c r="N931" s="207"/>
      <c r="O931" s="207"/>
      <c r="P931" s="207"/>
      <c r="Q931" s="207"/>
    </row>
    <row r="932" spans="1:17" ht="34.5" customHeight="1">
      <c r="A932" s="82"/>
      <c r="B932" s="205" t="str">
        <f t="shared" si="2"/>
        <v/>
      </c>
      <c r="C932" s="206" t="str">
        <f t="shared" si="3"/>
        <v/>
      </c>
      <c r="D932" s="207" t="str">
        <f t="shared" si="0"/>
        <v/>
      </c>
      <c r="E932" s="207"/>
      <c r="F932" s="205" t="str">
        <f>IF(E932="","",VLOOKUP(E932,'ARAMA LİSTELERİ'!C932:G2971,5,))</f>
        <v/>
      </c>
      <c r="G932" s="207"/>
      <c r="H932" s="210"/>
      <c r="I932" s="79"/>
      <c r="J932" s="210"/>
      <c r="K932" s="210"/>
      <c r="L932" s="210" t="str">
        <f t="shared" si="1"/>
        <v/>
      </c>
      <c r="M932" s="79"/>
      <c r="N932" s="207"/>
      <c r="O932" s="207"/>
      <c r="P932" s="207"/>
      <c r="Q932" s="207"/>
    </row>
    <row r="933" spans="1:17" ht="34.5" customHeight="1">
      <c r="A933" s="82"/>
      <c r="B933" s="205" t="str">
        <f t="shared" si="2"/>
        <v/>
      </c>
      <c r="C933" s="206" t="str">
        <f t="shared" si="3"/>
        <v/>
      </c>
      <c r="D933" s="207" t="str">
        <f t="shared" si="0"/>
        <v/>
      </c>
      <c r="E933" s="207"/>
      <c r="F933" s="205" t="str">
        <f>IF(E933="","",VLOOKUP(E933,'ARAMA LİSTELERİ'!C933:G2972,5,))</f>
        <v/>
      </c>
      <c r="G933" s="207"/>
      <c r="H933" s="210"/>
      <c r="I933" s="79"/>
      <c r="J933" s="210"/>
      <c r="K933" s="210"/>
      <c r="L933" s="210" t="str">
        <f t="shared" si="1"/>
        <v/>
      </c>
      <c r="M933" s="79"/>
      <c r="N933" s="207"/>
      <c r="O933" s="207"/>
      <c r="P933" s="207"/>
      <c r="Q933" s="207"/>
    </row>
    <row r="934" spans="1:17" ht="34.5" customHeight="1">
      <c r="A934" s="82"/>
      <c r="B934" s="205" t="str">
        <f t="shared" si="2"/>
        <v/>
      </c>
      <c r="C934" s="206" t="str">
        <f t="shared" si="3"/>
        <v/>
      </c>
      <c r="D934" s="207" t="str">
        <f t="shared" si="0"/>
        <v/>
      </c>
      <c r="E934" s="207"/>
      <c r="F934" s="205" t="str">
        <f>IF(E934="","",VLOOKUP(E934,'ARAMA LİSTELERİ'!C934:G2973,5,))</f>
        <v/>
      </c>
      <c r="G934" s="207"/>
      <c r="H934" s="210"/>
      <c r="I934" s="79"/>
      <c r="J934" s="210"/>
      <c r="K934" s="210"/>
      <c r="L934" s="210" t="str">
        <f t="shared" si="1"/>
        <v/>
      </c>
      <c r="M934" s="79"/>
      <c r="N934" s="207"/>
      <c r="O934" s="207"/>
      <c r="P934" s="207"/>
      <c r="Q934" s="207"/>
    </row>
    <row r="935" spans="1:17" ht="34.5" customHeight="1">
      <c r="A935" s="82"/>
      <c r="B935" s="205" t="str">
        <f t="shared" si="2"/>
        <v/>
      </c>
      <c r="C935" s="206" t="str">
        <f t="shared" si="3"/>
        <v/>
      </c>
      <c r="D935" s="207" t="str">
        <f t="shared" si="0"/>
        <v/>
      </c>
      <c r="E935" s="207"/>
      <c r="F935" s="205" t="str">
        <f>IF(E935="","",VLOOKUP(E935,'ARAMA LİSTELERİ'!C935:G2974,5,))</f>
        <v/>
      </c>
      <c r="G935" s="207"/>
      <c r="H935" s="210"/>
      <c r="I935" s="79"/>
      <c r="J935" s="210"/>
      <c r="K935" s="210"/>
      <c r="L935" s="210" t="str">
        <f t="shared" si="1"/>
        <v/>
      </c>
      <c r="M935" s="79"/>
      <c r="N935" s="207"/>
      <c r="O935" s="207"/>
      <c r="P935" s="207"/>
      <c r="Q935" s="207"/>
    </row>
    <row r="936" spans="1:17" ht="34.5" customHeight="1">
      <c r="A936" s="82"/>
      <c r="B936" s="205" t="str">
        <f t="shared" si="2"/>
        <v/>
      </c>
      <c r="C936" s="206" t="str">
        <f t="shared" si="3"/>
        <v/>
      </c>
      <c r="D936" s="207" t="str">
        <f t="shared" si="0"/>
        <v/>
      </c>
      <c r="E936" s="207"/>
      <c r="F936" s="205" t="str">
        <f>IF(E936="","",VLOOKUP(E936,'ARAMA LİSTELERİ'!C936:G2975,5,))</f>
        <v/>
      </c>
      <c r="G936" s="207"/>
      <c r="H936" s="210"/>
      <c r="I936" s="79"/>
      <c r="J936" s="210"/>
      <c r="K936" s="210"/>
      <c r="L936" s="210" t="str">
        <f t="shared" si="1"/>
        <v/>
      </c>
      <c r="M936" s="79"/>
      <c r="N936" s="207"/>
      <c r="O936" s="207"/>
      <c r="P936" s="207"/>
      <c r="Q936" s="207"/>
    </row>
    <row r="937" spans="1:17" ht="34.5" customHeight="1">
      <c r="A937" s="82"/>
      <c r="B937" s="205" t="str">
        <f t="shared" si="2"/>
        <v/>
      </c>
      <c r="C937" s="206" t="str">
        <f t="shared" si="3"/>
        <v/>
      </c>
      <c r="D937" s="207" t="str">
        <f t="shared" si="0"/>
        <v/>
      </c>
      <c r="E937" s="207"/>
      <c r="F937" s="205" t="str">
        <f>IF(E937="","",VLOOKUP(E937,'ARAMA LİSTELERİ'!C937:G2976,5,))</f>
        <v/>
      </c>
      <c r="G937" s="207"/>
      <c r="H937" s="210"/>
      <c r="I937" s="79"/>
      <c r="J937" s="210"/>
      <c r="K937" s="210"/>
      <c r="L937" s="210" t="str">
        <f t="shared" si="1"/>
        <v/>
      </c>
      <c r="M937" s="79"/>
      <c r="N937" s="207"/>
      <c r="O937" s="207"/>
      <c r="P937" s="207"/>
      <c r="Q937" s="207"/>
    </row>
    <row r="938" spans="1:17" ht="34.5" customHeight="1">
      <c r="A938" s="82"/>
      <c r="B938" s="205" t="str">
        <f t="shared" si="2"/>
        <v/>
      </c>
      <c r="C938" s="206" t="str">
        <f t="shared" si="3"/>
        <v/>
      </c>
      <c r="D938" s="207" t="str">
        <f t="shared" si="0"/>
        <v/>
      </c>
      <c r="E938" s="207"/>
      <c r="F938" s="205" t="str">
        <f>IF(E938="","",VLOOKUP(E938,'ARAMA LİSTELERİ'!C938:G2977,5,))</f>
        <v/>
      </c>
      <c r="G938" s="207"/>
      <c r="H938" s="210"/>
      <c r="I938" s="79"/>
      <c r="J938" s="210"/>
      <c r="K938" s="210"/>
      <c r="L938" s="210" t="str">
        <f t="shared" si="1"/>
        <v/>
      </c>
      <c r="M938" s="79"/>
      <c r="N938" s="207"/>
      <c r="O938" s="207"/>
      <c r="P938" s="207"/>
      <c r="Q938" s="207"/>
    </row>
    <row r="939" spans="1:17" ht="34.5" customHeight="1">
      <c r="A939" s="82"/>
      <c r="B939" s="205" t="str">
        <f t="shared" si="2"/>
        <v/>
      </c>
      <c r="C939" s="206" t="str">
        <f t="shared" si="3"/>
        <v/>
      </c>
      <c r="D939" s="207" t="str">
        <f t="shared" si="0"/>
        <v/>
      </c>
      <c r="E939" s="207"/>
      <c r="F939" s="205" t="str">
        <f>IF(E939="","",VLOOKUP(E939,'ARAMA LİSTELERİ'!C939:G2978,5,))</f>
        <v/>
      </c>
      <c r="G939" s="207"/>
      <c r="H939" s="210"/>
      <c r="I939" s="79"/>
      <c r="J939" s="210"/>
      <c r="K939" s="210"/>
      <c r="L939" s="210" t="str">
        <f t="shared" si="1"/>
        <v/>
      </c>
      <c r="M939" s="79"/>
      <c r="N939" s="207"/>
      <c r="O939" s="207"/>
      <c r="P939" s="207"/>
      <c r="Q939" s="207"/>
    </row>
    <row r="940" spans="1:17" ht="34.5" customHeight="1">
      <c r="A940" s="82"/>
      <c r="B940" s="205" t="str">
        <f t="shared" si="2"/>
        <v/>
      </c>
      <c r="C940" s="206" t="str">
        <f t="shared" si="3"/>
        <v/>
      </c>
      <c r="D940" s="207" t="str">
        <f t="shared" si="0"/>
        <v/>
      </c>
      <c r="E940" s="207"/>
      <c r="F940" s="205" t="str">
        <f>IF(E940="","",VLOOKUP(E940,'ARAMA LİSTELERİ'!C940:G2979,5,))</f>
        <v/>
      </c>
      <c r="G940" s="207"/>
      <c r="H940" s="210"/>
      <c r="I940" s="79"/>
      <c r="J940" s="210"/>
      <c r="K940" s="210"/>
      <c r="L940" s="210" t="str">
        <f t="shared" si="1"/>
        <v/>
      </c>
      <c r="M940" s="79"/>
      <c r="N940" s="207"/>
      <c r="O940" s="207"/>
      <c r="P940" s="207"/>
      <c r="Q940" s="207"/>
    </row>
    <row r="941" spans="1:17" ht="34.5" customHeight="1">
      <c r="A941" s="82"/>
      <c r="B941" s="205" t="str">
        <f t="shared" si="2"/>
        <v/>
      </c>
      <c r="C941" s="206" t="str">
        <f t="shared" si="3"/>
        <v/>
      </c>
      <c r="D941" s="207" t="str">
        <f t="shared" si="0"/>
        <v/>
      </c>
      <c r="E941" s="207"/>
      <c r="F941" s="205" t="str">
        <f>IF(E941="","",VLOOKUP(E941,'ARAMA LİSTELERİ'!C941:G2980,5,))</f>
        <v/>
      </c>
      <c r="G941" s="207"/>
      <c r="H941" s="210"/>
      <c r="I941" s="79"/>
      <c r="J941" s="210"/>
      <c r="K941" s="210"/>
      <c r="L941" s="210" t="str">
        <f t="shared" si="1"/>
        <v/>
      </c>
      <c r="M941" s="79"/>
      <c r="N941" s="207"/>
      <c r="O941" s="207"/>
      <c r="P941" s="207"/>
      <c r="Q941" s="207"/>
    </row>
    <row r="942" spans="1:17" ht="34.5" customHeight="1">
      <c r="A942" s="82"/>
      <c r="B942" s="205" t="str">
        <f t="shared" si="2"/>
        <v/>
      </c>
      <c r="C942" s="206" t="str">
        <f t="shared" si="3"/>
        <v/>
      </c>
      <c r="D942" s="207" t="str">
        <f t="shared" si="0"/>
        <v/>
      </c>
      <c r="E942" s="207"/>
      <c r="F942" s="205" t="str">
        <f>IF(E942="","",VLOOKUP(E942,'ARAMA LİSTELERİ'!C942:G2981,5,))</f>
        <v/>
      </c>
      <c r="G942" s="207"/>
      <c r="H942" s="210"/>
      <c r="I942" s="79"/>
      <c r="J942" s="210"/>
      <c r="K942" s="210"/>
      <c r="L942" s="210" t="str">
        <f t="shared" si="1"/>
        <v/>
      </c>
      <c r="M942" s="79"/>
      <c r="N942" s="207"/>
      <c r="O942" s="207"/>
      <c r="P942" s="207"/>
      <c r="Q942" s="207"/>
    </row>
    <row r="943" spans="1:17" ht="34.5" customHeight="1">
      <c r="A943" s="82"/>
      <c r="B943" s="205" t="str">
        <f t="shared" si="2"/>
        <v/>
      </c>
      <c r="C943" s="206" t="str">
        <f t="shared" si="3"/>
        <v/>
      </c>
      <c r="D943" s="207" t="str">
        <f t="shared" si="0"/>
        <v/>
      </c>
      <c r="E943" s="207"/>
      <c r="F943" s="205" t="str">
        <f>IF(E943="","",VLOOKUP(E943,'ARAMA LİSTELERİ'!C943:G2982,5,))</f>
        <v/>
      </c>
      <c r="G943" s="207"/>
      <c r="H943" s="210"/>
      <c r="I943" s="79"/>
      <c r="J943" s="210"/>
      <c r="K943" s="210"/>
      <c r="L943" s="210" t="str">
        <f t="shared" si="1"/>
        <v/>
      </c>
      <c r="M943" s="79"/>
      <c r="N943" s="207"/>
      <c r="O943" s="207"/>
      <c r="P943" s="207"/>
      <c r="Q943" s="207"/>
    </row>
    <row r="944" spans="1:17" ht="34.5" customHeight="1">
      <c r="A944" s="82"/>
      <c r="B944" s="205" t="str">
        <f t="shared" si="2"/>
        <v/>
      </c>
      <c r="C944" s="206" t="str">
        <f t="shared" si="3"/>
        <v/>
      </c>
      <c r="D944" s="207" t="str">
        <f t="shared" si="0"/>
        <v/>
      </c>
      <c r="E944" s="207"/>
      <c r="F944" s="205" t="str">
        <f>IF(E944="","",VLOOKUP(E944,'ARAMA LİSTELERİ'!C944:G2983,5,))</f>
        <v/>
      </c>
      <c r="G944" s="207"/>
      <c r="H944" s="210"/>
      <c r="I944" s="79"/>
      <c r="J944" s="210"/>
      <c r="K944" s="210"/>
      <c r="L944" s="210" t="str">
        <f t="shared" si="1"/>
        <v/>
      </c>
      <c r="M944" s="79"/>
      <c r="N944" s="207"/>
      <c r="O944" s="207"/>
      <c r="P944" s="207"/>
      <c r="Q944" s="207"/>
    </row>
    <row r="945" spans="1:17" ht="34.5" customHeight="1">
      <c r="A945" s="82"/>
      <c r="B945" s="205" t="str">
        <f t="shared" si="2"/>
        <v/>
      </c>
      <c r="C945" s="206" t="str">
        <f t="shared" si="3"/>
        <v/>
      </c>
      <c r="D945" s="207" t="str">
        <f t="shared" si="0"/>
        <v/>
      </c>
      <c r="E945" s="207"/>
      <c r="F945" s="205" t="str">
        <f>IF(E945="","",VLOOKUP(E945,'ARAMA LİSTELERİ'!C945:G2984,5,))</f>
        <v/>
      </c>
      <c r="G945" s="207"/>
      <c r="H945" s="210"/>
      <c r="I945" s="79"/>
      <c r="J945" s="210"/>
      <c r="K945" s="210"/>
      <c r="L945" s="210" t="str">
        <f t="shared" si="1"/>
        <v/>
      </c>
      <c r="M945" s="79"/>
      <c r="N945" s="207"/>
      <c r="O945" s="207"/>
      <c r="P945" s="207"/>
      <c r="Q945" s="207"/>
    </row>
    <row r="946" spans="1:17" ht="34.5" customHeight="1">
      <c r="A946" s="82"/>
      <c r="B946" s="205" t="str">
        <f t="shared" si="2"/>
        <v/>
      </c>
      <c r="C946" s="206" t="str">
        <f t="shared" si="3"/>
        <v/>
      </c>
      <c r="D946" s="207" t="str">
        <f t="shared" si="0"/>
        <v/>
      </c>
      <c r="E946" s="207"/>
      <c r="F946" s="205" t="str">
        <f>IF(E946="","",VLOOKUP(E946,'ARAMA LİSTELERİ'!C946:G2985,5,))</f>
        <v/>
      </c>
      <c r="G946" s="207"/>
      <c r="H946" s="210"/>
      <c r="I946" s="79"/>
      <c r="J946" s="210"/>
      <c r="K946" s="210"/>
      <c r="L946" s="210" t="str">
        <f t="shared" si="1"/>
        <v/>
      </c>
      <c r="M946" s="79"/>
      <c r="N946" s="207"/>
      <c r="O946" s="207"/>
      <c r="P946" s="207"/>
      <c r="Q946" s="207"/>
    </row>
    <row r="947" spans="1:17" ht="34.5" customHeight="1">
      <c r="A947" s="82"/>
      <c r="B947" s="205" t="str">
        <f t="shared" si="2"/>
        <v/>
      </c>
      <c r="C947" s="206" t="str">
        <f t="shared" si="3"/>
        <v/>
      </c>
      <c r="D947" s="207" t="str">
        <f t="shared" si="0"/>
        <v/>
      </c>
      <c r="E947" s="207"/>
      <c r="F947" s="205" t="str">
        <f>IF(E947="","",VLOOKUP(E947,'ARAMA LİSTELERİ'!C947:G2986,5,))</f>
        <v/>
      </c>
      <c r="G947" s="207"/>
      <c r="H947" s="210"/>
      <c r="I947" s="79"/>
      <c r="J947" s="210"/>
      <c r="K947" s="210"/>
      <c r="L947" s="210" t="str">
        <f t="shared" si="1"/>
        <v/>
      </c>
      <c r="M947" s="79"/>
      <c r="N947" s="207"/>
      <c r="O947" s="207"/>
      <c r="P947" s="207"/>
      <c r="Q947" s="207"/>
    </row>
    <row r="948" spans="1:17" ht="34.5" customHeight="1">
      <c r="A948" s="82"/>
      <c r="B948" s="205" t="str">
        <f t="shared" si="2"/>
        <v/>
      </c>
      <c r="C948" s="206" t="str">
        <f t="shared" si="3"/>
        <v/>
      </c>
      <c r="D948" s="207" t="str">
        <f t="shared" si="0"/>
        <v/>
      </c>
      <c r="E948" s="207"/>
      <c r="F948" s="205" t="str">
        <f>IF(E948="","",VLOOKUP(E948,'ARAMA LİSTELERİ'!C948:G2987,5,))</f>
        <v/>
      </c>
      <c r="G948" s="207"/>
      <c r="H948" s="210"/>
      <c r="I948" s="79"/>
      <c r="J948" s="210"/>
      <c r="K948" s="210"/>
      <c r="L948" s="210" t="str">
        <f t="shared" si="1"/>
        <v/>
      </c>
      <c r="M948" s="79"/>
      <c r="N948" s="207"/>
      <c r="O948" s="207"/>
      <c r="P948" s="207"/>
      <c r="Q948" s="207"/>
    </row>
    <row r="949" spans="1:17" ht="34.5" customHeight="1">
      <c r="A949" s="82"/>
      <c r="B949" s="205" t="str">
        <f t="shared" si="2"/>
        <v/>
      </c>
      <c r="C949" s="206" t="str">
        <f t="shared" si="3"/>
        <v/>
      </c>
      <c r="D949" s="207" t="str">
        <f t="shared" si="0"/>
        <v/>
      </c>
      <c r="E949" s="207"/>
      <c r="F949" s="205" t="str">
        <f>IF(E949="","",VLOOKUP(E949,'ARAMA LİSTELERİ'!C949:G2988,5,))</f>
        <v/>
      </c>
      <c r="G949" s="207"/>
      <c r="H949" s="210"/>
      <c r="I949" s="79"/>
      <c r="J949" s="210"/>
      <c r="K949" s="210"/>
      <c r="L949" s="210" t="str">
        <f t="shared" si="1"/>
        <v/>
      </c>
      <c r="M949" s="79"/>
      <c r="N949" s="207"/>
      <c r="O949" s="207"/>
      <c r="P949" s="207"/>
      <c r="Q949" s="207"/>
    </row>
    <row r="950" spans="1:17" ht="34.5" customHeight="1">
      <c r="A950" s="82"/>
      <c r="B950" s="205" t="str">
        <f t="shared" si="2"/>
        <v/>
      </c>
      <c r="C950" s="206" t="str">
        <f t="shared" si="3"/>
        <v/>
      </c>
      <c r="D950" s="207" t="str">
        <f t="shared" si="0"/>
        <v/>
      </c>
      <c r="E950" s="207"/>
      <c r="F950" s="205" t="str">
        <f>IF(E950="","",VLOOKUP(E950,'ARAMA LİSTELERİ'!C950:G2989,5,))</f>
        <v/>
      </c>
      <c r="G950" s="207"/>
      <c r="H950" s="210"/>
      <c r="I950" s="79"/>
      <c r="J950" s="210"/>
      <c r="K950" s="210"/>
      <c r="L950" s="210" t="str">
        <f t="shared" si="1"/>
        <v/>
      </c>
      <c r="M950" s="79"/>
      <c r="N950" s="207"/>
      <c r="O950" s="207"/>
      <c r="P950" s="207"/>
      <c r="Q950" s="207"/>
    </row>
    <row r="951" spans="1:17" ht="34.5" customHeight="1">
      <c r="A951" s="82"/>
      <c r="B951" s="205" t="str">
        <f t="shared" si="2"/>
        <v/>
      </c>
      <c r="C951" s="206" t="str">
        <f t="shared" si="3"/>
        <v/>
      </c>
      <c r="D951" s="207" t="str">
        <f t="shared" si="0"/>
        <v/>
      </c>
      <c r="E951" s="207"/>
      <c r="F951" s="205" t="str">
        <f>IF(E951="","",VLOOKUP(E951,'ARAMA LİSTELERİ'!C951:G2990,5,))</f>
        <v/>
      </c>
      <c r="G951" s="207"/>
      <c r="H951" s="210"/>
      <c r="I951" s="79"/>
      <c r="J951" s="210"/>
      <c r="K951" s="210"/>
      <c r="L951" s="210" t="str">
        <f t="shared" si="1"/>
        <v/>
      </c>
      <c r="M951" s="79"/>
      <c r="N951" s="207"/>
      <c r="O951" s="207"/>
      <c r="P951" s="207"/>
      <c r="Q951" s="207"/>
    </row>
    <row r="952" spans="1:17" ht="34.5" customHeight="1">
      <c r="A952" s="82"/>
      <c r="B952" s="205" t="str">
        <f t="shared" si="2"/>
        <v/>
      </c>
      <c r="C952" s="206" t="str">
        <f t="shared" si="3"/>
        <v/>
      </c>
      <c r="D952" s="207" t="str">
        <f t="shared" si="0"/>
        <v/>
      </c>
      <c r="E952" s="207"/>
      <c r="F952" s="205" t="str">
        <f>IF(E952="","",VLOOKUP(E952,'ARAMA LİSTELERİ'!C952:G2991,5,))</f>
        <v/>
      </c>
      <c r="G952" s="207"/>
      <c r="H952" s="210"/>
      <c r="I952" s="79"/>
      <c r="J952" s="210"/>
      <c r="K952" s="210"/>
      <c r="L952" s="210" t="str">
        <f t="shared" si="1"/>
        <v/>
      </c>
      <c r="M952" s="79"/>
      <c r="N952" s="207"/>
      <c r="O952" s="207"/>
      <c r="P952" s="207"/>
      <c r="Q952" s="207"/>
    </row>
    <row r="953" spans="1:17" ht="34.5" customHeight="1">
      <c r="A953" s="82"/>
      <c r="B953" s="205" t="str">
        <f t="shared" si="2"/>
        <v/>
      </c>
      <c r="C953" s="206" t="str">
        <f t="shared" si="3"/>
        <v/>
      </c>
      <c r="D953" s="207" t="str">
        <f t="shared" si="0"/>
        <v/>
      </c>
      <c r="E953" s="207"/>
      <c r="F953" s="205" t="str">
        <f>IF(E953="","",VLOOKUP(E953,'ARAMA LİSTELERİ'!C953:G2992,5,))</f>
        <v/>
      </c>
      <c r="G953" s="207"/>
      <c r="H953" s="210"/>
      <c r="I953" s="79"/>
      <c r="J953" s="210"/>
      <c r="K953" s="210"/>
      <c r="L953" s="210" t="str">
        <f t="shared" si="1"/>
        <v/>
      </c>
      <c r="M953" s="79"/>
      <c r="N953" s="207"/>
      <c r="O953" s="207"/>
      <c r="P953" s="207"/>
      <c r="Q953" s="207"/>
    </row>
    <row r="954" spans="1:17" ht="34.5" customHeight="1">
      <c r="A954" s="82"/>
      <c r="B954" s="205" t="str">
        <f t="shared" si="2"/>
        <v/>
      </c>
      <c r="C954" s="206" t="str">
        <f t="shared" si="3"/>
        <v/>
      </c>
      <c r="D954" s="207" t="str">
        <f t="shared" si="0"/>
        <v/>
      </c>
      <c r="E954" s="207"/>
      <c r="F954" s="205" t="str">
        <f>IF(E954="","",VLOOKUP(E954,'ARAMA LİSTELERİ'!C954:G2993,5,))</f>
        <v/>
      </c>
      <c r="G954" s="207"/>
      <c r="H954" s="210"/>
      <c r="I954" s="79"/>
      <c r="J954" s="210"/>
      <c r="K954" s="210"/>
      <c r="L954" s="210" t="str">
        <f t="shared" si="1"/>
        <v/>
      </c>
      <c r="M954" s="79"/>
      <c r="N954" s="207"/>
      <c r="O954" s="207"/>
      <c r="P954" s="207"/>
      <c r="Q954" s="207"/>
    </row>
    <row r="955" spans="1:17" ht="34.5" customHeight="1">
      <c r="A955" s="82"/>
      <c r="B955" s="205" t="str">
        <f t="shared" si="2"/>
        <v/>
      </c>
      <c r="C955" s="206" t="str">
        <f t="shared" si="3"/>
        <v/>
      </c>
      <c r="D955" s="207" t="str">
        <f t="shared" si="0"/>
        <v/>
      </c>
      <c r="E955" s="207"/>
      <c r="F955" s="205" t="str">
        <f>IF(E955="","",VLOOKUP(E955,'ARAMA LİSTELERİ'!C955:G2994,5,))</f>
        <v/>
      </c>
      <c r="G955" s="207"/>
      <c r="H955" s="210"/>
      <c r="I955" s="79"/>
      <c r="J955" s="210"/>
      <c r="K955" s="210"/>
      <c r="L955" s="210" t="str">
        <f t="shared" si="1"/>
        <v/>
      </c>
      <c r="M955" s="79"/>
      <c r="N955" s="207"/>
      <c r="O955" s="207"/>
      <c r="P955" s="207"/>
      <c r="Q955" s="207"/>
    </row>
    <row r="956" spans="1:17" ht="34.5" customHeight="1">
      <c r="A956" s="82"/>
      <c r="B956" s="205" t="str">
        <f t="shared" si="2"/>
        <v/>
      </c>
      <c r="C956" s="206" t="str">
        <f t="shared" si="3"/>
        <v/>
      </c>
      <c r="D956" s="207" t="str">
        <f t="shared" si="0"/>
        <v/>
      </c>
      <c r="E956" s="207"/>
      <c r="F956" s="205" t="str">
        <f>IF(E956="","",VLOOKUP(E956,'ARAMA LİSTELERİ'!C956:G2995,5,))</f>
        <v/>
      </c>
      <c r="G956" s="207"/>
      <c r="H956" s="210"/>
      <c r="I956" s="79"/>
      <c r="J956" s="210"/>
      <c r="K956" s="210"/>
      <c r="L956" s="210" t="str">
        <f t="shared" si="1"/>
        <v/>
      </c>
      <c r="M956" s="79"/>
      <c r="N956" s="207"/>
      <c r="O956" s="207"/>
      <c r="P956" s="207"/>
      <c r="Q956" s="207"/>
    </row>
    <row r="957" spans="1:17" ht="34.5" customHeight="1">
      <c r="A957" s="82"/>
      <c r="B957" s="205" t="str">
        <f t="shared" si="2"/>
        <v/>
      </c>
      <c r="C957" s="206" t="str">
        <f t="shared" si="3"/>
        <v/>
      </c>
      <c r="D957" s="207" t="str">
        <f t="shared" si="0"/>
        <v/>
      </c>
      <c r="E957" s="207"/>
      <c r="F957" s="205" t="str">
        <f>IF(E957="","",VLOOKUP(E957,'ARAMA LİSTELERİ'!C957:G2996,5,))</f>
        <v/>
      </c>
      <c r="G957" s="207"/>
      <c r="H957" s="210"/>
      <c r="I957" s="79"/>
      <c r="J957" s="210"/>
      <c r="K957" s="210"/>
      <c r="L957" s="210" t="str">
        <f t="shared" si="1"/>
        <v/>
      </c>
      <c r="M957" s="79"/>
      <c r="N957" s="207"/>
      <c r="O957" s="207"/>
      <c r="P957" s="207"/>
      <c r="Q957" s="207"/>
    </row>
    <row r="958" spans="1:17" ht="34.5" customHeight="1">
      <c r="A958" s="82"/>
      <c r="B958" s="205" t="str">
        <f t="shared" si="2"/>
        <v/>
      </c>
      <c r="C958" s="206" t="str">
        <f t="shared" si="3"/>
        <v/>
      </c>
      <c r="D958" s="207" t="str">
        <f t="shared" si="0"/>
        <v/>
      </c>
      <c r="E958" s="207"/>
      <c r="F958" s="205" t="str">
        <f>IF(E958="","",VLOOKUP(E958,'ARAMA LİSTELERİ'!C958:G2997,5,))</f>
        <v/>
      </c>
      <c r="G958" s="207"/>
      <c r="H958" s="210"/>
      <c r="I958" s="79"/>
      <c r="J958" s="210"/>
      <c r="K958" s="210"/>
      <c r="L958" s="210" t="str">
        <f t="shared" si="1"/>
        <v/>
      </c>
      <c r="M958" s="79"/>
      <c r="N958" s="207"/>
      <c r="O958" s="207"/>
      <c r="P958" s="207"/>
      <c r="Q958" s="207"/>
    </row>
    <row r="959" spans="1:17" ht="34.5" customHeight="1">
      <c r="A959" s="82"/>
      <c r="B959" s="205" t="str">
        <f t="shared" si="2"/>
        <v/>
      </c>
      <c r="C959" s="206" t="str">
        <f t="shared" si="3"/>
        <v/>
      </c>
      <c r="D959" s="207" t="str">
        <f t="shared" si="0"/>
        <v/>
      </c>
      <c r="E959" s="207"/>
      <c r="F959" s="205" t="str">
        <f>IF(E959="","",VLOOKUP(E959,'ARAMA LİSTELERİ'!C959:G2998,5,))</f>
        <v/>
      </c>
      <c r="G959" s="207"/>
      <c r="H959" s="210"/>
      <c r="I959" s="79"/>
      <c r="J959" s="210"/>
      <c r="K959" s="210"/>
      <c r="L959" s="210" t="str">
        <f t="shared" si="1"/>
        <v/>
      </c>
      <c r="M959" s="79"/>
      <c r="N959" s="207"/>
      <c r="O959" s="207"/>
      <c r="P959" s="207"/>
      <c r="Q959" s="207"/>
    </row>
    <row r="960" spans="1:17" ht="34.5" customHeight="1">
      <c r="A960" s="82"/>
      <c r="B960" s="205" t="str">
        <f t="shared" si="2"/>
        <v/>
      </c>
      <c r="C960" s="206" t="str">
        <f t="shared" si="3"/>
        <v/>
      </c>
      <c r="D960" s="207" t="str">
        <f t="shared" si="0"/>
        <v/>
      </c>
      <c r="E960" s="207"/>
      <c r="F960" s="205" t="str">
        <f>IF(E960="","",VLOOKUP(E960,'ARAMA LİSTELERİ'!C960:G2999,5,))</f>
        <v/>
      </c>
      <c r="G960" s="207"/>
      <c r="H960" s="210"/>
      <c r="I960" s="79"/>
      <c r="J960" s="210"/>
      <c r="K960" s="210"/>
      <c r="L960" s="210" t="str">
        <f t="shared" si="1"/>
        <v/>
      </c>
      <c r="M960" s="79"/>
      <c r="N960" s="207"/>
      <c r="O960" s="207"/>
      <c r="P960" s="207"/>
      <c r="Q960" s="207"/>
    </row>
    <row r="961" spans="1:17" ht="34.5" customHeight="1">
      <c r="A961" s="82"/>
      <c r="B961" s="205" t="str">
        <f t="shared" si="2"/>
        <v/>
      </c>
      <c r="C961" s="206" t="str">
        <f t="shared" si="3"/>
        <v/>
      </c>
      <c r="D961" s="207" t="str">
        <f t="shared" si="0"/>
        <v/>
      </c>
      <c r="E961" s="207"/>
      <c r="F961" s="205" t="str">
        <f>IF(E961="","",VLOOKUP(E961,'ARAMA LİSTELERİ'!C961:G3000,5,))</f>
        <v/>
      </c>
      <c r="G961" s="207"/>
      <c r="H961" s="210"/>
      <c r="I961" s="79"/>
      <c r="J961" s="210"/>
      <c r="K961" s="210"/>
      <c r="L961" s="210" t="str">
        <f t="shared" si="1"/>
        <v/>
      </c>
      <c r="M961" s="79"/>
      <c r="N961" s="207"/>
      <c r="O961" s="207"/>
      <c r="P961" s="207"/>
      <c r="Q961" s="207"/>
    </row>
    <row r="962" spans="1:17" ht="34.5" customHeight="1">
      <c r="A962" s="82"/>
      <c r="B962" s="205" t="str">
        <f t="shared" si="2"/>
        <v/>
      </c>
      <c r="C962" s="206" t="str">
        <f t="shared" si="3"/>
        <v/>
      </c>
      <c r="D962" s="207" t="str">
        <f t="shared" si="0"/>
        <v/>
      </c>
      <c r="E962" s="207"/>
      <c r="F962" s="205" t="str">
        <f>IF(E962="","",VLOOKUP(E962,'ARAMA LİSTELERİ'!C962:G3001,5,))</f>
        <v/>
      </c>
      <c r="G962" s="207"/>
      <c r="H962" s="210"/>
      <c r="I962" s="79"/>
      <c r="J962" s="210"/>
      <c r="K962" s="210"/>
      <c r="L962" s="210" t="str">
        <f t="shared" si="1"/>
        <v/>
      </c>
      <c r="M962" s="79"/>
      <c r="N962" s="207"/>
      <c r="O962" s="207"/>
      <c r="P962" s="207"/>
      <c r="Q962" s="207"/>
    </row>
    <row r="963" spans="1:17" ht="34.5" customHeight="1">
      <c r="A963" s="82"/>
      <c r="B963" s="205" t="str">
        <f t="shared" si="2"/>
        <v/>
      </c>
      <c r="C963" s="206" t="str">
        <f t="shared" si="3"/>
        <v/>
      </c>
      <c r="D963" s="207" t="str">
        <f t="shared" si="0"/>
        <v/>
      </c>
      <c r="E963" s="207"/>
      <c r="F963" s="205" t="str">
        <f>IF(E963="","",VLOOKUP(E963,'ARAMA LİSTELERİ'!C963:G3002,5,))</f>
        <v/>
      </c>
      <c r="G963" s="207"/>
      <c r="H963" s="210"/>
      <c r="I963" s="79"/>
      <c r="J963" s="210"/>
      <c r="K963" s="210"/>
      <c r="L963" s="210" t="str">
        <f t="shared" si="1"/>
        <v/>
      </c>
      <c r="M963" s="79"/>
      <c r="N963" s="207"/>
      <c r="O963" s="207"/>
      <c r="P963" s="207"/>
      <c r="Q963" s="207"/>
    </row>
    <row r="964" spans="1:17" ht="34.5" customHeight="1">
      <c r="A964" s="82"/>
      <c r="B964" s="205" t="str">
        <f t="shared" si="2"/>
        <v/>
      </c>
      <c r="C964" s="206" t="str">
        <f t="shared" si="3"/>
        <v/>
      </c>
      <c r="D964" s="207" t="str">
        <f t="shared" si="0"/>
        <v/>
      </c>
      <c r="E964" s="207"/>
      <c r="F964" s="205" t="str">
        <f>IF(E964="","",VLOOKUP(E964,'ARAMA LİSTELERİ'!C964:G3003,5,))</f>
        <v/>
      </c>
      <c r="G964" s="207"/>
      <c r="H964" s="210"/>
      <c r="I964" s="79"/>
      <c r="J964" s="210"/>
      <c r="K964" s="210"/>
      <c r="L964" s="210" t="str">
        <f t="shared" si="1"/>
        <v/>
      </c>
      <c r="M964" s="79"/>
      <c r="N964" s="207"/>
      <c r="O964" s="207"/>
      <c r="P964" s="207"/>
      <c r="Q964" s="207"/>
    </row>
    <row r="965" spans="1:17" ht="34.5" customHeight="1">
      <c r="A965" s="82"/>
      <c r="B965" s="205" t="str">
        <f t="shared" si="2"/>
        <v/>
      </c>
      <c r="C965" s="206" t="str">
        <f t="shared" si="3"/>
        <v/>
      </c>
      <c r="D965" s="207" t="str">
        <f t="shared" si="0"/>
        <v/>
      </c>
      <c r="E965" s="207"/>
      <c r="F965" s="205" t="str">
        <f>IF(E965="","",VLOOKUP(E965,'ARAMA LİSTELERİ'!C965:G3004,5,))</f>
        <v/>
      </c>
      <c r="G965" s="207"/>
      <c r="H965" s="210"/>
      <c r="I965" s="79"/>
      <c r="J965" s="210"/>
      <c r="K965" s="210"/>
      <c r="L965" s="210" t="str">
        <f t="shared" si="1"/>
        <v/>
      </c>
      <c r="M965" s="79"/>
      <c r="N965" s="207"/>
      <c r="O965" s="207"/>
      <c r="P965" s="207"/>
      <c r="Q965" s="207"/>
    </row>
    <row r="966" spans="1:17" ht="34.5" customHeight="1">
      <c r="A966" s="82"/>
      <c r="B966" s="205" t="str">
        <f t="shared" si="2"/>
        <v/>
      </c>
      <c r="C966" s="206" t="str">
        <f t="shared" si="3"/>
        <v/>
      </c>
      <c r="D966" s="207" t="str">
        <f t="shared" si="0"/>
        <v/>
      </c>
      <c r="E966" s="207"/>
      <c r="F966" s="205" t="str">
        <f>IF(E966="","",VLOOKUP(E966,'ARAMA LİSTELERİ'!C966:G3005,5,))</f>
        <v/>
      </c>
      <c r="G966" s="207"/>
      <c r="H966" s="210"/>
      <c r="I966" s="79"/>
      <c r="J966" s="210"/>
      <c r="K966" s="210"/>
      <c r="L966" s="210" t="str">
        <f t="shared" si="1"/>
        <v/>
      </c>
      <c r="M966" s="79"/>
      <c r="N966" s="207"/>
      <c r="O966" s="207"/>
      <c r="P966" s="207"/>
      <c r="Q966" s="207"/>
    </row>
    <row r="967" spans="1:17" ht="34.5" customHeight="1">
      <c r="A967" s="82"/>
      <c r="B967" s="205" t="str">
        <f t="shared" si="2"/>
        <v/>
      </c>
      <c r="C967" s="206" t="str">
        <f t="shared" si="3"/>
        <v/>
      </c>
      <c r="D967" s="207" t="str">
        <f t="shared" si="0"/>
        <v/>
      </c>
      <c r="E967" s="207"/>
      <c r="F967" s="205" t="str">
        <f>IF(E967="","",VLOOKUP(E967,'ARAMA LİSTELERİ'!C967:G3006,5,))</f>
        <v/>
      </c>
      <c r="G967" s="207"/>
      <c r="H967" s="210"/>
      <c r="I967" s="79"/>
      <c r="J967" s="210"/>
      <c r="K967" s="210"/>
      <c r="L967" s="210" t="str">
        <f t="shared" si="1"/>
        <v/>
      </c>
      <c r="M967" s="79"/>
      <c r="N967" s="207"/>
      <c r="O967" s="207"/>
      <c r="P967" s="207"/>
      <c r="Q967" s="207"/>
    </row>
    <row r="968" spans="1:17" ht="34.5" customHeight="1">
      <c r="A968" s="82"/>
      <c r="B968" s="205" t="str">
        <f t="shared" si="2"/>
        <v/>
      </c>
      <c r="C968" s="206" t="str">
        <f t="shared" si="3"/>
        <v/>
      </c>
      <c r="D968" s="207" t="str">
        <f t="shared" si="0"/>
        <v/>
      </c>
      <c r="E968" s="207"/>
      <c r="F968" s="205" t="str">
        <f>IF(E968="","",VLOOKUP(E968,'ARAMA LİSTELERİ'!C968:G3007,5,))</f>
        <v/>
      </c>
      <c r="G968" s="207"/>
      <c r="H968" s="210"/>
      <c r="I968" s="79"/>
      <c r="J968" s="210"/>
      <c r="K968" s="210"/>
      <c r="L968" s="210" t="str">
        <f t="shared" si="1"/>
        <v/>
      </c>
      <c r="M968" s="79"/>
      <c r="N968" s="207"/>
      <c r="O968" s="207"/>
      <c r="P968" s="207"/>
      <c r="Q968" s="207"/>
    </row>
    <row r="969" spans="1:17" ht="34.5" customHeight="1">
      <c r="A969" s="82"/>
      <c r="B969" s="205" t="str">
        <f t="shared" si="2"/>
        <v/>
      </c>
      <c r="C969" s="206" t="str">
        <f t="shared" si="3"/>
        <v/>
      </c>
      <c r="D969" s="207" t="str">
        <f t="shared" si="0"/>
        <v/>
      </c>
      <c r="E969" s="207"/>
      <c r="F969" s="205" t="str">
        <f>IF(E969="","",VLOOKUP(E969,'ARAMA LİSTELERİ'!C969:G3008,5,))</f>
        <v/>
      </c>
      <c r="G969" s="207"/>
      <c r="H969" s="210"/>
      <c r="I969" s="79"/>
      <c r="J969" s="210"/>
      <c r="K969" s="210"/>
      <c r="L969" s="210" t="str">
        <f t="shared" si="1"/>
        <v/>
      </c>
      <c r="M969" s="79"/>
      <c r="N969" s="207"/>
      <c r="O969" s="207"/>
      <c r="P969" s="207"/>
      <c r="Q969" s="207"/>
    </row>
    <row r="970" spans="1:17" ht="34.5" customHeight="1">
      <c r="A970" s="82"/>
      <c r="B970" s="205" t="str">
        <f t="shared" si="2"/>
        <v/>
      </c>
      <c r="C970" s="206" t="str">
        <f t="shared" si="3"/>
        <v/>
      </c>
      <c r="D970" s="207" t="str">
        <f t="shared" si="0"/>
        <v/>
      </c>
      <c r="E970" s="207"/>
      <c r="F970" s="205" t="str">
        <f>IF(E970="","",VLOOKUP(E970,'ARAMA LİSTELERİ'!C970:G3009,5,))</f>
        <v/>
      </c>
      <c r="G970" s="207"/>
      <c r="H970" s="210"/>
      <c r="I970" s="79"/>
      <c r="J970" s="210"/>
      <c r="K970" s="210"/>
      <c r="L970" s="210" t="str">
        <f t="shared" si="1"/>
        <v/>
      </c>
      <c r="M970" s="79"/>
      <c r="N970" s="207"/>
      <c r="O970" s="207"/>
      <c r="P970" s="207"/>
      <c r="Q970" s="207"/>
    </row>
    <row r="971" spans="1:17" ht="34.5" customHeight="1">
      <c r="A971" s="82"/>
      <c r="B971" s="205" t="str">
        <f t="shared" si="2"/>
        <v/>
      </c>
      <c r="C971" s="206" t="str">
        <f t="shared" si="3"/>
        <v/>
      </c>
      <c r="D971" s="207" t="str">
        <f t="shared" si="0"/>
        <v/>
      </c>
      <c r="E971" s="207"/>
      <c r="F971" s="205" t="str">
        <f>IF(E971="","",VLOOKUP(E971,'ARAMA LİSTELERİ'!C971:G3010,5,))</f>
        <v/>
      </c>
      <c r="G971" s="207"/>
      <c r="H971" s="210"/>
      <c r="I971" s="79"/>
      <c r="J971" s="210"/>
      <c r="K971" s="210"/>
      <c r="L971" s="210" t="str">
        <f t="shared" si="1"/>
        <v/>
      </c>
      <c r="M971" s="79"/>
      <c r="N971" s="207"/>
      <c r="O971" s="207"/>
      <c r="P971" s="207"/>
      <c r="Q971" s="207"/>
    </row>
    <row r="972" spans="1:17" ht="34.5" customHeight="1">
      <c r="A972" s="82"/>
      <c r="B972" s="205" t="str">
        <f t="shared" si="2"/>
        <v/>
      </c>
      <c r="C972" s="206" t="str">
        <f t="shared" si="3"/>
        <v/>
      </c>
      <c r="D972" s="207" t="str">
        <f t="shared" si="0"/>
        <v/>
      </c>
      <c r="E972" s="207"/>
      <c r="F972" s="205" t="str">
        <f>IF(E972="","",VLOOKUP(E972,'ARAMA LİSTELERİ'!C972:G3011,5,))</f>
        <v/>
      </c>
      <c r="G972" s="207"/>
      <c r="H972" s="210"/>
      <c r="I972" s="79"/>
      <c r="J972" s="210"/>
      <c r="K972" s="210"/>
      <c r="L972" s="210" t="str">
        <f t="shared" si="1"/>
        <v/>
      </c>
      <c r="M972" s="79"/>
      <c r="N972" s="207"/>
      <c r="O972" s="207"/>
      <c r="P972" s="207"/>
      <c r="Q972" s="207"/>
    </row>
    <row r="973" spans="1:17" ht="34.5" customHeight="1">
      <c r="A973" s="82"/>
      <c r="B973" s="205" t="str">
        <f t="shared" si="2"/>
        <v/>
      </c>
      <c r="C973" s="206" t="str">
        <f t="shared" si="3"/>
        <v/>
      </c>
      <c r="D973" s="207" t="str">
        <f t="shared" si="0"/>
        <v/>
      </c>
      <c r="E973" s="207"/>
      <c r="F973" s="205" t="str">
        <f>IF(E973="","",VLOOKUP(E973,'ARAMA LİSTELERİ'!C973:G3012,5,))</f>
        <v/>
      </c>
      <c r="G973" s="207"/>
      <c r="H973" s="210"/>
      <c r="I973" s="79"/>
      <c r="J973" s="210"/>
      <c r="K973" s="210"/>
      <c r="L973" s="210" t="str">
        <f t="shared" si="1"/>
        <v/>
      </c>
      <c r="M973" s="79"/>
      <c r="N973" s="207"/>
      <c r="O973" s="207"/>
      <c r="P973" s="207"/>
      <c r="Q973" s="207"/>
    </row>
    <row r="974" spans="1:17" ht="34.5" customHeight="1">
      <c r="A974" s="82"/>
      <c r="B974" s="205" t="str">
        <f t="shared" si="2"/>
        <v/>
      </c>
      <c r="C974" s="206" t="str">
        <f t="shared" si="3"/>
        <v/>
      </c>
      <c r="D974" s="207" t="str">
        <f t="shared" si="0"/>
        <v/>
      </c>
      <c r="E974" s="207"/>
      <c r="F974" s="205" t="str">
        <f>IF(E974="","",VLOOKUP(E974,'ARAMA LİSTELERİ'!C974:G3013,5,))</f>
        <v/>
      </c>
      <c r="G974" s="207"/>
      <c r="H974" s="210"/>
      <c r="I974" s="79"/>
      <c r="J974" s="210"/>
      <c r="K974" s="210"/>
      <c r="L974" s="210" t="str">
        <f t="shared" si="1"/>
        <v/>
      </c>
      <c r="M974" s="79"/>
      <c r="N974" s="207"/>
      <c r="O974" s="207"/>
      <c r="P974" s="207"/>
      <c r="Q974" s="207"/>
    </row>
    <row r="975" spans="1:17" ht="34.5" customHeight="1">
      <c r="A975" s="82"/>
      <c r="B975" s="205" t="str">
        <f t="shared" si="2"/>
        <v/>
      </c>
      <c r="C975" s="206" t="str">
        <f t="shared" si="3"/>
        <v/>
      </c>
      <c r="D975" s="207" t="str">
        <f t="shared" si="0"/>
        <v/>
      </c>
      <c r="E975" s="207"/>
      <c r="F975" s="205" t="str">
        <f>IF(E975="","",VLOOKUP(E975,'ARAMA LİSTELERİ'!C975:G3014,5,))</f>
        <v/>
      </c>
      <c r="G975" s="207"/>
      <c r="H975" s="210"/>
      <c r="I975" s="79"/>
      <c r="J975" s="210"/>
      <c r="K975" s="210"/>
      <c r="L975" s="210" t="str">
        <f t="shared" si="1"/>
        <v/>
      </c>
      <c r="M975" s="79"/>
      <c r="N975" s="207"/>
      <c r="O975" s="207"/>
      <c r="P975" s="207"/>
      <c r="Q975" s="207"/>
    </row>
    <row r="976" spans="1:17" ht="34.5" customHeight="1">
      <c r="A976" s="82"/>
      <c r="B976" s="205" t="str">
        <f t="shared" si="2"/>
        <v/>
      </c>
      <c r="C976" s="206" t="str">
        <f t="shared" si="3"/>
        <v/>
      </c>
      <c r="D976" s="207" t="str">
        <f t="shared" si="0"/>
        <v/>
      </c>
      <c r="E976" s="207"/>
      <c r="F976" s="205" t="str">
        <f>IF(E976="","",VLOOKUP(E976,'ARAMA LİSTELERİ'!C976:G3015,5,))</f>
        <v/>
      </c>
      <c r="G976" s="207"/>
      <c r="H976" s="210"/>
      <c r="I976" s="79"/>
      <c r="J976" s="210"/>
      <c r="K976" s="210"/>
      <c r="L976" s="210" t="str">
        <f t="shared" si="1"/>
        <v/>
      </c>
      <c r="M976" s="79"/>
      <c r="N976" s="207"/>
      <c r="O976" s="207"/>
      <c r="P976" s="207"/>
      <c r="Q976" s="207"/>
    </row>
    <row r="977" spans="1:17" ht="34.5" customHeight="1">
      <c r="A977" s="82"/>
      <c r="B977" s="205" t="str">
        <f t="shared" si="2"/>
        <v/>
      </c>
      <c r="C977" s="206" t="str">
        <f t="shared" si="3"/>
        <v/>
      </c>
      <c r="D977" s="207" t="str">
        <f t="shared" si="0"/>
        <v/>
      </c>
      <c r="E977" s="207"/>
      <c r="F977" s="205" t="str">
        <f>IF(E977="","",VLOOKUP(E977,'ARAMA LİSTELERİ'!C977:G3016,5,))</f>
        <v/>
      </c>
      <c r="G977" s="207"/>
      <c r="H977" s="210"/>
      <c r="I977" s="79"/>
      <c r="J977" s="210"/>
      <c r="K977" s="210"/>
      <c r="L977" s="210" t="str">
        <f t="shared" si="1"/>
        <v/>
      </c>
      <c r="M977" s="79"/>
      <c r="N977" s="207"/>
      <c r="O977" s="207"/>
      <c r="P977" s="207"/>
      <c r="Q977" s="207"/>
    </row>
    <row r="978" spans="1:17" ht="34.5" customHeight="1">
      <c r="A978" s="82"/>
      <c r="B978" s="205" t="str">
        <f t="shared" si="2"/>
        <v/>
      </c>
      <c r="C978" s="206" t="str">
        <f t="shared" si="3"/>
        <v/>
      </c>
      <c r="D978" s="207" t="str">
        <f t="shared" si="0"/>
        <v/>
      </c>
      <c r="E978" s="207"/>
      <c r="F978" s="205" t="str">
        <f>IF(E978="","",VLOOKUP(E978,'ARAMA LİSTELERİ'!C978:G3017,5,))</f>
        <v/>
      </c>
      <c r="G978" s="207"/>
      <c r="H978" s="210"/>
      <c r="I978" s="79"/>
      <c r="J978" s="210"/>
      <c r="K978" s="210"/>
      <c r="L978" s="210" t="str">
        <f t="shared" si="1"/>
        <v/>
      </c>
      <c r="M978" s="79"/>
      <c r="N978" s="207"/>
      <c r="O978" s="207"/>
      <c r="P978" s="207"/>
      <c r="Q978" s="207"/>
    </row>
    <row r="979" spans="1:17" ht="34.5" customHeight="1">
      <c r="A979" s="82"/>
      <c r="B979" s="205" t="str">
        <f t="shared" si="2"/>
        <v/>
      </c>
      <c r="C979" s="206" t="str">
        <f t="shared" si="3"/>
        <v/>
      </c>
      <c r="D979" s="207" t="str">
        <f t="shared" si="0"/>
        <v/>
      </c>
      <c r="E979" s="207"/>
      <c r="F979" s="205" t="str">
        <f>IF(E979="","",VLOOKUP(E979,'ARAMA LİSTELERİ'!C979:G3018,5,))</f>
        <v/>
      </c>
      <c r="G979" s="207"/>
      <c r="H979" s="210"/>
      <c r="I979" s="79"/>
      <c r="J979" s="210"/>
      <c r="K979" s="210"/>
      <c r="L979" s="210" t="str">
        <f t="shared" si="1"/>
        <v/>
      </c>
      <c r="M979" s="79"/>
      <c r="N979" s="207"/>
      <c r="O979" s="207"/>
      <c r="P979" s="207"/>
      <c r="Q979" s="207"/>
    </row>
    <row r="980" spans="1:17" ht="34.5" customHeight="1">
      <c r="A980" s="82"/>
      <c r="B980" s="205" t="str">
        <f t="shared" si="2"/>
        <v/>
      </c>
      <c r="C980" s="206" t="str">
        <f t="shared" si="3"/>
        <v/>
      </c>
      <c r="D980" s="207" t="str">
        <f t="shared" si="0"/>
        <v/>
      </c>
      <c r="E980" s="207"/>
      <c r="F980" s="205" t="str">
        <f>IF(E980="","",VLOOKUP(E980,'ARAMA LİSTELERİ'!C980:G3019,5,))</f>
        <v/>
      </c>
      <c r="G980" s="207"/>
      <c r="H980" s="210"/>
      <c r="I980" s="79"/>
      <c r="J980" s="210"/>
      <c r="K980" s="210"/>
      <c r="L980" s="210" t="str">
        <f t="shared" si="1"/>
        <v/>
      </c>
      <c r="M980" s="79"/>
      <c r="N980" s="207"/>
      <c r="O980" s="207"/>
      <c r="P980" s="207"/>
      <c r="Q980" s="207"/>
    </row>
    <row r="981" spans="1:17" ht="34.5" customHeight="1">
      <c r="A981" s="82"/>
      <c r="B981" s="205" t="str">
        <f t="shared" si="2"/>
        <v/>
      </c>
      <c r="C981" s="206" t="str">
        <f t="shared" si="3"/>
        <v/>
      </c>
      <c r="D981" s="207" t="str">
        <f t="shared" si="0"/>
        <v/>
      </c>
      <c r="E981" s="207"/>
      <c r="F981" s="205" t="str">
        <f>IF(E981="","",VLOOKUP(E981,'ARAMA LİSTELERİ'!C981:G3020,5,))</f>
        <v/>
      </c>
      <c r="G981" s="207"/>
      <c r="H981" s="210"/>
      <c r="I981" s="79"/>
      <c r="J981" s="210"/>
      <c r="K981" s="210"/>
      <c r="L981" s="210" t="str">
        <f t="shared" si="1"/>
        <v/>
      </c>
      <c r="M981" s="79"/>
      <c r="N981" s="207"/>
      <c r="O981" s="207"/>
      <c r="P981" s="207"/>
      <c r="Q981" s="207"/>
    </row>
    <row r="982" spans="1:17" ht="34.5" customHeight="1">
      <c r="A982" s="82"/>
      <c r="B982" s="205" t="str">
        <f t="shared" si="2"/>
        <v/>
      </c>
      <c r="C982" s="206" t="str">
        <f t="shared" si="3"/>
        <v/>
      </c>
      <c r="D982" s="207" t="str">
        <f t="shared" si="0"/>
        <v/>
      </c>
      <c r="E982" s="207"/>
      <c r="F982" s="205" t="str">
        <f>IF(E982="","",VLOOKUP(E982,'ARAMA LİSTELERİ'!C982:G3021,5,))</f>
        <v/>
      </c>
      <c r="G982" s="207"/>
      <c r="H982" s="210"/>
      <c r="I982" s="79"/>
      <c r="J982" s="210"/>
      <c r="K982" s="210"/>
      <c r="L982" s="210" t="str">
        <f t="shared" si="1"/>
        <v/>
      </c>
      <c r="M982" s="79"/>
      <c r="N982" s="207"/>
      <c r="O982" s="207"/>
      <c r="P982" s="207"/>
      <c r="Q982" s="207"/>
    </row>
    <row r="983" spans="1:17" ht="34.5" customHeight="1">
      <c r="A983" s="82"/>
      <c r="B983" s="205" t="str">
        <f t="shared" si="2"/>
        <v/>
      </c>
      <c r="C983" s="206" t="str">
        <f t="shared" si="3"/>
        <v/>
      </c>
      <c r="D983" s="207" t="str">
        <f t="shared" si="0"/>
        <v/>
      </c>
      <c r="E983" s="207"/>
      <c r="F983" s="205" t="str">
        <f>IF(E983="","",VLOOKUP(E983,'ARAMA LİSTELERİ'!C983:G3022,5,))</f>
        <v/>
      </c>
      <c r="G983" s="207"/>
      <c r="H983" s="210"/>
      <c r="I983" s="79"/>
      <c r="J983" s="210"/>
      <c r="K983" s="210"/>
      <c r="L983" s="210" t="str">
        <f t="shared" si="1"/>
        <v/>
      </c>
      <c r="M983" s="79"/>
      <c r="N983" s="207"/>
      <c r="O983" s="207"/>
      <c r="P983" s="207"/>
      <c r="Q983" s="207"/>
    </row>
    <row r="984" spans="1:17" ht="34.5" customHeight="1">
      <c r="A984" s="82"/>
      <c r="B984" s="205" t="str">
        <f t="shared" si="2"/>
        <v/>
      </c>
      <c r="C984" s="206" t="str">
        <f t="shared" si="3"/>
        <v/>
      </c>
      <c r="D984" s="207" t="str">
        <f t="shared" si="0"/>
        <v/>
      </c>
      <c r="E984" s="207"/>
      <c r="F984" s="205" t="str">
        <f>IF(E984="","",VLOOKUP(E984,'ARAMA LİSTELERİ'!C984:G3023,5,))</f>
        <v/>
      </c>
      <c r="G984" s="207"/>
      <c r="H984" s="210"/>
      <c r="I984" s="79"/>
      <c r="J984" s="210"/>
      <c r="K984" s="210"/>
      <c r="L984" s="210" t="str">
        <f t="shared" si="1"/>
        <v/>
      </c>
      <c r="M984" s="79"/>
      <c r="N984" s="207"/>
      <c r="O984" s="207"/>
      <c r="P984" s="207"/>
      <c r="Q984" s="207"/>
    </row>
    <row r="985" spans="1:17" ht="34.5" customHeight="1">
      <c r="A985" s="82"/>
      <c r="B985" s="205" t="str">
        <f t="shared" si="2"/>
        <v/>
      </c>
      <c r="C985" s="206" t="str">
        <f t="shared" si="3"/>
        <v/>
      </c>
      <c r="D985" s="207" t="str">
        <f t="shared" si="0"/>
        <v/>
      </c>
      <c r="E985" s="207"/>
      <c r="F985" s="205" t="str">
        <f>IF(E985="","",VLOOKUP(E985,'ARAMA LİSTELERİ'!C985:G3024,5,))</f>
        <v/>
      </c>
      <c r="G985" s="207"/>
      <c r="H985" s="210"/>
      <c r="I985" s="79"/>
      <c r="J985" s="210"/>
      <c r="K985" s="210"/>
      <c r="L985" s="210" t="str">
        <f t="shared" si="1"/>
        <v/>
      </c>
      <c r="M985" s="79"/>
      <c r="N985" s="207"/>
      <c r="O985" s="207"/>
      <c r="P985" s="207"/>
      <c r="Q985" s="207"/>
    </row>
    <row r="986" spans="1:17" ht="34.5" customHeight="1">
      <c r="A986" s="82"/>
      <c r="B986" s="205" t="str">
        <f t="shared" si="2"/>
        <v/>
      </c>
      <c r="C986" s="206" t="str">
        <f t="shared" si="3"/>
        <v/>
      </c>
      <c r="D986" s="207" t="str">
        <f t="shared" si="0"/>
        <v/>
      </c>
      <c r="E986" s="207"/>
      <c r="F986" s="205" t="str">
        <f>IF(E986="","",VLOOKUP(E986,'ARAMA LİSTELERİ'!C986:G3025,5,))</f>
        <v/>
      </c>
      <c r="G986" s="207"/>
      <c r="H986" s="210"/>
      <c r="I986" s="79"/>
      <c r="J986" s="210"/>
      <c r="K986" s="210"/>
      <c r="L986" s="210" t="str">
        <f t="shared" si="1"/>
        <v/>
      </c>
      <c r="M986" s="79"/>
      <c r="N986" s="207"/>
      <c r="O986" s="207"/>
      <c r="P986" s="207"/>
      <c r="Q986" s="207"/>
    </row>
    <row r="987" spans="1:17" ht="34.5" customHeight="1">
      <c r="A987" s="82"/>
      <c r="B987" s="205" t="str">
        <f t="shared" si="2"/>
        <v/>
      </c>
      <c r="C987" s="206" t="str">
        <f t="shared" si="3"/>
        <v/>
      </c>
      <c r="D987" s="207" t="str">
        <f t="shared" si="0"/>
        <v/>
      </c>
      <c r="E987" s="207"/>
      <c r="F987" s="205" t="str">
        <f>IF(E987="","",VLOOKUP(E987,'ARAMA LİSTELERİ'!C987:G3026,5,))</f>
        <v/>
      </c>
      <c r="G987" s="207"/>
      <c r="H987" s="210"/>
      <c r="I987" s="79"/>
      <c r="J987" s="210"/>
      <c r="K987" s="210"/>
      <c r="L987" s="210" t="str">
        <f t="shared" si="1"/>
        <v/>
      </c>
      <c r="M987" s="79"/>
      <c r="N987" s="207"/>
      <c r="O987" s="207"/>
      <c r="P987" s="207"/>
      <c r="Q987" s="207"/>
    </row>
    <row r="988" spans="1:17" ht="34.5" customHeight="1">
      <c r="A988" s="82"/>
      <c r="B988" s="205" t="str">
        <f t="shared" si="2"/>
        <v/>
      </c>
      <c r="C988" s="206" t="str">
        <f t="shared" si="3"/>
        <v/>
      </c>
      <c r="D988" s="207" t="str">
        <f t="shared" si="0"/>
        <v/>
      </c>
      <c r="E988" s="207"/>
      <c r="F988" s="205" t="str">
        <f>IF(E988="","",VLOOKUP(E988,'ARAMA LİSTELERİ'!C988:G3027,5,))</f>
        <v/>
      </c>
      <c r="G988" s="207"/>
      <c r="H988" s="210"/>
      <c r="I988" s="79"/>
      <c r="J988" s="210"/>
      <c r="K988" s="210"/>
      <c r="L988" s="210" t="str">
        <f t="shared" si="1"/>
        <v/>
      </c>
      <c r="M988" s="79"/>
      <c r="N988" s="207"/>
      <c r="O988" s="207"/>
      <c r="P988" s="207"/>
      <c r="Q988" s="207"/>
    </row>
    <row r="989" spans="1:17" ht="34.5" customHeight="1">
      <c r="A989" s="82"/>
      <c r="B989" s="205" t="str">
        <f t="shared" si="2"/>
        <v/>
      </c>
      <c r="C989" s="206" t="str">
        <f t="shared" si="3"/>
        <v/>
      </c>
      <c r="D989" s="207" t="str">
        <f t="shared" si="0"/>
        <v/>
      </c>
      <c r="E989" s="207"/>
      <c r="F989" s="205" t="str">
        <f>IF(E989="","",VLOOKUP(E989,'ARAMA LİSTELERİ'!C989:G3028,5,))</f>
        <v/>
      </c>
      <c r="G989" s="207"/>
      <c r="H989" s="210"/>
      <c r="I989" s="79"/>
      <c r="J989" s="210"/>
      <c r="K989" s="210"/>
      <c r="L989" s="210" t="str">
        <f t="shared" si="1"/>
        <v/>
      </c>
      <c r="M989" s="79"/>
      <c r="N989" s="207"/>
      <c r="O989" s="207"/>
      <c r="P989" s="207"/>
      <c r="Q989" s="207"/>
    </row>
    <row r="990" spans="1:17" ht="34.5" customHeight="1">
      <c r="A990" s="82"/>
      <c r="B990" s="205" t="str">
        <f t="shared" si="2"/>
        <v/>
      </c>
      <c r="C990" s="206" t="str">
        <f t="shared" si="3"/>
        <v/>
      </c>
      <c r="D990" s="207" t="str">
        <f t="shared" si="0"/>
        <v/>
      </c>
      <c r="E990" s="207"/>
      <c r="F990" s="205" t="str">
        <f>IF(E990="","",VLOOKUP(E990,'ARAMA LİSTELERİ'!C990:G3029,5,))</f>
        <v/>
      </c>
      <c r="G990" s="207"/>
      <c r="H990" s="210"/>
      <c r="I990" s="79"/>
      <c r="J990" s="210"/>
      <c r="K990" s="210"/>
      <c r="L990" s="210" t="str">
        <f t="shared" si="1"/>
        <v/>
      </c>
      <c r="M990" s="79"/>
      <c r="N990" s="207"/>
      <c r="O990" s="207"/>
      <c r="P990" s="207"/>
      <c r="Q990" s="207"/>
    </row>
    <row r="991" spans="1:17" ht="34.5" customHeight="1">
      <c r="A991" s="82"/>
      <c r="B991" s="205" t="str">
        <f t="shared" si="2"/>
        <v/>
      </c>
      <c r="C991" s="206" t="str">
        <f t="shared" si="3"/>
        <v/>
      </c>
      <c r="D991" s="207" t="str">
        <f t="shared" si="0"/>
        <v/>
      </c>
      <c r="E991" s="207"/>
      <c r="F991" s="205" t="str">
        <f>IF(E991="","",VLOOKUP(E991,'ARAMA LİSTELERİ'!C991:G3030,5,))</f>
        <v/>
      </c>
      <c r="G991" s="207"/>
      <c r="H991" s="210"/>
      <c r="I991" s="79"/>
      <c r="J991" s="210"/>
      <c r="K991" s="210"/>
      <c r="L991" s="210" t="str">
        <f t="shared" si="1"/>
        <v/>
      </c>
      <c r="M991" s="79"/>
      <c r="N991" s="207"/>
      <c r="O991" s="207"/>
      <c r="P991" s="207"/>
      <c r="Q991" s="207"/>
    </row>
    <row r="992" spans="1:17" ht="34.5" customHeight="1">
      <c r="A992" s="82"/>
      <c r="B992" s="205" t="str">
        <f t="shared" si="2"/>
        <v/>
      </c>
      <c r="C992" s="206" t="str">
        <f t="shared" si="3"/>
        <v/>
      </c>
      <c r="D992" s="207" t="str">
        <f t="shared" si="0"/>
        <v/>
      </c>
      <c r="E992" s="207"/>
      <c r="F992" s="205" t="str">
        <f>IF(E992="","",VLOOKUP(E992,'ARAMA LİSTELERİ'!C992:G3031,5,))</f>
        <v/>
      </c>
      <c r="G992" s="207"/>
      <c r="H992" s="210"/>
      <c r="I992" s="79"/>
      <c r="J992" s="210"/>
      <c r="K992" s="210"/>
      <c r="L992" s="210" t="str">
        <f t="shared" si="1"/>
        <v/>
      </c>
      <c r="M992" s="79"/>
      <c r="N992" s="207"/>
      <c r="O992" s="207"/>
      <c r="P992" s="207"/>
      <c r="Q992" s="207"/>
    </row>
    <row r="993" spans="1:17" ht="34.5" customHeight="1">
      <c r="A993" s="82"/>
      <c r="B993" s="205" t="str">
        <f t="shared" si="2"/>
        <v/>
      </c>
      <c r="C993" s="206" t="str">
        <f t="shared" si="3"/>
        <v/>
      </c>
      <c r="D993" s="207" t="str">
        <f t="shared" si="0"/>
        <v/>
      </c>
      <c r="E993" s="207"/>
      <c r="F993" s="205" t="str">
        <f>IF(E993="","",VLOOKUP(E993,'ARAMA LİSTELERİ'!C993:G3032,5,))</f>
        <v/>
      </c>
      <c r="G993" s="207"/>
      <c r="H993" s="210"/>
      <c r="I993" s="79"/>
      <c r="J993" s="210"/>
      <c r="K993" s="210"/>
      <c r="L993" s="210" t="str">
        <f t="shared" si="1"/>
        <v/>
      </c>
      <c r="M993" s="79"/>
      <c r="N993" s="207"/>
      <c r="O993" s="207"/>
      <c r="P993" s="207"/>
      <c r="Q993" s="207"/>
    </row>
    <row r="994" spans="1:17" ht="34.5" customHeight="1">
      <c r="A994" s="82"/>
      <c r="B994" s="205" t="str">
        <f t="shared" si="2"/>
        <v/>
      </c>
      <c r="C994" s="206" t="str">
        <f t="shared" si="3"/>
        <v/>
      </c>
      <c r="D994" s="207" t="str">
        <f t="shared" si="0"/>
        <v/>
      </c>
      <c r="E994" s="207"/>
      <c r="F994" s="205" t="str">
        <f>IF(E994="","",VLOOKUP(E994,'ARAMA LİSTELERİ'!C994:G3033,5,))</f>
        <v/>
      </c>
      <c r="G994" s="207"/>
      <c r="H994" s="210"/>
      <c r="I994" s="79"/>
      <c r="J994" s="210"/>
      <c r="K994" s="210"/>
      <c r="L994" s="210" t="str">
        <f t="shared" si="1"/>
        <v/>
      </c>
      <c r="M994" s="79"/>
      <c r="N994" s="207"/>
      <c r="O994" s="207"/>
      <c r="P994" s="207"/>
      <c r="Q994" s="207"/>
    </row>
    <row r="995" spans="1:17" ht="34.5" customHeight="1">
      <c r="A995" s="82"/>
      <c r="B995" s="205" t="str">
        <f t="shared" si="2"/>
        <v/>
      </c>
      <c r="C995" s="206" t="str">
        <f t="shared" si="3"/>
        <v/>
      </c>
      <c r="D995" s="207" t="str">
        <f t="shared" si="0"/>
        <v/>
      </c>
      <c r="E995" s="207"/>
      <c r="F995" s="205" t="str">
        <f>IF(E995="","",VLOOKUP(E995,'ARAMA LİSTELERİ'!C995:G3034,5,))</f>
        <v/>
      </c>
      <c r="G995" s="207"/>
      <c r="H995" s="210"/>
      <c r="I995" s="79"/>
      <c r="J995" s="210"/>
      <c r="K995" s="210"/>
      <c r="L995" s="210" t="str">
        <f t="shared" si="1"/>
        <v/>
      </c>
      <c r="M995" s="79"/>
      <c r="N995" s="207"/>
      <c r="O995" s="207"/>
      <c r="P995" s="207"/>
      <c r="Q995" s="207"/>
    </row>
    <row r="996" spans="1:17" ht="34.5" customHeight="1">
      <c r="A996" s="82"/>
      <c r="B996" s="205" t="str">
        <f t="shared" si="2"/>
        <v/>
      </c>
      <c r="C996" s="206" t="str">
        <f t="shared" si="3"/>
        <v/>
      </c>
      <c r="D996" s="207" t="str">
        <f t="shared" si="0"/>
        <v/>
      </c>
      <c r="E996" s="207"/>
      <c r="F996" s="205" t="str">
        <f>IF(E996="","",VLOOKUP(E996,'ARAMA LİSTELERİ'!C996:G3035,5,))</f>
        <v/>
      </c>
      <c r="G996" s="207"/>
      <c r="H996" s="210"/>
      <c r="I996" s="79"/>
      <c r="J996" s="210"/>
      <c r="K996" s="210"/>
      <c r="L996" s="210" t="str">
        <f t="shared" si="1"/>
        <v/>
      </c>
      <c r="M996" s="79"/>
      <c r="N996" s="207"/>
      <c r="O996" s="207"/>
      <c r="P996" s="207"/>
      <c r="Q996" s="207"/>
    </row>
    <row r="997" spans="1:17" ht="34.5" customHeight="1">
      <c r="A997" s="82"/>
      <c r="B997" s="205" t="str">
        <f t="shared" si="2"/>
        <v/>
      </c>
      <c r="C997" s="206" t="str">
        <f t="shared" si="3"/>
        <v/>
      </c>
      <c r="D997" s="207" t="str">
        <f t="shared" si="0"/>
        <v/>
      </c>
      <c r="E997" s="207"/>
      <c r="F997" s="205" t="str">
        <f>IF(E997="","",VLOOKUP(E997,'ARAMA LİSTELERİ'!C997:G3036,5,))</f>
        <v/>
      </c>
      <c r="G997" s="207"/>
      <c r="H997" s="210"/>
      <c r="I997" s="79"/>
      <c r="J997" s="210"/>
      <c r="K997" s="210"/>
      <c r="L997" s="210" t="str">
        <f t="shared" si="1"/>
        <v/>
      </c>
      <c r="M997" s="79"/>
      <c r="N997" s="207"/>
      <c r="O997" s="207"/>
      <c r="P997" s="207"/>
      <c r="Q997" s="207"/>
    </row>
    <row r="998" spans="1:17" ht="34.5" customHeight="1">
      <c r="A998" s="82"/>
      <c r="B998" s="205" t="str">
        <f t="shared" si="2"/>
        <v/>
      </c>
      <c r="C998" s="206" t="str">
        <f t="shared" si="3"/>
        <v/>
      </c>
      <c r="D998" s="207" t="str">
        <f t="shared" si="0"/>
        <v/>
      </c>
      <c r="E998" s="207"/>
      <c r="F998" s="205" t="str">
        <f>IF(E998="","",VLOOKUP(E998,'ARAMA LİSTELERİ'!C998:G3037,5,))</f>
        <v/>
      </c>
      <c r="G998" s="207"/>
      <c r="H998" s="210"/>
      <c r="I998" s="79"/>
      <c r="J998" s="210"/>
      <c r="K998" s="210"/>
      <c r="L998" s="210" t="str">
        <f t="shared" si="1"/>
        <v/>
      </c>
      <c r="M998" s="79"/>
      <c r="N998" s="207"/>
      <c r="O998" s="207"/>
      <c r="P998" s="207"/>
      <c r="Q998" s="207"/>
    </row>
    <row r="999" spans="1:17" ht="34.5" customHeight="1">
      <c r="A999" s="82"/>
      <c r="B999" s="205" t="str">
        <f t="shared" si="2"/>
        <v/>
      </c>
      <c r="C999" s="206" t="str">
        <f t="shared" si="3"/>
        <v/>
      </c>
      <c r="D999" s="207" t="str">
        <f t="shared" si="0"/>
        <v/>
      </c>
      <c r="E999" s="207"/>
      <c r="F999" s="205" t="str">
        <f>IF(E999="","",VLOOKUP(E999,'ARAMA LİSTELERİ'!C999:G3038,5,))</f>
        <v/>
      </c>
      <c r="G999" s="207"/>
      <c r="H999" s="210"/>
      <c r="I999" s="79"/>
      <c r="J999" s="210"/>
      <c r="K999" s="210"/>
      <c r="L999" s="210" t="str">
        <f t="shared" si="1"/>
        <v/>
      </c>
      <c r="M999" s="79"/>
      <c r="N999" s="207"/>
      <c r="O999" s="207"/>
      <c r="P999" s="207"/>
      <c r="Q999" s="207"/>
    </row>
    <row r="1000" spans="1:17" ht="34.5" customHeight="1">
      <c r="A1000" s="82"/>
      <c r="B1000" s="205" t="str">
        <f t="shared" si="2"/>
        <v/>
      </c>
      <c r="C1000" s="206" t="str">
        <f t="shared" si="3"/>
        <v/>
      </c>
      <c r="D1000" s="207" t="str">
        <f t="shared" si="0"/>
        <v/>
      </c>
      <c r="E1000" s="207"/>
      <c r="F1000" s="205" t="str">
        <f>IF(E1000="","",VLOOKUP(E1000,'ARAMA LİSTELERİ'!C1000:G3039,5,))</f>
        <v/>
      </c>
      <c r="G1000" s="207"/>
      <c r="H1000" s="210"/>
      <c r="I1000" s="79"/>
      <c r="J1000" s="210"/>
      <c r="K1000" s="210"/>
      <c r="L1000" s="210" t="str">
        <f t="shared" si="1"/>
        <v/>
      </c>
      <c r="M1000" s="79"/>
      <c r="N1000" s="207"/>
      <c r="O1000" s="207"/>
      <c r="P1000" s="207"/>
      <c r="Q1000" s="207"/>
    </row>
    <row r="1001" spans="1:17" ht="34.5" customHeight="1">
      <c r="A1001" s="82"/>
      <c r="B1001" s="205" t="str">
        <f t="shared" si="2"/>
        <v/>
      </c>
      <c r="C1001" s="206" t="str">
        <f t="shared" si="3"/>
        <v/>
      </c>
      <c r="D1001" s="207" t="str">
        <f t="shared" si="0"/>
        <v/>
      </c>
      <c r="E1001" s="207"/>
      <c r="F1001" s="205" t="str">
        <f>IF(E1001="","",VLOOKUP(E1001,'ARAMA LİSTELERİ'!C1001:G3040,5,))</f>
        <v/>
      </c>
      <c r="G1001" s="207"/>
      <c r="H1001" s="210"/>
      <c r="I1001" s="79"/>
      <c r="J1001" s="210"/>
      <c r="K1001" s="210"/>
      <c r="L1001" s="210" t="str">
        <f t="shared" si="1"/>
        <v/>
      </c>
      <c r="M1001" s="79"/>
      <c r="N1001" s="207"/>
      <c r="O1001" s="207"/>
      <c r="P1001" s="207"/>
      <c r="Q1001" s="207"/>
    </row>
  </sheetData>
  <mergeCells count="1">
    <mergeCell ref="A1:Q1"/>
  </mergeCells>
  <conditionalFormatting sqref="K3:L1001">
    <cfRule type="containsText" dxfId="11" priority="1" operator="containsText" text="ÖDEME TAMAMLANDI">
      <formula>NOT(ISERROR(SEARCH(("ÖDEME TAMAMLANDI"),(K3))))</formula>
    </cfRule>
  </conditionalFormatting>
  <conditionalFormatting sqref="G3:G1001">
    <cfRule type="containsText" dxfId="10" priority="2" operator="containsText" text="ONAY">
      <formula>NOT(ISERROR(SEARCH(("ONAY"),(G3))))</formula>
    </cfRule>
  </conditionalFormatting>
  <conditionalFormatting sqref="G3:G1001">
    <cfRule type="containsText" dxfId="9" priority="3" operator="containsText" text="RED">
      <formula>NOT(ISERROR(SEARCH(("RED"),(G3))))</formula>
    </cfRule>
  </conditionalFormatting>
  <conditionalFormatting sqref="G3:G1001">
    <cfRule type="containsText" dxfId="8" priority="4" operator="containsText" text="BEKLEME">
      <formula>NOT(ISERROR(SEARCH(("BEKLEME"),(G3))))</formula>
    </cfRule>
  </conditionalFormatting>
  <conditionalFormatting sqref="G3:G1001">
    <cfRule type="containsText" dxfId="7" priority="5" operator="containsText" text="TEKLİF HAZIRLANIYOR">
      <formula>NOT(ISERROR(SEARCH(("TEKLİF HAZIRLANIYOR"),(G3))))</formula>
    </cfRule>
  </conditionalFormatting>
  <conditionalFormatting sqref="L3:L1001">
    <cfRule type="containsText" dxfId="6" priority="6" operator="containsText" text="kaldı">
      <formula>NOT(ISERROR(SEARCH(("kaldı"),(L3))))</formula>
    </cfRule>
  </conditionalFormatting>
  <dataValidations count="2">
    <dataValidation type="list" allowBlank="1" showDropDown="1" showErrorMessage="1" sqref="C3:C1001">
      <formula1>ekleyenler</formula1>
    </dataValidation>
    <dataValidation type="custom" allowBlank="1" showDropDown="1" showErrorMessage="1" sqref="A3:A1001 I3:I1001 M3:M1001">
      <formula1>OR(NOT(ISERROR(DATEVALUE(A3))), AND(ISNUMBER(A3), LEFT(CELL("format", A3))="D"))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ErrorMessage="1">
          <x14:formula1>
            <xm:f>'OTOMATİK LİSTE İSİMLERİ '!$Q$2:$Q1001</xm:f>
          </x14:formula1>
          <xm:sqref>G3:G1001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1"/>
  <sheetViews>
    <sheetView workbookViewId="0"/>
  </sheetViews>
  <sheetFormatPr defaultColWidth="12.625" defaultRowHeight="15" customHeight="1"/>
  <cols>
    <col min="1" max="1" width="16.375" customWidth="1"/>
    <col min="4" max="4" width="16.875" customWidth="1"/>
    <col min="5" max="5" width="15.875" customWidth="1"/>
    <col min="6" max="8" width="20.125" customWidth="1"/>
    <col min="9" max="10" width="17.625" customWidth="1"/>
    <col min="11" max="12" width="14.625" customWidth="1"/>
    <col min="13" max="13" width="23.125" customWidth="1"/>
    <col min="14" max="14" width="19.625" customWidth="1"/>
  </cols>
  <sheetData>
    <row r="1" spans="1:31" ht="45" customHeight="1">
      <c r="A1" s="225" t="s">
        <v>5615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1"/>
    </row>
    <row r="2" spans="1:31" ht="36.75" customHeight="1">
      <c r="A2" s="203" t="s">
        <v>5616</v>
      </c>
      <c r="B2" s="203" t="s">
        <v>5617</v>
      </c>
      <c r="C2" s="203" t="s">
        <v>5618</v>
      </c>
      <c r="D2" s="203" t="s">
        <v>5619</v>
      </c>
      <c r="E2" s="204" t="s">
        <v>13</v>
      </c>
      <c r="F2" s="204" t="s">
        <v>5620</v>
      </c>
      <c r="G2" s="204" t="s">
        <v>4765</v>
      </c>
      <c r="H2" s="204" t="s">
        <v>5621</v>
      </c>
      <c r="I2" s="204" t="s">
        <v>5622</v>
      </c>
      <c r="J2" s="204" t="s">
        <v>5623</v>
      </c>
      <c r="K2" s="204" t="s">
        <v>5624</v>
      </c>
      <c r="L2" s="204" t="s">
        <v>5625</v>
      </c>
      <c r="M2" s="204" t="s">
        <v>5626</v>
      </c>
      <c r="N2" s="204" t="s">
        <v>71</v>
      </c>
      <c r="O2" s="203"/>
      <c r="P2" s="203"/>
      <c r="Q2" s="203"/>
    </row>
    <row r="3" spans="1:31" ht="34.5" customHeight="1">
      <c r="A3" s="79"/>
      <c r="B3" s="205">
        <v>1</v>
      </c>
      <c r="C3" s="206" t="s">
        <v>2531</v>
      </c>
      <c r="D3" s="207" t="str">
        <f t="shared" ref="D3:D1001" si="0">IF(OR(C3="",B3=""),"","SRM-" &amp;C3 &amp; "-" &amp; TEXT(B3,"00000"))</f>
        <v>SRM-MA-00001</v>
      </c>
      <c r="E3" s="208" t="s">
        <v>2659</v>
      </c>
      <c r="F3" s="205" t="str">
        <f>IF(E3="","",VLOOKUP(E3,'ARAMA LİSTELERİ'!$C$3:$G$1001,5,))</f>
        <v>961 70 159 799</v>
      </c>
      <c r="G3" s="208"/>
      <c r="H3" s="209"/>
      <c r="I3" s="79"/>
      <c r="J3" s="209"/>
      <c r="K3" s="209"/>
      <c r="L3" s="210" t="str">
        <f t="shared" ref="L3:L1001" si="1">IF(H3="","",IF((H3-(J3+K3))=0,"ÖDEME TAMAMLANDI",TEXT(H3-(K3+J3),"0.00 $") &amp; " kaldı."))</f>
        <v/>
      </c>
      <c r="M3" s="79"/>
      <c r="N3" s="207"/>
      <c r="O3" s="207"/>
      <c r="P3" s="207"/>
      <c r="Q3" s="207"/>
    </row>
    <row r="4" spans="1:31" ht="34.5" customHeight="1">
      <c r="A4" s="79"/>
      <c r="B4" s="205" t="str">
        <f t="shared" ref="B4:B1001" si="2">IF(A4="","",B3+1)</f>
        <v/>
      </c>
      <c r="C4" s="206" t="str">
        <f t="shared" ref="C4:C1001" si="3">IF(A4="","",$C$3)</f>
        <v/>
      </c>
      <c r="D4" s="207" t="str">
        <f t="shared" si="0"/>
        <v/>
      </c>
      <c r="E4" s="208" t="s">
        <v>2995</v>
      </c>
      <c r="F4" s="205" t="str">
        <f>IF(E4="","",VLOOKUP(E4,'ARAMA LİSTELERİ'!$C$3:$G$1001,5,))</f>
        <v>352 621 201 204</v>
      </c>
      <c r="G4" s="208"/>
      <c r="H4" s="209"/>
      <c r="I4" s="79"/>
      <c r="J4" s="209"/>
      <c r="K4" s="209"/>
      <c r="L4" s="210" t="str">
        <f t="shared" si="1"/>
        <v/>
      </c>
      <c r="M4" s="79"/>
      <c r="N4" s="207"/>
      <c r="O4" s="207"/>
      <c r="P4" s="207"/>
      <c r="Q4" s="207"/>
    </row>
    <row r="5" spans="1:31" ht="34.5" customHeight="1">
      <c r="A5" s="79"/>
      <c r="B5" s="205" t="str">
        <f t="shared" si="2"/>
        <v/>
      </c>
      <c r="C5" s="206" t="str">
        <f t="shared" si="3"/>
        <v/>
      </c>
      <c r="D5" s="207" t="str">
        <f t="shared" si="0"/>
        <v/>
      </c>
      <c r="E5" s="208" t="s">
        <v>2715</v>
      </c>
      <c r="F5" s="205" t="str">
        <f>IF(E5="","",VLOOKUP(E5,'ARAMA LİSTELERİ'!$C$3:$G$1001,5,))</f>
        <v>965 9091 1866</v>
      </c>
      <c r="G5" s="208"/>
      <c r="H5" s="209"/>
      <c r="I5" s="79"/>
      <c r="J5" s="209"/>
      <c r="K5" s="210"/>
      <c r="L5" s="210" t="str">
        <f t="shared" si="1"/>
        <v/>
      </c>
      <c r="M5" s="79"/>
      <c r="N5" s="207"/>
      <c r="O5" s="207"/>
      <c r="P5" s="207"/>
      <c r="Q5" s="207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</row>
    <row r="6" spans="1:31" ht="34.5" customHeight="1">
      <c r="A6" s="79"/>
      <c r="B6" s="205" t="str">
        <f t="shared" si="2"/>
        <v/>
      </c>
      <c r="C6" s="206" t="str">
        <f t="shared" si="3"/>
        <v/>
      </c>
      <c r="D6" s="207" t="str">
        <f t="shared" si="0"/>
        <v/>
      </c>
      <c r="E6" s="208" t="s">
        <v>2935</v>
      </c>
      <c r="F6" s="205">
        <f>IF(E6="","",VLOOKUP(E6,'ARAMA LİSTELERİ'!$C$3:$G$1001,5,))</f>
        <v>0</v>
      </c>
      <c r="G6" s="208"/>
      <c r="H6" s="210"/>
      <c r="I6" s="79"/>
      <c r="J6" s="210"/>
      <c r="K6" s="210"/>
      <c r="L6" s="210" t="str">
        <f t="shared" si="1"/>
        <v/>
      </c>
      <c r="M6" s="79"/>
      <c r="N6" s="207"/>
      <c r="O6" s="207"/>
      <c r="P6" s="207"/>
      <c r="Q6" s="207"/>
    </row>
    <row r="7" spans="1:31" ht="34.5" customHeight="1">
      <c r="A7" s="79"/>
      <c r="B7" s="205" t="str">
        <f t="shared" si="2"/>
        <v/>
      </c>
      <c r="C7" s="206" t="str">
        <f t="shared" si="3"/>
        <v/>
      </c>
      <c r="D7" s="207" t="str">
        <f t="shared" si="0"/>
        <v/>
      </c>
      <c r="E7" s="208" t="s">
        <v>3791</v>
      </c>
      <c r="F7" s="205">
        <f>IF(E7="","",VLOOKUP(E7,'ARAMA LİSTELERİ'!$C$3:$G$1001,5,))</f>
        <v>4917622108634</v>
      </c>
      <c r="G7" s="207"/>
      <c r="H7" s="210"/>
      <c r="I7" s="79"/>
      <c r="J7" s="210"/>
      <c r="K7" s="210"/>
      <c r="L7" s="210" t="str">
        <f t="shared" si="1"/>
        <v/>
      </c>
      <c r="M7" s="79"/>
      <c r="N7" s="207"/>
      <c r="O7" s="207"/>
      <c r="P7" s="207"/>
      <c r="Q7" s="207"/>
    </row>
    <row r="8" spans="1:31" ht="34.5" customHeight="1">
      <c r="A8" s="79"/>
      <c r="B8" s="205" t="str">
        <f t="shared" si="2"/>
        <v/>
      </c>
      <c r="C8" s="206" t="str">
        <f t="shared" si="3"/>
        <v/>
      </c>
      <c r="D8" s="207" t="str">
        <f t="shared" si="0"/>
        <v/>
      </c>
      <c r="E8" s="208" t="s">
        <v>2646</v>
      </c>
      <c r="F8" s="205" t="str">
        <f>IF(E8="","",VLOOKUP(E8,'ARAMA LİSTELERİ'!$C$3:$G$1001,5,))</f>
        <v>965 9723 6518</v>
      </c>
      <c r="G8" s="207"/>
      <c r="H8" s="210"/>
      <c r="I8" s="79"/>
      <c r="J8" s="210"/>
      <c r="K8" s="210"/>
      <c r="L8" s="210" t="str">
        <f t="shared" si="1"/>
        <v/>
      </c>
      <c r="M8" s="79"/>
      <c r="N8" s="207"/>
      <c r="O8" s="207"/>
      <c r="P8" s="207"/>
      <c r="Q8" s="207"/>
    </row>
    <row r="9" spans="1:31" ht="34.5" customHeight="1">
      <c r="A9" s="79"/>
      <c r="B9" s="205" t="str">
        <f t="shared" si="2"/>
        <v/>
      </c>
      <c r="C9" s="206" t="str">
        <f t="shared" si="3"/>
        <v/>
      </c>
      <c r="D9" s="207" t="str">
        <f t="shared" si="0"/>
        <v/>
      </c>
      <c r="E9" s="208" t="s">
        <v>2597</v>
      </c>
      <c r="F9" s="205">
        <f>IF(E9="","",VLOOKUP(E9,'ARAMA LİSTELERİ'!$C$3:$G$1001,5,))</f>
        <v>0</v>
      </c>
      <c r="G9" s="207"/>
      <c r="H9" s="210"/>
      <c r="I9" s="79"/>
      <c r="J9" s="210"/>
      <c r="K9" s="210"/>
      <c r="L9" s="210" t="str">
        <f t="shared" si="1"/>
        <v/>
      </c>
      <c r="M9" s="79"/>
      <c r="N9" s="207"/>
      <c r="O9" s="207"/>
      <c r="P9" s="207"/>
      <c r="Q9" s="207"/>
    </row>
    <row r="10" spans="1:31" ht="34.5" customHeight="1">
      <c r="A10" s="79"/>
      <c r="B10" s="205" t="str">
        <f t="shared" si="2"/>
        <v/>
      </c>
      <c r="C10" s="206" t="str">
        <f t="shared" si="3"/>
        <v/>
      </c>
      <c r="D10" s="207" t="str">
        <f t="shared" si="0"/>
        <v/>
      </c>
      <c r="E10" s="208"/>
      <c r="F10" s="205" t="str">
        <f>IF(E10="","",VLOOKUP(E10,'ARAMA LİSTELERİ'!$C$3:$G$1001,5,))</f>
        <v/>
      </c>
      <c r="G10" s="207"/>
      <c r="H10" s="210"/>
      <c r="I10" s="79"/>
      <c r="J10" s="210"/>
      <c r="K10" s="210"/>
      <c r="L10" s="210" t="str">
        <f t="shared" si="1"/>
        <v/>
      </c>
      <c r="M10" s="79"/>
      <c r="N10" s="207"/>
      <c r="O10" s="207"/>
      <c r="P10" s="207"/>
      <c r="Q10" s="207"/>
    </row>
    <row r="11" spans="1:31" ht="34.5" customHeight="1">
      <c r="A11" s="79"/>
      <c r="B11" s="205" t="str">
        <f t="shared" si="2"/>
        <v/>
      </c>
      <c r="C11" s="206" t="str">
        <f t="shared" si="3"/>
        <v/>
      </c>
      <c r="D11" s="207" t="str">
        <f t="shared" si="0"/>
        <v/>
      </c>
      <c r="E11" s="208"/>
      <c r="F11" s="205" t="str">
        <f>IF(E11="","",VLOOKUP(E11,'ARAMA LİSTELERİ'!C11:G2050,5,))</f>
        <v/>
      </c>
      <c r="G11" s="207"/>
      <c r="H11" s="210"/>
      <c r="I11" s="79"/>
      <c r="J11" s="210"/>
      <c r="K11" s="210"/>
      <c r="L11" s="210" t="str">
        <f t="shared" si="1"/>
        <v/>
      </c>
      <c r="M11" s="79"/>
      <c r="N11" s="207"/>
      <c r="O11" s="207"/>
      <c r="P11" s="207"/>
      <c r="Q11" s="207"/>
    </row>
    <row r="12" spans="1:31" ht="34.5" customHeight="1">
      <c r="A12" s="79"/>
      <c r="B12" s="205" t="str">
        <f t="shared" si="2"/>
        <v/>
      </c>
      <c r="C12" s="206" t="str">
        <f t="shared" si="3"/>
        <v/>
      </c>
      <c r="D12" s="207" t="str">
        <f t="shared" si="0"/>
        <v/>
      </c>
      <c r="E12" s="207"/>
      <c r="F12" s="205" t="str">
        <f>IF(E12="","",VLOOKUP(E12,'ARAMA LİSTELERİ'!C12:G2051,5,))</f>
        <v/>
      </c>
      <c r="G12" s="207"/>
      <c r="H12" s="210"/>
      <c r="I12" s="79"/>
      <c r="J12" s="210"/>
      <c r="K12" s="210"/>
      <c r="L12" s="210" t="str">
        <f t="shared" si="1"/>
        <v/>
      </c>
      <c r="M12" s="79"/>
      <c r="N12" s="207"/>
      <c r="O12" s="207"/>
      <c r="P12" s="207"/>
      <c r="Q12" s="207"/>
    </row>
    <row r="13" spans="1:31" ht="34.5" customHeight="1">
      <c r="A13" s="79"/>
      <c r="B13" s="205" t="str">
        <f t="shared" si="2"/>
        <v/>
      </c>
      <c r="C13" s="206" t="str">
        <f t="shared" si="3"/>
        <v/>
      </c>
      <c r="D13" s="207" t="str">
        <f t="shared" si="0"/>
        <v/>
      </c>
      <c r="E13" s="207"/>
      <c r="F13" s="205" t="str">
        <f>IF(E13="","",VLOOKUP(E13,'ARAMA LİSTELERİ'!C13:G2052,5,))</f>
        <v/>
      </c>
      <c r="G13" s="207"/>
      <c r="H13" s="210"/>
      <c r="I13" s="79"/>
      <c r="J13" s="210"/>
      <c r="K13" s="210"/>
      <c r="L13" s="210" t="str">
        <f t="shared" si="1"/>
        <v/>
      </c>
      <c r="M13" s="79"/>
      <c r="N13" s="207"/>
      <c r="O13" s="207"/>
      <c r="P13" s="207"/>
      <c r="Q13" s="207"/>
    </row>
    <row r="14" spans="1:31" ht="34.5" customHeight="1">
      <c r="A14" s="79"/>
      <c r="B14" s="205" t="str">
        <f t="shared" si="2"/>
        <v/>
      </c>
      <c r="C14" s="206" t="str">
        <f t="shared" si="3"/>
        <v/>
      </c>
      <c r="D14" s="207" t="str">
        <f t="shared" si="0"/>
        <v/>
      </c>
      <c r="E14" s="207"/>
      <c r="F14" s="205" t="str">
        <f>IF(E14="","",VLOOKUP(E14,'ARAMA LİSTELERİ'!C14:G2053,5,))</f>
        <v/>
      </c>
      <c r="G14" s="207"/>
      <c r="H14" s="210"/>
      <c r="I14" s="79"/>
      <c r="J14" s="210"/>
      <c r="K14" s="210"/>
      <c r="L14" s="210" t="str">
        <f t="shared" si="1"/>
        <v/>
      </c>
      <c r="M14" s="79"/>
      <c r="N14" s="207"/>
      <c r="O14" s="207"/>
      <c r="P14" s="207"/>
      <c r="Q14" s="207"/>
    </row>
    <row r="15" spans="1:31" ht="34.5" customHeight="1">
      <c r="A15" s="79"/>
      <c r="B15" s="205" t="str">
        <f t="shared" si="2"/>
        <v/>
      </c>
      <c r="C15" s="206" t="str">
        <f t="shared" si="3"/>
        <v/>
      </c>
      <c r="D15" s="207" t="str">
        <f t="shared" si="0"/>
        <v/>
      </c>
      <c r="E15" s="207"/>
      <c r="F15" s="205" t="str">
        <f>IF(E15="","",VLOOKUP(E15,'ARAMA LİSTELERİ'!C15:G2054,5,))</f>
        <v/>
      </c>
      <c r="G15" s="207"/>
      <c r="H15" s="210"/>
      <c r="I15" s="79"/>
      <c r="J15" s="210"/>
      <c r="K15" s="210"/>
      <c r="L15" s="210" t="str">
        <f t="shared" si="1"/>
        <v/>
      </c>
      <c r="M15" s="79"/>
      <c r="N15" s="207"/>
      <c r="O15" s="207"/>
      <c r="P15" s="207"/>
      <c r="Q15" s="207"/>
    </row>
    <row r="16" spans="1:31" ht="34.5" customHeight="1">
      <c r="A16" s="79"/>
      <c r="B16" s="205" t="str">
        <f t="shared" si="2"/>
        <v/>
      </c>
      <c r="C16" s="206" t="str">
        <f t="shared" si="3"/>
        <v/>
      </c>
      <c r="D16" s="207" t="str">
        <f t="shared" si="0"/>
        <v/>
      </c>
      <c r="E16" s="207"/>
      <c r="F16" s="205" t="str">
        <f>IF(E16="","",VLOOKUP(E16,'ARAMA LİSTELERİ'!C16:G2055,5,))</f>
        <v/>
      </c>
      <c r="G16" s="207"/>
      <c r="H16" s="210"/>
      <c r="I16" s="79"/>
      <c r="J16" s="210"/>
      <c r="K16" s="210"/>
      <c r="L16" s="210" t="str">
        <f t="shared" si="1"/>
        <v/>
      </c>
      <c r="M16" s="79"/>
      <c r="N16" s="207"/>
      <c r="O16" s="207"/>
      <c r="P16" s="207"/>
      <c r="Q16" s="207"/>
    </row>
    <row r="17" spans="1:17" ht="34.5" customHeight="1">
      <c r="A17" s="79"/>
      <c r="B17" s="205" t="str">
        <f t="shared" si="2"/>
        <v/>
      </c>
      <c r="C17" s="206" t="str">
        <f t="shared" si="3"/>
        <v/>
      </c>
      <c r="D17" s="207" t="str">
        <f t="shared" si="0"/>
        <v/>
      </c>
      <c r="E17" s="207"/>
      <c r="F17" s="205" t="str">
        <f>IF(E17="","",VLOOKUP(E17,'ARAMA LİSTELERİ'!C17:G2056,5,))</f>
        <v/>
      </c>
      <c r="G17" s="207"/>
      <c r="H17" s="210"/>
      <c r="I17" s="79"/>
      <c r="J17" s="210"/>
      <c r="K17" s="210"/>
      <c r="L17" s="210" t="str">
        <f t="shared" si="1"/>
        <v/>
      </c>
      <c r="M17" s="79"/>
      <c r="N17" s="207"/>
      <c r="O17" s="207"/>
      <c r="P17" s="207"/>
      <c r="Q17" s="207"/>
    </row>
    <row r="18" spans="1:17" ht="34.5" customHeight="1">
      <c r="A18" s="79"/>
      <c r="B18" s="205" t="str">
        <f t="shared" si="2"/>
        <v/>
      </c>
      <c r="C18" s="206" t="str">
        <f t="shared" si="3"/>
        <v/>
      </c>
      <c r="D18" s="207" t="str">
        <f t="shared" si="0"/>
        <v/>
      </c>
      <c r="E18" s="207"/>
      <c r="F18" s="205" t="str">
        <f>IF(E18="","",VLOOKUP(E18,'ARAMA LİSTELERİ'!C18:G2057,5,))</f>
        <v/>
      </c>
      <c r="G18" s="207"/>
      <c r="H18" s="210"/>
      <c r="I18" s="79"/>
      <c r="J18" s="210"/>
      <c r="K18" s="210"/>
      <c r="L18" s="210" t="str">
        <f t="shared" si="1"/>
        <v/>
      </c>
      <c r="M18" s="79"/>
      <c r="N18" s="207"/>
      <c r="O18" s="207"/>
      <c r="P18" s="207"/>
      <c r="Q18" s="207"/>
    </row>
    <row r="19" spans="1:17" ht="34.5" customHeight="1">
      <c r="A19" s="79"/>
      <c r="B19" s="205" t="str">
        <f t="shared" si="2"/>
        <v/>
      </c>
      <c r="C19" s="206" t="str">
        <f t="shared" si="3"/>
        <v/>
      </c>
      <c r="D19" s="207" t="str">
        <f t="shared" si="0"/>
        <v/>
      </c>
      <c r="E19" s="207"/>
      <c r="F19" s="205" t="str">
        <f>IF(E19="","",VLOOKUP(E19,'ARAMA LİSTELERİ'!C19:G2058,5,))</f>
        <v/>
      </c>
      <c r="G19" s="207"/>
      <c r="H19" s="210"/>
      <c r="I19" s="79"/>
      <c r="J19" s="210"/>
      <c r="K19" s="210"/>
      <c r="L19" s="210" t="str">
        <f t="shared" si="1"/>
        <v/>
      </c>
      <c r="M19" s="79"/>
      <c r="N19" s="207"/>
      <c r="O19" s="207"/>
      <c r="P19" s="207"/>
      <c r="Q19" s="207"/>
    </row>
    <row r="20" spans="1:17" ht="34.5" customHeight="1">
      <c r="A20" s="79"/>
      <c r="B20" s="205" t="str">
        <f t="shared" si="2"/>
        <v/>
      </c>
      <c r="C20" s="206" t="str">
        <f t="shared" si="3"/>
        <v/>
      </c>
      <c r="D20" s="207" t="str">
        <f t="shared" si="0"/>
        <v/>
      </c>
      <c r="E20" s="207"/>
      <c r="F20" s="205" t="str">
        <f>IF(E20="","",VLOOKUP(E20,'ARAMA LİSTELERİ'!C20:G2059,5,))</f>
        <v/>
      </c>
      <c r="G20" s="207"/>
      <c r="H20" s="210"/>
      <c r="I20" s="79"/>
      <c r="J20" s="210"/>
      <c r="K20" s="210"/>
      <c r="L20" s="210" t="str">
        <f t="shared" si="1"/>
        <v/>
      </c>
      <c r="M20" s="79"/>
      <c r="N20" s="207"/>
      <c r="O20" s="207"/>
      <c r="P20" s="207"/>
      <c r="Q20" s="207"/>
    </row>
    <row r="21" spans="1:17" ht="34.5" customHeight="1">
      <c r="A21" s="79"/>
      <c r="B21" s="205" t="str">
        <f t="shared" si="2"/>
        <v/>
      </c>
      <c r="C21" s="206" t="str">
        <f t="shared" si="3"/>
        <v/>
      </c>
      <c r="D21" s="207" t="str">
        <f t="shared" si="0"/>
        <v/>
      </c>
      <c r="E21" s="207"/>
      <c r="F21" s="205" t="str">
        <f>IF(E21="","",VLOOKUP(E21,'ARAMA LİSTELERİ'!C21:G2060,5,))</f>
        <v/>
      </c>
      <c r="G21" s="207"/>
      <c r="H21" s="210"/>
      <c r="I21" s="79"/>
      <c r="J21" s="210"/>
      <c r="K21" s="210"/>
      <c r="L21" s="210" t="str">
        <f t="shared" si="1"/>
        <v/>
      </c>
      <c r="M21" s="79"/>
      <c r="N21" s="207"/>
      <c r="O21" s="207"/>
      <c r="P21" s="207"/>
      <c r="Q21" s="207"/>
    </row>
    <row r="22" spans="1:17" ht="34.5" customHeight="1">
      <c r="A22" s="82"/>
      <c r="B22" s="205" t="str">
        <f t="shared" si="2"/>
        <v/>
      </c>
      <c r="C22" s="206" t="str">
        <f t="shared" si="3"/>
        <v/>
      </c>
      <c r="D22" s="207" t="str">
        <f t="shared" si="0"/>
        <v/>
      </c>
      <c r="E22" s="207"/>
      <c r="F22" s="205" t="str">
        <f>IF(E22="","",VLOOKUP(E22,'ARAMA LİSTELERİ'!C22:G2061,5,))</f>
        <v/>
      </c>
      <c r="G22" s="207"/>
      <c r="H22" s="210"/>
      <c r="I22" s="79"/>
      <c r="J22" s="210"/>
      <c r="K22" s="210"/>
      <c r="L22" s="210" t="str">
        <f t="shared" si="1"/>
        <v/>
      </c>
      <c r="M22" s="79"/>
      <c r="N22" s="207"/>
      <c r="O22" s="207"/>
      <c r="P22" s="207"/>
      <c r="Q22" s="207"/>
    </row>
    <row r="23" spans="1:17" ht="34.5" customHeight="1">
      <c r="A23" s="82"/>
      <c r="B23" s="205" t="str">
        <f t="shared" si="2"/>
        <v/>
      </c>
      <c r="C23" s="206" t="str">
        <f t="shared" si="3"/>
        <v/>
      </c>
      <c r="D23" s="207" t="str">
        <f t="shared" si="0"/>
        <v/>
      </c>
      <c r="E23" s="207"/>
      <c r="F23" s="205" t="str">
        <f>IF(E23="","",VLOOKUP(E23,'ARAMA LİSTELERİ'!C23:G2062,5,))</f>
        <v/>
      </c>
      <c r="G23" s="207"/>
      <c r="H23" s="210"/>
      <c r="I23" s="79"/>
      <c r="J23" s="210"/>
      <c r="K23" s="210"/>
      <c r="L23" s="210" t="str">
        <f t="shared" si="1"/>
        <v/>
      </c>
      <c r="M23" s="79"/>
      <c r="N23" s="207"/>
      <c r="O23" s="207"/>
      <c r="P23" s="207"/>
      <c r="Q23" s="207"/>
    </row>
    <row r="24" spans="1:17" ht="34.5" customHeight="1">
      <c r="A24" s="82"/>
      <c r="B24" s="205" t="str">
        <f t="shared" si="2"/>
        <v/>
      </c>
      <c r="C24" s="206" t="str">
        <f t="shared" si="3"/>
        <v/>
      </c>
      <c r="D24" s="207" t="str">
        <f t="shared" si="0"/>
        <v/>
      </c>
      <c r="E24" s="207"/>
      <c r="F24" s="205" t="str">
        <f>IF(E24="","",VLOOKUP(E24,'ARAMA LİSTELERİ'!C24:G2063,5,))</f>
        <v/>
      </c>
      <c r="G24" s="207"/>
      <c r="H24" s="210"/>
      <c r="I24" s="79"/>
      <c r="J24" s="210"/>
      <c r="K24" s="210"/>
      <c r="L24" s="210" t="str">
        <f t="shared" si="1"/>
        <v/>
      </c>
      <c r="M24" s="79"/>
      <c r="N24" s="207"/>
      <c r="O24" s="207"/>
      <c r="P24" s="207"/>
      <c r="Q24" s="207"/>
    </row>
    <row r="25" spans="1:17" ht="34.5" customHeight="1">
      <c r="A25" s="82"/>
      <c r="B25" s="205" t="str">
        <f t="shared" si="2"/>
        <v/>
      </c>
      <c r="C25" s="206" t="str">
        <f t="shared" si="3"/>
        <v/>
      </c>
      <c r="D25" s="207" t="str">
        <f t="shared" si="0"/>
        <v/>
      </c>
      <c r="E25" s="207"/>
      <c r="F25" s="205" t="str">
        <f>IF(E25="","",VLOOKUP(E25,'ARAMA LİSTELERİ'!C25:G2064,5,))</f>
        <v/>
      </c>
      <c r="G25" s="207"/>
      <c r="H25" s="210"/>
      <c r="I25" s="79"/>
      <c r="J25" s="210"/>
      <c r="K25" s="210"/>
      <c r="L25" s="210" t="str">
        <f t="shared" si="1"/>
        <v/>
      </c>
      <c r="M25" s="79"/>
      <c r="N25" s="207"/>
      <c r="O25" s="207"/>
      <c r="P25" s="207"/>
      <c r="Q25" s="207"/>
    </row>
    <row r="26" spans="1:17" ht="34.5" customHeight="1">
      <c r="A26" s="82"/>
      <c r="B26" s="205" t="str">
        <f t="shared" si="2"/>
        <v/>
      </c>
      <c r="C26" s="206" t="str">
        <f t="shared" si="3"/>
        <v/>
      </c>
      <c r="D26" s="207" t="str">
        <f t="shared" si="0"/>
        <v/>
      </c>
      <c r="E26" s="207"/>
      <c r="F26" s="205" t="str">
        <f>IF(E26="","",VLOOKUP(E26,'ARAMA LİSTELERİ'!C26:G2065,5,))</f>
        <v/>
      </c>
      <c r="G26" s="207"/>
      <c r="H26" s="210"/>
      <c r="I26" s="79"/>
      <c r="J26" s="210"/>
      <c r="K26" s="210"/>
      <c r="L26" s="210" t="str">
        <f t="shared" si="1"/>
        <v/>
      </c>
      <c r="M26" s="79"/>
      <c r="N26" s="207"/>
      <c r="O26" s="207"/>
      <c r="P26" s="207"/>
      <c r="Q26" s="207"/>
    </row>
    <row r="27" spans="1:17" ht="34.5" customHeight="1">
      <c r="A27" s="82"/>
      <c r="B27" s="205" t="str">
        <f t="shared" si="2"/>
        <v/>
      </c>
      <c r="C27" s="206" t="str">
        <f t="shared" si="3"/>
        <v/>
      </c>
      <c r="D27" s="207" t="str">
        <f t="shared" si="0"/>
        <v/>
      </c>
      <c r="E27" s="207"/>
      <c r="F27" s="205" t="str">
        <f>IF(E27="","",VLOOKUP(E27,'ARAMA LİSTELERİ'!C27:G2066,5,))</f>
        <v/>
      </c>
      <c r="G27" s="207"/>
      <c r="H27" s="210"/>
      <c r="I27" s="79"/>
      <c r="J27" s="210"/>
      <c r="K27" s="210"/>
      <c r="L27" s="210" t="str">
        <f t="shared" si="1"/>
        <v/>
      </c>
      <c r="M27" s="79"/>
      <c r="N27" s="207"/>
      <c r="O27" s="207"/>
      <c r="P27" s="207"/>
      <c r="Q27" s="207"/>
    </row>
    <row r="28" spans="1:17" ht="34.5" customHeight="1">
      <c r="A28" s="82"/>
      <c r="B28" s="205" t="str">
        <f t="shared" si="2"/>
        <v/>
      </c>
      <c r="C28" s="206" t="str">
        <f t="shared" si="3"/>
        <v/>
      </c>
      <c r="D28" s="207" t="str">
        <f t="shared" si="0"/>
        <v/>
      </c>
      <c r="E28" s="207"/>
      <c r="F28" s="205" t="str">
        <f>IF(E28="","",VLOOKUP(E28,'ARAMA LİSTELERİ'!C28:G2067,5,))</f>
        <v/>
      </c>
      <c r="G28" s="207"/>
      <c r="H28" s="210"/>
      <c r="I28" s="79"/>
      <c r="J28" s="210"/>
      <c r="K28" s="210"/>
      <c r="L28" s="210" t="str">
        <f t="shared" si="1"/>
        <v/>
      </c>
      <c r="M28" s="79"/>
      <c r="N28" s="207"/>
      <c r="O28" s="207"/>
      <c r="P28" s="207"/>
      <c r="Q28" s="207"/>
    </row>
    <row r="29" spans="1:17" ht="34.5" customHeight="1">
      <c r="A29" s="82"/>
      <c r="B29" s="205" t="str">
        <f t="shared" si="2"/>
        <v/>
      </c>
      <c r="C29" s="206" t="str">
        <f t="shared" si="3"/>
        <v/>
      </c>
      <c r="D29" s="207" t="str">
        <f t="shared" si="0"/>
        <v/>
      </c>
      <c r="E29" s="207"/>
      <c r="F29" s="205" t="str">
        <f>IF(E29="","",VLOOKUP(E29,'ARAMA LİSTELERİ'!C29:G2068,5,))</f>
        <v/>
      </c>
      <c r="G29" s="207"/>
      <c r="H29" s="210"/>
      <c r="I29" s="79"/>
      <c r="J29" s="210"/>
      <c r="K29" s="210"/>
      <c r="L29" s="210" t="str">
        <f t="shared" si="1"/>
        <v/>
      </c>
      <c r="M29" s="79"/>
      <c r="N29" s="207"/>
      <c r="O29" s="207"/>
      <c r="P29" s="207"/>
      <c r="Q29" s="207"/>
    </row>
    <row r="30" spans="1:17" ht="34.5" customHeight="1">
      <c r="A30" s="82"/>
      <c r="B30" s="205" t="str">
        <f t="shared" si="2"/>
        <v/>
      </c>
      <c r="C30" s="206" t="str">
        <f t="shared" si="3"/>
        <v/>
      </c>
      <c r="D30" s="207" t="str">
        <f t="shared" si="0"/>
        <v/>
      </c>
      <c r="E30" s="207"/>
      <c r="F30" s="205" t="str">
        <f>IF(E30="","",VLOOKUP(E30,'ARAMA LİSTELERİ'!C30:G2069,5,))</f>
        <v/>
      </c>
      <c r="G30" s="207"/>
      <c r="H30" s="210"/>
      <c r="I30" s="79"/>
      <c r="J30" s="210"/>
      <c r="K30" s="210"/>
      <c r="L30" s="210" t="str">
        <f t="shared" si="1"/>
        <v/>
      </c>
      <c r="M30" s="79"/>
      <c r="N30" s="207"/>
      <c r="O30" s="207"/>
      <c r="P30" s="207"/>
      <c r="Q30" s="207"/>
    </row>
    <row r="31" spans="1:17" ht="34.5" customHeight="1">
      <c r="A31" s="82"/>
      <c r="B31" s="205" t="str">
        <f t="shared" si="2"/>
        <v/>
      </c>
      <c r="C31" s="206" t="str">
        <f t="shared" si="3"/>
        <v/>
      </c>
      <c r="D31" s="207" t="str">
        <f t="shared" si="0"/>
        <v/>
      </c>
      <c r="E31" s="207"/>
      <c r="F31" s="205" t="str">
        <f>IF(E31="","",VLOOKUP(E31,'ARAMA LİSTELERİ'!C31:G2070,5,))</f>
        <v/>
      </c>
      <c r="G31" s="207"/>
      <c r="H31" s="210"/>
      <c r="I31" s="79"/>
      <c r="J31" s="210"/>
      <c r="K31" s="210"/>
      <c r="L31" s="210" t="str">
        <f t="shared" si="1"/>
        <v/>
      </c>
      <c r="M31" s="79"/>
      <c r="N31" s="207"/>
      <c r="O31" s="207"/>
      <c r="P31" s="207"/>
      <c r="Q31" s="207"/>
    </row>
    <row r="32" spans="1:17" ht="34.5" customHeight="1">
      <c r="A32" s="82"/>
      <c r="B32" s="205" t="str">
        <f t="shared" si="2"/>
        <v/>
      </c>
      <c r="C32" s="206" t="str">
        <f t="shared" si="3"/>
        <v/>
      </c>
      <c r="D32" s="207" t="str">
        <f t="shared" si="0"/>
        <v/>
      </c>
      <c r="E32" s="207"/>
      <c r="F32" s="205" t="str">
        <f>IF(E32="","",VLOOKUP(E32,'ARAMA LİSTELERİ'!C32:G2071,5,))</f>
        <v/>
      </c>
      <c r="G32" s="207"/>
      <c r="H32" s="210"/>
      <c r="I32" s="79"/>
      <c r="J32" s="210"/>
      <c r="K32" s="210"/>
      <c r="L32" s="210" t="str">
        <f t="shared" si="1"/>
        <v/>
      </c>
      <c r="M32" s="79"/>
      <c r="N32" s="207"/>
      <c r="O32" s="207"/>
      <c r="P32" s="207"/>
      <c r="Q32" s="207"/>
    </row>
    <row r="33" spans="1:17" ht="34.5" customHeight="1">
      <c r="A33" s="82"/>
      <c r="B33" s="205" t="str">
        <f t="shared" si="2"/>
        <v/>
      </c>
      <c r="C33" s="206" t="str">
        <f t="shared" si="3"/>
        <v/>
      </c>
      <c r="D33" s="207" t="str">
        <f t="shared" si="0"/>
        <v/>
      </c>
      <c r="E33" s="207"/>
      <c r="F33" s="205" t="str">
        <f>IF(E33="","",VLOOKUP(E33,'ARAMA LİSTELERİ'!C33:G2072,5,))</f>
        <v/>
      </c>
      <c r="G33" s="207"/>
      <c r="H33" s="210"/>
      <c r="I33" s="79"/>
      <c r="J33" s="210"/>
      <c r="K33" s="210"/>
      <c r="L33" s="210" t="str">
        <f t="shared" si="1"/>
        <v/>
      </c>
      <c r="M33" s="79"/>
      <c r="N33" s="207"/>
      <c r="O33" s="207"/>
      <c r="P33" s="207"/>
      <c r="Q33" s="207"/>
    </row>
    <row r="34" spans="1:17" ht="34.5" customHeight="1">
      <c r="A34" s="82"/>
      <c r="B34" s="205" t="str">
        <f t="shared" si="2"/>
        <v/>
      </c>
      <c r="C34" s="206" t="str">
        <f t="shared" si="3"/>
        <v/>
      </c>
      <c r="D34" s="207" t="str">
        <f t="shared" si="0"/>
        <v/>
      </c>
      <c r="E34" s="207"/>
      <c r="F34" s="205" t="str">
        <f>IF(E34="","",VLOOKUP(E34,'ARAMA LİSTELERİ'!C34:G2073,5,))</f>
        <v/>
      </c>
      <c r="G34" s="207"/>
      <c r="H34" s="210"/>
      <c r="I34" s="79"/>
      <c r="J34" s="210"/>
      <c r="K34" s="210"/>
      <c r="L34" s="210" t="str">
        <f t="shared" si="1"/>
        <v/>
      </c>
      <c r="M34" s="79"/>
      <c r="N34" s="207"/>
      <c r="O34" s="207"/>
      <c r="P34" s="207"/>
      <c r="Q34" s="207"/>
    </row>
    <row r="35" spans="1:17" ht="34.5" customHeight="1">
      <c r="A35" s="82"/>
      <c r="B35" s="205" t="str">
        <f t="shared" si="2"/>
        <v/>
      </c>
      <c r="C35" s="206" t="str">
        <f t="shared" si="3"/>
        <v/>
      </c>
      <c r="D35" s="207" t="str">
        <f t="shared" si="0"/>
        <v/>
      </c>
      <c r="E35" s="207"/>
      <c r="F35" s="205" t="str">
        <f>IF(E35="","",VLOOKUP(E35,'ARAMA LİSTELERİ'!C35:G2074,5,))</f>
        <v/>
      </c>
      <c r="G35" s="207"/>
      <c r="H35" s="210"/>
      <c r="I35" s="79"/>
      <c r="J35" s="210"/>
      <c r="K35" s="210"/>
      <c r="L35" s="210" t="str">
        <f t="shared" si="1"/>
        <v/>
      </c>
      <c r="M35" s="79"/>
      <c r="N35" s="207"/>
      <c r="O35" s="207"/>
      <c r="P35" s="207"/>
      <c r="Q35" s="207"/>
    </row>
    <row r="36" spans="1:17" ht="34.5" customHeight="1">
      <c r="A36" s="82"/>
      <c r="B36" s="205" t="str">
        <f t="shared" si="2"/>
        <v/>
      </c>
      <c r="C36" s="206" t="str">
        <f t="shared" si="3"/>
        <v/>
      </c>
      <c r="D36" s="207" t="str">
        <f t="shared" si="0"/>
        <v/>
      </c>
      <c r="E36" s="207"/>
      <c r="F36" s="205" t="str">
        <f>IF(E36="","",VLOOKUP(E36,'ARAMA LİSTELERİ'!C36:G2075,5,))</f>
        <v/>
      </c>
      <c r="G36" s="207"/>
      <c r="H36" s="210"/>
      <c r="I36" s="79"/>
      <c r="J36" s="210"/>
      <c r="K36" s="210"/>
      <c r="L36" s="210" t="str">
        <f t="shared" si="1"/>
        <v/>
      </c>
      <c r="M36" s="79"/>
      <c r="N36" s="207"/>
      <c r="O36" s="207"/>
      <c r="P36" s="207"/>
      <c r="Q36" s="207"/>
    </row>
    <row r="37" spans="1:17" ht="34.5" customHeight="1">
      <c r="A37" s="82"/>
      <c r="B37" s="205" t="str">
        <f t="shared" si="2"/>
        <v/>
      </c>
      <c r="C37" s="206" t="str">
        <f t="shared" si="3"/>
        <v/>
      </c>
      <c r="D37" s="207" t="str">
        <f t="shared" si="0"/>
        <v/>
      </c>
      <c r="E37" s="207"/>
      <c r="F37" s="205" t="str">
        <f>IF(E37="","",VLOOKUP(E37,'ARAMA LİSTELERİ'!C37:G2076,5,))</f>
        <v/>
      </c>
      <c r="G37" s="207"/>
      <c r="H37" s="210"/>
      <c r="I37" s="79"/>
      <c r="J37" s="210"/>
      <c r="K37" s="210"/>
      <c r="L37" s="210" t="str">
        <f t="shared" si="1"/>
        <v/>
      </c>
      <c r="M37" s="79"/>
      <c r="N37" s="207"/>
      <c r="O37" s="207"/>
      <c r="P37" s="207"/>
      <c r="Q37" s="207"/>
    </row>
    <row r="38" spans="1:17" ht="34.5" customHeight="1">
      <c r="A38" s="82"/>
      <c r="B38" s="205" t="str">
        <f t="shared" si="2"/>
        <v/>
      </c>
      <c r="C38" s="206" t="str">
        <f t="shared" si="3"/>
        <v/>
      </c>
      <c r="D38" s="207" t="str">
        <f t="shared" si="0"/>
        <v/>
      </c>
      <c r="E38" s="207"/>
      <c r="F38" s="205" t="str">
        <f>IF(E38="","",VLOOKUP(E38,'ARAMA LİSTELERİ'!C38:G2077,5,))</f>
        <v/>
      </c>
      <c r="G38" s="207"/>
      <c r="H38" s="210"/>
      <c r="I38" s="79"/>
      <c r="J38" s="210"/>
      <c r="K38" s="210"/>
      <c r="L38" s="210" t="str">
        <f t="shared" si="1"/>
        <v/>
      </c>
      <c r="M38" s="79"/>
      <c r="N38" s="207"/>
      <c r="O38" s="207"/>
      <c r="P38" s="207"/>
      <c r="Q38" s="207"/>
    </row>
    <row r="39" spans="1:17" ht="34.5" customHeight="1">
      <c r="A39" s="82"/>
      <c r="B39" s="205" t="str">
        <f t="shared" si="2"/>
        <v/>
      </c>
      <c r="C39" s="206" t="str">
        <f t="shared" si="3"/>
        <v/>
      </c>
      <c r="D39" s="207" t="str">
        <f t="shared" si="0"/>
        <v/>
      </c>
      <c r="E39" s="207"/>
      <c r="F39" s="205" t="str">
        <f>IF(E39="","",VLOOKUP(E39,'ARAMA LİSTELERİ'!C39:G2078,5,))</f>
        <v/>
      </c>
      <c r="G39" s="207"/>
      <c r="H39" s="210"/>
      <c r="I39" s="79"/>
      <c r="J39" s="210"/>
      <c r="K39" s="210"/>
      <c r="L39" s="210" t="str">
        <f t="shared" si="1"/>
        <v/>
      </c>
      <c r="M39" s="79"/>
      <c r="N39" s="207"/>
      <c r="O39" s="207"/>
      <c r="P39" s="207"/>
      <c r="Q39" s="207"/>
    </row>
    <row r="40" spans="1:17" ht="34.5" customHeight="1">
      <c r="A40" s="82"/>
      <c r="B40" s="205" t="str">
        <f t="shared" si="2"/>
        <v/>
      </c>
      <c r="C40" s="206" t="str">
        <f t="shared" si="3"/>
        <v/>
      </c>
      <c r="D40" s="207" t="str">
        <f t="shared" si="0"/>
        <v/>
      </c>
      <c r="E40" s="207"/>
      <c r="F40" s="205" t="str">
        <f>IF(E40="","",VLOOKUP(E40,'ARAMA LİSTELERİ'!C40:G2079,5,))</f>
        <v/>
      </c>
      <c r="G40" s="207"/>
      <c r="H40" s="210"/>
      <c r="I40" s="79"/>
      <c r="J40" s="210"/>
      <c r="K40" s="210"/>
      <c r="L40" s="210" t="str">
        <f t="shared" si="1"/>
        <v/>
      </c>
      <c r="M40" s="79"/>
      <c r="N40" s="207"/>
      <c r="O40" s="207"/>
      <c r="P40" s="207"/>
      <c r="Q40" s="207"/>
    </row>
    <row r="41" spans="1:17" ht="34.5" customHeight="1">
      <c r="A41" s="82"/>
      <c r="B41" s="205" t="str">
        <f t="shared" si="2"/>
        <v/>
      </c>
      <c r="C41" s="206" t="str">
        <f t="shared" si="3"/>
        <v/>
      </c>
      <c r="D41" s="207" t="str">
        <f t="shared" si="0"/>
        <v/>
      </c>
      <c r="E41" s="207"/>
      <c r="F41" s="205" t="str">
        <f>IF(E41="","",VLOOKUP(E41,'ARAMA LİSTELERİ'!C41:G2080,5,))</f>
        <v/>
      </c>
      <c r="G41" s="207"/>
      <c r="H41" s="210"/>
      <c r="I41" s="79"/>
      <c r="J41" s="210"/>
      <c r="K41" s="210"/>
      <c r="L41" s="210" t="str">
        <f t="shared" si="1"/>
        <v/>
      </c>
      <c r="M41" s="79"/>
      <c r="N41" s="207"/>
      <c r="O41" s="207"/>
      <c r="P41" s="207"/>
      <c r="Q41" s="207"/>
    </row>
    <row r="42" spans="1:17" ht="34.5" customHeight="1">
      <c r="A42" s="82"/>
      <c r="B42" s="205" t="str">
        <f t="shared" si="2"/>
        <v/>
      </c>
      <c r="C42" s="206" t="str">
        <f t="shared" si="3"/>
        <v/>
      </c>
      <c r="D42" s="207" t="str">
        <f t="shared" si="0"/>
        <v/>
      </c>
      <c r="E42" s="207"/>
      <c r="F42" s="205" t="str">
        <f>IF(E42="","",VLOOKUP(E42,'ARAMA LİSTELERİ'!C42:G2081,5,))</f>
        <v/>
      </c>
      <c r="G42" s="207"/>
      <c r="H42" s="210"/>
      <c r="I42" s="79"/>
      <c r="J42" s="210"/>
      <c r="K42" s="210"/>
      <c r="L42" s="210" t="str">
        <f t="shared" si="1"/>
        <v/>
      </c>
      <c r="M42" s="79"/>
      <c r="N42" s="207"/>
      <c r="O42" s="207"/>
      <c r="P42" s="207"/>
      <c r="Q42" s="207"/>
    </row>
    <row r="43" spans="1:17" ht="34.5" customHeight="1">
      <c r="A43" s="82"/>
      <c r="B43" s="205" t="str">
        <f t="shared" si="2"/>
        <v/>
      </c>
      <c r="C43" s="206" t="str">
        <f t="shared" si="3"/>
        <v/>
      </c>
      <c r="D43" s="207" t="str">
        <f t="shared" si="0"/>
        <v/>
      </c>
      <c r="E43" s="207"/>
      <c r="F43" s="205" t="str">
        <f>IF(E43="","",VLOOKUP(E43,'ARAMA LİSTELERİ'!C43:G2082,5,))</f>
        <v/>
      </c>
      <c r="G43" s="207"/>
      <c r="H43" s="210"/>
      <c r="I43" s="79"/>
      <c r="J43" s="210"/>
      <c r="K43" s="210"/>
      <c r="L43" s="210" t="str">
        <f t="shared" si="1"/>
        <v/>
      </c>
      <c r="M43" s="79"/>
      <c r="N43" s="207"/>
      <c r="O43" s="207"/>
      <c r="P43" s="207"/>
      <c r="Q43" s="207"/>
    </row>
    <row r="44" spans="1:17" ht="34.5" customHeight="1">
      <c r="A44" s="82"/>
      <c r="B44" s="205" t="str">
        <f t="shared" si="2"/>
        <v/>
      </c>
      <c r="C44" s="206" t="str">
        <f t="shared" si="3"/>
        <v/>
      </c>
      <c r="D44" s="207" t="str">
        <f t="shared" si="0"/>
        <v/>
      </c>
      <c r="E44" s="207"/>
      <c r="F44" s="205" t="str">
        <f>IF(E44="","",VLOOKUP(E44,'ARAMA LİSTELERİ'!C44:G2083,5,))</f>
        <v/>
      </c>
      <c r="G44" s="207"/>
      <c r="H44" s="210"/>
      <c r="I44" s="79"/>
      <c r="J44" s="210"/>
      <c r="K44" s="210"/>
      <c r="L44" s="210" t="str">
        <f t="shared" si="1"/>
        <v/>
      </c>
      <c r="M44" s="79"/>
      <c r="N44" s="207"/>
      <c r="O44" s="207"/>
      <c r="P44" s="207"/>
      <c r="Q44" s="207"/>
    </row>
    <row r="45" spans="1:17" ht="34.5" customHeight="1">
      <c r="A45" s="82"/>
      <c r="B45" s="205" t="str">
        <f t="shared" si="2"/>
        <v/>
      </c>
      <c r="C45" s="206" t="str">
        <f t="shared" si="3"/>
        <v/>
      </c>
      <c r="D45" s="207" t="str">
        <f t="shared" si="0"/>
        <v/>
      </c>
      <c r="E45" s="207"/>
      <c r="F45" s="205" t="str">
        <f>IF(E45="","",VLOOKUP(E45,'ARAMA LİSTELERİ'!C45:G2084,5,))</f>
        <v/>
      </c>
      <c r="G45" s="207"/>
      <c r="H45" s="210"/>
      <c r="I45" s="79"/>
      <c r="J45" s="210"/>
      <c r="K45" s="210"/>
      <c r="L45" s="210" t="str">
        <f t="shared" si="1"/>
        <v/>
      </c>
      <c r="M45" s="79"/>
      <c r="N45" s="207"/>
      <c r="O45" s="207"/>
      <c r="P45" s="207"/>
      <c r="Q45" s="207"/>
    </row>
    <row r="46" spans="1:17" ht="34.5" customHeight="1">
      <c r="A46" s="82"/>
      <c r="B46" s="205" t="str">
        <f t="shared" si="2"/>
        <v/>
      </c>
      <c r="C46" s="206" t="str">
        <f t="shared" si="3"/>
        <v/>
      </c>
      <c r="D46" s="207" t="str">
        <f t="shared" si="0"/>
        <v/>
      </c>
      <c r="E46" s="207"/>
      <c r="F46" s="205" t="str">
        <f>IF(E46="","",VLOOKUP(E46,'ARAMA LİSTELERİ'!C46:G2085,5,))</f>
        <v/>
      </c>
      <c r="G46" s="207"/>
      <c r="H46" s="210"/>
      <c r="I46" s="79"/>
      <c r="J46" s="210"/>
      <c r="K46" s="210"/>
      <c r="L46" s="210" t="str">
        <f t="shared" si="1"/>
        <v/>
      </c>
      <c r="M46" s="79"/>
      <c r="N46" s="207"/>
      <c r="O46" s="207"/>
      <c r="P46" s="207"/>
      <c r="Q46" s="207"/>
    </row>
    <row r="47" spans="1:17" ht="34.5" customHeight="1">
      <c r="A47" s="82"/>
      <c r="B47" s="205" t="str">
        <f t="shared" si="2"/>
        <v/>
      </c>
      <c r="C47" s="206" t="str">
        <f t="shared" si="3"/>
        <v/>
      </c>
      <c r="D47" s="207" t="str">
        <f t="shared" si="0"/>
        <v/>
      </c>
      <c r="E47" s="207"/>
      <c r="F47" s="205" t="str">
        <f>IF(E47="","",VLOOKUP(E47,'ARAMA LİSTELERİ'!C47:G2086,5,))</f>
        <v/>
      </c>
      <c r="G47" s="207"/>
      <c r="H47" s="210"/>
      <c r="I47" s="79"/>
      <c r="J47" s="210"/>
      <c r="K47" s="210"/>
      <c r="L47" s="210" t="str">
        <f t="shared" si="1"/>
        <v/>
      </c>
      <c r="M47" s="79"/>
      <c r="N47" s="207"/>
      <c r="O47" s="207"/>
      <c r="P47" s="207"/>
      <c r="Q47" s="207"/>
    </row>
    <row r="48" spans="1:17" ht="34.5" customHeight="1">
      <c r="A48" s="82"/>
      <c r="B48" s="205" t="str">
        <f t="shared" si="2"/>
        <v/>
      </c>
      <c r="C48" s="206" t="str">
        <f t="shared" si="3"/>
        <v/>
      </c>
      <c r="D48" s="207" t="str">
        <f t="shared" si="0"/>
        <v/>
      </c>
      <c r="E48" s="207"/>
      <c r="F48" s="205" t="str">
        <f>IF(E48="","",VLOOKUP(E48,'ARAMA LİSTELERİ'!C48:G2087,5,))</f>
        <v/>
      </c>
      <c r="G48" s="207"/>
      <c r="H48" s="210"/>
      <c r="I48" s="79"/>
      <c r="J48" s="210"/>
      <c r="K48" s="210"/>
      <c r="L48" s="210" t="str">
        <f t="shared" si="1"/>
        <v/>
      </c>
      <c r="M48" s="79"/>
      <c r="N48" s="207"/>
      <c r="O48" s="207"/>
      <c r="P48" s="207"/>
      <c r="Q48" s="207"/>
    </row>
    <row r="49" spans="1:17" ht="34.5" customHeight="1">
      <c r="A49" s="82"/>
      <c r="B49" s="205" t="str">
        <f t="shared" si="2"/>
        <v/>
      </c>
      <c r="C49" s="206" t="str">
        <f t="shared" si="3"/>
        <v/>
      </c>
      <c r="D49" s="207" t="str">
        <f t="shared" si="0"/>
        <v/>
      </c>
      <c r="E49" s="207"/>
      <c r="F49" s="205" t="str">
        <f>IF(E49="","",VLOOKUP(E49,'ARAMA LİSTELERİ'!C49:G2088,5,))</f>
        <v/>
      </c>
      <c r="G49" s="207"/>
      <c r="H49" s="210"/>
      <c r="I49" s="79"/>
      <c r="J49" s="210"/>
      <c r="K49" s="210"/>
      <c r="L49" s="210" t="str">
        <f t="shared" si="1"/>
        <v/>
      </c>
      <c r="M49" s="79"/>
      <c r="N49" s="207"/>
      <c r="O49" s="207"/>
      <c r="P49" s="207"/>
      <c r="Q49" s="207"/>
    </row>
    <row r="50" spans="1:17" ht="34.5" customHeight="1">
      <c r="A50" s="82"/>
      <c r="B50" s="205" t="str">
        <f t="shared" si="2"/>
        <v/>
      </c>
      <c r="C50" s="206" t="str">
        <f t="shared" si="3"/>
        <v/>
      </c>
      <c r="D50" s="207" t="str">
        <f t="shared" si="0"/>
        <v/>
      </c>
      <c r="E50" s="207"/>
      <c r="F50" s="205" t="str">
        <f>IF(E50="","",VLOOKUP(E50,'ARAMA LİSTELERİ'!C50:G2089,5,))</f>
        <v/>
      </c>
      <c r="G50" s="207"/>
      <c r="H50" s="210"/>
      <c r="I50" s="79"/>
      <c r="J50" s="210"/>
      <c r="K50" s="210"/>
      <c r="L50" s="210" t="str">
        <f t="shared" si="1"/>
        <v/>
      </c>
      <c r="M50" s="79"/>
      <c r="N50" s="207"/>
      <c r="O50" s="207"/>
      <c r="P50" s="207"/>
      <c r="Q50" s="207"/>
    </row>
    <row r="51" spans="1:17" ht="34.5" customHeight="1">
      <c r="A51" s="82"/>
      <c r="B51" s="205" t="str">
        <f t="shared" si="2"/>
        <v/>
      </c>
      <c r="C51" s="206" t="str">
        <f t="shared" si="3"/>
        <v/>
      </c>
      <c r="D51" s="207" t="str">
        <f t="shared" si="0"/>
        <v/>
      </c>
      <c r="E51" s="207"/>
      <c r="F51" s="205" t="str">
        <f>IF(E51="","",VLOOKUP(E51,'ARAMA LİSTELERİ'!C51:G2090,5,))</f>
        <v/>
      </c>
      <c r="G51" s="207"/>
      <c r="H51" s="210"/>
      <c r="I51" s="79"/>
      <c r="J51" s="210"/>
      <c r="K51" s="210"/>
      <c r="L51" s="210" t="str">
        <f t="shared" si="1"/>
        <v/>
      </c>
      <c r="M51" s="79"/>
      <c r="N51" s="207"/>
      <c r="O51" s="207"/>
      <c r="P51" s="207"/>
      <c r="Q51" s="207"/>
    </row>
    <row r="52" spans="1:17" ht="34.5" customHeight="1">
      <c r="A52" s="82"/>
      <c r="B52" s="205" t="str">
        <f t="shared" si="2"/>
        <v/>
      </c>
      <c r="C52" s="206" t="str">
        <f t="shared" si="3"/>
        <v/>
      </c>
      <c r="D52" s="207" t="str">
        <f t="shared" si="0"/>
        <v/>
      </c>
      <c r="E52" s="207"/>
      <c r="F52" s="205" t="str">
        <f>IF(E52="","",VLOOKUP(E52,'ARAMA LİSTELERİ'!C52:G2091,5,))</f>
        <v/>
      </c>
      <c r="G52" s="207"/>
      <c r="H52" s="210"/>
      <c r="I52" s="79"/>
      <c r="J52" s="210"/>
      <c r="K52" s="210"/>
      <c r="L52" s="210" t="str">
        <f t="shared" si="1"/>
        <v/>
      </c>
      <c r="M52" s="79"/>
      <c r="N52" s="207"/>
      <c r="O52" s="207"/>
      <c r="P52" s="207"/>
      <c r="Q52" s="207"/>
    </row>
    <row r="53" spans="1:17" ht="34.5" customHeight="1">
      <c r="A53" s="82"/>
      <c r="B53" s="205" t="str">
        <f t="shared" si="2"/>
        <v/>
      </c>
      <c r="C53" s="206" t="str">
        <f t="shared" si="3"/>
        <v/>
      </c>
      <c r="D53" s="207" t="str">
        <f t="shared" si="0"/>
        <v/>
      </c>
      <c r="E53" s="207"/>
      <c r="F53" s="205" t="str">
        <f>IF(E53="","",VLOOKUP(E53,'ARAMA LİSTELERİ'!C53:G2092,5,))</f>
        <v/>
      </c>
      <c r="G53" s="207"/>
      <c r="H53" s="210"/>
      <c r="I53" s="79"/>
      <c r="J53" s="210"/>
      <c r="K53" s="210"/>
      <c r="L53" s="210" t="str">
        <f t="shared" si="1"/>
        <v/>
      </c>
      <c r="M53" s="79"/>
      <c r="N53" s="207"/>
      <c r="O53" s="207"/>
      <c r="P53" s="207"/>
      <c r="Q53" s="207"/>
    </row>
    <row r="54" spans="1:17" ht="34.5" customHeight="1">
      <c r="A54" s="82"/>
      <c r="B54" s="205" t="str">
        <f t="shared" si="2"/>
        <v/>
      </c>
      <c r="C54" s="206" t="str">
        <f t="shared" si="3"/>
        <v/>
      </c>
      <c r="D54" s="207" t="str">
        <f t="shared" si="0"/>
        <v/>
      </c>
      <c r="E54" s="207"/>
      <c r="F54" s="205" t="str">
        <f>IF(E54="","",VLOOKUP(E54,'ARAMA LİSTELERİ'!C54:G2093,5,))</f>
        <v/>
      </c>
      <c r="G54" s="207"/>
      <c r="H54" s="210"/>
      <c r="I54" s="79"/>
      <c r="J54" s="210"/>
      <c r="K54" s="210"/>
      <c r="L54" s="210" t="str">
        <f t="shared" si="1"/>
        <v/>
      </c>
      <c r="M54" s="79"/>
      <c r="N54" s="207"/>
      <c r="O54" s="207"/>
      <c r="P54" s="207"/>
      <c r="Q54" s="207"/>
    </row>
    <row r="55" spans="1:17" ht="34.5" customHeight="1">
      <c r="A55" s="82"/>
      <c r="B55" s="205" t="str">
        <f t="shared" si="2"/>
        <v/>
      </c>
      <c r="C55" s="206" t="str">
        <f t="shared" si="3"/>
        <v/>
      </c>
      <c r="D55" s="207" t="str">
        <f t="shared" si="0"/>
        <v/>
      </c>
      <c r="E55" s="207"/>
      <c r="F55" s="205" t="str">
        <f>IF(E55="","",VLOOKUP(E55,'ARAMA LİSTELERİ'!C55:G2094,5,))</f>
        <v/>
      </c>
      <c r="G55" s="207"/>
      <c r="H55" s="210"/>
      <c r="I55" s="79"/>
      <c r="J55" s="210"/>
      <c r="K55" s="210"/>
      <c r="L55" s="210" t="str">
        <f t="shared" si="1"/>
        <v/>
      </c>
      <c r="M55" s="79"/>
      <c r="N55" s="207"/>
      <c r="O55" s="207"/>
      <c r="P55" s="207"/>
      <c r="Q55" s="207"/>
    </row>
    <row r="56" spans="1:17" ht="34.5" customHeight="1">
      <c r="A56" s="82"/>
      <c r="B56" s="205" t="str">
        <f t="shared" si="2"/>
        <v/>
      </c>
      <c r="C56" s="206" t="str">
        <f t="shared" si="3"/>
        <v/>
      </c>
      <c r="D56" s="207" t="str">
        <f t="shared" si="0"/>
        <v/>
      </c>
      <c r="E56" s="207"/>
      <c r="F56" s="205" t="str">
        <f>IF(E56="","",VLOOKUP(E56,'ARAMA LİSTELERİ'!C56:G2095,5,))</f>
        <v/>
      </c>
      <c r="G56" s="207"/>
      <c r="H56" s="210"/>
      <c r="I56" s="79"/>
      <c r="J56" s="210"/>
      <c r="K56" s="210"/>
      <c r="L56" s="210" t="str">
        <f t="shared" si="1"/>
        <v/>
      </c>
      <c r="M56" s="79"/>
      <c r="N56" s="207"/>
      <c r="O56" s="207"/>
      <c r="P56" s="207"/>
      <c r="Q56" s="207"/>
    </row>
    <row r="57" spans="1:17" ht="34.5" customHeight="1">
      <c r="A57" s="82"/>
      <c r="B57" s="205" t="str">
        <f t="shared" si="2"/>
        <v/>
      </c>
      <c r="C57" s="206" t="str">
        <f t="shared" si="3"/>
        <v/>
      </c>
      <c r="D57" s="207" t="str">
        <f t="shared" si="0"/>
        <v/>
      </c>
      <c r="E57" s="207"/>
      <c r="F57" s="205" t="str">
        <f>IF(E57="","",VLOOKUP(E57,'ARAMA LİSTELERİ'!C57:G2096,5,))</f>
        <v/>
      </c>
      <c r="G57" s="207"/>
      <c r="H57" s="210"/>
      <c r="I57" s="79"/>
      <c r="J57" s="210"/>
      <c r="K57" s="210"/>
      <c r="L57" s="210" t="str">
        <f t="shared" si="1"/>
        <v/>
      </c>
      <c r="M57" s="79"/>
      <c r="N57" s="207"/>
      <c r="O57" s="207"/>
      <c r="P57" s="207"/>
      <c r="Q57" s="207"/>
    </row>
    <row r="58" spans="1:17" ht="34.5" customHeight="1">
      <c r="A58" s="82"/>
      <c r="B58" s="205" t="str">
        <f t="shared" si="2"/>
        <v/>
      </c>
      <c r="C58" s="206" t="str">
        <f t="shared" si="3"/>
        <v/>
      </c>
      <c r="D58" s="207" t="str">
        <f t="shared" si="0"/>
        <v/>
      </c>
      <c r="E58" s="207"/>
      <c r="F58" s="205" t="str">
        <f>IF(E58="","",VLOOKUP(E58,'ARAMA LİSTELERİ'!C58:G2097,5,))</f>
        <v/>
      </c>
      <c r="G58" s="207"/>
      <c r="H58" s="210"/>
      <c r="I58" s="79"/>
      <c r="J58" s="210"/>
      <c r="K58" s="210"/>
      <c r="L58" s="210" t="str">
        <f t="shared" si="1"/>
        <v/>
      </c>
      <c r="M58" s="79"/>
      <c r="N58" s="207"/>
      <c r="O58" s="207"/>
      <c r="P58" s="207"/>
      <c r="Q58" s="207"/>
    </row>
    <row r="59" spans="1:17" ht="34.5" customHeight="1">
      <c r="A59" s="82"/>
      <c r="B59" s="205" t="str">
        <f t="shared" si="2"/>
        <v/>
      </c>
      <c r="C59" s="206" t="str">
        <f t="shared" si="3"/>
        <v/>
      </c>
      <c r="D59" s="207" t="str">
        <f t="shared" si="0"/>
        <v/>
      </c>
      <c r="E59" s="207"/>
      <c r="F59" s="205" t="str">
        <f>IF(E59="","",VLOOKUP(E59,'ARAMA LİSTELERİ'!C59:G2098,5,))</f>
        <v/>
      </c>
      <c r="G59" s="207"/>
      <c r="H59" s="210"/>
      <c r="I59" s="79"/>
      <c r="J59" s="210"/>
      <c r="K59" s="210"/>
      <c r="L59" s="210" t="str">
        <f t="shared" si="1"/>
        <v/>
      </c>
      <c r="M59" s="79"/>
      <c r="N59" s="207"/>
      <c r="O59" s="207"/>
      <c r="P59" s="207"/>
      <c r="Q59" s="207"/>
    </row>
    <row r="60" spans="1:17" ht="34.5" customHeight="1">
      <c r="A60" s="82"/>
      <c r="B60" s="205" t="str">
        <f t="shared" si="2"/>
        <v/>
      </c>
      <c r="C60" s="206" t="str">
        <f t="shared" si="3"/>
        <v/>
      </c>
      <c r="D60" s="207" t="str">
        <f t="shared" si="0"/>
        <v/>
      </c>
      <c r="E60" s="207"/>
      <c r="F60" s="205" t="str">
        <f>IF(E60="","",VLOOKUP(E60,'ARAMA LİSTELERİ'!C60:G2099,5,))</f>
        <v/>
      </c>
      <c r="G60" s="207"/>
      <c r="H60" s="210"/>
      <c r="I60" s="79"/>
      <c r="J60" s="210"/>
      <c r="K60" s="210"/>
      <c r="L60" s="210" t="str">
        <f t="shared" si="1"/>
        <v/>
      </c>
      <c r="M60" s="79"/>
      <c r="N60" s="207"/>
      <c r="O60" s="207"/>
      <c r="P60" s="207"/>
      <c r="Q60" s="207"/>
    </row>
    <row r="61" spans="1:17" ht="34.5" customHeight="1">
      <c r="A61" s="82"/>
      <c r="B61" s="205" t="str">
        <f t="shared" si="2"/>
        <v/>
      </c>
      <c r="C61" s="206" t="str">
        <f t="shared" si="3"/>
        <v/>
      </c>
      <c r="D61" s="207" t="str">
        <f t="shared" si="0"/>
        <v/>
      </c>
      <c r="E61" s="207"/>
      <c r="F61" s="205" t="str">
        <f>IF(E61="","",VLOOKUP(E61,'ARAMA LİSTELERİ'!C61:G2100,5,))</f>
        <v/>
      </c>
      <c r="G61" s="207"/>
      <c r="H61" s="210"/>
      <c r="I61" s="79"/>
      <c r="J61" s="210"/>
      <c r="K61" s="210"/>
      <c r="L61" s="210" t="str">
        <f t="shared" si="1"/>
        <v/>
      </c>
      <c r="M61" s="79"/>
      <c r="N61" s="207"/>
      <c r="O61" s="207"/>
      <c r="P61" s="207"/>
      <c r="Q61" s="207"/>
    </row>
    <row r="62" spans="1:17" ht="34.5" customHeight="1">
      <c r="A62" s="82"/>
      <c r="B62" s="205" t="str">
        <f t="shared" si="2"/>
        <v/>
      </c>
      <c r="C62" s="206" t="str">
        <f t="shared" si="3"/>
        <v/>
      </c>
      <c r="D62" s="207" t="str">
        <f t="shared" si="0"/>
        <v/>
      </c>
      <c r="E62" s="207"/>
      <c r="F62" s="205" t="str">
        <f>IF(E62="","",VLOOKUP(E62,'ARAMA LİSTELERİ'!C62:G2101,5,))</f>
        <v/>
      </c>
      <c r="G62" s="207"/>
      <c r="H62" s="210"/>
      <c r="I62" s="79"/>
      <c r="J62" s="210"/>
      <c r="K62" s="210"/>
      <c r="L62" s="210" t="str">
        <f t="shared" si="1"/>
        <v/>
      </c>
      <c r="M62" s="79"/>
      <c r="N62" s="207"/>
      <c r="O62" s="207"/>
      <c r="P62" s="207"/>
      <c r="Q62" s="207"/>
    </row>
    <row r="63" spans="1:17" ht="34.5" customHeight="1">
      <c r="A63" s="82"/>
      <c r="B63" s="205" t="str">
        <f t="shared" si="2"/>
        <v/>
      </c>
      <c r="C63" s="206" t="str">
        <f t="shared" si="3"/>
        <v/>
      </c>
      <c r="D63" s="207" t="str">
        <f t="shared" si="0"/>
        <v/>
      </c>
      <c r="E63" s="207"/>
      <c r="F63" s="205" t="str">
        <f>IF(E63="","",VLOOKUP(E63,'ARAMA LİSTELERİ'!C63:G2102,5,))</f>
        <v/>
      </c>
      <c r="G63" s="207"/>
      <c r="H63" s="210"/>
      <c r="I63" s="79"/>
      <c r="J63" s="210"/>
      <c r="K63" s="210"/>
      <c r="L63" s="210" t="str">
        <f t="shared" si="1"/>
        <v/>
      </c>
      <c r="M63" s="79"/>
      <c r="N63" s="207"/>
      <c r="O63" s="207"/>
      <c r="P63" s="207"/>
      <c r="Q63" s="207"/>
    </row>
    <row r="64" spans="1:17" ht="34.5" customHeight="1">
      <c r="A64" s="82"/>
      <c r="B64" s="205" t="str">
        <f t="shared" si="2"/>
        <v/>
      </c>
      <c r="C64" s="206" t="str">
        <f t="shared" si="3"/>
        <v/>
      </c>
      <c r="D64" s="207" t="str">
        <f t="shared" si="0"/>
        <v/>
      </c>
      <c r="E64" s="207"/>
      <c r="F64" s="205" t="str">
        <f>IF(E64="","",VLOOKUP(E64,'ARAMA LİSTELERİ'!C64:G2103,5,))</f>
        <v/>
      </c>
      <c r="G64" s="207"/>
      <c r="H64" s="210"/>
      <c r="I64" s="79"/>
      <c r="J64" s="210"/>
      <c r="K64" s="210"/>
      <c r="L64" s="210" t="str">
        <f t="shared" si="1"/>
        <v/>
      </c>
      <c r="M64" s="79"/>
      <c r="N64" s="207"/>
      <c r="O64" s="207"/>
      <c r="P64" s="207"/>
      <c r="Q64" s="207"/>
    </row>
    <row r="65" spans="1:17" ht="34.5" customHeight="1">
      <c r="A65" s="82"/>
      <c r="B65" s="205" t="str">
        <f t="shared" si="2"/>
        <v/>
      </c>
      <c r="C65" s="206" t="str">
        <f t="shared" si="3"/>
        <v/>
      </c>
      <c r="D65" s="207" t="str">
        <f t="shared" si="0"/>
        <v/>
      </c>
      <c r="E65" s="207"/>
      <c r="F65" s="205" t="str">
        <f>IF(E65="","",VLOOKUP(E65,'ARAMA LİSTELERİ'!C65:G2104,5,))</f>
        <v/>
      </c>
      <c r="G65" s="207"/>
      <c r="H65" s="210"/>
      <c r="I65" s="79"/>
      <c r="J65" s="210"/>
      <c r="K65" s="210"/>
      <c r="L65" s="210" t="str">
        <f t="shared" si="1"/>
        <v/>
      </c>
      <c r="M65" s="79"/>
      <c r="N65" s="207"/>
      <c r="O65" s="207"/>
      <c r="P65" s="207"/>
      <c r="Q65" s="207"/>
    </row>
    <row r="66" spans="1:17" ht="34.5" customHeight="1">
      <c r="A66" s="82"/>
      <c r="B66" s="205" t="str">
        <f t="shared" si="2"/>
        <v/>
      </c>
      <c r="C66" s="206" t="str">
        <f t="shared" si="3"/>
        <v/>
      </c>
      <c r="D66" s="207" t="str">
        <f t="shared" si="0"/>
        <v/>
      </c>
      <c r="E66" s="207"/>
      <c r="F66" s="205" t="str">
        <f>IF(E66="","",VLOOKUP(E66,'ARAMA LİSTELERİ'!C66:G2105,5,))</f>
        <v/>
      </c>
      <c r="G66" s="207"/>
      <c r="H66" s="210"/>
      <c r="I66" s="79"/>
      <c r="J66" s="210"/>
      <c r="K66" s="210"/>
      <c r="L66" s="210" t="str">
        <f t="shared" si="1"/>
        <v/>
      </c>
      <c r="M66" s="79"/>
      <c r="N66" s="207"/>
      <c r="O66" s="207"/>
      <c r="P66" s="207"/>
      <c r="Q66" s="207"/>
    </row>
    <row r="67" spans="1:17" ht="34.5" customHeight="1">
      <c r="A67" s="82"/>
      <c r="B67" s="205" t="str">
        <f t="shared" si="2"/>
        <v/>
      </c>
      <c r="C67" s="206" t="str">
        <f t="shared" si="3"/>
        <v/>
      </c>
      <c r="D67" s="207" t="str">
        <f t="shared" si="0"/>
        <v/>
      </c>
      <c r="E67" s="207"/>
      <c r="F67" s="205" t="str">
        <f>IF(E67="","",VLOOKUP(E67,'ARAMA LİSTELERİ'!C67:G2106,5,))</f>
        <v/>
      </c>
      <c r="G67" s="207"/>
      <c r="H67" s="210"/>
      <c r="I67" s="79"/>
      <c r="J67" s="210"/>
      <c r="K67" s="210"/>
      <c r="L67" s="210" t="str">
        <f t="shared" si="1"/>
        <v/>
      </c>
      <c r="M67" s="79"/>
      <c r="N67" s="207"/>
      <c r="O67" s="207"/>
      <c r="P67" s="207"/>
      <c r="Q67" s="207"/>
    </row>
    <row r="68" spans="1:17" ht="34.5" customHeight="1">
      <c r="A68" s="82"/>
      <c r="B68" s="205" t="str">
        <f t="shared" si="2"/>
        <v/>
      </c>
      <c r="C68" s="206" t="str">
        <f t="shared" si="3"/>
        <v/>
      </c>
      <c r="D68" s="207" t="str">
        <f t="shared" si="0"/>
        <v/>
      </c>
      <c r="E68" s="207"/>
      <c r="F68" s="205" t="str">
        <f>IF(E68="","",VLOOKUP(E68,'ARAMA LİSTELERİ'!C68:G2107,5,))</f>
        <v/>
      </c>
      <c r="G68" s="207"/>
      <c r="H68" s="210"/>
      <c r="I68" s="79"/>
      <c r="J68" s="210"/>
      <c r="K68" s="210"/>
      <c r="L68" s="210" t="str">
        <f t="shared" si="1"/>
        <v/>
      </c>
      <c r="M68" s="79"/>
      <c r="N68" s="207"/>
      <c r="O68" s="207"/>
      <c r="P68" s="207"/>
      <c r="Q68" s="207"/>
    </row>
    <row r="69" spans="1:17" ht="34.5" customHeight="1">
      <c r="A69" s="82"/>
      <c r="B69" s="205" t="str">
        <f t="shared" si="2"/>
        <v/>
      </c>
      <c r="C69" s="206" t="str">
        <f t="shared" si="3"/>
        <v/>
      </c>
      <c r="D69" s="207" t="str">
        <f t="shared" si="0"/>
        <v/>
      </c>
      <c r="E69" s="207"/>
      <c r="F69" s="205" t="str">
        <f>IF(E69="","",VLOOKUP(E69,'ARAMA LİSTELERİ'!C69:G2108,5,))</f>
        <v/>
      </c>
      <c r="G69" s="207"/>
      <c r="H69" s="210"/>
      <c r="I69" s="79"/>
      <c r="J69" s="210"/>
      <c r="K69" s="210"/>
      <c r="L69" s="210" t="str">
        <f t="shared" si="1"/>
        <v/>
      </c>
      <c r="M69" s="79"/>
      <c r="N69" s="207"/>
      <c r="O69" s="207"/>
      <c r="P69" s="207"/>
      <c r="Q69" s="207"/>
    </row>
    <row r="70" spans="1:17" ht="34.5" customHeight="1">
      <c r="A70" s="82"/>
      <c r="B70" s="205" t="str">
        <f t="shared" si="2"/>
        <v/>
      </c>
      <c r="C70" s="206" t="str">
        <f t="shared" si="3"/>
        <v/>
      </c>
      <c r="D70" s="207" t="str">
        <f t="shared" si="0"/>
        <v/>
      </c>
      <c r="E70" s="207"/>
      <c r="F70" s="205" t="str">
        <f>IF(E70="","",VLOOKUP(E70,'ARAMA LİSTELERİ'!C70:G2109,5,))</f>
        <v/>
      </c>
      <c r="G70" s="207"/>
      <c r="H70" s="210"/>
      <c r="I70" s="79"/>
      <c r="J70" s="210"/>
      <c r="K70" s="210"/>
      <c r="L70" s="210" t="str">
        <f t="shared" si="1"/>
        <v/>
      </c>
      <c r="M70" s="79"/>
      <c r="N70" s="207"/>
      <c r="O70" s="207"/>
      <c r="P70" s="207"/>
      <c r="Q70" s="207"/>
    </row>
    <row r="71" spans="1:17" ht="34.5" customHeight="1">
      <c r="A71" s="82"/>
      <c r="B71" s="205" t="str">
        <f t="shared" si="2"/>
        <v/>
      </c>
      <c r="C71" s="206" t="str">
        <f t="shared" si="3"/>
        <v/>
      </c>
      <c r="D71" s="207" t="str">
        <f t="shared" si="0"/>
        <v/>
      </c>
      <c r="E71" s="207"/>
      <c r="F71" s="205" t="str">
        <f>IF(E71="","",VLOOKUP(E71,'ARAMA LİSTELERİ'!C71:G2110,5,))</f>
        <v/>
      </c>
      <c r="G71" s="207"/>
      <c r="H71" s="210"/>
      <c r="I71" s="79"/>
      <c r="J71" s="210"/>
      <c r="K71" s="210"/>
      <c r="L71" s="210" t="str">
        <f t="shared" si="1"/>
        <v/>
      </c>
      <c r="M71" s="79"/>
      <c r="N71" s="207"/>
      <c r="O71" s="207"/>
      <c r="P71" s="207"/>
      <c r="Q71" s="207"/>
    </row>
    <row r="72" spans="1:17" ht="34.5" customHeight="1">
      <c r="A72" s="82"/>
      <c r="B72" s="205" t="str">
        <f t="shared" si="2"/>
        <v/>
      </c>
      <c r="C72" s="206" t="str">
        <f t="shared" si="3"/>
        <v/>
      </c>
      <c r="D72" s="207" t="str">
        <f t="shared" si="0"/>
        <v/>
      </c>
      <c r="E72" s="207"/>
      <c r="F72" s="205" t="str">
        <f>IF(E72="","",VLOOKUP(E72,'ARAMA LİSTELERİ'!C72:G2111,5,))</f>
        <v/>
      </c>
      <c r="G72" s="207"/>
      <c r="H72" s="210"/>
      <c r="I72" s="79"/>
      <c r="J72" s="210"/>
      <c r="K72" s="210"/>
      <c r="L72" s="210" t="str">
        <f t="shared" si="1"/>
        <v/>
      </c>
      <c r="M72" s="79"/>
      <c r="N72" s="207"/>
      <c r="O72" s="207"/>
      <c r="P72" s="207"/>
      <c r="Q72" s="207"/>
    </row>
    <row r="73" spans="1:17" ht="34.5" customHeight="1">
      <c r="A73" s="82"/>
      <c r="B73" s="205" t="str">
        <f t="shared" si="2"/>
        <v/>
      </c>
      <c r="C73" s="206" t="str">
        <f t="shared" si="3"/>
        <v/>
      </c>
      <c r="D73" s="207" t="str">
        <f t="shared" si="0"/>
        <v/>
      </c>
      <c r="E73" s="207"/>
      <c r="F73" s="205" t="str">
        <f>IF(E73="","",VLOOKUP(E73,'ARAMA LİSTELERİ'!C73:G2112,5,))</f>
        <v/>
      </c>
      <c r="G73" s="207"/>
      <c r="H73" s="210"/>
      <c r="I73" s="79"/>
      <c r="J73" s="210"/>
      <c r="K73" s="210"/>
      <c r="L73" s="210" t="str">
        <f t="shared" si="1"/>
        <v/>
      </c>
      <c r="M73" s="79"/>
      <c r="N73" s="207"/>
      <c r="O73" s="207"/>
      <c r="P73" s="207"/>
      <c r="Q73" s="207"/>
    </row>
    <row r="74" spans="1:17" ht="34.5" customHeight="1">
      <c r="A74" s="82"/>
      <c r="B74" s="205" t="str">
        <f t="shared" si="2"/>
        <v/>
      </c>
      <c r="C74" s="206" t="str">
        <f t="shared" si="3"/>
        <v/>
      </c>
      <c r="D74" s="207" t="str">
        <f t="shared" si="0"/>
        <v/>
      </c>
      <c r="E74" s="207"/>
      <c r="F74" s="205" t="str">
        <f>IF(E74="","",VLOOKUP(E74,'ARAMA LİSTELERİ'!C74:G2113,5,))</f>
        <v/>
      </c>
      <c r="G74" s="207"/>
      <c r="H74" s="210"/>
      <c r="I74" s="79"/>
      <c r="J74" s="210"/>
      <c r="K74" s="210"/>
      <c r="L74" s="210" t="str">
        <f t="shared" si="1"/>
        <v/>
      </c>
      <c r="M74" s="79"/>
      <c r="N74" s="207"/>
      <c r="O74" s="207"/>
      <c r="P74" s="207"/>
      <c r="Q74" s="207"/>
    </row>
    <row r="75" spans="1:17" ht="34.5" customHeight="1">
      <c r="A75" s="82"/>
      <c r="B75" s="205" t="str">
        <f t="shared" si="2"/>
        <v/>
      </c>
      <c r="C75" s="206" t="str">
        <f t="shared" si="3"/>
        <v/>
      </c>
      <c r="D75" s="207" t="str">
        <f t="shared" si="0"/>
        <v/>
      </c>
      <c r="E75" s="207"/>
      <c r="F75" s="205" t="str">
        <f>IF(E75="","",VLOOKUP(E75,'ARAMA LİSTELERİ'!C75:G2114,5,))</f>
        <v/>
      </c>
      <c r="G75" s="207"/>
      <c r="H75" s="210"/>
      <c r="I75" s="79"/>
      <c r="J75" s="210"/>
      <c r="K75" s="210"/>
      <c r="L75" s="210" t="str">
        <f t="shared" si="1"/>
        <v/>
      </c>
      <c r="M75" s="79"/>
      <c r="N75" s="207"/>
      <c r="O75" s="207"/>
      <c r="P75" s="207"/>
      <c r="Q75" s="207"/>
    </row>
    <row r="76" spans="1:17" ht="34.5" customHeight="1">
      <c r="A76" s="82"/>
      <c r="B76" s="205" t="str">
        <f t="shared" si="2"/>
        <v/>
      </c>
      <c r="C76" s="206" t="str">
        <f t="shared" si="3"/>
        <v/>
      </c>
      <c r="D76" s="207" t="str">
        <f t="shared" si="0"/>
        <v/>
      </c>
      <c r="E76" s="207"/>
      <c r="F76" s="205" t="str">
        <f>IF(E76="","",VLOOKUP(E76,'ARAMA LİSTELERİ'!C76:G2115,5,))</f>
        <v/>
      </c>
      <c r="G76" s="207"/>
      <c r="H76" s="210"/>
      <c r="I76" s="79"/>
      <c r="J76" s="210"/>
      <c r="K76" s="210"/>
      <c r="L76" s="210" t="str">
        <f t="shared" si="1"/>
        <v/>
      </c>
      <c r="M76" s="79"/>
      <c r="N76" s="207"/>
      <c r="O76" s="207"/>
      <c r="P76" s="207"/>
      <c r="Q76" s="207"/>
    </row>
    <row r="77" spans="1:17" ht="34.5" customHeight="1">
      <c r="A77" s="82"/>
      <c r="B77" s="205" t="str">
        <f t="shared" si="2"/>
        <v/>
      </c>
      <c r="C77" s="206" t="str">
        <f t="shared" si="3"/>
        <v/>
      </c>
      <c r="D77" s="207" t="str">
        <f t="shared" si="0"/>
        <v/>
      </c>
      <c r="E77" s="207"/>
      <c r="F77" s="205" t="str">
        <f>IF(E77="","",VLOOKUP(E77,'ARAMA LİSTELERİ'!C77:G2116,5,))</f>
        <v/>
      </c>
      <c r="G77" s="207"/>
      <c r="H77" s="210"/>
      <c r="I77" s="79"/>
      <c r="J77" s="210"/>
      <c r="K77" s="210"/>
      <c r="L77" s="210" t="str">
        <f t="shared" si="1"/>
        <v/>
      </c>
      <c r="M77" s="79"/>
      <c r="N77" s="207"/>
      <c r="O77" s="207"/>
      <c r="P77" s="207"/>
      <c r="Q77" s="207"/>
    </row>
    <row r="78" spans="1:17" ht="34.5" customHeight="1">
      <c r="A78" s="82"/>
      <c r="B78" s="205" t="str">
        <f t="shared" si="2"/>
        <v/>
      </c>
      <c r="C78" s="206" t="str">
        <f t="shared" si="3"/>
        <v/>
      </c>
      <c r="D78" s="207" t="str">
        <f t="shared" si="0"/>
        <v/>
      </c>
      <c r="E78" s="207"/>
      <c r="F78" s="205" t="str">
        <f>IF(E78="","",VLOOKUP(E78,'ARAMA LİSTELERİ'!C78:G2117,5,))</f>
        <v/>
      </c>
      <c r="G78" s="207"/>
      <c r="H78" s="210"/>
      <c r="I78" s="79"/>
      <c r="J78" s="210"/>
      <c r="K78" s="210"/>
      <c r="L78" s="210" t="str">
        <f t="shared" si="1"/>
        <v/>
      </c>
      <c r="M78" s="79"/>
      <c r="N78" s="207"/>
      <c r="O78" s="207"/>
      <c r="P78" s="207"/>
      <c r="Q78" s="207"/>
    </row>
    <row r="79" spans="1:17" ht="34.5" customHeight="1">
      <c r="A79" s="82"/>
      <c r="B79" s="205" t="str">
        <f t="shared" si="2"/>
        <v/>
      </c>
      <c r="C79" s="206" t="str">
        <f t="shared" si="3"/>
        <v/>
      </c>
      <c r="D79" s="207" t="str">
        <f t="shared" si="0"/>
        <v/>
      </c>
      <c r="E79" s="207"/>
      <c r="F79" s="205" t="str">
        <f>IF(E79="","",VLOOKUP(E79,'ARAMA LİSTELERİ'!C79:G2118,5,))</f>
        <v/>
      </c>
      <c r="G79" s="207"/>
      <c r="H79" s="210"/>
      <c r="I79" s="79"/>
      <c r="J79" s="210"/>
      <c r="K79" s="210"/>
      <c r="L79" s="210" t="str">
        <f t="shared" si="1"/>
        <v/>
      </c>
      <c r="M79" s="79"/>
      <c r="N79" s="207"/>
      <c r="O79" s="207"/>
      <c r="P79" s="207"/>
      <c r="Q79" s="207"/>
    </row>
    <row r="80" spans="1:17" ht="34.5" customHeight="1">
      <c r="A80" s="82"/>
      <c r="B80" s="205" t="str">
        <f t="shared" si="2"/>
        <v/>
      </c>
      <c r="C80" s="206" t="str">
        <f t="shared" si="3"/>
        <v/>
      </c>
      <c r="D80" s="207" t="str">
        <f t="shared" si="0"/>
        <v/>
      </c>
      <c r="E80" s="207"/>
      <c r="F80" s="205" t="str">
        <f>IF(E80="","",VLOOKUP(E80,'ARAMA LİSTELERİ'!C80:G2119,5,))</f>
        <v/>
      </c>
      <c r="G80" s="207"/>
      <c r="H80" s="210"/>
      <c r="I80" s="79"/>
      <c r="J80" s="210"/>
      <c r="K80" s="210"/>
      <c r="L80" s="210" t="str">
        <f t="shared" si="1"/>
        <v/>
      </c>
      <c r="M80" s="79"/>
      <c r="N80" s="207"/>
      <c r="O80" s="207"/>
      <c r="P80" s="207"/>
      <c r="Q80" s="207"/>
    </row>
    <row r="81" spans="1:17" ht="34.5" customHeight="1">
      <c r="A81" s="82"/>
      <c r="B81" s="205" t="str">
        <f t="shared" si="2"/>
        <v/>
      </c>
      <c r="C81" s="206" t="str">
        <f t="shared" si="3"/>
        <v/>
      </c>
      <c r="D81" s="207" t="str">
        <f t="shared" si="0"/>
        <v/>
      </c>
      <c r="E81" s="207"/>
      <c r="F81" s="205" t="str">
        <f>IF(E81="","",VLOOKUP(E81,'ARAMA LİSTELERİ'!C81:G2120,5,))</f>
        <v/>
      </c>
      <c r="G81" s="207"/>
      <c r="H81" s="210"/>
      <c r="I81" s="79"/>
      <c r="J81" s="210"/>
      <c r="K81" s="210"/>
      <c r="L81" s="210" t="str">
        <f t="shared" si="1"/>
        <v/>
      </c>
      <c r="M81" s="79"/>
      <c r="N81" s="207"/>
      <c r="O81" s="207"/>
      <c r="P81" s="207"/>
      <c r="Q81" s="207"/>
    </row>
    <row r="82" spans="1:17" ht="34.5" customHeight="1">
      <c r="A82" s="82"/>
      <c r="B82" s="205" t="str">
        <f t="shared" si="2"/>
        <v/>
      </c>
      <c r="C82" s="206" t="str">
        <f t="shared" si="3"/>
        <v/>
      </c>
      <c r="D82" s="207" t="str">
        <f t="shared" si="0"/>
        <v/>
      </c>
      <c r="E82" s="207"/>
      <c r="F82" s="205" t="str">
        <f>IF(E82="","",VLOOKUP(E82,'ARAMA LİSTELERİ'!C82:G2121,5,))</f>
        <v/>
      </c>
      <c r="G82" s="207"/>
      <c r="H82" s="210"/>
      <c r="I82" s="79"/>
      <c r="J82" s="210"/>
      <c r="K82" s="210"/>
      <c r="L82" s="210" t="str">
        <f t="shared" si="1"/>
        <v/>
      </c>
      <c r="M82" s="79"/>
      <c r="N82" s="207"/>
      <c r="O82" s="207"/>
      <c r="P82" s="207"/>
      <c r="Q82" s="207"/>
    </row>
    <row r="83" spans="1:17" ht="34.5" customHeight="1">
      <c r="A83" s="82"/>
      <c r="B83" s="205" t="str">
        <f t="shared" si="2"/>
        <v/>
      </c>
      <c r="C83" s="206" t="str">
        <f t="shared" si="3"/>
        <v/>
      </c>
      <c r="D83" s="207" t="str">
        <f t="shared" si="0"/>
        <v/>
      </c>
      <c r="E83" s="207"/>
      <c r="F83" s="205" t="str">
        <f>IF(E83="","",VLOOKUP(E83,'ARAMA LİSTELERİ'!C83:G2122,5,))</f>
        <v/>
      </c>
      <c r="G83" s="207"/>
      <c r="H83" s="210"/>
      <c r="I83" s="79"/>
      <c r="J83" s="210"/>
      <c r="K83" s="210"/>
      <c r="L83" s="210" t="str">
        <f t="shared" si="1"/>
        <v/>
      </c>
      <c r="M83" s="79"/>
      <c r="N83" s="207"/>
      <c r="O83" s="207"/>
      <c r="P83" s="207"/>
      <c r="Q83" s="207"/>
    </row>
    <row r="84" spans="1:17" ht="34.5" customHeight="1">
      <c r="A84" s="82"/>
      <c r="B84" s="205" t="str">
        <f t="shared" si="2"/>
        <v/>
      </c>
      <c r="C84" s="206" t="str">
        <f t="shared" si="3"/>
        <v/>
      </c>
      <c r="D84" s="207" t="str">
        <f t="shared" si="0"/>
        <v/>
      </c>
      <c r="E84" s="207"/>
      <c r="F84" s="205" t="str">
        <f>IF(E84="","",VLOOKUP(E84,'ARAMA LİSTELERİ'!C84:G2123,5,))</f>
        <v/>
      </c>
      <c r="G84" s="207"/>
      <c r="H84" s="210"/>
      <c r="I84" s="79"/>
      <c r="J84" s="210"/>
      <c r="K84" s="210"/>
      <c r="L84" s="210" t="str">
        <f t="shared" si="1"/>
        <v/>
      </c>
      <c r="M84" s="79"/>
      <c r="N84" s="207"/>
      <c r="O84" s="207"/>
      <c r="P84" s="207"/>
      <c r="Q84" s="207"/>
    </row>
    <row r="85" spans="1:17" ht="34.5" customHeight="1">
      <c r="A85" s="82"/>
      <c r="B85" s="205" t="str">
        <f t="shared" si="2"/>
        <v/>
      </c>
      <c r="C85" s="206" t="str">
        <f t="shared" si="3"/>
        <v/>
      </c>
      <c r="D85" s="207" t="str">
        <f t="shared" si="0"/>
        <v/>
      </c>
      <c r="E85" s="207"/>
      <c r="F85" s="205" t="str">
        <f>IF(E85="","",VLOOKUP(E85,'ARAMA LİSTELERİ'!C85:G2124,5,))</f>
        <v/>
      </c>
      <c r="G85" s="207"/>
      <c r="H85" s="210"/>
      <c r="I85" s="79"/>
      <c r="J85" s="210"/>
      <c r="K85" s="210"/>
      <c r="L85" s="210" t="str">
        <f t="shared" si="1"/>
        <v/>
      </c>
      <c r="M85" s="79"/>
      <c r="N85" s="207"/>
      <c r="O85" s="207"/>
      <c r="P85" s="207"/>
      <c r="Q85" s="207"/>
    </row>
    <row r="86" spans="1:17" ht="34.5" customHeight="1">
      <c r="A86" s="82"/>
      <c r="B86" s="205" t="str">
        <f t="shared" si="2"/>
        <v/>
      </c>
      <c r="C86" s="206" t="str">
        <f t="shared" si="3"/>
        <v/>
      </c>
      <c r="D86" s="207" t="str">
        <f t="shared" si="0"/>
        <v/>
      </c>
      <c r="E86" s="207"/>
      <c r="F86" s="205" t="str">
        <f>IF(E86="","",VLOOKUP(E86,'ARAMA LİSTELERİ'!C86:G2125,5,))</f>
        <v/>
      </c>
      <c r="G86" s="207"/>
      <c r="H86" s="210"/>
      <c r="I86" s="79"/>
      <c r="J86" s="210"/>
      <c r="K86" s="210"/>
      <c r="L86" s="210" t="str">
        <f t="shared" si="1"/>
        <v/>
      </c>
      <c r="M86" s="79"/>
      <c r="N86" s="207"/>
      <c r="O86" s="207"/>
      <c r="P86" s="207"/>
      <c r="Q86" s="207"/>
    </row>
    <row r="87" spans="1:17" ht="34.5" customHeight="1">
      <c r="A87" s="82"/>
      <c r="B87" s="205" t="str">
        <f t="shared" si="2"/>
        <v/>
      </c>
      <c r="C87" s="206" t="str">
        <f t="shared" si="3"/>
        <v/>
      </c>
      <c r="D87" s="207" t="str">
        <f t="shared" si="0"/>
        <v/>
      </c>
      <c r="E87" s="207"/>
      <c r="F87" s="205" t="str">
        <f>IF(E87="","",VLOOKUP(E87,'ARAMA LİSTELERİ'!C87:G2126,5,))</f>
        <v/>
      </c>
      <c r="G87" s="207"/>
      <c r="H87" s="210"/>
      <c r="I87" s="79"/>
      <c r="J87" s="210"/>
      <c r="K87" s="210"/>
      <c r="L87" s="210" t="str">
        <f t="shared" si="1"/>
        <v/>
      </c>
      <c r="M87" s="79"/>
      <c r="N87" s="207"/>
      <c r="O87" s="207"/>
      <c r="P87" s="207"/>
      <c r="Q87" s="207"/>
    </row>
    <row r="88" spans="1:17" ht="34.5" customHeight="1">
      <c r="A88" s="82"/>
      <c r="B88" s="205" t="str">
        <f t="shared" si="2"/>
        <v/>
      </c>
      <c r="C88" s="206" t="str">
        <f t="shared" si="3"/>
        <v/>
      </c>
      <c r="D88" s="207" t="str">
        <f t="shared" si="0"/>
        <v/>
      </c>
      <c r="E88" s="207"/>
      <c r="F88" s="205" t="str">
        <f>IF(E88="","",VLOOKUP(E88,'ARAMA LİSTELERİ'!C88:G2127,5,))</f>
        <v/>
      </c>
      <c r="G88" s="207"/>
      <c r="H88" s="210"/>
      <c r="I88" s="79"/>
      <c r="J88" s="210"/>
      <c r="K88" s="210"/>
      <c r="L88" s="210" t="str">
        <f t="shared" si="1"/>
        <v/>
      </c>
      <c r="M88" s="79"/>
      <c r="N88" s="207"/>
      <c r="O88" s="207"/>
      <c r="P88" s="207"/>
      <c r="Q88" s="207"/>
    </row>
    <row r="89" spans="1:17" ht="34.5" customHeight="1">
      <c r="A89" s="82"/>
      <c r="B89" s="205" t="str">
        <f t="shared" si="2"/>
        <v/>
      </c>
      <c r="C89" s="206" t="str">
        <f t="shared" si="3"/>
        <v/>
      </c>
      <c r="D89" s="207" t="str">
        <f t="shared" si="0"/>
        <v/>
      </c>
      <c r="E89" s="207"/>
      <c r="F89" s="205" t="str">
        <f>IF(E89="","",VLOOKUP(E89,'ARAMA LİSTELERİ'!C89:G2128,5,))</f>
        <v/>
      </c>
      <c r="G89" s="207"/>
      <c r="H89" s="210"/>
      <c r="I89" s="79"/>
      <c r="J89" s="210"/>
      <c r="K89" s="210"/>
      <c r="L89" s="210" t="str">
        <f t="shared" si="1"/>
        <v/>
      </c>
      <c r="M89" s="79"/>
      <c r="N89" s="207"/>
      <c r="O89" s="207"/>
      <c r="P89" s="207"/>
      <c r="Q89" s="207"/>
    </row>
    <row r="90" spans="1:17" ht="34.5" customHeight="1">
      <c r="A90" s="82"/>
      <c r="B90" s="205" t="str">
        <f t="shared" si="2"/>
        <v/>
      </c>
      <c r="C90" s="206" t="str">
        <f t="shared" si="3"/>
        <v/>
      </c>
      <c r="D90" s="207" t="str">
        <f t="shared" si="0"/>
        <v/>
      </c>
      <c r="E90" s="207"/>
      <c r="F90" s="205" t="str">
        <f>IF(E90="","",VLOOKUP(E90,'ARAMA LİSTELERİ'!C90:G2129,5,))</f>
        <v/>
      </c>
      <c r="G90" s="207"/>
      <c r="H90" s="210"/>
      <c r="I90" s="79"/>
      <c r="J90" s="210"/>
      <c r="K90" s="210"/>
      <c r="L90" s="210" t="str">
        <f t="shared" si="1"/>
        <v/>
      </c>
      <c r="M90" s="79"/>
      <c r="N90" s="207"/>
      <c r="O90" s="207"/>
      <c r="P90" s="207"/>
      <c r="Q90" s="207"/>
    </row>
    <row r="91" spans="1:17" ht="34.5" customHeight="1">
      <c r="A91" s="82"/>
      <c r="B91" s="205" t="str">
        <f t="shared" si="2"/>
        <v/>
      </c>
      <c r="C91" s="206" t="str">
        <f t="shared" si="3"/>
        <v/>
      </c>
      <c r="D91" s="207" t="str">
        <f t="shared" si="0"/>
        <v/>
      </c>
      <c r="E91" s="207"/>
      <c r="F91" s="205" t="str">
        <f>IF(E91="","",VLOOKUP(E91,'ARAMA LİSTELERİ'!C91:G2130,5,))</f>
        <v/>
      </c>
      <c r="G91" s="207"/>
      <c r="H91" s="210"/>
      <c r="I91" s="79"/>
      <c r="J91" s="210"/>
      <c r="K91" s="210"/>
      <c r="L91" s="210" t="str">
        <f t="shared" si="1"/>
        <v/>
      </c>
      <c r="M91" s="79"/>
      <c r="N91" s="207"/>
      <c r="O91" s="207"/>
      <c r="P91" s="207"/>
      <c r="Q91" s="207"/>
    </row>
    <row r="92" spans="1:17" ht="34.5" customHeight="1">
      <c r="A92" s="82"/>
      <c r="B92" s="205" t="str">
        <f t="shared" si="2"/>
        <v/>
      </c>
      <c r="C92" s="206" t="str">
        <f t="shared" si="3"/>
        <v/>
      </c>
      <c r="D92" s="207" t="str">
        <f t="shared" si="0"/>
        <v/>
      </c>
      <c r="E92" s="207"/>
      <c r="F92" s="205" t="str">
        <f>IF(E92="","",VLOOKUP(E92,'ARAMA LİSTELERİ'!C92:G2131,5,))</f>
        <v/>
      </c>
      <c r="G92" s="207"/>
      <c r="H92" s="210"/>
      <c r="I92" s="79"/>
      <c r="J92" s="210"/>
      <c r="K92" s="210"/>
      <c r="L92" s="210" t="str">
        <f t="shared" si="1"/>
        <v/>
      </c>
      <c r="M92" s="79"/>
      <c r="N92" s="207"/>
      <c r="O92" s="207"/>
      <c r="P92" s="207"/>
      <c r="Q92" s="207"/>
    </row>
    <row r="93" spans="1:17" ht="34.5" customHeight="1">
      <c r="A93" s="82"/>
      <c r="B93" s="205" t="str">
        <f t="shared" si="2"/>
        <v/>
      </c>
      <c r="C93" s="206" t="str">
        <f t="shared" si="3"/>
        <v/>
      </c>
      <c r="D93" s="207" t="str">
        <f t="shared" si="0"/>
        <v/>
      </c>
      <c r="E93" s="207"/>
      <c r="F93" s="205" t="str">
        <f>IF(E93="","",VLOOKUP(E93,'ARAMA LİSTELERİ'!C93:G2132,5,))</f>
        <v/>
      </c>
      <c r="G93" s="207"/>
      <c r="H93" s="210"/>
      <c r="I93" s="79"/>
      <c r="J93" s="210"/>
      <c r="K93" s="210"/>
      <c r="L93" s="210" t="str">
        <f t="shared" si="1"/>
        <v/>
      </c>
      <c r="M93" s="79"/>
      <c r="N93" s="207"/>
      <c r="O93" s="207"/>
      <c r="P93" s="207"/>
      <c r="Q93" s="207"/>
    </row>
    <row r="94" spans="1:17" ht="34.5" customHeight="1">
      <c r="A94" s="82"/>
      <c r="B94" s="205" t="str">
        <f t="shared" si="2"/>
        <v/>
      </c>
      <c r="C94" s="206" t="str">
        <f t="shared" si="3"/>
        <v/>
      </c>
      <c r="D94" s="207" t="str">
        <f t="shared" si="0"/>
        <v/>
      </c>
      <c r="E94" s="207"/>
      <c r="F94" s="205" t="str">
        <f>IF(E94="","",VLOOKUP(E94,'ARAMA LİSTELERİ'!C94:G2133,5,))</f>
        <v/>
      </c>
      <c r="G94" s="207"/>
      <c r="H94" s="210"/>
      <c r="I94" s="79"/>
      <c r="J94" s="210"/>
      <c r="K94" s="210"/>
      <c r="L94" s="210" t="str">
        <f t="shared" si="1"/>
        <v/>
      </c>
      <c r="M94" s="79"/>
      <c r="N94" s="207"/>
      <c r="O94" s="207"/>
      <c r="P94" s="207"/>
      <c r="Q94" s="207"/>
    </row>
    <row r="95" spans="1:17" ht="34.5" customHeight="1">
      <c r="A95" s="82"/>
      <c r="B95" s="205" t="str">
        <f t="shared" si="2"/>
        <v/>
      </c>
      <c r="C95" s="206" t="str">
        <f t="shared" si="3"/>
        <v/>
      </c>
      <c r="D95" s="207" t="str">
        <f t="shared" si="0"/>
        <v/>
      </c>
      <c r="E95" s="207"/>
      <c r="F95" s="205" t="str">
        <f>IF(E95="","",VLOOKUP(E95,'ARAMA LİSTELERİ'!C95:G2134,5,))</f>
        <v/>
      </c>
      <c r="G95" s="207"/>
      <c r="H95" s="210"/>
      <c r="I95" s="79"/>
      <c r="J95" s="210"/>
      <c r="K95" s="210"/>
      <c r="L95" s="210" t="str">
        <f t="shared" si="1"/>
        <v/>
      </c>
      <c r="M95" s="79"/>
      <c r="N95" s="207"/>
      <c r="O95" s="207"/>
      <c r="P95" s="207"/>
      <c r="Q95" s="207"/>
    </row>
    <row r="96" spans="1:17" ht="34.5" customHeight="1">
      <c r="A96" s="82"/>
      <c r="B96" s="205" t="str">
        <f t="shared" si="2"/>
        <v/>
      </c>
      <c r="C96" s="206" t="str">
        <f t="shared" si="3"/>
        <v/>
      </c>
      <c r="D96" s="207" t="str">
        <f t="shared" si="0"/>
        <v/>
      </c>
      <c r="E96" s="207"/>
      <c r="F96" s="205" t="str">
        <f>IF(E96="","",VLOOKUP(E96,'ARAMA LİSTELERİ'!C96:G2135,5,))</f>
        <v/>
      </c>
      <c r="G96" s="207"/>
      <c r="H96" s="210"/>
      <c r="I96" s="79"/>
      <c r="J96" s="210"/>
      <c r="K96" s="210"/>
      <c r="L96" s="210" t="str">
        <f t="shared" si="1"/>
        <v/>
      </c>
      <c r="M96" s="79"/>
      <c r="N96" s="207"/>
      <c r="O96" s="207"/>
      <c r="P96" s="207"/>
      <c r="Q96" s="207"/>
    </row>
    <row r="97" spans="1:17" ht="34.5" customHeight="1">
      <c r="A97" s="82"/>
      <c r="B97" s="205" t="str">
        <f t="shared" si="2"/>
        <v/>
      </c>
      <c r="C97" s="206" t="str">
        <f t="shared" si="3"/>
        <v/>
      </c>
      <c r="D97" s="207" t="str">
        <f t="shared" si="0"/>
        <v/>
      </c>
      <c r="E97" s="207"/>
      <c r="F97" s="205" t="str">
        <f>IF(E97="","",VLOOKUP(E97,'ARAMA LİSTELERİ'!C97:G2136,5,))</f>
        <v/>
      </c>
      <c r="G97" s="207"/>
      <c r="H97" s="210"/>
      <c r="I97" s="79"/>
      <c r="J97" s="210"/>
      <c r="K97" s="210"/>
      <c r="L97" s="210" t="str">
        <f t="shared" si="1"/>
        <v/>
      </c>
      <c r="M97" s="79"/>
      <c r="N97" s="207"/>
      <c r="O97" s="207"/>
      <c r="P97" s="207"/>
      <c r="Q97" s="207"/>
    </row>
    <row r="98" spans="1:17" ht="34.5" customHeight="1">
      <c r="A98" s="82"/>
      <c r="B98" s="205" t="str">
        <f t="shared" si="2"/>
        <v/>
      </c>
      <c r="C98" s="206" t="str">
        <f t="shared" si="3"/>
        <v/>
      </c>
      <c r="D98" s="207" t="str">
        <f t="shared" si="0"/>
        <v/>
      </c>
      <c r="E98" s="207"/>
      <c r="F98" s="205" t="str">
        <f>IF(E98="","",VLOOKUP(E98,'ARAMA LİSTELERİ'!C98:G2137,5,))</f>
        <v/>
      </c>
      <c r="G98" s="207"/>
      <c r="H98" s="210"/>
      <c r="I98" s="79"/>
      <c r="J98" s="210"/>
      <c r="K98" s="210"/>
      <c r="L98" s="210" t="str">
        <f t="shared" si="1"/>
        <v/>
      </c>
      <c r="M98" s="79"/>
      <c r="N98" s="207"/>
      <c r="O98" s="207"/>
      <c r="P98" s="207"/>
      <c r="Q98" s="207"/>
    </row>
    <row r="99" spans="1:17" ht="34.5" customHeight="1">
      <c r="A99" s="82"/>
      <c r="B99" s="205" t="str">
        <f t="shared" si="2"/>
        <v/>
      </c>
      <c r="C99" s="206" t="str">
        <f t="shared" si="3"/>
        <v/>
      </c>
      <c r="D99" s="207" t="str">
        <f t="shared" si="0"/>
        <v/>
      </c>
      <c r="E99" s="207"/>
      <c r="F99" s="205" t="str">
        <f>IF(E99="","",VLOOKUP(E99,'ARAMA LİSTELERİ'!C99:G2138,5,))</f>
        <v/>
      </c>
      <c r="G99" s="207"/>
      <c r="H99" s="210"/>
      <c r="I99" s="79"/>
      <c r="J99" s="210"/>
      <c r="K99" s="210"/>
      <c r="L99" s="210" t="str">
        <f t="shared" si="1"/>
        <v/>
      </c>
      <c r="M99" s="79"/>
      <c r="N99" s="207"/>
      <c r="O99" s="207"/>
      <c r="P99" s="207"/>
      <c r="Q99" s="207"/>
    </row>
    <row r="100" spans="1:17" ht="34.5" customHeight="1">
      <c r="A100" s="82"/>
      <c r="B100" s="205" t="str">
        <f t="shared" si="2"/>
        <v/>
      </c>
      <c r="C100" s="206" t="str">
        <f t="shared" si="3"/>
        <v/>
      </c>
      <c r="D100" s="207" t="str">
        <f t="shared" si="0"/>
        <v/>
      </c>
      <c r="E100" s="207"/>
      <c r="F100" s="205" t="str">
        <f>IF(E100="","",VLOOKUP(E100,'ARAMA LİSTELERİ'!C100:G2139,5,))</f>
        <v/>
      </c>
      <c r="G100" s="207"/>
      <c r="H100" s="210"/>
      <c r="I100" s="79"/>
      <c r="J100" s="210"/>
      <c r="K100" s="210"/>
      <c r="L100" s="210" t="str">
        <f t="shared" si="1"/>
        <v/>
      </c>
      <c r="M100" s="79"/>
      <c r="N100" s="207"/>
      <c r="O100" s="207"/>
      <c r="P100" s="207"/>
      <c r="Q100" s="207"/>
    </row>
    <row r="101" spans="1:17" ht="34.5" customHeight="1">
      <c r="A101" s="82"/>
      <c r="B101" s="205" t="str">
        <f t="shared" si="2"/>
        <v/>
      </c>
      <c r="C101" s="206" t="str">
        <f t="shared" si="3"/>
        <v/>
      </c>
      <c r="D101" s="207" t="str">
        <f t="shared" si="0"/>
        <v/>
      </c>
      <c r="E101" s="207"/>
      <c r="F101" s="205" t="str">
        <f>IF(E101="","",VLOOKUP(E101,'ARAMA LİSTELERİ'!C101:G2140,5,))</f>
        <v/>
      </c>
      <c r="G101" s="207"/>
      <c r="H101" s="210"/>
      <c r="I101" s="79"/>
      <c r="J101" s="210"/>
      <c r="K101" s="210"/>
      <c r="L101" s="210" t="str">
        <f t="shared" si="1"/>
        <v/>
      </c>
      <c r="M101" s="79"/>
      <c r="N101" s="207"/>
      <c r="O101" s="207"/>
      <c r="P101" s="207"/>
      <c r="Q101" s="207"/>
    </row>
    <row r="102" spans="1:17" ht="34.5" customHeight="1">
      <c r="A102" s="82"/>
      <c r="B102" s="205" t="str">
        <f t="shared" si="2"/>
        <v/>
      </c>
      <c r="C102" s="206" t="str">
        <f t="shared" si="3"/>
        <v/>
      </c>
      <c r="D102" s="207" t="str">
        <f t="shared" si="0"/>
        <v/>
      </c>
      <c r="E102" s="207"/>
      <c r="F102" s="205" t="str">
        <f>IF(E102="","",VLOOKUP(E102,'ARAMA LİSTELERİ'!C102:G2141,5,))</f>
        <v/>
      </c>
      <c r="G102" s="207"/>
      <c r="H102" s="210"/>
      <c r="I102" s="79"/>
      <c r="J102" s="210"/>
      <c r="K102" s="210"/>
      <c r="L102" s="210" t="str">
        <f t="shared" si="1"/>
        <v/>
      </c>
      <c r="M102" s="79"/>
      <c r="N102" s="207"/>
      <c r="O102" s="207"/>
      <c r="P102" s="207"/>
      <c r="Q102" s="207"/>
    </row>
    <row r="103" spans="1:17" ht="34.5" customHeight="1">
      <c r="A103" s="82"/>
      <c r="B103" s="205" t="str">
        <f t="shared" si="2"/>
        <v/>
      </c>
      <c r="C103" s="206" t="str">
        <f t="shared" si="3"/>
        <v/>
      </c>
      <c r="D103" s="207" t="str">
        <f t="shared" si="0"/>
        <v/>
      </c>
      <c r="E103" s="207"/>
      <c r="F103" s="205" t="str">
        <f>IF(E103="","",VLOOKUP(E103,'ARAMA LİSTELERİ'!C103:G2142,5,))</f>
        <v/>
      </c>
      <c r="G103" s="207"/>
      <c r="H103" s="210"/>
      <c r="I103" s="79"/>
      <c r="J103" s="210"/>
      <c r="K103" s="210"/>
      <c r="L103" s="210" t="str">
        <f t="shared" si="1"/>
        <v/>
      </c>
      <c r="M103" s="79"/>
      <c r="N103" s="207"/>
      <c r="O103" s="207"/>
      <c r="P103" s="207"/>
      <c r="Q103" s="207"/>
    </row>
    <row r="104" spans="1:17" ht="34.5" customHeight="1">
      <c r="A104" s="82"/>
      <c r="B104" s="205" t="str">
        <f t="shared" si="2"/>
        <v/>
      </c>
      <c r="C104" s="206" t="str">
        <f t="shared" si="3"/>
        <v/>
      </c>
      <c r="D104" s="207" t="str">
        <f t="shared" si="0"/>
        <v/>
      </c>
      <c r="E104" s="207"/>
      <c r="F104" s="205" t="str">
        <f>IF(E104="","",VLOOKUP(E104,'ARAMA LİSTELERİ'!C104:G2143,5,))</f>
        <v/>
      </c>
      <c r="G104" s="207"/>
      <c r="H104" s="210"/>
      <c r="I104" s="79"/>
      <c r="J104" s="210"/>
      <c r="K104" s="210"/>
      <c r="L104" s="210" t="str">
        <f t="shared" si="1"/>
        <v/>
      </c>
      <c r="M104" s="79"/>
      <c r="N104" s="207"/>
      <c r="O104" s="207"/>
      <c r="P104" s="207"/>
      <c r="Q104" s="207"/>
    </row>
    <row r="105" spans="1:17" ht="34.5" customHeight="1">
      <c r="A105" s="82"/>
      <c r="B105" s="205" t="str">
        <f t="shared" si="2"/>
        <v/>
      </c>
      <c r="C105" s="206" t="str">
        <f t="shared" si="3"/>
        <v/>
      </c>
      <c r="D105" s="207" t="str">
        <f t="shared" si="0"/>
        <v/>
      </c>
      <c r="E105" s="207"/>
      <c r="F105" s="205" t="str">
        <f>IF(E105="","",VLOOKUP(E105,'ARAMA LİSTELERİ'!C105:G2144,5,))</f>
        <v/>
      </c>
      <c r="G105" s="207"/>
      <c r="H105" s="210"/>
      <c r="I105" s="79"/>
      <c r="J105" s="210"/>
      <c r="K105" s="210"/>
      <c r="L105" s="210" t="str">
        <f t="shared" si="1"/>
        <v/>
      </c>
      <c r="M105" s="79"/>
      <c r="N105" s="207"/>
      <c r="O105" s="207"/>
      <c r="P105" s="207"/>
      <c r="Q105" s="207"/>
    </row>
    <row r="106" spans="1:17" ht="34.5" customHeight="1">
      <c r="A106" s="82"/>
      <c r="B106" s="205" t="str">
        <f t="shared" si="2"/>
        <v/>
      </c>
      <c r="C106" s="206" t="str">
        <f t="shared" si="3"/>
        <v/>
      </c>
      <c r="D106" s="207" t="str">
        <f t="shared" si="0"/>
        <v/>
      </c>
      <c r="E106" s="207"/>
      <c r="F106" s="205" t="str">
        <f>IF(E106="","",VLOOKUP(E106,'ARAMA LİSTELERİ'!C106:G2145,5,))</f>
        <v/>
      </c>
      <c r="G106" s="207"/>
      <c r="H106" s="210"/>
      <c r="I106" s="79"/>
      <c r="J106" s="210"/>
      <c r="K106" s="210"/>
      <c r="L106" s="210" t="str">
        <f t="shared" si="1"/>
        <v/>
      </c>
      <c r="M106" s="79"/>
      <c r="N106" s="207"/>
      <c r="O106" s="207"/>
      <c r="P106" s="207"/>
      <c r="Q106" s="207"/>
    </row>
    <row r="107" spans="1:17" ht="34.5" customHeight="1">
      <c r="A107" s="82"/>
      <c r="B107" s="205" t="str">
        <f t="shared" si="2"/>
        <v/>
      </c>
      <c r="C107" s="206" t="str">
        <f t="shared" si="3"/>
        <v/>
      </c>
      <c r="D107" s="207" t="str">
        <f t="shared" si="0"/>
        <v/>
      </c>
      <c r="E107" s="207"/>
      <c r="F107" s="205" t="str">
        <f>IF(E107="","",VLOOKUP(E107,'ARAMA LİSTELERİ'!C107:G2146,5,))</f>
        <v/>
      </c>
      <c r="G107" s="207"/>
      <c r="H107" s="210"/>
      <c r="I107" s="79"/>
      <c r="J107" s="210"/>
      <c r="K107" s="210"/>
      <c r="L107" s="210" t="str">
        <f t="shared" si="1"/>
        <v/>
      </c>
      <c r="M107" s="79"/>
      <c r="N107" s="207"/>
      <c r="O107" s="207"/>
      <c r="P107" s="207"/>
      <c r="Q107" s="207"/>
    </row>
    <row r="108" spans="1:17" ht="34.5" customHeight="1">
      <c r="A108" s="82"/>
      <c r="B108" s="205" t="str">
        <f t="shared" si="2"/>
        <v/>
      </c>
      <c r="C108" s="206" t="str">
        <f t="shared" si="3"/>
        <v/>
      </c>
      <c r="D108" s="207" t="str">
        <f t="shared" si="0"/>
        <v/>
      </c>
      <c r="E108" s="207"/>
      <c r="F108" s="205" t="str">
        <f>IF(E108="","",VLOOKUP(E108,'ARAMA LİSTELERİ'!C108:G2147,5,))</f>
        <v/>
      </c>
      <c r="G108" s="207"/>
      <c r="H108" s="210"/>
      <c r="I108" s="79"/>
      <c r="J108" s="210"/>
      <c r="K108" s="210"/>
      <c r="L108" s="210" t="str">
        <f t="shared" si="1"/>
        <v/>
      </c>
      <c r="M108" s="79"/>
      <c r="N108" s="207"/>
      <c r="O108" s="207"/>
      <c r="P108" s="207"/>
      <c r="Q108" s="207"/>
    </row>
    <row r="109" spans="1:17" ht="34.5" customHeight="1">
      <c r="A109" s="82"/>
      <c r="B109" s="205" t="str">
        <f t="shared" si="2"/>
        <v/>
      </c>
      <c r="C109" s="206" t="str">
        <f t="shared" si="3"/>
        <v/>
      </c>
      <c r="D109" s="207" t="str">
        <f t="shared" si="0"/>
        <v/>
      </c>
      <c r="E109" s="207"/>
      <c r="F109" s="205" t="str">
        <f>IF(E109="","",VLOOKUP(E109,'ARAMA LİSTELERİ'!C109:G2148,5,))</f>
        <v/>
      </c>
      <c r="G109" s="207"/>
      <c r="H109" s="210"/>
      <c r="I109" s="79"/>
      <c r="J109" s="210"/>
      <c r="K109" s="210"/>
      <c r="L109" s="210" t="str">
        <f t="shared" si="1"/>
        <v/>
      </c>
      <c r="M109" s="79"/>
      <c r="N109" s="207"/>
      <c r="O109" s="207"/>
      <c r="P109" s="207"/>
      <c r="Q109" s="207"/>
    </row>
    <row r="110" spans="1:17" ht="34.5" customHeight="1">
      <c r="A110" s="82"/>
      <c r="B110" s="205" t="str">
        <f t="shared" si="2"/>
        <v/>
      </c>
      <c r="C110" s="206" t="str">
        <f t="shared" si="3"/>
        <v/>
      </c>
      <c r="D110" s="207" t="str">
        <f t="shared" si="0"/>
        <v/>
      </c>
      <c r="E110" s="207"/>
      <c r="F110" s="205" t="str">
        <f>IF(E110="","",VLOOKUP(E110,'ARAMA LİSTELERİ'!C110:G2149,5,))</f>
        <v/>
      </c>
      <c r="G110" s="207"/>
      <c r="H110" s="210"/>
      <c r="I110" s="79"/>
      <c r="J110" s="210"/>
      <c r="K110" s="210"/>
      <c r="L110" s="210" t="str">
        <f t="shared" si="1"/>
        <v/>
      </c>
      <c r="M110" s="79"/>
      <c r="N110" s="207"/>
      <c r="O110" s="207"/>
      <c r="P110" s="207"/>
      <c r="Q110" s="207"/>
    </row>
    <row r="111" spans="1:17" ht="34.5" customHeight="1">
      <c r="A111" s="82"/>
      <c r="B111" s="205" t="str">
        <f t="shared" si="2"/>
        <v/>
      </c>
      <c r="C111" s="206" t="str">
        <f t="shared" si="3"/>
        <v/>
      </c>
      <c r="D111" s="207" t="str">
        <f t="shared" si="0"/>
        <v/>
      </c>
      <c r="E111" s="207"/>
      <c r="F111" s="205" t="str">
        <f>IF(E111="","",VLOOKUP(E111,'ARAMA LİSTELERİ'!C111:G2150,5,))</f>
        <v/>
      </c>
      <c r="G111" s="207"/>
      <c r="H111" s="210"/>
      <c r="I111" s="79"/>
      <c r="J111" s="210"/>
      <c r="K111" s="210"/>
      <c r="L111" s="210" t="str">
        <f t="shared" si="1"/>
        <v/>
      </c>
      <c r="M111" s="79"/>
      <c r="N111" s="207"/>
      <c r="O111" s="207"/>
      <c r="P111" s="207"/>
      <c r="Q111" s="207"/>
    </row>
    <row r="112" spans="1:17" ht="34.5" customHeight="1">
      <c r="A112" s="82"/>
      <c r="B112" s="205" t="str">
        <f t="shared" si="2"/>
        <v/>
      </c>
      <c r="C112" s="206" t="str">
        <f t="shared" si="3"/>
        <v/>
      </c>
      <c r="D112" s="207" t="str">
        <f t="shared" si="0"/>
        <v/>
      </c>
      <c r="E112" s="207"/>
      <c r="F112" s="205" t="str">
        <f>IF(E112="","",VLOOKUP(E112,'ARAMA LİSTELERİ'!C112:G2151,5,))</f>
        <v/>
      </c>
      <c r="G112" s="207"/>
      <c r="H112" s="210"/>
      <c r="I112" s="79"/>
      <c r="J112" s="210"/>
      <c r="K112" s="210"/>
      <c r="L112" s="210" t="str">
        <f t="shared" si="1"/>
        <v/>
      </c>
      <c r="M112" s="79"/>
      <c r="N112" s="207"/>
      <c r="O112" s="207"/>
      <c r="P112" s="207"/>
      <c r="Q112" s="207"/>
    </row>
    <row r="113" spans="1:17" ht="34.5" customHeight="1">
      <c r="A113" s="82"/>
      <c r="B113" s="205" t="str">
        <f t="shared" si="2"/>
        <v/>
      </c>
      <c r="C113" s="206" t="str">
        <f t="shared" si="3"/>
        <v/>
      </c>
      <c r="D113" s="207" t="str">
        <f t="shared" si="0"/>
        <v/>
      </c>
      <c r="E113" s="207"/>
      <c r="F113" s="205" t="str">
        <f>IF(E113="","",VLOOKUP(E113,'ARAMA LİSTELERİ'!C113:G2152,5,))</f>
        <v/>
      </c>
      <c r="G113" s="207"/>
      <c r="H113" s="210"/>
      <c r="I113" s="79"/>
      <c r="J113" s="210"/>
      <c r="K113" s="210"/>
      <c r="L113" s="210" t="str">
        <f t="shared" si="1"/>
        <v/>
      </c>
      <c r="M113" s="79"/>
      <c r="N113" s="207"/>
      <c r="O113" s="207"/>
      <c r="P113" s="207"/>
      <c r="Q113" s="207"/>
    </row>
    <row r="114" spans="1:17" ht="34.5" customHeight="1">
      <c r="A114" s="82"/>
      <c r="B114" s="205" t="str">
        <f t="shared" si="2"/>
        <v/>
      </c>
      <c r="C114" s="206" t="str">
        <f t="shared" si="3"/>
        <v/>
      </c>
      <c r="D114" s="207" t="str">
        <f t="shared" si="0"/>
        <v/>
      </c>
      <c r="E114" s="207"/>
      <c r="F114" s="205" t="str">
        <f>IF(E114="","",VLOOKUP(E114,'ARAMA LİSTELERİ'!C114:G2153,5,))</f>
        <v/>
      </c>
      <c r="G114" s="207"/>
      <c r="H114" s="210"/>
      <c r="I114" s="79"/>
      <c r="J114" s="210"/>
      <c r="K114" s="210"/>
      <c r="L114" s="210" t="str">
        <f t="shared" si="1"/>
        <v/>
      </c>
      <c r="M114" s="79"/>
      <c r="N114" s="207"/>
      <c r="O114" s="207"/>
      <c r="P114" s="207"/>
      <c r="Q114" s="207"/>
    </row>
    <row r="115" spans="1:17" ht="34.5" customHeight="1">
      <c r="A115" s="82"/>
      <c r="B115" s="205" t="str">
        <f t="shared" si="2"/>
        <v/>
      </c>
      <c r="C115" s="206" t="str">
        <f t="shared" si="3"/>
        <v/>
      </c>
      <c r="D115" s="207" t="str">
        <f t="shared" si="0"/>
        <v/>
      </c>
      <c r="E115" s="207"/>
      <c r="F115" s="205" t="str">
        <f>IF(E115="","",VLOOKUP(E115,'ARAMA LİSTELERİ'!C115:G2154,5,))</f>
        <v/>
      </c>
      <c r="G115" s="207"/>
      <c r="H115" s="210"/>
      <c r="I115" s="79"/>
      <c r="J115" s="210"/>
      <c r="K115" s="210"/>
      <c r="L115" s="210" t="str">
        <f t="shared" si="1"/>
        <v/>
      </c>
      <c r="M115" s="79"/>
      <c r="N115" s="207"/>
      <c r="O115" s="207"/>
      <c r="P115" s="207"/>
      <c r="Q115" s="207"/>
    </row>
    <row r="116" spans="1:17" ht="34.5" customHeight="1">
      <c r="A116" s="82"/>
      <c r="B116" s="205" t="str">
        <f t="shared" si="2"/>
        <v/>
      </c>
      <c r="C116" s="206" t="str">
        <f t="shared" si="3"/>
        <v/>
      </c>
      <c r="D116" s="207" t="str">
        <f t="shared" si="0"/>
        <v/>
      </c>
      <c r="E116" s="207"/>
      <c r="F116" s="205" t="str">
        <f>IF(E116="","",VLOOKUP(E116,'ARAMA LİSTELERİ'!C116:G2155,5,))</f>
        <v/>
      </c>
      <c r="G116" s="207"/>
      <c r="H116" s="210"/>
      <c r="I116" s="79"/>
      <c r="J116" s="210"/>
      <c r="K116" s="210"/>
      <c r="L116" s="210" t="str">
        <f t="shared" si="1"/>
        <v/>
      </c>
      <c r="M116" s="79"/>
      <c r="N116" s="207"/>
      <c r="O116" s="207"/>
      <c r="P116" s="207"/>
      <c r="Q116" s="207"/>
    </row>
    <row r="117" spans="1:17" ht="34.5" customHeight="1">
      <c r="A117" s="82"/>
      <c r="B117" s="205" t="str">
        <f t="shared" si="2"/>
        <v/>
      </c>
      <c r="C117" s="206" t="str">
        <f t="shared" si="3"/>
        <v/>
      </c>
      <c r="D117" s="207" t="str">
        <f t="shared" si="0"/>
        <v/>
      </c>
      <c r="E117" s="207"/>
      <c r="F117" s="205" t="str">
        <f>IF(E117="","",VLOOKUP(E117,'ARAMA LİSTELERİ'!C117:G2156,5,))</f>
        <v/>
      </c>
      <c r="G117" s="207"/>
      <c r="H117" s="210"/>
      <c r="I117" s="79"/>
      <c r="J117" s="210"/>
      <c r="K117" s="210"/>
      <c r="L117" s="210" t="str">
        <f t="shared" si="1"/>
        <v/>
      </c>
      <c r="M117" s="79"/>
      <c r="N117" s="207"/>
      <c r="O117" s="207"/>
      <c r="P117" s="207"/>
      <c r="Q117" s="207"/>
    </row>
    <row r="118" spans="1:17" ht="34.5" customHeight="1">
      <c r="A118" s="82"/>
      <c r="B118" s="205" t="str">
        <f t="shared" si="2"/>
        <v/>
      </c>
      <c r="C118" s="206" t="str">
        <f t="shared" si="3"/>
        <v/>
      </c>
      <c r="D118" s="207" t="str">
        <f t="shared" si="0"/>
        <v/>
      </c>
      <c r="E118" s="207"/>
      <c r="F118" s="205" t="str">
        <f>IF(E118="","",VLOOKUP(E118,'ARAMA LİSTELERİ'!C118:G2157,5,))</f>
        <v/>
      </c>
      <c r="G118" s="207"/>
      <c r="H118" s="210"/>
      <c r="I118" s="79"/>
      <c r="J118" s="210"/>
      <c r="K118" s="210"/>
      <c r="L118" s="210" t="str">
        <f t="shared" si="1"/>
        <v/>
      </c>
      <c r="M118" s="79"/>
      <c r="N118" s="207"/>
      <c r="O118" s="207"/>
      <c r="P118" s="207"/>
      <c r="Q118" s="207"/>
    </row>
    <row r="119" spans="1:17" ht="34.5" customHeight="1">
      <c r="A119" s="82"/>
      <c r="B119" s="205" t="str">
        <f t="shared" si="2"/>
        <v/>
      </c>
      <c r="C119" s="206" t="str">
        <f t="shared" si="3"/>
        <v/>
      </c>
      <c r="D119" s="207" t="str">
        <f t="shared" si="0"/>
        <v/>
      </c>
      <c r="E119" s="207"/>
      <c r="F119" s="205" t="str">
        <f>IF(E119="","",VLOOKUP(E119,'ARAMA LİSTELERİ'!C119:G2158,5,))</f>
        <v/>
      </c>
      <c r="G119" s="207"/>
      <c r="H119" s="210"/>
      <c r="I119" s="79"/>
      <c r="J119" s="210"/>
      <c r="K119" s="210"/>
      <c r="L119" s="210" t="str">
        <f t="shared" si="1"/>
        <v/>
      </c>
      <c r="M119" s="79"/>
      <c r="N119" s="207"/>
      <c r="O119" s="207"/>
      <c r="P119" s="207"/>
      <c r="Q119" s="207"/>
    </row>
    <row r="120" spans="1:17" ht="34.5" customHeight="1">
      <c r="A120" s="82"/>
      <c r="B120" s="205" t="str">
        <f t="shared" si="2"/>
        <v/>
      </c>
      <c r="C120" s="206" t="str">
        <f t="shared" si="3"/>
        <v/>
      </c>
      <c r="D120" s="207" t="str">
        <f t="shared" si="0"/>
        <v/>
      </c>
      <c r="E120" s="207"/>
      <c r="F120" s="205" t="str">
        <f>IF(E120="","",VLOOKUP(E120,'ARAMA LİSTELERİ'!C120:G2159,5,))</f>
        <v/>
      </c>
      <c r="G120" s="207"/>
      <c r="H120" s="210"/>
      <c r="I120" s="79"/>
      <c r="J120" s="210"/>
      <c r="K120" s="210"/>
      <c r="L120" s="210" t="str">
        <f t="shared" si="1"/>
        <v/>
      </c>
      <c r="M120" s="79"/>
      <c r="N120" s="207"/>
      <c r="O120" s="207"/>
      <c r="P120" s="207"/>
      <c r="Q120" s="207"/>
    </row>
    <row r="121" spans="1:17" ht="34.5" customHeight="1">
      <c r="A121" s="82"/>
      <c r="B121" s="205" t="str">
        <f t="shared" si="2"/>
        <v/>
      </c>
      <c r="C121" s="206" t="str">
        <f t="shared" si="3"/>
        <v/>
      </c>
      <c r="D121" s="207" t="str">
        <f t="shared" si="0"/>
        <v/>
      </c>
      <c r="E121" s="207"/>
      <c r="F121" s="205" t="str">
        <f>IF(E121="","",VLOOKUP(E121,'ARAMA LİSTELERİ'!C121:G2160,5,))</f>
        <v/>
      </c>
      <c r="G121" s="207"/>
      <c r="H121" s="210"/>
      <c r="I121" s="79"/>
      <c r="J121" s="210"/>
      <c r="K121" s="210"/>
      <c r="L121" s="210" t="str">
        <f t="shared" si="1"/>
        <v/>
      </c>
      <c r="M121" s="79"/>
      <c r="N121" s="207"/>
      <c r="O121" s="207"/>
      <c r="P121" s="207"/>
      <c r="Q121" s="207"/>
    </row>
    <row r="122" spans="1:17" ht="34.5" customHeight="1">
      <c r="A122" s="82"/>
      <c r="B122" s="205" t="str">
        <f t="shared" si="2"/>
        <v/>
      </c>
      <c r="C122" s="206" t="str">
        <f t="shared" si="3"/>
        <v/>
      </c>
      <c r="D122" s="207" t="str">
        <f t="shared" si="0"/>
        <v/>
      </c>
      <c r="E122" s="207"/>
      <c r="F122" s="205" t="str">
        <f>IF(E122="","",VLOOKUP(E122,'ARAMA LİSTELERİ'!C122:G2161,5,))</f>
        <v/>
      </c>
      <c r="G122" s="207"/>
      <c r="H122" s="210"/>
      <c r="I122" s="79"/>
      <c r="J122" s="210"/>
      <c r="K122" s="210"/>
      <c r="L122" s="210" t="str">
        <f t="shared" si="1"/>
        <v/>
      </c>
      <c r="M122" s="79"/>
      <c r="N122" s="207"/>
      <c r="O122" s="207"/>
      <c r="P122" s="207"/>
      <c r="Q122" s="207"/>
    </row>
    <row r="123" spans="1:17" ht="34.5" customHeight="1">
      <c r="A123" s="82"/>
      <c r="B123" s="205" t="str">
        <f t="shared" si="2"/>
        <v/>
      </c>
      <c r="C123" s="206" t="str">
        <f t="shared" si="3"/>
        <v/>
      </c>
      <c r="D123" s="207" t="str">
        <f t="shared" si="0"/>
        <v/>
      </c>
      <c r="E123" s="207"/>
      <c r="F123" s="205" t="str">
        <f>IF(E123="","",VLOOKUP(E123,'ARAMA LİSTELERİ'!C123:G2162,5,))</f>
        <v/>
      </c>
      <c r="G123" s="207"/>
      <c r="H123" s="210"/>
      <c r="I123" s="79"/>
      <c r="J123" s="210"/>
      <c r="K123" s="210"/>
      <c r="L123" s="210" t="str">
        <f t="shared" si="1"/>
        <v/>
      </c>
      <c r="M123" s="79"/>
      <c r="N123" s="207"/>
      <c r="O123" s="207"/>
      <c r="P123" s="207"/>
      <c r="Q123" s="207"/>
    </row>
    <row r="124" spans="1:17" ht="34.5" customHeight="1">
      <c r="A124" s="82"/>
      <c r="B124" s="205" t="str">
        <f t="shared" si="2"/>
        <v/>
      </c>
      <c r="C124" s="206" t="str">
        <f t="shared" si="3"/>
        <v/>
      </c>
      <c r="D124" s="207" t="str">
        <f t="shared" si="0"/>
        <v/>
      </c>
      <c r="E124" s="207"/>
      <c r="F124" s="205" t="str">
        <f>IF(E124="","",VLOOKUP(E124,'ARAMA LİSTELERİ'!C124:G2163,5,))</f>
        <v/>
      </c>
      <c r="G124" s="207"/>
      <c r="H124" s="210"/>
      <c r="I124" s="79"/>
      <c r="J124" s="210"/>
      <c r="K124" s="210"/>
      <c r="L124" s="210" t="str">
        <f t="shared" si="1"/>
        <v/>
      </c>
      <c r="M124" s="79"/>
      <c r="N124" s="207"/>
      <c r="O124" s="207"/>
      <c r="P124" s="207"/>
      <c r="Q124" s="207"/>
    </row>
    <row r="125" spans="1:17" ht="34.5" customHeight="1">
      <c r="A125" s="82"/>
      <c r="B125" s="205" t="str">
        <f t="shared" si="2"/>
        <v/>
      </c>
      <c r="C125" s="206" t="str">
        <f t="shared" si="3"/>
        <v/>
      </c>
      <c r="D125" s="207" t="str">
        <f t="shared" si="0"/>
        <v/>
      </c>
      <c r="E125" s="207"/>
      <c r="F125" s="205" t="str">
        <f>IF(E125="","",VLOOKUP(E125,'ARAMA LİSTELERİ'!C125:G2164,5,))</f>
        <v/>
      </c>
      <c r="G125" s="207"/>
      <c r="H125" s="210"/>
      <c r="I125" s="79"/>
      <c r="J125" s="210"/>
      <c r="K125" s="210"/>
      <c r="L125" s="210" t="str">
        <f t="shared" si="1"/>
        <v/>
      </c>
      <c r="M125" s="79"/>
      <c r="N125" s="207"/>
      <c r="O125" s="207"/>
      <c r="P125" s="207"/>
      <c r="Q125" s="207"/>
    </row>
    <row r="126" spans="1:17" ht="34.5" customHeight="1">
      <c r="A126" s="82"/>
      <c r="B126" s="205" t="str">
        <f t="shared" si="2"/>
        <v/>
      </c>
      <c r="C126" s="206" t="str">
        <f t="shared" si="3"/>
        <v/>
      </c>
      <c r="D126" s="207" t="str">
        <f t="shared" si="0"/>
        <v/>
      </c>
      <c r="E126" s="207"/>
      <c r="F126" s="205" t="str">
        <f>IF(E126="","",VLOOKUP(E126,'ARAMA LİSTELERİ'!C126:G2165,5,))</f>
        <v/>
      </c>
      <c r="G126" s="207"/>
      <c r="H126" s="210"/>
      <c r="I126" s="79"/>
      <c r="J126" s="210"/>
      <c r="K126" s="210"/>
      <c r="L126" s="210" t="str">
        <f t="shared" si="1"/>
        <v/>
      </c>
      <c r="M126" s="79"/>
      <c r="N126" s="207"/>
      <c r="O126" s="207"/>
      <c r="P126" s="207"/>
      <c r="Q126" s="207"/>
    </row>
    <row r="127" spans="1:17" ht="34.5" customHeight="1">
      <c r="A127" s="82"/>
      <c r="B127" s="205" t="str">
        <f t="shared" si="2"/>
        <v/>
      </c>
      <c r="C127" s="206" t="str">
        <f t="shared" si="3"/>
        <v/>
      </c>
      <c r="D127" s="207" t="str">
        <f t="shared" si="0"/>
        <v/>
      </c>
      <c r="E127" s="207"/>
      <c r="F127" s="205" t="str">
        <f>IF(E127="","",VLOOKUP(E127,'ARAMA LİSTELERİ'!C127:G2166,5,))</f>
        <v/>
      </c>
      <c r="G127" s="207"/>
      <c r="H127" s="210"/>
      <c r="I127" s="79"/>
      <c r="J127" s="210"/>
      <c r="K127" s="210"/>
      <c r="L127" s="210" t="str">
        <f t="shared" si="1"/>
        <v/>
      </c>
      <c r="M127" s="79"/>
      <c r="N127" s="207"/>
      <c r="O127" s="207"/>
      <c r="P127" s="207"/>
      <c r="Q127" s="207"/>
    </row>
    <row r="128" spans="1:17" ht="34.5" customHeight="1">
      <c r="A128" s="82"/>
      <c r="B128" s="205" t="str">
        <f t="shared" si="2"/>
        <v/>
      </c>
      <c r="C128" s="206" t="str">
        <f t="shared" si="3"/>
        <v/>
      </c>
      <c r="D128" s="207" t="str">
        <f t="shared" si="0"/>
        <v/>
      </c>
      <c r="E128" s="207"/>
      <c r="F128" s="205" t="str">
        <f>IF(E128="","",VLOOKUP(E128,'ARAMA LİSTELERİ'!C128:G2167,5,))</f>
        <v/>
      </c>
      <c r="G128" s="207"/>
      <c r="H128" s="210"/>
      <c r="I128" s="79"/>
      <c r="J128" s="210"/>
      <c r="K128" s="210"/>
      <c r="L128" s="210" t="str">
        <f t="shared" si="1"/>
        <v/>
      </c>
      <c r="M128" s="79"/>
      <c r="N128" s="207"/>
      <c r="O128" s="207"/>
      <c r="P128" s="207"/>
      <c r="Q128" s="207"/>
    </row>
    <row r="129" spans="1:17" ht="34.5" customHeight="1">
      <c r="A129" s="82"/>
      <c r="B129" s="205" t="str">
        <f t="shared" si="2"/>
        <v/>
      </c>
      <c r="C129" s="206" t="str">
        <f t="shared" si="3"/>
        <v/>
      </c>
      <c r="D129" s="207" t="str">
        <f t="shared" si="0"/>
        <v/>
      </c>
      <c r="E129" s="207"/>
      <c r="F129" s="205" t="str">
        <f>IF(E129="","",VLOOKUP(E129,'ARAMA LİSTELERİ'!C129:G2168,5,))</f>
        <v/>
      </c>
      <c r="G129" s="207"/>
      <c r="H129" s="210"/>
      <c r="I129" s="79"/>
      <c r="J129" s="210"/>
      <c r="K129" s="210"/>
      <c r="L129" s="210" t="str">
        <f t="shared" si="1"/>
        <v/>
      </c>
      <c r="M129" s="79"/>
      <c r="N129" s="207"/>
      <c r="O129" s="207"/>
      <c r="P129" s="207"/>
      <c r="Q129" s="207"/>
    </row>
    <row r="130" spans="1:17" ht="34.5" customHeight="1">
      <c r="A130" s="82"/>
      <c r="B130" s="205" t="str">
        <f t="shared" si="2"/>
        <v/>
      </c>
      <c r="C130" s="206" t="str">
        <f t="shared" si="3"/>
        <v/>
      </c>
      <c r="D130" s="207" t="str">
        <f t="shared" si="0"/>
        <v/>
      </c>
      <c r="E130" s="207"/>
      <c r="F130" s="205" t="str">
        <f>IF(E130="","",VLOOKUP(E130,'ARAMA LİSTELERİ'!C130:G2169,5,))</f>
        <v/>
      </c>
      <c r="G130" s="207"/>
      <c r="H130" s="210"/>
      <c r="I130" s="79"/>
      <c r="J130" s="210"/>
      <c r="K130" s="210"/>
      <c r="L130" s="210" t="str">
        <f t="shared" si="1"/>
        <v/>
      </c>
      <c r="M130" s="79"/>
      <c r="N130" s="207"/>
      <c r="O130" s="207"/>
      <c r="P130" s="207"/>
      <c r="Q130" s="207"/>
    </row>
    <row r="131" spans="1:17" ht="34.5" customHeight="1">
      <c r="A131" s="82"/>
      <c r="B131" s="205" t="str">
        <f t="shared" si="2"/>
        <v/>
      </c>
      <c r="C131" s="206" t="str">
        <f t="shared" si="3"/>
        <v/>
      </c>
      <c r="D131" s="207" t="str">
        <f t="shared" si="0"/>
        <v/>
      </c>
      <c r="E131" s="207"/>
      <c r="F131" s="205" t="str">
        <f>IF(E131="","",VLOOKUP(E131,'ARAMA LİSTELERİ'!C131:G2170,5,))</f>
        <v/>
      </c>
      <c r="G131" s="207"/>
      <c r="H131" s="210"/>
      <c r="I131" s="79"/>
      <c r="J131" s="210"/>
      <c r="K131" s="210"/>
      <c r="L131" s="210" t="str">
        <f t="shared" si="1"/>
        <v/>
      </c>
      <c r="M131" s="79"/>
      <c r="N131" s="207"/>
      <c r="O131" s="207"/>
      <c r="P131" s="207"/>
      <c r="Q131" s="207"/>
    </row>
    <row r="132" spans="1:17" ht="34.5" customHeight="1">
      <c r="A132" s="82"/>
      <c r="B132" s="205" t="str">
        <f t="shared" si="2"/>
        <v/>
      </c>
      <c r="C132" s="206" t="str">
        <f t="shared" si="3"/>
        <v/>
      </c>
      <c r="D132" s="207" t="str">
        <f t="shared" si="0"/>
        <v/>
      </c>
      <c r="E132" s="207"/>
      <c r="F132" s="205" t="str">
        <f>IF(E132="","",VLOOKUP(E132,'ARAMA LİSTELERİ'!C132:G2171,5,))</f>
        <v/>
      </c>
      <c r="G132" s="207"/>
      <c r="H132" s="210"/>
      <c r="I132" s="79"/>
      <c r="J132" s="210"/>
      <c r="K132" s="210"/>
      <c r="L132" s="210" t="str">
        <f t="shared" si="1"/>
        <v/>
      </c>
      <c r="M132" s="79"/>
      <c r="N132" s="207"/>
      <c r="O132" s="207"/>
      <c r="P132" s="207"/>
      <c r="Q132" s="207"/>
    </row>
    <row r="133" spans="1:17" ht="34.5" customHeight="1">
      <c r="A133" s="82"/>
      <c r="B133" s="205" t="str">
        <f t="shared" si="2"/>
        <v/>
      </c>
      <c r="C133" s="206" t="str">
        <f t="shared" si="3"/>
        <v/>
      </c>
      <c r="D133" s="207" t="str">
        <f t="shared" si="0"/>
        <v/>
      </c>
      <c r="E133" s="207"/>
      <c r="F133" s="205" t="str">
        <f>IF(E133="","",VLOOKUP(E133,'ARAMA LİSTELERİ'!C133:G2172,5,))</f>
        <v/>
      </c>
      <c r="G133" s="207"/>
      <c r="H133" s="210"/>
      <c r="I133" s="79"/>
      <c r="J133" s="210"/>
      <c r="K133" s="210"/>
      <c r="L133" s="210" t="str">
        <f t="shared" si="1"/>
        <v/>
      </c>
      <c r="M133" s="79"/>
      <c r="N133" s="207"/>
      <c r="O133" s="207"/>
      <c r="P133" s="207"/>
      <c r="Q133" s="207"/>
    </row>
    <row r="134" spans="1:17" ht="34.5" customHeight="1">
      <c r="A134" s="82"/>
      <c r="B134" s="205" t="str">
        <f t="shared" si="2"/>
        <v/>
      </c>
      <c r="C134" s="206" t="str">
        <f t="shared" si="3"/>
        <v/>
      </c>
      <c r="D134" s="207" t="str">
        <f t="shared" si="0"/>
        <v/>
      </c>
      <c r="E134" s="207"/>
      <c r="F134" s="205" t="str">
        <f>IF(E134="","",VLOOKUP(E134,'ARAMA LİSTELERİ'!C134:G2173,5,))</f>
        <v/>
      </c>
      <c r="G134" s="207"/>
      <c r="H134" s="210"/>
      <c r="I134" s="79"/>
      <c r="J134" s="210"/>
      <c r="K134" s="210"/>
      <c r="L134" s="210" t="str">
        <f t="shared" si="1"/>
        <v/>
      </c>
      <c r="M134" s="79"/>
      <c r="N134" s="207"/>
      <c r="O134" s="207"/>
      <c r="P134" s="207"/>
      <c r="Q134" s="207"/>
    </row>
    <row r="135" spans="1:17" ht="34.5" customHeight="1">
      <c r="A135" s="82"/>
      <c r="B135" s="205" t="str">
        <f t="shared" si="2"/>
        <v/>
      </c>
      <c r="C135" s="206" t="str">
        <f t="shared" si="3"/>
        <v/>
      </c>
      <c r="D135" s="207" t="str">
        <f t="shared" si="0"/>
        <v/>
      </c>
      <c r="E135" s="207"/>
      <c r="F135" s="205" t="str">
        <f>IF(E135="","",VLOOKUP(E135,'ARAMA LİSTELERİ'!C135:G2174,5,))</f>
        <v/>
      </c>
      <c r="G135" s="207"/>
      <c r="H135" s="210"/>
      <c r="I135" s="79"/>
      <c r="J135" s="210"/>
      <c r="K135" s="210"/>
      <c r="L135" s="210" t="str">
        <f t="shared" si="1"/>
        <v/>
      </c>
      <c r="M135" s="79"/>
      <c r="N135" s="207"/>
      <c r="O135" s="207"/>
      <c r="P135" s="207"/>
      <c r="Q135" s="207"/>
    </row>
    <row r="136" spans="1:17" ht="34.5" customHeight="1">
      <c r="A136" s="82"/>
      <c r="B136" s="205" t="str">
        <f t="shared" si="2"/>
        <v/>
      </c>
      <c r="C136" s="206" t="str">
        <f t="shared" si="3"/>
        <v/>
      </c>
      <c r="D136" s="207" t="str">
        <f t="shared" si="0"/>
        <v/>
      </c>
      <c r="E136" s="207"/>
      <c r="F136" s="205" t="str">
        <f>IF(E136="","",VLOOKUP(E136,'ARAMA LİSTELERİ'!C136:G2175,5,))</f>
        <v/>
      </c>
      <c r="G136" s="207"/>
      <c r="H136" s="210"/>
      <c r="I136" s="79"/>
      <c r="J136" s="210"/>
      <c r="K136" s="210"/>
      <c r="L136" s="210" t="str">
        <f t="shared" si="1"/>
        <v/>
      </c>
      <c r="M136" s="79"/>
      <c r="N136" s="207"/>
      <c r="O136" s="207"/>
      <c r="P136" s="207"/>
      <c r="Q136" s="207"/>
    </row>
    <row r="137" spans="1:17" ht="34.5" customHeight="1">
      <c r="A137" s="82"/>
      <c r="B137" s="205" t="str">
        <f t="shared" si="2"/>
        <v/>
      </c>
      <c r="C137" s="206" t="str">
        <f t="shared" si="3"/>
        <v/>
      </c>
      <c r="D137" s="207" t="str">
        <f t="shared" si="0"/>
        <v/>
      </c>
      <c r="E137" s="207"/>
      <c r="F137" s="205" t="str">
        <f>IF(E137="","",VLOOKUP(E137,'ARAMA LİSTELERİ'!C137:G2176,5,))</f>
        <v/>
      </c>
      <c r="G137" s="207"/>
      <c r="H137" s="210"/>
      <c r="I137" s="79"/>
      <c r="J137" s="210"/>
      <c r="K137" s="210"/>
      <c r="L137" s="210" t="str">
        <f t="shared" si="1"/>
        <v/>
      </c>
      <c r="M137" s="79"/>
      <c r="N137" s="207"/>
      <c r="O137" s="207"/>
      <c r="P137" s="207"/>
      <c r="Q137" s="207"/>
    </row>
    <row r="138" spans="1:17" ht="34.5" customHeight="1">
      <c r="A138" s="82"/>
      <c r="B138" s="205" t="str">
        <f t="shared" si="2"/>
        <v/>
      </c>
      <c r="C138" s="206" t="str">
        <f t="shared" si="3"/>
        <v/>
      </c>
      <c r="D138" s="207" t="str">
        <f t="shared" si="0"/>
        <v/>
      </c>
      <c r="E138" s="207"/>
      <c r="F138" s="205" t="str">
        <f>IF(E138="","",VLOOKUP(E138,'ARAMA LİSTELERİ'!C138:G2177,5,))</f>
        <v/>
      </c>
      <c r="G138" s="207"/>
      <c r="H138" s="210"/>
      <c r="I138" s="79"/>
      <c r="J138" s="210"/>
      <c r="K138" s="210"/>
      <c r="L138" s="210" t="str">
        <f t="shared" si="1"/>
        <v/>
      </c>
      <c r="M138" s="79"/>
      <c r="N138" s="207"/>
      <c r="O138" s="207"/>
      <c r="P138" s="207"/>
      <c r="Q138" s="207"/>
    </row>
    <row r="139" spans="1:17" ht="34.5" customHeight="1">
      <c r="A139" s="82"/>
      <c r="B139" s="205" t="str">
        <f t="shared" si="2"/>
        <v/>
      </c>
      <c r="C139" s="206" t="str">
        <f t="shared" si="3"/>
        <v/>
      </c>
      <c r="D139" s="207" t="str">
        <f t="shared" si="0"/>
        <v/>
      </c>
      <c r="E139" s="207"/>
      <c r="F139" s="205" t="str">
        <f>IF(E139="","",VLOOKUP(E139,'ARAMA LİSTELERİ'!C139:G2178,5,))</f>
        <v/>
      </c>
      <c r="G139" s="207"/>
      <c r="H139" s="210"/>
      <c r="I139" s="79"/>
      <c r="J139" s="210"/>
      <c r="K139" s="210"/>
      <c r="L139" s="210" t="str">
        <f t="shared" si="1"/>
        <v/>
      </c>
      <c r="M139" s="79"/>
      <c r="N139" s="207"/>
      <c r="O139" s="207"/>
      <c r="P139" s="207"/>
      <c r="Q139" s="207"/>
    </row>
    <row r="140" spans="1:17" ht="34.5" customHeight="1">
      <c r="A140" s="82"/>
      <c r="B140" s="205" t="str">
        <f t="shared" si="2"/>
        <v/>
      </c>
      <c r="C140" s="206" t="str">
        <f t="shared" si="3"/>
        <v/>
      </c>
      <c r="D140" s="207" t="str">
        <f t="shared" si="0"/>
        <v/>
      </c>
      <c r="E140" s="207"/>
      <c r="F140" s="205" t="str">
        <f>IF(E140="","",VLOOKUP(E140,'ARAMA LİSTELERİ'!C140:G2179,5,))</f>
        <v/>
      </c>
      <c r="G140" s="207"/>
      <c r="H140" s="210"/>
      <c r="I140" s="79"/>
      <c r="J140" s="210"/>
      <c r="K140" s="210"/>
      <c r="L140" s="210" t="str">
        <f t="shared" si="1"/>
        <v/>
      </c>
      <c r="M140" s="79"/>
      <c r="N140" s="207"/>
      <c r="O140" s="207"/>
      <c r="P140" s="207"/>
      <c r="Q140" s="207"/>
    </row>
    <row r="141" spans="1:17" ht="34.5" customHeight="1">
      <c r="A141" s="82"/>
      <c r="B141" s="205" t="str">
        <f t="shared" si="2"/>
        <v/>
      </c>
      <c r="C141" s="206" t="str">
        <f t="shared" si="3"/>
        <v/>
      </c>
      <c r="D141" s="207" t="str">
        <f t="shared" si="0"/>
        <v/>
      </c>
      <c r="E141" s="207"/>
      <c r="F141" s="205" t="str">
        <f>IF(E141="","",VLOOKUP(E141,'ARAMA LİSTELERİ'!C141:G2180,5,))</f>
        <v/>
      </c>
      <c r="G141" s="207"/>
      <c r="H141" s="210"/>
      <c r="I141" s="79"/>
      <c r="J141" s="210"/>
      <c r="K141" s="210"/>
      <c r="L141" s="210" t="str">
        <f t="shared" si="1"/>
        <v/>
      </c>
      <c r="M141" s="79"/>
      <c r="N141" s="207"/>
      <c r="O141" s="207"/>
      <c r="P141" s="207"/>
      <c r="Q141" s="207"/>
    </row>
    <row r="142" spans="1:17" ht="34.5" customHeight="1">
      <c r="A142" s="82"/>
      <c r="B142" s="205" t="str">
        <f t="shared" si="2"/>
        <v/>
      </c>
      <c r="C142" s="206" t="str">
        <f t="shared" si="3"/>
        <v/>
      </c>
      <c r="D142" s="207" t="str">
        <f t="shared" si="0"/>
        <v/>
      </c>
      <c r="E142" s="207"/>
      <c r="F142" s="205" t="str">
        <f>IF(E142="","",VLOOKUP(E142,'ARAMA LİSTELERİ'!C142:G2181,5,))</f>
        <v/>
      </c>
      <c r="G142" s="207"/>
      <c r="H142" s="210"/>
      <c r="I142" s="79"/>
      <c r="J142" s="210"/>
      <c r="K142" s="210"/>
      <c r="L142" s="210" t="str">
        <f t="shared" si="1"/>
        <v/>
      </c>
      <c r="M142" s="79"/>
      <c r="N142" s="207"/>
      <c r="O142" s="207"/>
      <c r="P142" s="207"/>
      <c r="Q142" s="207"/>
    </row>
    <row r="143" spans="1:17" ht="34.5" customHeight="1">
      <c r="A143" s="82"/>
      <c r="B143" s="205" t="str">
        <f t="shared" si="2"/>
        <v/>
      </c>
      <c r="C143" s="206" t="str">
        <f t="shared" si="3"/>
        <v/>
      </c>
      <c r="D143" s="207" t="str">
        <f t="shared" si="0"/>
        <v/>
      </c>
      <c r="E143" s="207"/>
      <c r="F143" s="205" t="str">
        <f>IF(E143="","",VLOOKUP(E143,'ARAMA LİSTELERİ'!C143:G2182,5,))</f>
        <v/>
      </c>
      <c r="G143" s="207"/>
      <c r="H143" s="210"/>
      <c r="I143" s="79"/>
      <c r="J143" s="210"/>
      <c r="K143" s="210"/>
      <c r="L143" s="210" t="str">
        <f t="shared" si="1"/>
        <v/>
      </c>
      <c r="M143" s="79"/>
      <c r="N143" s="207"/>
      <c r="O143" s="207"/>
      <c r="P143" s="207"/>
      <c r="Q143" s="207"/>
    </row>
    <row r="144" spans="1:17" ht="34.5" customHeight="1">
      <c r="A144" s="82"/>
      <c r="B144" s="205" t="str">
        <f t="shared" si="2"/>
        <v/>
      </c>
      <c r="C144" s="206" t="str">
        <f t="shared" si="3"/>
        <v/>
      </c>
      <c r="D144" s="207" t="str">
        <f t="shared" si="0"/>
        <v/>
      </c>
      <c r="E144" s="207"/>
      <c r="F144" s="205" t="str">
        <f>IF(E144="","",VLOOKUP(E144,'ARAMA LİSTELERİ'!C144:G2183,5,))</f>
        <v/>
      </c>
      <c r="G144" s="207"/>
      <c r="H144" s="210"/>
      <c r="I144" s="79"/>
      <c r="J144" s="210"/>
      <c r="K144" s="210"/>
      <c r="L144" s="210" t="str">
        <f t="shared" si="1"/>
        <v/>
      </c>
      <c r="M144" s="79"/>
      <c r="N144" s="207"/>
      <c r="O144" s="207"/>
      <c r="P144" s="207"/>
      <c r="Q144" s="207"/>
    </row>
    <row r="145" spans="1:17" ht="34.5" customHeight="1">
      <c r="A145" s="82"/>
      <c r="B145" s="205" t="str">
        <f t="shared" si="2"/>
        <v/>
      </c>
      <c r="C145" s="206" t="str">
        <f t="shared" si="3"/>
        <v/>
      </c>
      <c r="D145" s="207" t="str">
        <f t="shared" si="0"/>
        <v/>
      </c>
      <c r="E145" s="207"/>
      <c r="F145" s="205" t="str">
        <f>IF(E145="","",VLOOKUP(E145,'ARAMA LİSTELERİ'!C145:G2184,5,))</f>
        <v/>
      </c>
      <c r="G145" s="207"/>
      <c r="H145" s="210"/>
      <c r="I145" s="79"/>
      <c r="J145" s="210"/>
      <c r="K145" s="210"/>
      <c r="L145" s="210" t="str">
        <f t="shared" si="1"/>
        <v/>
      </c>
      <c r="M145" s="79"/>
      <c r="N145" s="207"/>
      <c r="O145" s="207"/>
      <c r="P145" s="207"/>
      <c r="Q145" s="207"/>
    </row>
    <row r="146" spans="1:17" ht="34.5" customHeight="1">
      <c r="A146" s="82"/>
      <c r="B146" s="205" t="str">
        <f t="shared" si="2"/>
        <v/>
      </c>
      <c r="C146" s="206" t="str">
        <f t="shared" si="3"/>
        <v/>
      </c>
      <c r="D146" s="207" t="str">
        <f t="shared" si="0"/>
        <v/>
      </c>
      <c r="E146" s="207"/>
      <c r="F146" s="205" t="str">
        <f>IF(E146="","",VLOOKUP(E146,'ARAMA LİSTELERİ'!C146:G2185,5,))</f>
        <v/>
      </c>
      <c r="G146" s="207"/>
      <c r="H146" s="210"/>
      <c r="I146" s="79"/>
      <c r="J146" s="210"/>
      <c r="K146" s="210"/>
      <c r="L146" s="210" t="str">
        <f t="shared" si="1"/>
        <v/>
      </c>
      <c r="M146" s="79"/>
      <c r="N146" s="207"/>
      <c r="O146" s="207"/>
      <c r="P146" s="207"/>
      <c r="Q146" s="207"/>
    </row>
    <row r="147" spans="1:17" ht="34.5" customHeight="1">
      <c r="A147" s="82"/>
      <c r="B147" s="205" t="str">
        <f t="shared" si="2"/>
        <v/>
      </c>
      <c r="C147" s="206" t="str">
        <f t="shared" si="3"/>
        <v/>
      </c>
      <c r="D147" s="207" t="str">
        <f t="shared" si="0"/>
        <v/>
      </c>
      <c r="E147" s="207"/>
      <c r="F147" s="205" t="str">
        <f>IF(E147="","",VLOOKUP(E147,'ARAMA LİSTELERİ'!C147:G2186,5,))</f>
        <v/>
      </c>
      <c r="G147" s="207"/>
      <c r="H147" s="210"/>
      <c r="I147" s="79"/>
      <c r="J147" s="210"/>
      <c r="K147" s="210"/>
      <c r="L147" s="210" t="str">
        <f t="shared" si="1"/>
        <v/>
      </c>
      <c r="M147" s="79"/>
      <c r="N147" s="207"/>
      <c r="O147" s="207"/>
      <c r="P147" s="207"/>
      <c r="Q147" s="207"/>
    </row>
    <row r="148" spans="1:17" ht="34.5" customHeight="1">
      <c r="A148" s="82"/>
      <c r="B148" s="205" t="str">
        <f t="shared" si="2"/>
        <v/>
      </c>
      <c r="C148" s="206" t="str">
        <f t="shared" si="3"/>
        <v/>
      </c>
      <c r="D148" s="207" t="str">
        <f t="shared" si="0"/>
        <v/>
      </c>
      <c r="E148" s="207"/>
      <c r="F148" s="205" t="str">
        <f>IF(E148="","",VLOOKUP(E148,'ARAMA LİSTELERİ'!C148:G2187,5,))</f>
        <v/>
      </c>
      <c r="G148" s="207"/>
      <c r="H148" s="210"/>
      <c r="I148" s="79"/>
      <c r="J148" s="210"/>
      <c r="K148" s="210"/>
      <c r="L148" s="210" t="str">
        <f t="shared" si="1"/>
        <v/>
      </c>
      <c r="M148" s="79"/>
      <c r="N148" s="207"/>
      <c r="O148" s="207"/>
      <c r="P148" s="207"/>
      <c r="Q148" s="207"/>
    </row>
    <row r="149" spans="1:17" ht="34.5" customHeight="1">
      <c r="A149" s="82"/>
      <c r="B149" s="205" t="str">
        <f t="shared" si="2"/>
        <v/>
      </c>
      <c r="C149" s="206" t="str">
        <f t="shared" si="3"/>
        <v/>
      </c>
      <c r="D149" s="207" t="str">
        <f t="shared" si="0"/>
        <v/>
      </c>
      <c r="E149" s="207"/>
      <c r="F149" s="205" t="str">
        <f>IF(E149="","",VLOOKUP(E149,'ARAMA LİSTELERİ'!C149:G2188,5,))</f>
        <v/>
      </c>
      <c r="G149" s="207"/>
      <c r="H149" s="210"/>
      <c r="I149" s="79"/>
      <c r="J149" s="210"/>
      <c r="K149" s="210"/>
      <c r="L149" s="210" t="str">
        <f t="shared" si="1"/>
        <v/>
      </c>
      <c r="M149" s="79"/>
      <c r="N149" s="207"/>
      <c r="O149" s="207"/>
      <c r="P149" s="207"/>
      <c r="Q149" s="207"/>
    </row>
    <row r="150" spans="1:17" ht="34.5" customHeight="1">
      <c r="A150" s="82"/>
      <c r="B150" s="205" t="str">
        <f t="shared" si="2"/>
        <v/>
      </c>
      <c r="C150" s="206" t="str">
        <f t="shared" si="3"/>
        <v/>
      </c>
      <c r="D150" s="207" t="str">
        <f t="shared" si="0"/>
        <v/>
      </c>
      <c r="E150" s="207"/>
      <c r="F150" s="205" t="str">
        <f>IF(E150="","",VLOOKUP(E150,'ARAMA LİSTELERİ'!C150:G2189,5,))</f>
        <v/>
      </c>
      <c r="G150" s="207"/>
      <c r="H150" s="210"/>
      <c r="I150" s="79"/>
      <c r="J150" s="210"/>
      <c r="K150" s="210"/>
      <c r="L150" s="210" t="str">
        <f t="shared" si="1"/>
        <v/>
      </c>
      <c r="M150" s="79"/>
      <c r="N150" s="207"/>
      <c r="O150" s="207"/>
      <c r="P150" s="207"/>
      <c r="Q150" s="207"/>
    </row>
    <row r="151" spans="1:17" ht="34.5" customHeight="1">
      <c r="A151" s="82"/>
      <c r="B151" s="205" t="str">
        <f t="shared" si="2"/>
        <v/>
      </c>
      <c r="C151" s="206" t="str">
        <f t="shared" si="3"/>
        <v/>
      </c>
      <c r="D151" s="207" t="str">
        <f t="shared" si="0"/>
        <v/>
      </c>
      <c r="E151" s="207"/>
      <c r="F151" s="205" t="str">
        <f>IF(E151="","",VLOOKUP(E151,'ARAMA LİSTELERİ'!C151:G2190,5,))</f>
        <v/>
      </c>
      <c r="G151" s="207"/>
      <c r="H151" s="210"/>
      <c r="I151" s="79"/>
      <c r="J151" s="210"/>
      <c r="K151" s="210"/>
      <c r="L151" s="210" t="str">
        <f t="shared" si="1"/>
        <v/>
      </c>
      <c r="M151" s="79"/>
      <c r="N151" s="207"/>
      <c r="O151" s="207"/>
      <c r="P151" s="207"/>
      <c r="Q151" s="207"/>
    </row>
    <row r="152" spans="1:17" ht="34.5" customHeight="1">
      <c r="A152" s="82"/>
      <c r="B152" s="205" t="str">
        <f t="shared" si="2"/>
        <v/>
      </c>
      <c r="C152" s="206" t="str">
        <f t="shared" si="3"/>
        <v/>
      </c>
      <c r="D152" s="207" t="str">
        <f t="shared" si="0"/>
        <v/>
      </c>
      <c r="E152" s="207"/>
      <c r="F152" s="205" t="str">
        <f>IF(E152="","",VLOOKUP(E152,'ARAMA LİSTELERİ'!C152:G2191,5,))</f>
        <v/>
      </c>
      <c r="G152" s="207"/>
      <c r="H152" s="210"/>
      <c r="I152" s="79"/>
      <c r="J152" s="210"/>
      <c r="K152" s="210"/>
      <c r="L152" s="210" t="str">
        <f t="shared" si="1"/>
        <v/>
      </c>
      <c r="M152" s="79"/>
      <c r="N152" s="207"/>
      <c r="O152" s="207"/>
      <c r="P152" s="207"/>
      <c r="Q152" s="207"/>
    </row>
    <row r="153" spans="1:17" ht="34.5" customHeight="1">
      <c r="A153" s="82"/>
      <c r="B153" s="205" t="str">
        <f t="shared" si="2"/>
        <v/>
      </c>
      <c r="C153" s="206" t="str">
        <f t="shared" si="3"/>
        <v/>
      </c>
      <c r="D153" s="207" t="str">
        <f t="shared" si="0"/>
        <v/>
      </c>
      <c r="E153" s="207"/>
      <c r="F153" s="205" t="str">
        <f>IF(E153="","",VLOOKUP(E153,'ARAMA LİSTELERİ'!C153:G2192,5,))</f>
        <v/>
      </c>
      <c r="G153" s="207"/>
      <c r="H153" s="210"/>
      <c r="I153" s="79"/>
      <c r="J153" s="210"/>
      <c r="K153" s="210"/>
      <c r="L153" s="210" t="str">
        <f t="shared" si="1"/>
        <v/>
      </c>
      <c r="M153" s="79"/>
      <c r="N153" s="207"/>
      <c r="O153" s="207"/>
      <c r="P153" s="207"/>
      <c r="Q153" s="207"/>
    </row>
    <row r="154" spans="1:17" ht="34.5" customHeight="1">
      <c r="A154" s="82"/>
      <c r="B154" s="205" t="str">
        <f t="shared" si="2"/>
        <v/>
      </c>
      <c r="C154" s="206" t="str">
        <f t="shared" si="3"/>
        <v/>
      </c>
      <c r="D154" s="207" t="str">
        <f t="shared" si="0"/>
        <v/>
      </c>
      <c r="E154" s="207"/>
      <c r="F154" s="205" t="str">
        <f>IF(E154="","",VLOOKUP(E154,'ARAMA LİSTELERİ'!C154:G2193,5,))</f>
        <v/>
      </c>
      <c r="G154" s="207"/>
      <c r="H154" s="210"/>
      <c r="I154" s="79"/>
      <c r="J154" s="210"/>
      <c r="K154" s="210"/>
      <c r="L154" s="210" t="str">
        <f t="shared" si="1"/>
        <v/>
      </c>
      <c r="M154" s="79"/>
      <c r="N154" s="207"/>
      <c r="O154" s="207"/>
      <c r="P154" s="207"/>
      <c r="Q154" s="207"/>
    </row>
    <row r="155" spans="1:17" ht="34.5" customHeight="1">
      <c r="A155" s="82"/>
      <c r="B155" s="205" t="str">
        <f t="shared" si="2"/>
        <v/>
      </c>
      <c r="C155" s="206" t="str">
        <f t="shared" si="3"/>
        <v/>
      </c>
      <c r="D155" s="207" t="str">
        <f t="shared" si="0"/>
        <v/>
      </c>
      <c r="E155" s="207"/>
      <c r="F155" s="205" t="str">
        <f>IF(E155="","",VLOOKUP(E155,'ARAMA LİSTELERİ'!C155:G2194,5,))</f>
        <v/>
      </c>
      <c r="G155" s="207"/>
      <c r="H155" s="210"/>
      <c r="I155" s="79"/>
      <c r="J155" s="210"/>
      <c r="K155" s="210"/>
      <c r="L155" s="210" t="str">
        <f t="shared" si="1"/>
        <v/>
      </c>
      <c r="M155" s="79"/>
      <c r="N155" s="207"/>
      <c r="O155" s="207"/>
      <c r="P155" s="207"/>
      <c r="Q155" s="207"/>
    </row>
    <row r="156" spans="1:17" ht="34.5" customHeight="1">
      <c r="A156" s="82"/>
      <c r="B156" s="205" t="str">
        <f t="shared" si="2"/>
        <v/>
      </c>
      <c r="C156" s="206" t="str">
        <f t="shared" si="3"/>
        <v/>
      </c>
      <c r="D156" s="207" t="str">
        <f t="shared" si="0"/>
        <v/>
      </c>
      <c r="E156" s="207"/>
      <c r="F156" s="205" t="str">
        <f>IF(E156="","",VLOOKUP(E156,'ARAMA LİSTELERİ'!C156:G2195,5,))</f>
        <v/>
      </c>
      <c r="G156" s="207"/>
      <c r="H156" s="210"/>
      <c r="I156" s="79"/>
      <c r="J156" s="210"/>
      <c r="K156" s="210"/>
      <c r="L156" s="210" t="str">
        <f t="shared" si="1"/>
        <v/>
      </c>
      <c r="M156" s="79"/>
      <c r="N156" s="207"/>
      <c r="O156" s="207"/>
      <c r="P156" s="207"/>
      <c r="Q156" s="207"/>
    </row>
    <row r="157" spans="1:17" ht="34.5" customHeight="1">
      <c r="A157" s="82"/>
      <c r="B157" s="205" t="str">
        <f t="shared" si="2"/>
        <v/>
      </c>
      <c r="C157" s="206" t="str">
        <f t="shared" si="3"/>
        <v/>
      </c>
      <c r="D157" s="207" t="str">
        <f t="shared" si="0"/>
        <v/>
      </c>
      <c r="E157" s="207"/>
      <c r="F157" s="205" t="str">
        <f>IF(E157="","",VLOOKUP(E157,'ARAMA LİSTELERİ'!C157:G2196,5,))</f>
        <v/>
      </c>
      <c r="G157" s="207"/>
      <c r="H157" s="210"/>
      <c r="I157" s="79"/>
      <c r="J157" s="210"/>
      <c r="K157" s="210"/>
      <c r="L157" s="210" t="str">
        <f t="shared" si="1"/>
        <v/>
      </c>
      <c r="M157" s="79"/>
      <c r="N157" s="207"/>
      <c r="O157" s="207"/>
      <c r="P157" s="207"/>
      <c r="Q157" s="207"/>
    </row>
    <row r="158" spans="1:17" ht="34.5" customHeight="1">
      <c r="A158" s="82"/>
      <c r="B158" s="205" t="str">
        <f t="shared" si="2"/>
        <v/>
      </c>
      <c r="C158" s="206" t="str">
        <f t="shared" si="3"/>
        <v/>
      </c>
      <c r="D158" s="207" t="str">
        <f t="shared" si="0"/>
        <v/>
      </c>
      <c r="E158" s="207"/>
      <c r="F158" s="205" t="str">
        <f>IF(E158="","",VLOOKUP(E158,'ARAMA LİSTELERİ'!C158:G2197,5,))</f>
        <v/>
      </c>
      <c r="G158" s="207"/>
      <c r="H158" s="210"/>
      <c r="I158" s="79"/>
      <c r="J158" s="210"/>
      <c r="K158" s="210"/>
      <c r="L158" s="210" t="str">
        <f t="shared" si="1"/>
        <v/>
      </c>
      <c r="M158" s="79"/>
      <c r="N158" s="207"/>
      <c r="O158" s="207"/>
      <c r="P158" s="207"/>
      <c r="Q158" s="207"/>
    </row>
    <row r="159" spans="1:17" ht="34.5" customHeight="1">
      <c r="A159" s="82"/>
      <c r="B159" s="205" t="str">
        <f t="shared" si="2"/>
        <v/>
      </c>
      <c r="C159" s="206" t="str">
        <f t="shared" si="3"/>
        <v/>
      </c>
      <c r="D159" s="207" t="str">
        <f t="shared" si="0"/>
        <v/>
      </c>
      <c r="E159" s="207"/>
      <c r="F159" s="205" t="str">
        <f>IF(E159="","",VLOOKUP(E159,'ARAMA LİSTELERİ'!C159:G2198,5,))</f>
        <v/>
      </c>
      <c r="G159" s="207"/>
      <c r="H159" s="210"/>
      <c r="I159" s="79"/>
      <c r="J159" s="210"/>
      <c r="K159" s="210"/>
      <c r="L159" s="210" t="str">
        <f t="shared" si="1"/>
        <v/>
      </c>
      <c r="M159" s="79"/>
      <c r="N159" s="207"/>
      <c r="O159" s="207"/>
      <c r="P159" s="207"/>
      <c r="Q159" s="207"/>
    </row>
    <row r="160" spans="1:17" ht="34.5" customHeight="1">
      <c r="A160" s="82"/>
      <c r="B160" s="205" t="str">
        <f t="shared" si="2"/>
        <v/>
      </c>
      <c r="C160" s="206" t="str">
        <f t="shared" si="3"/>
        <v/>
      </c>
      <c r="D160" s="207" t="str">
        <f t="shared" si="0"/>
        <v/>
      </c>
      <c r="E160" s="207"/>
      <c r="F160" s="205" t="str">
        <f>IF(E160="","",VLOOKUP(E160,'ARAMA LİSTELERİ'!C160:G2199,5,))</f>
        <v/>
      </c>
      <c r="G160" s="207"/>
      <c r="H160" s="210"/>
      <c r="I160" s="79"/>
      <c r="J160" s="210"/>
      <c r="K160" s="210"/>
      <c r="L160" s="210" t="str">
        <f t="shared" si="1"/>
        <v/>
      </c>
      <c r="M160" s="79"/>
      <c r="N160" s="207"/>
      <c r="O160" s="207"/>
      <c r="P160" s="207"/>
      <c r="Q160" s="207"/>
    </row>
    <row r="161" spans="1:17" ht="34.5" customHeight="1">
      <c r="A161" s="82"/>
      <c r="B161" s="205" t="str">
        <f t="shared" si="2"/>
        <v/>
      </c>
      <c r="C161" s="206" t="str">
        <f t="shared" si="3"/>
        <v/>
      </c>
      <c r="D161" s="207" t="str">
        <f t="shared" si="0"/>
        <v/>
      </c>
      <c r="E161" s="207"/>
      <c r="F161" s="205" t="str">
        <f>IF(E161="","",VLOOKUP(E161,'ARAMA LİSTELERİ'!C161:G2200,5,))</f>
        <v/>
      </c>
      <c r="G161" s="207"/>
      <c r="H161" s="210"/>
      <c r="I161" s="79"/>
      <c r="J161" s="210"/>
      <c r="K161" s="210"/>
      <c r="L161" s="210" t="str">
        <f t="shared" si="1"/>
        <v/>
      </c>
      <c r="M161" s="79"/>
      <c r="N161" s="207"/>
      <c r="O161" s="207"/>
      <c r="P161" s="207"/>
      <c r="Q161" s="207"/>
    </row>
    <row r="162" spans="1:17" ht="34.5" customHeight="1">
      <c r="A162" s="82"/>
      <c r="B162" s="205" t="str">
        <f t="shared" si="2"/>
        <v/>
      </c>
      <c r="C162" s="206" t="str">
        <f t="shared" si="3"/>
        <v/>
      </c>
      <c r="D162" s="207" t="str">
        <f t="shared" si="0"/>
        <v/>
      </c>
      <c r="E162" s="207"/>
      <c r="F162" s="205" t="str">
        <f>IF(E162="","",VLOOKUP(E162,'ARAMA LİSTELERİ'!C162:G2201,5,))</f>
        <v/>
      </c>
      <c r="G162" s="207"/>
      <c r="H162" s="210"/>
      <c r="I162" s="79"/>
      <c r="J162" s="210"/>
      <c r="K162" s="210"/>
      <c r="L162" s="210" t="str">
        <f t="shared" si="1"/>
        <v/>
      </c>
      <c r="M162" s="79"/>
      <c r="N162" s="207"/>
      <c r="O162" s="207"/>
      <c r="P162" s="207"/>
      <c r="Q162" s="207"/>
    </row>
    <row r="163" spans="1:17" ht="34.5" customHeight="1">
      <c r="A163" s="82"/>
      <c r="B163" s="205" t="str">
        <f t="shared" si="2"/>
        <v/>
      </c>
      <c r="C163" s="206" t="str">
        <f t="shared" si="3"/>
        <v/>
      </c>
      <c r="D163" s="207" t="str">
        <f t="shared" si="0"/>
        <v/>
      </c>
      <c r="E163" s="207"/>
      <c r="F163" s="205" t="str">
        <f>IF(E163="","",VLOOKUP(E163,'ARAMA LİSTELERİ'!C163:G2202,5,))</f>
        <v/>
      </c>
      <c r="G163" s="207"/>
      <c r="H163" s="210"/>
      <c r="I163" s="79"/>
      <c r="J163" s="210"/>
      <c r="K163" s="210"/>
      <c r="L163" s="210" t="str">
        <f t="shared" si="1"/>
        <v/>
      </c>
      <c r="M163" s="79"/>
      <c r="N163" s="207"/>
      <c r="O163" s="207"/>
      <c r="P163" s="207"/>
      <c r="Q163" s="207"/>
    </row>
    <row r="164" spans="1:17" ht="34.5" customHeight="1">
      <c r="A164" s="82"/>
      <c r="B164" s="205" t="str">
        <f t="shared" si="2"/>
        <v/>
      </c>
      <c r="C164" s="206" t="str">
        <f t="shared" si="3"/>
        <v/>
      </c>
      <c r="D164" s="207" t="str">
        <f t="shared" si="0"/>
        <v/>
      </c>
      <c r="E164" s="207"/>
      <c r="F164" s="205" t="str">
        <f>IF(E164="","",VLOOKUP(E164,'ARAMA LİSTELERİ'!C164:G2203,5,))</f>
        <v/>
      </c>
      <c r="G164" s="207"/>
      <c r="H164" s="210"/>
      <c r="I164" s="79"/>
      <c r="J164" s="210"/>
      <c r="K164" s="210"/>
      <c r="L164" s="210" t="str">
        <f t="shared" si="1"/>
        <v/>
      </c>
      <c r="M164" s="79"/>
      <c r="N164" s="207"/>
      <c r="O164" s="207"/>
      <c r="P164" s="207"/>
      <c r="Q164" s="207"/>
    </row>
    <row r="165" spans="1:17" ht="34.5" customHeight="1">
      <c r="A165" s="82"/>
      <c r="B165" s="205" t="str">
        <f t="shared" si="2"/>
        <v/>
      </c>
      <c r="C165" s="206" t="str">
        <f t="shared" si="3"/>
        <v/>
      </c>
      <c r="D165" s="207" t="str">
        <f t="shared" si="0"/>
        <v/>
      </c>
      <c r="E165" s="207"/>
      <c r="F165" s="205" t="str">
        <f>IF(E165="","",VLOOKUP(E165,'ARAMA LİSTELERİ'!C165:G2204,5,))</f>
        <v/>
      </c>
      <c r="G165" s="207"/>
      <c r="H165" s="210"/>
      <c r="I165" s="79"/>
      <c r="J165" s="210"/>
      <c r="K165" s="210"/>
      <c r="L165" s="210" t="str">
        <f t="shared" si="1"/>
        <v/>
      </c>
      <c r="M165" s="79"/>
      <c r="N165" s="207"/>
      <c r="O165" s="207"/>
      <c r="P165" s="207"/>
      <c r="Q165" s="207"/>
    </row>
    <row r="166" spans="1:17" ht="34.5" customHeight="1">
      <c r="A166" s="82"/>
      <c r="B166" s="205" t="str">
        <f t="shared" si="2"/>
        <v/>
      </c>
      <c r="C166" s="206" t="str">
        <f t="shared" si="3"/>
        <v/>
      </c>
      <c r="D166" s="207" t="str">
        <f t="shared" si="0"/>
        <v/>
      </c>
      <c r="E166" s="207"/>
      <c r="F166" s="205" t="str">
        <f>IF(E166="","",VLOOKUP(E166,'ARAMA LİSTELERİ'!C166:G2205,5,))</f>
        <v/>
      </c>
      <c r="G166" s="207"/>
      <c r="H166" s="210"/>
      <c r="I166" s="79"/>
      <c r="J166" s="210"/>
      <c r="K166" s="210"/>
      <c r="L166" s="210" t="str">
        <f t="shared" si="1"/>
        <v/>
      </c>
      <c r="M166" s="79"/>
      <c r="N166" s="207"/>
      <c r="O166" s="207"/>
      <c r="P166" s="207"/>
      <c r="Q166" s="207"/>
    </row>
    <row r="167" spans="1:17" ht="34.5" customHeight="1">
      <c r="A167" s="82"/>
      <c r="B167" s="205" t="str">
        <f t="shared" si="2"/>
        <v/>
      </c>
      <c r="C167" s="206" t="str">
        <f t="shared" si="3"/>
        <v/>
      </c>
      <c r="D167" s="207" t="str">
        <f t="shared" si="0"/>
        <v/>
      </c>
      <c r="E167" s="207"/>
      <c r="F167" s="205" t="str">
        <f>IF(E167="","",VLOOKUP(E167,'ARAMA LİSTELERİ'!C167:G2206,5,))</f>
        <v/>
      </c>
      <c r="G167" s="207"/>
      <c r="H167" s="210"/>
      <c r="I167" s="79"/>
      <c r="J167" s="210"/>
      <c r="K167" s="210"/>
      <c r="L167" s="210" t="str">
        <f t="shared" si="1"/>
        <v/>
      </c>
      <c r="M167" s="79"/>
      <c r="N167" s="207"/>
      <c r="O167" s="207"/>
      <c r="P167" s="207"/>
      <c r="Q167" s="207"/>
    </row>
    <row r="168" spans="1:17" ht="34.5" customHeight="1">
      <c r="A168" s="82"/>
      <c r="B168" s="205" t="str">
        <f t="shared" si="2"/>
        <v/>
      </c>
      <c r="C168" s="206" t="str">
        <f t="shared" si="3"/>
        <v/>
      </c>
      <c r="D168" s="207" t="str">
        <f t="shared" si="0"/>
        <v/>
      </c>
      <c r="E168" s="207"/>
      <c r="F168" s="205" t="str">
        <f>IF(E168="","",VLOOKUP(E168,'ARAMA LİSTELERİ'!C168:G2207,5,))</f>
        <v/>
      </c>
      <c r="G168" s="207"/>
      <c r="H168" s="210"/>
      <c r="I168" s="79"/>
      <c r="J168" s="210"/>
      <c r="K168" s="210"/>
      <c r="L168" s="210" t="str">
        <f t="shared" si="1"/>
        <v/>
      </c>
      <c r="M168" s="79"/>
      <c r="N168" s="207"/>
      <c r="O168" s="207"/>
      <c r="P168" s="207"/>
      <c r="Q168" s="207"/>
    </row>
    <row r="169" spans="1:17" ht="34.5" customHeight="1">
      <c r="A169" s="82"/>
      <c r="B169" s="205" t="str">
        <f t="shared" si="2"/>
        <v/>
      </c>
      <c r="C169" s="206" t="str">
        <f t="shared" si="3"/>
        <v/>
      </c>
      <c r="D169" s="207" t="str">
        <f t="shared" si="0"/>
        <v/>
      </c>
      <c r="E169" s="207"/>
      <c r="F169" s="205" t="str">
        <f>IF(E169="","",VLOOKUP(E169,'ARAMA LİSTELERİ'!C169:G2208,5,))</f>
        <v/>
      </c>
      <c r="G169" s="207"/>
      <c r="H169" s="210"/>
      <c r="I169" s="79"/>
      <c r="J169" s="210"/>
      <c r="K169" s="210"/>
      <c r="L169" s="210" t="str">
        <f t="shared" si="1"/>
        <v/>
      </c>
      <c r="M169" s="79"/>
      <c r="N169" s="207"/>
      <c r="O169" s="207"/>
      <c r="P169" s="207"/>
      <c r="Q169" s="207"/>
    </row>
    <row r="170" spans="1:17" ht="34.5" customHeight="1">
      <c r="A170" s="82"/>
      <c r="B170" s="205" t="str">
        <f t="shared" si="2"/>
        <v/>
      </c>
      <c r="C170" s="206" t="str">
        <f t="shared" si="3"/>
        <v/>
      </c>
      <c r="D170" s="207" t="str">
        <f t="shared" si="0"/>
        <v/>
      </c>
      <c r="E170" s="207"/>
      <c r="F170" s="205" t="str">
        <f>IF(E170="","",VLOOKUP(E170,'ARAMA LİSTELERİ'!C170:G2209,5,))</f>
        <v/>
      </c>
      <c r="G170" s="207"/>
      <c r="H170" s="210"/>
      <c r="I170" s="79"/>
      <c r="J170" s="210"/>
      <c r="K170" s="210"/>
      <c r="L170" s="210" t="str">
        <f t="shared" si="1"/>
        <v/>
      </c>
      <c r="M170" s="79"/>
      <c r="N170" s="207"/>
      <c r="O170" s="207"/>
      <c r="P170" s="207"/>
      <c r="Q170" s="207"/>
    </row>
    <row r="171" spans="1:17" ht="34.5" customHeight="1">
      <c r="A171" s="82"/>
      <c r="B171" s="205" t="str">
        <f t="shared" si="2"/>
        <v/>
      </c>
      <c r="C171" s="206" t="str">
        <f t="shared" si="3"/>
        <v/>
      </c>
      <c r="D171" s="207" t="str">
        <f t="shared" si="0"/>
        <v/>
      </c>
      <c r="E171" s="207"/>
      <c r="F171" s="205" t="str">
        <f>IF(E171="","",VLOOKUP(E171,'ARAMA LİSTELERİ'!C171:G2210,5,))</f>
        <v/>
      </c>
      <c r="G171" s="207"/>
      <c r="H171" s="210"/>
      <c r="I171" s="79"/>
      <c r="J171" s="210"/>
      <c r="K171" s="210"/>
      <c r="L171" s="210" t="str">
        <f t="shared" si="1"/>
        <v/>
      </c>
      <c r="M171" s="79"/>
      <c r="N171" s="207"/>
      <c r="O171" s="207"/>
      <c r="P171" s="207"/>
      <c r="Q171" s="207"/>
    </row>
    <row r="172" spans="1:17" ht="34.5" customHeight="1">
      <c r="A172" s="82"/>
      <c r="B172" s="205" t="str">
        <f t="shared" si="2"/>
        <v/>
      </c>
      <c r="C172" s="206" t="str">
        <f t="shared" si="3"/>
        <v/>
      </c>
      <c r="D172" s="207" t="str">
        <f t="shared" si="0"/>
        <v/>
      </c>
      <c r="E172" s="207"/>
      <c r="F172" s="205" t="str">
        <f>IF(E172="","",VLOOKUP(E172,'ARAMA LİSTELERİ'!C172:G2211,5,))</f>
        <v/>
      </c>
      <c r="G172" s="207"/>
      <c r="H172" s="210"/>
      <c r="I172" s="79"/>
      <c r="J172" s="210"/>
      <c r="K172" s="210"/>
      <c r="L172" s="210" t="str">
        <f t="shared" si="1"/>
        <v/>
      </c>
      <c r="M172" s="79"/>
      <c r="N172" s="207"/>
      <c r="O172" s="207"/>
      <c r="P172" s="207"/>
      <c r="Q172" s="207"/>
    </row>
    <row r="173" spans="1:17" ht="34.5" customHeight="1">
      <c r="A173" s="82"/>
      <c r="B173" s="205" t="str">
        <f t="shared" si="2"/>
        <v/>
      </c>
      <c r="C173" s="206" t="str">
        <f t="shared" si="3"/>
        <v/>
      </c>
      <c r="D173" s="207" t="str">
        <f t="shared" si="0"/>
        <v/>
      </c>
      <c r="E173" s="207"/>
      <c r="F173" s="205" t="str">
        <f>IF(E173="","",VLOOKUP(E173,'ARAMA LİSTELERİ'!C173:G2212,5,))</f>
        <v/>
      </c>
      <c r="G173" s="207"/>
      <c r="H173" s="210"/>
      <c r="I173" s="79"/>
      <c r="J173" s="210"/>
      <c r="K173" s="210"/>
      <c r="L173" s="210" t="str">
        <f t="shared" si="1"/>
        <v/>
      </c>
      <c r="M173" s="79"/>
      <c r="N173" s="207"/>
      <c r="O173" s="207"/>
      <c r="P173" s="207"/>
      <c r="Q173" s="207"/>
    </row>
    <row r="174" spans="1:17" ht="34.5" customHeight="1">
      <c r="A174" s="82"/>
      <c r="B174" s="205" t="str">
        <f t="shared" si="2"/>
        <v/>
      </c>
      <c r="C174" s="206" t="str">
        <f t="shared" si="3"/>
        <v/>
      </c>
      <c r="D174" s="207" t="str">
        <f t="shared" si="0"/>
        <v/>
      </c>
      <c r="E174" s="207"/>
      <c r="F174" s="205" t="str">
        <f>IF(E174="","",VLOOKUP(E174,'ARAMA LİSTELERİ'!C174:G2213,5,))</f>
        <v/>
      </c>
      <c r="G174" s="207"/>
      <c r="H174" s="210"/>
      <c r="I174" s="79"/>
      <c r="J174" s="210"/>
      <c r="K174" s="210"/>
      <c r="L174" s="210" t="str">
        <f t="shared" si="1"/>
        <v/>
      </c>
      <c r="M174" s="79"/>
      <c r="N174" s="207"/>
      <c r="O174" s="207"/>
      <c r="P174" s="207"/>
      <c r="Q174" s="207"/>
    </row>
    <row r="175" spans="1:17" ht="34.5" customHeight="1">
      <c r="A175" s="82"/>
      <c r="B175" s="205" t="str">
        <f t="shared" si="2"/>
        <v/>
      </c>
      <c r="C175" s="206" t="str">
        <f t="shared" si="3"/>
        <v/>
      </c>
      <c r="D175" s="207" t="str">
        <f t="shared" si="0"/>
        <v/>
      </c>
      <c r="E175" s="207"/>
      <c r="F175" s="205" t="str">
        <f>IF(E175="","",VLOOKUP(E175,'ARAMA LİSTELERİ'!C175:G2214,5,))</f>
        <v/>
      </c>
      <c r="G175" s="207"/>
      <c r="H175" s="210"/>
      <c r="I175" s="79"/>
      <c r="J175" s="210"/>
      <c r="K175" s="210"/>
      <c r="L175" s="210" t="str">
        <f t="shared" si="1"/>
        <v/>
      </c>
      <c r="M175" s="79"/>
      <c r="N175" s="207"/>
      <c r="O175" s="207"/>
      <c r="P175" s="207"/>
      <c r="Q175" s="207"/>
    </row>
    <row r="176" spans="1:17" ht="34.5" customHeight="1">
      <c r="A176" s="82"/>
      <c r="B176" s="205" t="str">
        <f t="shared" si="2"/>
        <v/>
      </c>
      <c r="C176" s="206" t="str">
        <f t="shared" si="3"/>
        <v/>
      </c>
      <c r="D176" s="207" t="str">
        <f t="shared" si="0"/>
        <v/>
      </c>
      <c r="E176" s="207"/>
      <c r="F176" s="205" t="str">
        <f>IF(E176="","",VLOOKUP(E176,'ARAMA LİSTELERİ'!C176:G2215,5,))</f>
        <v/>
      </c>
      <c r="G176" s="207"/>
      <c r="H176" s="210"/>
      <c r="I176" s="79"/>
      <c r="J176" s="210"/>
      <c r="K176" s="210"/>
      <c r="L176" s="210" t="str">
        <f t="shared" si="1"/>
        <v/>
      </c>
      <c r="M176" s="79"/>
      <c r="N176" s="207"/>
      <c r="O176" s="207"/>
      <c r="P176" s="207"/>
      <c r="Q176" s="207"/>
    </row>
    <row r="177" spans="1:17" ht="34.5" customHeight="1">
      <c r="A177" s="82"/>
      <c r="B177" s="205" t="str">
        <f t="shared" si="2"/>
        <v/>
      </c>
      <c r="C177" s="206" t="str">
        <f t="shared" si="3"/>
        <v/>
      </c>
      <c r="D177" s="207" t="str">
        <f t="shared" si="0"/>
        <v/>
      </c>
      <c r="E177" s="207"/>
      <c r="F177" s="205" t="str">
        <f>IF(E177="","",VLOOKUP(E177,'ARAMA LİSTELERİ'!C177:G2216,5,))</f>
        <v/>
      </c>
      <c r="G177" s="207"/>
      <c r="H177" s="210"/>
      <c r="I177" s="79"/>
      <c r="J177" s="210"/>
      <c r="K177" s="210"/>
      <c r="L177" s="210" t="str">
        <f t="shared" si="1"/>
        <v/>
      </c>
      <c r="M177" s="79"/>
      <c r="N177" s="207"/>
      <c r="O177" s="207"/>
      <c r="P177" s="207"/>
      <c r="Q177" s="207"/>
    </row>
    <row r="178" spans="1:17" ht="34.5" customHeight="1">
      <c r="A178" s="82"/>
      <c r="B178" s="205" t="str">
        <f t="shared" si="2"/>
        <v/>
      </c>
      <c r="C178" s="206" t="str">
        <f t="shared" si="3"/>
        <v/>
      </c>
      <c r="D178" s="207" t="str">
        <f t="shared" si="0"/>
        <v/>
      </c>
      <c r="E178" s="207"/>
      <c r="F178" s="205" t="str">
        <f>IF(E178="","",VLOOKUP(E178,'ARAMA LİSTELERİ'!C178:G2217,5,))</f>
        <v/>
      </c>
      <c r="G178" s="207"/>
      <c r="H178" s="210"/>
      <c r="I178" s="79"/>
      <c r="J178" s="210"/>
      <c r="K178" s="210"/>
      <c r="L178" s="210" t="str">
        <f t="shared" si="1"/>
        <v/>
      </c>
      <c r="M178" s="79"/>
      <c r="N178" s="207"/>
      <c r="O178" s="207"/>
      <c r="P178" s="207"/>
      <c r="Q178" s="207"/>
    </row>
    <row r="179" spans="1:17" ht="34.5" customHeight="1">
      <c r="A179" s="82"/>
      <c r="B179" s="205" t="str">
        <f t="shared" si="2"/>
        <v/>
      </c>
      <c r="C179" s="206" t="str">
        <f t="shared" si="3"/>
        <v/>
      </c>
      <c r="D179" s="207" t="str">
        <f t="shared" si="0"/>
        <v/>
      </c>
      <c r="E179" s="207"/>
      <c r="F179" s="205" t="str">
        <f>IF(E179="","",VLOOKUP(E179,'ARAMA LİSTELERİ'!C179:G2218,5,))</f>
        <v/>
      </c>
      <c r="G179" s="207"/>
      <c r="H179" s="210"/>
      <c r="I179" s="79"/>
      <c r="J179" s="210"/>
      <c r="K179" s="210"/>
      <c r="L179" s="210" t="str">
        <f t="shared" si="1"/>
        <v/>
      </c>
      <c r="M179" s="79"/>
      <c r="N179" s="207"/>
      <c r="O179" s="207"/>
      <c r="P179" s="207"/>
      <c r="Q179" s="207"/>
    </row>
    <row r="180" spans="1:17" ht="34.5" customHeight="1">
      <c r="A180" s="82"/>
      <c r="B180" s="205" t="str">
        <f t="shared" si="2"/>
        <v/>
      </c>
      <c r="C180" s="206" t="str">
        <f t="shared" si="3"/>
        <v/>
      </c>
      <c r="D180" s="207" t="str">
        <f t="shared" si="0"/>
        <v/>
      </c>
      <c r="E180" s="207"/>
      <c r="F180" s="205" t="str">
        <f>IF(E180="","",VLOOKUP(E180,'ARAMA LİSTELERİ'!C180:G2219,5,))</f>
        <v/>
      </c>
      <c r="G180" s="207"/>
      <c r="H180" s="210"/>
      <c r="I180" s="79"/>
      <c r="J180" s="210"/>
      <c r="K180" s="210"/>
      <c r="L180" s="210" t="str">
        <f t="shared" si="1"/>
        <v/>
      </c>
      <c r="M180" s="79"/>
      <c r="N180" s="207"/>
      <c r="O180" s="207"/>
      <c r="P180" s="207"/>
      <c r="Q180" s="207"/>
    </row>
    <row r="181" spans="1:17" ht="34.5" customHeight="1">
      <c r="A181" s="82"/>
      <c r="B181" s="205" t="str">
        <f t="shared" si="2"/>
        <v/>
      </c>
      <c r="C181" s="206" t="str">
        <f t="shared" si="3"/>
        <v/>
      </c>
      <c r="D181" s="207" t="str">
        <f t="shared" si="0"/>
        <v/>
      </c>
      <c r="E181" s="207"/>
      <c r="F181" s="205" t="str">
        <f>IF(E181="","",VLOOKUP(E181,'ARAMA LİSTELERİ'!C181:G2220,5,))</f>
        <v/>
      </c>
      <c r="G181" s="207"/>
      <c r="H181" s="210"/>
      <c r="I181" s="79"/>
      <c r="J181" s="210"/>
      <c r="K181" s="210"/>
      <c r="L181" s="210" t="str">
        <f t="shared" si="1"/>
        <v/>
      </c>
      <c r="M181" s="79"/>
      <c r="N181" s="207"/>
      <c r="O181" s="207"/>
      <c r="P181" s="207"/>
      <c r="Q181" s="207"/>
    </row>
    <row r="182" spans="1:17" ht="34.5" customHeight="1">
      <c r="A182" s="82"/>
      <c r="B182" s="205" t="str">
        <f t="shared" si="2"/>
        <v/>
      </c>
      <c r="C182" s="206" t="str">
        <f t="shared" si="3"/>
        <v/>
      </c>
      <c r="D182" s="207" t="str">
        <f t="shared" si="0"/>
        <v/>
      </c>
      <c r="E182" s="207"/>
      <c r="F182" s="205" t="str">
        <f>IF(E182="","",VLOOKUP(E182,'ARAMA LİSTELERİ'!C182:G2221,5,))</f>
        <v/>
      </c>
      <c r="G182" s="207"/>
      <c r="H182" s="210"/>
      <c r="I182" s="79"/>
      <c r="J182" s="210"/>
      <c r="K182" s="210"/>
      <c r="L182" s="210" t="str">
        <f t="shared" si="1"/>
        <v/>
      </c>
      <c r="M182" s="79"/>
      <c r="N182" s="207"/>
      <c r="O182" s="207"/>
      <c r="P182" s="207"/>
      <c r="Q182" s="207"/>
    </row>
    <row r="183" spans="1:17" ht="34.5" customHeight="1">
      <c r="A183" s="82"/>
      <c r="B183" s="205" t="str">
        <f t="shared" si="2"/>
        <v/>
      </c>
      <c r="C183" s="206" t="str">
        <f t="shared" si="3"/>
        <v/>
      </c>
      <c r="D183" s="207" t="str">
        <f t="shared" si="0"/>
        <v/>
      </c>
      <c r="E183" s="207"/>
      <c r="F183" s="205" t="str">
        <f>IF(E183="","",VLOOKUP(E183,'ARAMA LİSTELERİ'!C183:G2222,5,))</f>
        <v/>
      </c>
      <c r="G183" s="207"/>
      <c r="H183" s="210"/>
      <c r="I183" s="79"/>
      <c r="J183" s="210"/>
      <c r="K183" s="210"/>
      <c r="L183" s="210" t="str">
        <f t="shared" si="1"/>
        <v/>
      </c>
      <c r="M183" s="79"/>
      <c r="N183" s="207"/>
      <c r="O183" s="207"/>
      <c r="P183" s="207"/>
      <c r="Q183" s="207"/>
    </row>
    <row r="184" spans="1:17" ht="34.5" customHeight="1">
      <c r="A184" s="82"/>
      <c r="B184" s="205" t="str">
        <f t="shared" si="2"/>
        <v/>
      </c>
      <c r="C184" s="206" t="str">
        <f t="shared" si="3"/>
        <v/>
      </c>
      <c r="D184" s="207" t="str">
        <f t="shared" si="0"/>
        <v/>
      </c>
      <c r="E184" s="207"/>
      <c r="F184" s="205" t="str">
        <f>IF(E184="","",VLOOKUP(E184,'ARAMA LİSTELERİ'!C184:G2223,5,))</f>
        <v/>
      </c>
      <c r="G184" s="207"/>
      <c r="H184" s="210"/>
      <c r="I184" s="79"/>
      <c r="J184" s="210"/>
      <c r="K184" s="210"/>
      <c r="L184" s="210" t="str">
        <f t="shared" si="1"/>
        <v/>
      </c>
      <c r="M184" s="79"/>
      <c r="N184" s="207"/>
      <c r="O184" s="207"/>
      <c r="P184" s="207"/>
      <c r="Q184" s="207"/>
    </row>
    <row r="185" spans="1:17" ht="34.5" customHeight="1">
      <c r="A185" s="82"/>
      <c r="B185" s="205" t="str">
        <f t="shared" si="2"/>
        <v/>
      </c>
      <c r="C185" s="206" t="str">
        <f t="shared" si="3"/>
        <v/>
      </c>
      <c r="D185" s="207" t="str">
        <f t="shared" si="0"/>
        <v/>
      </c>
      <c r="E185" s="207"/>
      <c r="F185" s="205" t="str">
        <f>IF(E185="","",VLOOKUP(E185,'ARAMA LİSTELERİ'!C185:G2224,5,))</f>
        <v/>
      </c>
      <c r="G185" s="207"/>
      <c r="H185" s="210"/>
      <c r="I185" s="79"/>
      <c r="J185" s="210"/>
      <c r="K185" s="210"/>
      <c r="L185" s="210" t="str">
        <f t="shared" si="1"/>
        <v/>
      </c>
      <c r="M185" s="79"/>
      <c r="N185" s="207"/>
      <c r="O185" s="207"/>
      <c r="P185" s="207"/>
      <c r="Q185" s="207"/>
    </row>
    <row r="186" spans="1:17" ht="34.5" customHeight="1">
      <c r="A186" s="82"/>
      <c r="B186" s="205" t="str">
        <f t="shared" si="2"/>
        <v/>
      </c>
      <c r="C186" s="206" t="str">
        <f t="shared" si="3"/>
        <v/>
      </c>
      <c r="D186" s="207" t="str">
        <f t="shared" si="0"/>
        <v/>
      </c>
      <c r="E186" s="207"/>
      <c r="F186" s="205" t="str">
        <f>IF(E186="","",VLOOKUP(E186,'ARAMA LİSTELERİ'!C186:G2225,5,))</f>
        <v/>
      </c>
      <c r="G186" s="207"/>
      <c r="H186" s="210"/>
      <c r="I186" s="79"/>
      <c r="J186" s="210"/>
      <c r="K186" s="210"/>
      <c r="L186" s="210" t="str">
        <f t="shared" si="1"/>
        <v/>
      </c>
      <c r="M186" s="79"/>
      <c r="N186" s="207"/>
      <c r="O186" s="207"/>
      <c r="P186" s="207"/>
      <c r="Q186" s="207"/>
    </row>
    <row r="187" spans="1:17" ht="34.5" customHeight="1">
      <c r="A187" s="82"/>
      <c r="B187" s="205" t="str">
        <f t="shared" si="2"/>
        <v/>
      </c>
      <c r="C187" s="206" t="str">
        <f t="shared" si="3"/>
        <v/>
      </c>
      <c r="D187" s="207" t="str">
        <f t="shared" si="0"/>
        <v/>
      </c>
      <c r="E187" s="207"/>
      <c r="F187" s="205" t="str">
        <f>IF(E187="","",VLOOKUP(E187,'ARAMA LİSTELERİ'!C187:G2226,5,))</f>
        <v/>
      </c>
      <c r="G187" s="207"/>
      <c r="H187" s="210"/>
      <c r="I187" s="79"/>
      <c r="J187" s="210"/>
      <c r="K187" s="210"/>
      <c r="L187" s="210" t="str">
        <f t="shared" si="1"/>
        <v/>
      </c>
      <c r="M187" s="79"/>
      <c r="N187" s="207"/>
      <c r="O187" s="207"/>
      <c r="P187" s="207"/>
      <c r="Q187" s="207"/>
    </row>
    <row r="188" spans="1:17" ht="34.5" customHeight="1">
      <c r="A188" s="82"/>
      <c r="B188" s="205" t="str">
        <f t="shared" si="2"/>
        <v/>
      </c>
      <c r="C188" s="206" t="str">
        <f t="shared" si="3"/>
        <v/>
      </c>
      <c r="D188" s="207" t="str">
        <f t="shared" si="0"/>
        <v/>
      </c>
      <c r="E188" s="207"/>
      <c r="F188" s="205" t="str">
        <f>IF(E188="","",VLOOKUP(E188,'ARAMA LİSTELERİ'!C188:G2227,5,))</f>
        <v/>
      </c>
      <c r="G188" s="207"/>
      <c r="H188" s="210"/>
      <c r="I188" s="79"/>
      <c r="J188" s="210"/>
      <c r="K188" s="210"/>
      <c r="L188" s="210" t="str">
        <f t="shared" si="1"/>
        <v/>
      </c>
      <c r="M188" s="79"/>
      <c r="N188" s="207"/>
      <c r="O188" s="207"/>
      <c r="P188" s="207"/>
      <c r="Q188" s="207"/>
    </row>
    <row r="189" spans="1:17" ht="34.5" customHeight="1">
      <c r="A189" s="82"/>
      <c r="B189" s="205" t="str">
        <f t="shared" si="2"/>
        <v/>
      </c>
      <c r="C189" s="206" t="str">
        <f t="shared" si="3"/>
        <v/>
      </c>
      <c r="D189" s="207" t="str">
        <f t="shared" si="0"/>
        <v/>
      </c>
      <c r="E189" s="207"/>
      <c r="F189" s="205" t="str">
        <f>IF(E189="","",VLOOKUP(E189,'ARAMA LİSTELERİ'!C189:G2228,5,))</f>
        <v/>
      </c>
      <c r="G189" s="207"/>
      <c r="H189" s="210"/>
      <c r="I189" s="79"/>
      <c r="J189" s="210"/>
      <c r="K189" s="210"/>
      <c r="L189" s="210" t="str">
        <f t="shared" si="1"/>
        <v/>
      </c>
      <c r="M189" s="79"/>
      <c r="N189" s="207"/>
      <c r="O189" s="207"/>
      <c r="P189" s="207"/>
      <c r="Q189" s="207"/>
    </row>
    <row r="190" spans="1:17" ht="34.5" customHeight="1">
      <c r="A190" s="82"/>
      <c r="B190" s="205" t="str">
        <f t="shared" si="2"/>
        <v/>
      </c>
      <c r="C190" s="206" t="str">
        <f t="shared" si="3"/>
        <v/>
      </c>
      <c r="D190" s="207" t="str">
        <f t="shared" si="0"/>
        <v/>
      </c>
      <c r="E190" s="207"/>
      <c r="F190" s="205" t="str">
        <f>IF(E190="","",VLOOKUP(E190,'ARAMA LİSTELERİ'!C190:G2229,5,))</f>
        <v/>
      </c>
      <c r="G190" s="207"/>
      <c r="H190" s="210"/>
      <c r="I190" s="79"/>
      <c r="J190" s="210"/>
      <c r="K190" s="210"/>
      <c r="L190" s="210" t="str">
        <f t="shared" si="1"/>
        <v/>
      </c>
      <c r="M190" s="79"/>
      <c r="N190" s="207"/>
      <c r="O190" s="207"/>
      <c r="P190" s="207"/>
      <c r="Q190" s="207"/>
    </row>
    <row r="191" spans="1:17" ht="34.5" customHeight="1">
      <c r="A191" s="82"/>
      <c r="B191" s="205" t="str">
        <f t="shared" si="2"/>
        <v/>
      </c>
      <c r="C191" s="206" t="str">
        <f t="shared" si="3"/>
        <v/>
      </c>
      <c r="D191" s="207" t="str">
        <f t="shared" si="0"/>
        <v/>
      </c>
      <c r="E191" s="207"/>
      <c r="F191" s="205" t="str">
        <f>IF(E191="","",VLOOKUP(E191,'ARAMA LİSTELERİ'!C191:G2230,5,))</f>
        <v/>
      </c>
      <c r="G191" s="207"/>
      <c r="H191" s="210"/>
      <c r="I191" s="79"/>
      <c r="J191" s="210"/>
      <c r="K191" s="210"/>
      <c r="L191" s="210" t="str">
        <f t="shared" si="1"/>
        <v/>
      </c>
      <c r="M191" s="79"/>
      <c r="N191" s="207"/>
      <c r="O191" s="207"/>
      <c r="P191" s="207"/>
      <c r="Q191" s="207"/>
    </row>
    <row r="192" spans="1:17" ht="34.5" customHeight="1">
      <c r="A192" s="82"/>
      <c r="B192" s="205" t="str">
        <f t="shared" si="2"/>
        <v/>
      </c>
      <c r="C192" s="206" t="str">
        <f t="shared" si="3"/>
        <v/>
      </c>
      <c r="D192" s="207" t="str">
        <f t="shared" si="0"/>
        <v/>
      </c>
      <c r="E192" s="207"/>
      <c r="F192" s="205" t="str">
        <f>IF(E192="","",VLOOKUP(E192,'ARAMA LİSTELERİ'!C192:G2231,5,))</f>
        <v/>
      </c>
      <c r="G192" s="207"/>
      <c r="H192" s="210"/>
      <c r="I192" s="79"/>
      <c r="J192" s="210"/>
      <c r="K192" s="210"/>
      <c r="L192" s="210" t="str">
        <f t="shared" si="1"/>
        <v/>
      </c>
      <c r="M192" s="79"/>
      <c r="N192" s="207"/>
      <c r="O192" s="207"/>
      <c r="P192" s="207"/>
      <c r="Q192" s="207"/>
    </row>
    <row r="193" spans="1:17" ht="34.5" customHeight="1">
      <c r="A193" s="82"/>
      <c r="B193" s="205" t="str">
        <f t="shared" si="2"/>
        <v/>
      </c>
      <c r="C193" s="206" t="str">
        <f t="shared" si="3"/>
        <v/>
      </c>
      <c r="D193" s="207" t="str">
        <f t="shared" si="0"/>
        <v/>
      </c>
      <c r="E193" s="207"/>
      <c r="F193" s="205" t="str">
        <f>IF(E193="","",VLOOKUP(E193,'ARAMA LİSTELERİ'!C193:G2232,5,))</f>
        <v/>
      </c>
      <c r="G193" s="207"/>
      <c r="H193" s="210"/>
      <c r="I193" s="79"/>
      <c r="J193" s="210"/>
      <c r="K193" s="210"/>
      <c r="L193" s="210" t="str">
        <f t="shared" si="1"/>
        <v/>
      </c>
      <c r="M193" s="79"/>
      <c r="N193" s="207"/>
      <c r="O193" s="207"/>
      <c r="P193" s="207"/>
      <c r="Q193" s="207"/>
    </row>
    <row r="194" spans="1:17" ht="34.5" customHeight="1">
      <c r="A194" s="82"/>
      <c r="B194" s="205" t="str">
        <f t="shared" si="2"/>
        <v/>
      </c>
      <c r="C194" s="206" t="str">
        <f t="shared" si="3"/>
        <v/>
      </c>
      <c r="D194" s="207" t="str">
        <f t="shared" si="0"/>
        <v/>
      </c>
      <c r="E194" s="207"/>
      <c r="F194" s="205" t="str">
        <f>IF(E194="","",VLOOKUP(E194,'ARAMA LİSTELERİ'!C194:G2233,5,))</f>
        <v/>
      </c>
      <c r="G194" s="207"/>
      <c r="H194" s="210"/>
      <c r="I194" s="79"/>
      <c r="J194" s="210"/>
      <c r="K194" s="210"/>
      <c r="L194" s="210" t="str">
        <f t="shared" si="1"/>
        <v/>
      </c>
      <c r="M194" s="79"/>
      <c r="N194" s="207"/>
      <c r="O194" s="207"/>
      <c r="P194" s="207"/>
      <c r="Q194" s="207"/>
    </row>
    <row r="195" spans="1:17" ht="34.5" customHeight="1">
      <c r="A195" s="82"/>
      <c r="B195" s="205" t="str">
        <f t="shared" si="2"/>
        <v/>
      </c>
      <c r="C195" s="206" t="str">
        <f t="shared" si="3"/>
        <v/>
      </c>
      <c r="D195" s="207" t="str">
        <f t="shared" si="0"/>
        <v/>
      </c>
      <c r="E195" s="207"/>
      <c r="F195" s="205" t="str">
        <f>IF(E195="","",VLOOKUP(E195,'ARAMA LİSTELERİ'!C195:G2234,5,))</f>
        <v/>
      </c>
      <c r="G195" s="207"/>
      <c r="H195" s="210"/>
      <c r="I195" s="79"/>
      <c r="J195" s="210"/>
      <c r="K195" s="210"/>
      <c r="L195" s="210" t="str">
        <f t="shared" si="1"/>
        <v/>
      </c>
      <c r="M195" s="79"/>
      <c r="N195" s="207"/>
      <c r="O195" s="207"/>
      <c r="P195" s="207"/>
      <c r="Q195" s="207"/>
    </row>
    <row r="196" spans="1:17" ht="34.5" customHeight="1">
      <c r="A196" s="82"/>
      <c r="B196" s="205" t="str">
        <f t="shared" si="2"/>
        <v/>
      </c>
      <c r="C196" s="206" t="str">
        <f t="shared" si="3"/>
        <v/>
      </c>
      <c r="D196" s="207" t="str">
        <f t="shared" si="0"/>
        <v/>
      </c>
      <c r="E196" s="207"/>
      <c r="F196" s="205" t="str">
        <f>IF(E196="","",VLOOKUP(E196,'ARAMA LİSTELERİ'!C196:G2235,5,))</f>
        <v/>
      </c>
      <c r="G196" s="207"/>
      <c r="H196" s="210"/>
      <c r="I196" s="79"/>
      <c r="J196" s="210"/>
      <c r="K196" s="210"/>
      <c r="L196" s="210" t="str">
        <f t="shared" si="1"/>
        <v/>
      </c>
      <c r="M196" s="79"/>
      <c r="N196" s="207"/>
      <c r="O196" s="207"/>
      <c r="P196" s="207"/>
      <c r="Q196" s="207"/>
    </row>
    <row r="197" spans="1:17" ht="34.5" customHeight="1">
      <c r="A197" s="82"/>
      <c r="B197" s="205" t="str">
        <f t="shared" si="2"/>
        <v/>
      </c>
      <c r="C197" s="206" t="str">
        <f t="shared" si="3"/>
        <v/>
      </c>
      <c r="D197" s="207" t="str">
        <f t="shared" si="0"/>
        <v/>
      </c>
      <c r="E197" s="207"/>
      <c r="F197" s="205" t="str">
        <f>IF(E197="","",VLOOKUP(E197,'ARAMA LİSTELERİ'!C197:G2236,5,))</f>
        <v/>
      </c>
      <c r="G197" s="207"/>
      <c r="H197" s="210"/>
      <c r="I197" s="79"/>
      <c r="J197" s="210"/>
      <c r="K197" s="210"/>
      <c r="L197" s="210" t="str">
        <f t="shared" si="1"/>
        <v/>
      </c>
      <c r="M197" s="79"/>
      <c r="N197" s="207"/>
      <c r="O197" s="207"/>
      <c r="P197" s="207"/>
      <c r="Q197" s="207"/>
    </row>
    <row r="198" spans="1:17" ht="34.5" customHeight="1">
      <c r="A198" s="82"/>
      <c r="B198" s="205" t="str">
        <f t="shared" si="2"/>
        <v/>
      </c>
      <c r="C198" s="206" t="str">
        <f t="shared" si="3"/>
        <v/>
      </c>
      <c r="D198" s="207" t="str">
        <f t="shared" si="0"/>
        <v/>
      </c>
      <c r="E198" s="207"/>
      <c r="F198" s="205" t="str">
        <f>IF(E198="","",VLOOKUP(E198,'ARAMA LİSTELERİ'!C198:G2237,5,))</f>
        <v/>
      </c>
      <c r="G198" s="207"/>
      <c r="H198" s="210"/>
      <c r="I198" s="79"/>
      <c r="J198" s="210"/>
      <c r="K198" s="210"/>
      <c r="L198" s="210" t="str">
        <f t="shared" si="1"/>
        <v/>
      </c>
      <c r="M198" s="79"/>
      <c r="N198" s="207"/>
      <c r="O198" s="207"/>
      <c r="P198" s="207"/>
      <c r="Q198" s="207"/>
    </row>
    <row r="199" spans="1:17" ht="34.5" customHeight="1">
      <c r="A199" s="82"/>
      <c r="B199" s="205" t="str">
        <f t="shared" si="2"/>
        <v/>
      </c>
      <c r="C199" s="206" t="str">
        <f t="shared" si="3"/>
        <v/>
      </c>
      <c r="D199" s="207" t="str">
        <f t="shared" si="0"/>
        <v/>
      </c>
      <c r="E199" s="207"/>
      <c r="F199" s="205" t="str">
        <f>IF(E199="","",VLOOKUP(E199,'ARAMA LİSTELERİ'!C199:G2238,5,))</f>
        <v/>
      </c>
      <c r="G199" s="207"/>
      <c r="H199" s="210"/>
      <c r="I199" s="79"/>
      <c r="J199" s="210"/>
      <c r="K199" s="210"/>
      <c r="L199" s="210" t="str">
        <f t="shared" si="1"/>
        <v/>
      </c>
      <c r="M199" s="79"/>
      <c r="N199" s="207"/>
      <c r="O199" s="207"/>
      <c r="P199" s="207"/>
      <c r="Q199" s="207"/>
    </row>
    <row r="200" spans="1:17" ht="34.5" customHeight="1">
      <c r="A200" s="82"/>
      <c r="B200" s="205" t="str">
        <f t="shared" si="2"/>
        <v/>
      </c>
      <c r="C200" s="206" t="str">
        <f t="shared" si="3"/>
        <v/>
      </c>
      <c r="D200" s="207" t="str">
        <f t="shared" si="0"/>
        <v/>
      </c>
      <c r="E200" s="207"/>
      <c r="F200" s="205" t="str">
        <f>IF(E200="","",VLOOKUP(E200,'ARAMA LİSTELERİ'!C200:G2239,5,))</f>
        <v/>
      </c>
      <c r="G200" s="207"/>
      <c r="H200" s="210"/>
      <c r="I200" s="79"/>
      <c r="J200" s="210"/>
      <c r="K200" s="210"/>
      <c r="L200" s="210" t="str">
        <f t="shared" si="1"/>
        <v/>
      </c>
      <c r="M200" s="79"/>
      <c r="N200" s="207"/>
      <c r="O200" s="207"/>
      <c r="P200" s="207"/>
      <c r="Q200" s="207"/>
    </row>
    <row r="201" spans="1:17" ht="34.5" customHeight="1">
      <c r="A201" s="82"/>
      <c r="B201" s="205" t="str">
        <f t="shared" si="2"/>
        <v/>
      </c>
      <c r="C201" s="206" t="str">
        <f t="shared" si="3"/>
        <v/>
      </c>
      <c r="D201" s="207" t="str">
        <f t="shared" si="0"/>
        <v/>
      </c>
      <c r="E201" s="207"/>
      <c r="F201" s="205" t="str">
        <f>IF(E201="","",VLOOKUP(E201,'ARAMA LİSTELERİ'!C201:G2240,5,))</f>
        <v/>
      </c>
      <c r="G201" s="207"/>
      <c r="H201" s="210"/>
      <c r="I201" s="79"/>
      <c r="J201" s="210"/>
      <c r="K201" s="210"/>
      <c r="L201" s="210" t="str">
        <f t="shared" si="1"/>
        <v/>
      </c>
      <c r="M201" s="79"/>
      <c r="N201" s="207"/>
      <c r="O201" s="207"/>
      <c r="P201" s="207"/>
      <c r="Q201" s="207"/>
    </row>
    <row r="202" spans="1:17" ht="34.5" customHeight="1">
      <c r="A202" s="82"/>
      <c r="B202" s="205" t="str">
        <f t="shared" si="2"/>
        <v/>
      </c>
      <c r="C202" s="206" t="str">
        <f t="shared" si="3"/>
        <v/>
      </c>
      <c r="D202" s="207" t="str">
        <f t="shared" si="0"/>
        <v/>
      </c>
      <c r="E202" s="207"/>
      <c r="F202" s="205" t="str">
        <f>IF(E202="","",VLOOKUP(E202,'ARAMA LİSTELERİ'!C202:G2241,5,))</f>
        <v/>
      </c>
      <c r="G202" s="207"/>
      <c r="H202" s="210"/>
      <c r="I202" s="79"/>
      <c r="J202" s="210"/>
      <c r="K202" s="210"/>
      <c r="L202" s="210" t="str">
        <f t="shared" si="1"/>
        <v/>
      </c>
      <c r="M202" s="79"/>
      <c r="N202" s="207"/>
      <c r="O202" s="207"/>
      <c r="P202" s="207"/>
      <c r="Q202" s="207"/>
    </row>
    <row r="203" spans="1:17" ht="34.5" customHeight="1">
      <c r="A203" s="82"/>
      <c r="B203" s="205" t="str">
        <f t="shared" si="2"/>
        <v/>
      </c>
      <c r="C203" s="206" t="str">
        <f t="shared" si="3"/>
        <v/>
      </c>
      <c r="D203" s="207" t="str">
        <f t="shared" si="0"/>
        <v/>
      </c>
      <c r="E203" s="207"/>
      <c r="F203" s="205" t="str">
        <f>IF(E203="","",VLOOKUP(E203,'ARAMA LİSTELERİ'!C203:G2242,5,))</f>
        <v/>
      </c>
      <c r="G203" s="207"/>
      <c r="H203" s="210"/>
      <c r="I203" s="79"/>
      <c r="J203" s="210"/>
      <c r="K203" s="210"/>
      <c r="L203" s="210" t="str">
        <f t="shared" si="1"/>
        <v/>
      </c>
      <c r="M203" s="79"/>
      <c r="N203" s="207"/>
      <c r="O203" s="207"/>
      <c r="P203" s="207"/>
      <c r="Q203" s="207"/>
    </row>
    <row r="204" spans="1:17" ht="34.5" customHeight="1">
      <c r="A204" s="82"/>
      <c r="B204" s="205" t="str">
        <f t="shared" si="2"/>
        <v/>
      </c>
      <c r="C204" s="206" t="str">
        <f t="shared" si="3"/>
        <v/>
      </c>
      <c r="D204" s="207" t="str">
        <f t="shared" si="0"/>
        <v/>
      </c>
      <c r="E204" s="207"/>
      <c r="F204" s="205" t="str">
        <f>IF(E204="","",VLOOKUP(E204,'ARAMA LİSTELERİ'!C204:G2243,5,))</f>
        <v/>
      </c>
      <c r="G204" s="207"/>
      <c r="H204" s="210"/>
      <c r="I204" s="79"/>
      <c r="J204" s="210"/>
      <c r="K204" s="210"/>
      <c r="L204" s="210" t="str">
        <f t="shared" si="1"/>
        <v/>
      </c>
      <c r="M204" s="79"/>
      <c r="N204" s="207"/>
      <c r="O204" s="207"/>
      <c r="P204" s="207"/>
      <c r="Q204" s="207"/>
    </row>
    <row r="205" spans="1:17" ht="34.5" customHeight="1">
      <c r="A205" s="82"/>
      <c r="B205" s="205" t="str">
        <f t="shared" si="2"/>
        <v/>
      </c>
      <c r="C205" s="206" t="str">
        <f t="shared" si="3"/>
        <v/>
      </c>
      <c r="D205" s="207" t="str">
        <f t="shared" si="0"/>
        <v/>
      </c>
      <c r="E205" s="207"/>
      <c r="F205" s="205" t="str">
        <f>IF(E205="","",VLOOKUP(E205,'ARAMA LİSTELERİ'!C205:G2244,5,))</f>
        <v/>
      </c>
      <c r="G205" s="207"/>
      <c r="H205" s="210"/>
      <c r="I205" s="79"/>
      <c r="J205" s="210"/>
      <c r="K205" s="210"/>
      <c r="L205" s="210" t="str">
        <f t="shared" si="1"/>
        <v/>
      </c>
      <c r="M205" s="79"/>
      <c r="N205" s="207"/>
      <c r="O205" s="207"/>
      <c r="P205" s="207"/>
      <c r="Q205" s="207"/>
    </row>
    <row r="206" spans="1:17" ht="34.5" customHeight="1">
      <c r="A206" s="82"/>
      <c r="B206" s="205" t="str">
        <f t="shared" si="2"/>
        <v/>
      </c>
      <c r="C206" s="206" t="str">
        <f t="shared" si="3"/>
        <v/>
      </c>
      <c r="D206" s="207" t="str">
        <f t="shared" si="0"/>
        <v/>
      </c>
      <c r="E206" s="207"/>
      <c r="F206" s="205" t="str">
        <f>IF(E206="","",VLOOKUP(E206,'ARAMA LİSTELERİ'!C206:G2245,5,))</f>
        <v/>
      </c>
      <c r="G206" s="207"/>
      <c r="H206" s="210"/>
      <c r="I206" s="79"/>
      <c r="J206" s="210"/>
      <c r="K206" s="210"/>
      <c r="L206" s="210" t="str">
        <f t="shared" si="1"/>
        <v/>
      </c>
      <c r="M206" s="79"/>
      <c r="N206" s="207"/>
      <c r="O206" s="207"/>
      <c r="P206" s="207"/>
      <c r="Q206" s="207"/>
    </row>
    <row r="207" spans="1:17" ht="34.5" customHeight="1">
      <c r="A207" s="82"/>
      <c r="B207" s="205" t="str">
        <f t="shared" si="2"/>
        <v/>
      </c>
      <c r="C207" s="206" t="str">
        <f t="shared" si="3"/>
        <v/>
      </c>
      <c r="D207" s="207" t="str">
        <f t="shared" si="0"/>
        <v/>
      </c>
      <c r="E207" s="207"/>
      <c r="F207" s="205" t="str">
        <f>IF(E207="","",VLOOKUP(E207,'ARAMA LİSTELERİ'!C207:G2246,5,))</f>
        <v/>
      </c>
      <c r="G207" s="207"/>
      <c r="H207" s="210"/>
      <c r="I207" s="79"/>
      <c r="J207" s="210"/>
      <c r="K207" s="210"/>
      <c r="L207" s="210" t="str">
        <f t="shared" si="1"/>
        <v/>
      </c>
      <c r="M207" s="79"/>
      <c r="N207" s="207"/>
      <c r="O207" s="207"/>
      <c r="P207" s="207"/>
      <c r="Q207" s="207"/>
    </row>
    <row r="208" spans="1:17" ht="34.5" customHeight="1">
      <c r="A208" s="82"/>
      <c r="B208" s="205" t="str">
        <f t="shared" si="2"/>
        <v/>
      </c>
      <c r="C208" s="206" t="str">
        <f t="shared" si="3"/>
        <v/>
      </c>
      <c r="D208" s="207" t="str">
        <f t="shared" si="0"/>
        <v/>
      </c>
      <c r="E208" s="207"/>
      <c r="F208" s="205" t="str">
        <f>IF(E208="","",VLOOKUP(E208,'ARAMA LİSTELERİ'!C208:G2247,5,))</f>
        <v/>
      </c>
      <c r="G208" s="207"/>
      <c r="H208" s="210"/>
      <c r="I208" s="79"/>
      <c r="J208" s="210"/>
      <c r="K208" s="210"/>
      <c r="L208" s="210" t="str">
        <f t="shared" si="1"/>
        <v/>
      </c>
      <c r="M208" s="79"/>
      <c r="N208" s="207"/>
      <c r="O208" s="207"/>
      <c r="P208" s="207"/>
      <c r="Q208" s="207"/>
    </row>
    <row r="209" spans="1:17" ht="34.5" customHeight="1">
      <c r="A209" s="82"/>
      <c r="B209" s="205" t="str">
        <f t="shared" si="2"/>
        <v/>
      </c>
      <c r="C209" s="206" t="str">
        <f t="shared" si="3"/>
        <v/>
      </c>
      <c r="D209" s="207" t="str">
        <f t="shared" si="0"/>
        <v/>
      </c>
      <c r="E209" s="207"/>
      <c r="F209" s="205" t="str">
        <f>IF(E209="","",VLOOKUP(E209,'ARAMA LİSTELERİ'!C209:G2248,5,))</f>
        <v/>
      </c>
      <c r="G209" s="207"/>
      <c r="H209" s="210"/>
      <c r="I209" s="79"/>
      <c r="J209" s="210"/>
      <c r="K209" s="210"/>
      <c r="L209" s="210" t="str">
        <f t="shared" si="1"/>
        <v/>
      </c>
      <c r="M209" s="79"/>
      <c r="N209" s="207"/>
      <c r="O209" s="207"/>
      <c r="P209" s="207"/>
      <c r="Q209" s="207"/>
    </row>
    <row r="210" spans="1:17" ht="34.5" customHeight="1">
      <c r="A210" s="82"/>
      <c r="B210" s="205" t="str">
        <f t="shared" si="2"/>
        <v/>
      </c>
      <c r="C210" s="206" t="str">
        <f t="shared" si="3"/>
        <v/>
      </c>
      <c r="D210" s="207" t="str">
        <f t="shared" si="0"/>
        <v/>
      </c>
      <c r="E210" s="207"/>
      <c r="F210" s="205" t="str">
        <f>IF(E210="","",VLOOKUP(E210,'ARAMA LİSTELERİ'!C210:G2249,5,))</f>
        <v/>
      </c>
      <c r="G210" s="207"/>
      <c r="H210" s="210"/>
      <c r="I210" s="79"/>
      <c r="J210" s="210"/>
      <c r="K210" s="210"/>
      <c r="L210" s="210" t="str">
        <f t="shared" si="1"/>
        <v/>
      </c>
      <c r="M210" s="79"/>
      <c r="N210" s="207"/>
      <c r="O210" s="207"/>
      <c r="P210" s="207"/>
      <c r="Q210" s="207"/>
    </row>
    <row r="211" spans="1:17" ht="34.5" customHeight="1">
      <c r="A211" s="82"/>
      <c r="B211" s="205" t="str">
        <f t="shared" si="2"/>
        <v/>
      </c>
      <c r="C211" s="206" t="str">
        <f t="shared" si="3"/>
        <v/>
      </c>
      <c r="D211" s="207" t="str">
        <f t="shared" si="0"/>
        <v/>
      </c>
      <c r="E211" s="207"/>
      <c r="F211" s="205" t="str">
        <f>IF(E211="","",VLOOKUP(E211,'ARAMA LİSTELERİ'!C211:G2250,5,))</f>
        <v/>
      </c>
      <c r="G211" s="207"/>
      <c r="H211" s="210"/>
      <c r="I211" s="79"/>
      <c r="J211" s="210"/>
      <c r="K211" s="210"/>
      <c r="L211" s="210" t="str">
        <f t="shared" si="1"/>
        <v/>
      </c>
      <c r="M211" s="79"/>
      <c r="N211" s="207"/>
      <c r="O211" s="207"/>
      <c r="P211" s="207"/>
      <c r="Q211" s="207"/>
    </row>
    <row r="212" spans="1:17" ht="34.5" customHeight="1">
      <c r="A212" s="82"/>
      <c r="B212" s="205" t="str">
        <f t="shared" si="2"/>
        <v/>
      </c>
      <c r="C212" s="206" t="str">
        <f t="shared" si="3"/>
        <v/>
      </c>
      <c r="D212" s="207" t="str">
        <f t="shared" si="0"/>
        <v/>
      </c>
      <c r="E212" s="207"/>
      <c r="F212" s="205" t="str">
        <f>IF(E212="","",VLOOKUP(E212,'ARAMA LİSTELERİ'!C212:G2251,5,))</f>
        <v/>
      </c>
      <c r="G212" s="207"/>
      <c r="H212" s="210"/>
      <c r="I212" s="79"/>
      <c r="J212" s="210"/>
      <c r="K212" s="210"/>
      <c r="L212" s="210" t="str">
        <f t="shared" si="1"/>
        <v/>
      </c>
      <c r="M212" s="79"/>
      <c r="N212" s="207"/>
      <c r="O212" s="207"/>
      <c r="P212" s="207"/>
      <c r="Q212" s="207"/>
    </row>
    <row r="213" spans="1:17" ht="34.5" customHeight="1">
      <c r="A213" s="82"/>
      <c r="B213" s="205" t="str">
        <f t="shared" si="2"/>
        <v/>
      </c>
      <c r="C213" s="206" t="str">
        <f t="shared" si="3"/>
        <v/>
      </c>
      <c r="D213" s="207" t="str">
        <f t="shared" si="0"/>
        <v/>
      </c>
      <c r="E213" s="207"/>
      <c r="F213" s="205" t="str">
        <f>IF(E213="","",VLOOKUP(E213,'ARAMA LİSTELERİ'!C213:G2252,5,))</f>
        <v/>
      </c>
      <c r="G213" s="207"/>
      <c r="H213" s="210"/>
      <c r="I213" s="79"/>
      <c r="J213" s="210"/>
      <c r="K213" s="210"/>
      <c r="L213" s="210" t="str">
        <f t="shared" si="1"/>
        <v/>
      </c>
      <c r="M213" s="79"/>
      <c r="N213" s="207"/>
      <c r="O213" s="207"/>
      <c r="P213" s="207"/>
      <c r="Q213" s="207"/>
    </row>
    <row r="214" spans="1:17" ht="34.5" customHeight="1">
      <c r="A214" s="82"/>
      <c r="B214" s="205" t="str">
        <f t="shared" si="2"/>
        <v/>
      </c>
      <c r="C214" s="206" t="str">
        <f t="shared" si="3"/>
        <v/>
      </c>
      <c r="D214" s="207" t="str">
        <f t="shared" si="0"/>
        <v/>
      </c>
      <c r="E214" s="207"/>
      <c r="F214" s="205" t="str">
        <f>IF(E214="","",VLOOKUP(E214,'ARAMA LİSTELERİ'!C214:G2253,5,))</f>
        <v/>
      </c>
      <c r="G214" s="207"/>
      <c r="H214" s="210"/>
      <c r="I214" s="79"/>
      <c r="J214" s="210"/>
      <c r="K214" s="210"/>
      <c r="L214" s="210" t="str">
        <f t="shared" si="1"/>
        <v/>
      </c>
      <c r="M214" s="79"/>
      <c r="N214" s="207"/>
      <c r="O214" s="207"/>
      <c r="P214" s="207"/>
      <c r="Q214" s="207"/>
    </row>
    <row r="215" spans="1:17" ht="34.5" customHeight="1">
      <c r="A215" s="82"/>
      <c r="B215" s="205" t="str">
        <f t="shared" si="2"/>
        <v/>
      </c>
      <c r="C215" s="206" t="str">
        <f t="shared" si="3"/>
        <v/>
      </c>
      <c r="D215" s="207" t="str">
        <f t="shared" si="0"/>
        <v/>
      </c>
      <c r="E215" s="207"/>
      <c r="F215" s="205" t="str">
        <f>IF(E215="","",VLOOKUP(E215,'ARAMA LİSTELERİ'!C215:G2254,5,))</f>
        <v/>
      </c>
      <c r="G215" s="207"/>
      <c r="H215" s="210"/>
      <c r="I215" s="79"/>
      <c r="J215" s="210"/>
      <c r="K215" s="210"/>
      <c r="L215" s="210" t="str">
        <f t="shared" si="1"/>
        <v/>
      </c>
      <c r="M215" s="79"/>
      <c r="N215" s="207"/>
      <c r="O215" s="207"/>
      <c r="P215" s="207"/>
      <c r="Q215" s="207"/>
    </row>
    <row r="216" spans="1:17" ht="34.5" customHeight="1">
      <c r="A216" s="82"/>
      <c r="B216" s="205" t="str">
        <f t="shared" si="2"/>
        <v/>
      </c>
      <c r="C216" s="206" t="str">
        <f t="shared" si="3"/>
        <v/>
      </c>
      <c r="D216" s="207" t="str">
        <f t="shared" si="0"/>
        <v/>
      </c>
      <c r="E216" s="207"/>
      <c r="F216" s="205" t="str">
        <f>IF(E216="","",VLOOKUP(E216,'ARAMA LİSTELERİ'!C216:G2255,5,))</f>
        <v/>
      </c>
      <c r="G216" s="207"/>
      <c r="H216" s="210"/>
      <c r="I216" s="79"/>
      <c r="J216" s="210"/>
      <c r="K216" s="210"/>
      <c r="L216" s="210" t="str">
        <f t="shared" si="1"/>
        <v/>
      </c>
      <c r="M216" s="79"/>
      <c r="N216" s="207"/>
      <c r="O216" s="207"/>
      <c r="P216" s="207"/>
      <c r="Q216" s="207"/>
    </row>
    <row r="217" spans="1:17" ht="34.5" customHeight="1">
      <c r="A217" s="82"/>
      <c r="B217" s="205" t="str">
        <f t="shared" si="2"/>
        <v/>
      </c>
      <c r="C217" s="206" t="str">
        <f t="shared" si="3"/>
        <v/>
      </c>
      <c r="D217" s="207" t="str">
        <f t="shared" si="0"/>
        <v/>
      </c>
      <c r="E217" s="207"/>
      <c r="F217" s="205" t="str">
        <f>IF(E217="","",VLOOKUP(E217,'ARAMA LİSTELERİ'!C217:G2256,5,))</f>
        <v/>
      </c>
      <c r="G217" s="207"/>
      <c r="H217" s="210"/>
      <c r="I217" s="79"/>
      <c r="J217" s="210"/>
      <c r="K217" s="210"/>
      <c r="L217" s="210" t="str">
        <f t="shared" si="1"/>
        <v/>
      </c>
      <c r="M217" s="79"/>
      <c r="N217" s="207"/>
      <c r="O217" s="207"/>
      <c r="P217" s="207"/>
      <c r="Q217" s="207"/>
    </row>
    <row r="218" spans="1:17" ht="34.5" customHeight="1">
      <c r="A218" s="82"/>
      <c r="B218" s="205" t="str">
        <f t="shared" si="2"/>
        <v/>
      </c>
      <c r="C218" s="206" t="str">
        <f t="shared" si="3"/>
        <v/>
      </c>
      <c r="D218" s="207" t="str">
        <f t="shared" si="0"/>
        <v/>
      </c>
      <c r="E218" s="207"/>
      <c r="F218" s="205" t="str">
        <f>IF(E218="","",VLOOKUP(E218,'ARAMA LİSTELERİ'!C218:G2257,5,))</f>
        <v/>
      </c>
      <c r="G218" s="207"/>
      <c r="H218" s="210"/>
      <c r="I218" s="79"/>
      <c r="J218" s="210"/>
      <c r="K218" s="210"/>
      <c r="L218" s="210" t="str">
        <f t="shared" si="1"/>
        <v/>
      </c>
      <c r="M218" s="79"/>
      <c r="N218" s="207"/>
      <c r="O218" s="207"/>
      <c r="P218" s="207"/>
      <c r="Q218" s="207"/>
    </row>
    <row r="219" spans="1:17" ht="34.5" customHeight="1">
      <c r="A219" s="82"/>
      <c r="B219" s="205" t="str">
        <f t="shared" si="2"/>
        <v/>
      </c>
      <c r="C219" s="206" t="str">
        <f t="shared" si="3"/>
        <v/>
      </c>
      <c r="D219" s="207" t="str">
        <f t="shared" si="0"/>
        <v/>
      </c>
      <c r="E219" s="207"/>
      <c r="F219" s="205" t="str">
        <f>IF(E219="","",VLOOKUP(E219,'ARAMA LİSTELERİ'!C219:G2258,5,))</f>
        <v/>
      </c>
      <c r="G219" s="207"/>
      <c r="H219" s="210"/>
      <c r="I219" s="79"/>
      <c r="J219" s="210"/>
      <c r="K219" s="210"/>
      <c r="L219" s="210" t="str">
        <f t="shared" si="1"/>
        <v/>
      </c>
      <c r="M219" s="79"/>
      <c r="N219" s="207"/>
      <c r="O219" s="207"/>
      <c r="P219" s="207"/>
      <c r="Q219" s="207"/>
    </row>
    <row r="220" spans="1:17" ht="34.5" customHeight="1">
      <c r="A220" s="82"/>
      <c r="B220" s="205" t="str">
        <f t="shared" si="2"/>
        <v/>
      </c>
      <c r="C220" s="206" t="str">
        <f t="shared" si="3"/>
        <v/>
      </c>
      <c r="D220" s="207" t="str">
        <f t="shared" si="0"/>
        <v/>
      </c>
      <c r="E220" s="207"/>
      <c r="F220" s="205" t="str">
        <f>IF(E220="","",VLOOKUP(E220,'ARAMA LİSTELERİ'!C220:G2259,5,))</f>
        <v/>
      </c>
      <c r="G220" s="207"/>
      <c r="H220" s="210"/>
      <c r="I220" s="79"/>
      <c r="J220" s="210"/>
      <c r="K220" s="210"/>
      <c r="L220" s="210" t="str">
        <f t="shared" si="1"/>
        <v/>
      </c>
      <c r="M220" s="79"/>
      <c r="N220" s="207"/>
      <c r="O220" s="207"/>
      <c r="P220" s="207"/>
      <c r="Q220" s="207"/>
    </row>
    <row r="221" spans="1:17" ht="34.5" customHeight="1">
      <c r="A221" s="82"/>
      <c r="B221" s="205" t="str">
        <f t="shared" si="2"/>
        <v/>
      </c>
      <c r="C221" s="206" t="str">
        <f t="shared" si="3"/>
        <v/>
      </c>
      <c r="D221" s="207" t="str">
        <f t="shared" si="0"/>
        <v/>
      </c>
      <c r="E221" s="207"/>
      <c r="F221" s="205" t="str">
        <f>IF(E221="","",VLOOKUP(E221,'ARAMA LİSTELERİ'!C221:G2260,5,))</f>
        <v/>
      </c>
      <c r="G221" s="207"/>
      <c r="H221" s="210"/>
      <c r="I221" s="79"/>
      <c r="J221" s="210"/>
      <c r="K221" s="210"/>
      <c r="L221" s="210" t="str">
        <f t="shared" si="1"/>
        <v/>
      </c>
      <c r="M221" s="79"/>
      <c r="N221" s="207"/>
      <c r="O221" s="207"/>
      <c r="P221" s="207"/>
      <c r="Q221" s="207"/>
    </row>
    <row r="222" spans="1:17" ht="34.5" customHeight="1">
      <c r="A222" s="82"/>
      <c r="B222" s="205" t="str">
        <f t="shared" si="2"/>
        <v/>
      </c>
      <c r="C222" s="206" t="str">
        <f t="shared" si="3"/>
        <v/>
      </c>
      <c r="D222" s="207" t="str">
        <f t="shared" si="0"/>
        <v/>
      </c>
      <c r="E222" s="207"/>
      <c r="F222" s="205" t="str">
        <f>IF(E222="","",VLOOKUP(E222,'ARAMA LİSTELERİ'!C222:G2261,5,))</f>
        <v/>
      </c>
      <c r="G222" s="207"/>
      <c r="H222" s="210"/>
      <c r="I222" s="79"/>
      <c r="J222" s="210"/>
      <c r="K222" s="210"/>
      <c r="L222" s="210" t="str">
        <f t="shared" si="1"/>
        <v/>
      </c>
      <c r="M222" s="79"/>
      <c r="N222" s="207"/>
      <c r="O222" s="207"/>
      <c r="P222" s="207"/>
      <c r="Q222" s="207"/>
    </row>
    <row r="223" spans="1:17" ht="34.5" customHeight="1">
      <c r="A223" s="82"/>
      <c r="B223" s="205" t="str">
        <f t="shared" si="2"/>
        <v/>
      </c>
      <c r="C223" s="206" t="str">
        <f t="shared" si="3"/>
        <v/>
      </c>
      <c r="D223" s="207" t="str">
        <f t="shared" si="0"/>
        <v/>
      </c>
      <c r="E223" s="207"/>
      <c r="F223" s="205" t="str">
        <f>IF(E223="","",VLOOKUP(E223,'ARAMA LİSTELERİ'!C223:G2262,5,))</f>
        <v/>
      </c>
      <c r="G223" s="207"/>
      <c r="H223" s="210"/>
      <c r="I223" s="79"/>
      <c r="J223" s="210"/>
      <c r="K223" s="210"/>
      <c r="L223" s="210" t="str">
        <f t="shared" si="1"/>
        <v/>
      </c>
      <c r="M223" s="79"/>
      <c r="N223" s="207"/>
      <c r="O223" s="207"/>
      <c r="P223" s="207"/>
      <c r="Q223" s="207"/>
    </row>
    <row r="224" spans="1:17" ht="34.5" customHeight="1">
      <c r="A224" s="82"/>
      <c r="B224" s="205" t="str">
        <f t="shared" si="2"/>
        <v/>
      </c>
      <c r="C224" s="206" t="str">
        <f t="shared" si="3"/>
        <v/>
      </c>
      <c r="D224" s="207" t="str">
        <f t="shared" si="0"/>
        <v/>
      </c>
      <c r="E224" s="207"/>
      <c r="F224" s="205" t="str">
        <f>IF(E224="","",VLOOKUP(E224,'ARAMA LİSTELERİ'!C224:G2263,5,))</f>
        <v/>
      </c>
      <c r="G224" s="207"/>
      <c r="H224" s="210"/>
      <c r="I224" s="79"/>
      <c r="J224" s="210"/>
      <c r="K224" s="210"/>
      <c r="L224" s="210" t="str">
        <f t="shared" si="1"/>
        <v/>
      </c>
      <c r="M224" s="79"/>
      <c r="N224" s="207"/>
      <c r="O224" s="207"/>
      <c r="P224" s="207"/>
      <c r="Q224" s="207"/>
    </row>
    <row r="225" spans="1:17" ht="34.5" customHeight="1">
      <c r="A225" s="82"/>
      <c r="B225" s="205" t="str">
        <f t="shared" si="2"/>
        <v/>
      </c>
      <c r="C225" s="206" t="str">
        <f t="shared" si="3"/>
        <v/>
      </c>
      <c r="D225" s="207" t="str">
        <f t="shared" si="0"/>
        <v/>
      </c>
      <c r="E225" s="207"/>
      <c r="F225" s="205" t="str">
        <f>IF(E225="","",VLOOKUP(E225,'ARAMA LİSTELERİ'!C225:G2264,5,))</f>
        <v/>
      </c>
      <c r="G225" s="207"/>
      <c r="H225" s="210"/>
      <c r="I225" s="79"/>
      <c r="J225" s="210"/>
      <c r="K225" s="210"/>
      <c r="L225" s="210" t="str">
        <f t="shared" si="1"/>
        <v/>
      </c>
      <c r="M225" s="79"/>
      <c r="N225" s="207"/>
      <c r="O225" s="207"/>
      <c r="P225" s="207"/>
      <c r="Q225" s="207"/>
    </row>
    <row r="226" spans="1:17" ht="34.5" customHeight="1">
      <c r="A226" s="82"/>
      <c r="B226" s="205" t="str">
        <f t="shared" si="2"/>
        <v/>
      </c>
      <c r="C226" s="206" t="str">
        <f t="shared" si="3"/>
        <v/>
      </c>
      <c r="D226" s="207" t="str">
        <f t="shared" si="0"/>
        <v/>
      </c>
      <c r="E226" s="207"/>
      <c r="F226" s="205" t="str">
        <f>IF(E226="","",VLOOKUP(E226,'ARAMA LİSTELERİ'!C226:G2265,5,))</f>
        <v/>
      </c>
      <c r="G226" s="207"/>
      <c r="H226" s="210"/>
      <c r="I226" s="79"/>
      <c r="J226" s="210"/>
      <c r="K226" s="210"/>
      <c r="L226" s="210" t="str">
        <f t="shared" si="1"/>
        <v/>
      </c>
      <c r="M226" s="79"/>
      <c r="N226" s="207"/>
      <c r="O226" s="207"/>
      <c r="P226" s="207"/>
      <c r="Q226" s="207"/>
    </row>
    <row r="227" spans="1:17" ht="34.5" customHeight="1">
      <c r="A227" s="82"/>
      <c r="B227" s="205" t="str">
        <f t="shared" si="2"/>
        <v/>
      </c>
      <c r="C227" s="206" t="str">
        <f t="shared" si="3"/>
        <v/>
      </c>
      <c r="D227" s="207" t="str">
        <f t="shared" si="0"/>
        <v/>
      </c>
      <c r="E227" s="207"/>
      <c r="F227" s="205" t="str">
        <f>IF(E227="","",VLOOKUP(E227,'ARAMA LİSTELERİ'!C227:G2266,5,))</f>
        <v/>
      </c>
      <c r="G227" s="207"/>
      <c r="H227" s="210"/>
      <c r="I227" s="79"/>
      <c r="J227" s="210"/>
      <c r="K227" s="210"/>
      <c r="L227" s="210" t="str">
        <f t="shared" si="1"/>
        <v/>
      </c>
      <c r="M227" s="79"/>
      <c r="N227" s="207"/>
      <c r="O227" s="207"/>
      <c r="P227" s="207"/>
      <c r="Q227" s="207"/>
    </row>
    <row r="228" spans="1:17" ht="34.5" customHeight="1">
      <c r="A228" s="82"/>
      <c r="B228" s="205" t="str">
        <f t="shared" si="2"/>
        <v/>
      </c>
      <c r="C228" s="206" t="str">
        <f t="shared" si="3"/>
        <v/>
      </c>
      <c r="D228" s="207" t="str">
        <f t="shared" si="0"/>
        <v/>
      </c>
      <c r="E228" s="207"/>
      <c r="F228" s="205" t="str">
        <f>IF(E228="","",VLOOKUP(E228,'ARAMA LİSTELERİ'!C228:G2267,5,))</f>
        <v/>
      </c>
      <c r="G228" s="207"/>
      <c r="H228" s="210"/>
      <c r="I228" s="79"/>
      <c r="J228" s="210"/>
      <c r="K228" s="210"/>
      <c r="L228" s="210" t="str">
        <f t="shared" si="1"/>
        <v/>
      </c>
      <c r="M228" s="79"/>
      <c r="N228" s="207"/>
      <c r="O228" s="207"/>
      <c r="P228" s="207"/>
      <c r="Q228" s="207"/>
    </row>
    <row r="229" spans="1:17" ht="34.5" customHeight="1">
      <c r="A229" s="82"/>
      <c r="B229" s="205" t="str">
        <f t="shared" si="2"/>
        <v/>
      </c>
      <c r="C229" s="206" t="str">
        <f t="shared" si="3"/>
        <v/>
      </c>
      <c r="D229" s="207" t="str">
        <f t="shared" si="0"/>
        <v/>
      </c>
      <c r="E229" s="207"/>
      <c r="F229" s="205" t="str">
        <f>IF(E229="","",VLOOKUP(E229,'ARAMA LİSTELERİ'!C229:G2268,5,))</f>
        <v/>
      </c>
      <c r="G229" s="207"/>
      <c r="H229" s="210"/>
      <c r="I229" s="79"/>
      <c r="J229" s="210"/>
      <c r="K229" s="210"/>
      <c r="L229" s="210" t="str">
        <f t="shared" si="1"/>
        <v/>
      </c>
      <c r="M229" s="79"/>
      <c r="N229" s="207"/>
      <c r="O229" s="207"/>
      <c r="P229" s="207"/>
      <c r="Q229" s="207"/>
    </row>
    <row r="230" spans="1:17" ht="34.5" customHeight="1">
      <c r="A230" s="82"/>
      <c r="B230" s="205" t="str">
        <f t="shared" si="2"/>
        <v/>
      </c>
      <c r="C230" s="206" t="str">
        <f t="shared" si="3"/>
        <v/>
      </c>
      <c r="D230" s="207" t="str">
        <f t="shared" si="0"/>
        <v/>
      </c>
      <c r="E230" s="207"/>
      <c r="F230" s="205" t="str">
        <f>IF(E230="","",VLOOKUP(E230,'ARAMA LİSTELERİ'!C230:G2269,5,))</f>
        <v/>
      </c>
      <c r="G230" s="207"/>
      <c r="H230" s="210"/>
      <c r="I230" s="79"/>
      <c r="J230" s="210"/>
      <c r="K230" s="210"/>
      <c r="L230" s="210" t="str">
        <f t="shared" si="1"/>
        <v/>
      </c>
      <c r="M230" s="79"/>
      <c r="N230" s="207"/>
      <c r="O230" s="207"/>
      <c r="P230" s="207"/>
      <c r="Q230" s="207"/>
    </row>
    <row r="231" spans="1:17" ht="34.5" customHeight="1">
      <c r="A231" s="82"/>
      <c r="B231" s="205" t="str">
        <f t="shared" si="2"/>
        <v/>
      </c>
      <c r="C231" s="206" t="str">
        <f t="shared" si="3"/>
        <v/>
      </c>
      <c r="D231" s="207" t="str">
        <f t="shared" si="0"/>
        <v/>
      </c>
      <c r="E231" s="207"/>
      <c r="F231" s="205" t="str">
        <f>IF(E231="","",VLOOKUP(E231,'ARAMA LİSTELERİ'!C231:G2270,5,))</f>
        <v/>
      </c>
      <c r="G231" s="207"/>
      <c r="H231" s="210"/>
      <c r="I231" s="79"/>
      <c r="J231" s="210"/>
      <c r="K231" s="210"/>
      <c r="L231" s="210" t="str">
        <f t="shared" si="1"/>
        <v/>
      </c>
      <c r="M231" s="79"/>
      <c r="N231" s="207"/>
      <c r="O231" s="207"/>
      <c r="P231" s="207"/>
      <c r="Q231" s="207"/>
    </row>
    <row r="232" spans="1:17" ht="34.5" customHeight="1">
      <c r="A232" s="82"/>
      <c r="B232" s="205" t="str">
        <f t="shared" si="2"/>
        <v/>
      </c>
      <c r="C232" s="206" t="str">
        <f t="shared" si="3"/>
        <v/>
      </c>
      <c r="D232" s="207" t="str">
        <f t="shared" si="0"/>
        <v/>
      </c>
      <c r="E232" s="207"/>
      <c r="F232" s="205" t="str">
        <f>IF(E232="","",VLOOKUP(E232,'ARAMA LİSTELERİ'!C232:G2271,5,))</f>
        <v/>
      </c>
      <c r="G232" s="207"/>
      <c r="H232" s="210"/>
      <c r="I232" s="79"/>
      <c r="J232" s="210"/>
      <c r="K232" s="210"/>
      <c r="L232" s="210" t="str">
        <f t="shared" si="1"/>
        <v/>
      </c>
      <c r="M232" s="79"/>
      <c r="N232" s="207"/>
      <c r="O232" s="207"/>
      <c r="P232" s="207"/>
      <c r="Q232" s="207"/>
    </row>
    <row r="233" spans="1:17" ht="34.5" customHeight="1">
      <c r="A233" s="82"/>
      <c r="B233" s="205" t="str">
        <f t="shared" si="2"/>
        <v/>
      </c>
      <c r="C233" s="206" t="str">
        <f t="shared" si="3"/>
        <v/>
      </c>
      <c r="D233" s="207" t="str">
        <f t="shared" si="0"/>
        <v/>
      </c>
      <c r="E233" s="207"/>
      <c r="F233" s="205" t="str">
        <f>IF(E233="","",VLOOKUP(E233,'ARAMA LİSTELERİ'!C233:G2272,5,))</f>
        <v/>
      </c>
      <c r="G233" s="207"/>
      <c r="H233" s="210"/>
      <c r="I233" s="79"/>
      <c r="J233" s="210"/>
      <c r="K233" s="210"/>
      <c r="L233" s="210" t="str">
        <f t="shared" si="1"/>
        <v/>
      </c>
      <c r="M233" s="79"/>
      <c r="N233" s="207"/>
      <c r="O233" s="207"/>
      <c r="P233" s="207"/>
      <c r="Q233" s="207"/>
    </row>
    <row r="234" spans="1:17" ht="34.5" customHeight="1">
      <c r="A234" s="82"/>
      <c r="B234" s="205" t="str">
        <f t="shared" si="2"/>
        <v/>
      </c>
      <c r="C234" s="206" t="str">
        <f t="shared" si="3"/>
        <v/>
      </c>
      <c r="D234" s="207" t="str">
        <f t="shared" si="0"/>
        <v/>
      </c>
      <c r="E234" s="207"/>
      <c r="F234" s="205" t="str">
        <f>IF(E234="","",VLOOKUP(E234,'ARAMA LİSTELERİ'!C234:G2273,5,))</f>
        <v/>
      </c>
      <c r="G234" s="207"/>
      <c r="H234" s="210"/>
      <c r="I234" s="79"/>
      <c r="J234" s="210"/>
      <c r="K234" s="210"/>
      <c r="L234" s="210" t="str">
        <f t="shared" si="1"/>
        <v/>
      </c>
      <c r="M234" s="79"/>
      <c r="N234" s="207"/>
      <c r="O234" s="207"/>
      <c r="P234" s="207"/>
      <c r="Q234" s="207"/>
    </row>
    <row r="235" spans="1:17" ht="34.5" customHeight="1">
      <c r="A235" s="82"/>
      <c r="B235" s="205" t="str">
        <f t="shared" si="2"/>
        <v/>
      </c>
      <c r="C235" s="206" t="str">
        <f t="shared" si="3"/>
        <v/>
      </c>
      <c r="D235" s="207" t="str">
        <f t="shared" si="0"/>
        <v/>
      </c>
      <c r="E235" s="207"/>
      <c r="F235" s="205" t="str">
        <f>IF(E235="","",VLOOKUP(E235,'ARAMA LİSTELERİ'!C235:G2274,5,))</f>
        <v/>
      </c>
      <c r="G235" s="207"/>
      <c r="H235" s="210"/>
      <c r="I235" s="79"/>
      <c r="J235" s="210"/>
      <c r="K235" s="210"/>
      <c r="L235" s="210" t="str">
        <f t="shared" si="1"/>
        <v/>
      </c>
      <c r="M235" s="79"/>
      <c r="N235" s="207"/>
      <c r="O235" s="207"/>
      <c r="P235" s="207"/>
      <c r="Q235" s="207"/>
    </row>
    <row r="236" spans="1:17" ht="34.5" customHeight="1">
      <c r="A236" s="82"/>
      <c r="B236" s="205" t="str">
        <f t="shared" si="2"/>
        <v/>
      </c>
      <c r="C236" s="206" t="str">
        <f t="shared" si="3"/>
        <v/>
      </c>
      <c r="D236" s="207" t="str">
        <f t="shared" si="0"/>
        <v/>
      </c>
      <c r="E236" s="207"/>
      <c r="F236" s="205" t="str">
        <f>IF(E236="","",VLOOKUP(E236,'ARAMA LİSTELERİ'!C236:G2275,5,))</f>
        <v/>
      </c>
      <c r="G236" s="207"/>
      <c r="H236" s="210"/>
      <c r="I236" s="79"/>
      <c r="J236" s="210"/>
      <c r="K236" s="210"/>
      <c r="L236" s="210" t="str">
        <f t="shared" si="1"/>
        <v/>
      </c>
      <c r="M236" s="79"/>
      <c r="N236" s="207"/>
      <c r="O236" s="207"/>
      <c r="P236" s="207"/>
      <c r="Q236" s="207"/>
    </row>
    <row r="237" spans="1:17" ht="34.5" customHeight="1">
      <c r="A237" s="82"/>
      <c r="B237" s="205" t="str">
        <f t="shared" si="2"/>
        <v/>
      </c>
      <c r="C237" s="206" t="str">
        <f t="shared" si="3"/>
        <v/>
      </c>
      <c r="D237" s="207" t="str">
        <f t="shared" si="0"/>
        <v/>
      </c>
      <c r="E237" s="207"/>
      <c r="F237" s="205" t="str">
        <f>IF(E237="","",VLOOKUP(E237,'ARAMA LİSTELERİ'!C237:G2276,5,))</f>
        <v/>
      </c>
      <c r="G237" s="207"/>
      <c r="H237" s="210"/>
      <c r="I237" s="79"/>
      <c r="J237" s="210"/>
      <c r="K237" s="210"/>
      <c r="L237" s="210" t="str">
        <f t="shared" si="1"/>
        <v/>
      </c>
      <c r="M237" s="79"/>
      <c r="N237" s="207"/>
      <c r="O237" s="207"/>
      <c r="P237" s="207"/>
      <c r="Q237" s="207"/>
    </row>
    <row r="238" spans="1:17" ht="34.5" customHeight="1">
      <c r="A238" s="82"/>
      <c r="B238" s="205" t="str">
        <f t="shared" si="2"/>
        <v/>
      </c>
      <c r="C238" s="206" t="str">
        <f t="shared" si="3"/>
        <v/>
      </c>
      <c r="D238" s="207" t="str">
        <f t="shared" si="0"/>
        <v/>
      </c>
      <c r="E238" s="207"/>
      <c r="F238" s="205" t="str">
        <f>IF(E238="","",VLOOKUP(E238,'ARAMA LİSTELERİ'!C238:G2277,5,))</f>
        <v/>
      </c>
      <c r="G238" s="207"/>
      <c r="H238" s="210"/>
      <c r="I238" s="79"/>
      <c r="J238" s="210"/>
      <c r="K238" s="210"/>
      <c r="L238" s="210" t="str">
        <f t="shared" si="1"/>
        <v/>
      </c>
      <c r="M238" s="79"/>
      <c r="N238" s="207"/>
      <c r="O238" s="207"/>
      <c r="P238" s="207"/>
      <c r="Q238" s="207"/>
    </row>
    <row r="239" spans="1:17" ht="34.5" customHeight="1">
      <c r="A239" s="82"/>
      <c r="B239" s="205" t="str">
        <f t="shared" si="2"/>
        <v/>
      </c>
      <c r="C239" s="206" t="str">
        <f t="shared" si="3"/>
        <v/>
      </c>
      <c r="D239" s="207" t="str">
        <f t="shared" si="0"/>
        <v/>
      </c>
      <c r="E239" s="207"/>
      <c r="F239" s="205" t="str">
        <f>IF(E239="","",VLOOKUP(E239,'ARAMA LİSTELERİ'!C239:G2278,5,))</f>
        <v/>
      </c>
      <c r="G239" s="207"/>
      <c r="H239" s="210"/>
      <c r="I239" s="79"/>
      <c r="J239" s="210"/>
      <c r="K239" s="210"/>
      <c r="L239" s="210" t="str">
        <f t="shared" si="1"/>
        <v/>
      </c>
      <c r="M239" s="79"/>
      <c r="N239" s="207"/>
      <c r="O239" s="207"/>
      <c r="P239" s="207"/>
      <c r="Q239" s="207"/>
    </row>
    <row r="240" spans="1:17" ht="34.5" customHeight="1">
      <c r="A240" s="82"/>
      <c r="B240" s="205" t="str">
        <f t="shared" si="2"/>
        <v/>
      </c>
      <c r="C240" s="206" t="str">
        <f t="shared" si="3"/>
        <v/>
      </c>
      <c r="D240" s="207" t="str">
        <f t="shared" si="0"/>
        <v/>
      </c>
      <c r="E240" s="207"/>
      <c r="F240" s="205" t="str">
        <f>IF(E240="","",VLOOKUP(E240,'ARAMA LİSTELERİ'!C240:G2279,5,))</f>
        <v/>
      </c>
      <c r="G240" s="207"/>
      <c r="H240" s="210"/>
      <c r="I240" s="79"/>
      <c r="J240" s="210"/>
      <c r="K240" s="210"/>
      <c r="L240" s="210" t="str">
        <f t="shared" si="1"/>
        <v/>
      </c>
      <c r="M240" s="79"/>
      <c r="N240" s="207"/>
      <c r="O240" s="207"/>
      <c r="P240" s="207"/>
      <c r="Q240" s="207"/>
    </row>
    <row r="241" spans="1:17" ht="34.5" customHeight="1">
      <c r="A241" s="82"/>
      <c r="B241" s="205" t="str">
        <f t="shared" si="2"/>
        <v/>
      </c>
      <c r="C241" s="206" t="str">
        <f t="shared" si="3"/>
        <v/>
      </c>
      <c r="D241" s="207" t="str">
        <f t="shared" si="0"/>
        <v/>
      </c>
      <c r="E241" s="207"/>
      <c r="F241" s="205" t="str">
        <f>IF(E241="","",VLOOKUP(E241,'ARAMA LİSTELERİ'!C241:G2280,5,))</f>
        <v/>
      </c>
      <c r="G241" s="207"/>
      <c r="H241" s="210"/>
      <c r="I241" s="79"/>
      <c r="J241" s="210"/>
      <c r="K241" s="210"/>
      <c r="L241" s="210" t="str">
        <f t="shared" si="1"/>
        <v/>
      </c>
      <c r="M241" s="79"/>
      <c r="N241" s="207"/>
      <c r="O241" s="207"/>
      <c r="P241" s="207"/>
      <c r="Q241" s="207"/>
    </row>
    <row r="242" spans="1:17" ht="34.5" customHeight="1">
      <c r="A242" s="82"/>
      <c r="B242" s="205" t="str">
        <f t="shared" si="2"/>
        <v/>
      </c>
      <c r="C242" s="206" t="str">
        <f t="shared" si="3"/>
        <v/>
      </c>
      <c r="D242" s="207" t="str">
        <f t="shared" si="0"/>
        <v/>
      </c>
      <c r="E242" s="207"/>
      <c r="F242" s="205" t="str">
        <f>IF(E242="","",VLOOKUP(E242,'ARAMA LİSTELERİ'!C242:G2281,5,))</f>
        <v/>
      </c>
      <c r="G242" s="207"/>
      <c r="H242" s="210"/>
      <c r="I242" s="79"/>
      <c r="J242" s="210"/>
      <c r="K242" s="210"/>
      <c r="L242" s="210" t="str">
        <f t="shared" si="1"/>
        <v/>
      </c>
      <c r="M242" s="79"/>
      <c r="N242" s="207"/>
      <c r="O242" s="207"/>
      <c r="P242" s="207"/>
      <c r="Q242" s="207"/>
    </row>
    <row r="243" spans="1:17" ht="34.5" customHeight="1">
      <c r="A243" s="82"/>
      <c r="B243" s="205" t="str">
        <f t="shared" si="2"/>
        <v/>
      </c>
      <c r="C243" s="206" t="str">
        <f t="shared" si="3"/>
        <v/>
      </c>
      <c r="D243" s="207" t="str">
        <f t="shared" si="0"/>
        <v/>
      </c>
      <c r="E243" s="207"/>
      <c r="F243" s="205" t="str">
        <f>IF(E243="","",VLOOKUP(E243,'ARAMA LİSTELERİ'!C243:G2282,5,))</f>
        <v/>
      </c>
      <c r="G243" s="207"/>
      <c r="H243" s="210"/>
      <c r="I243" s="79"/>
      <c r="J243" s="210"/>
      <c r="K243" s="210"/>
      <c r="L243" s="210" t="str">
        <f t="shared" si="1"/>
        <v/>
      </c>
      <c r="M243" s="79"/>
      <c r="N243" s="207"/>
      <c r="O243" s="207"/>
      <c r="P243" s="207"/>
      <c r="Q243" s="207"/>
    </row>
    <row r="244" spans="1:17" ht="34.5" customHeight="1">
      <c r="A244" s="82"/>
      <c r="B244" s="205" t="str">
        <f t="shared" si="2"/>
        <v/>
      </c>
      <c r="C244" s="206" t="str">
        <f t="shared" si="3"/>
        <v/>
      </c>
      <c r="D244" s="207" t="str">
        <f t="shared" si="0"/>
        <v/>
      </c>
      <c r="E244" s="207"/>
      <c r="F244" s="205" t="str">
        <f>IF(E244="","",VLOOKUP(E244,'ARAMA LİSTELERİ'!C244:G2283,5,))</f>
        <v/>
      </c>
      <c r="G244" s="207"/>
      <c r="H244" s="210"/>
      <c r="I244" s="79"/>
      <c r="J244" s="210"/>
      <c r="K244" s="210"/>
      <c r="L244" s="210" t="str">
        <f t="shared" si="1"/>
        <v/>
      </c>
      <c r="M244" s="79"/>
      <c r="N244" s="207"/>
      <c r="O244" s="207"/>
      <c r="P244" s="207"/>
      <c r="Q244" s="207"/>
    </row>
    <row r="245" spans="1:17" ht="34.5" customHeight="1">
      <c r="A245" s="82"/>
      <c r="B245" s="205" t="str">
        <f t="shared" si="2"/>
        <v/>
      </c>
      <c r="C245" s="206" t="str">
        <f t="shared" si="3"/>
        <v/>
      </c>
      <c r="D245" s="207" t="str">
        <f t="shared" si="0"/>
        <v/>
      </c>
      <c r="E245" s="207"/>
      <c r="F245" s="205" t="str">
        <f>IF(E245="","",VLOOKUP(E245,'ARAMA LİSTELERİ'!C245:G2284,5,))</f>
        <v/>
      </c>
      <c r="G245" s="207"/>
      <c r="H245" s="210"/>
      <c r="I245" s="79"/>
      <c r="J245" s="210"/>
      <c r="K245" s="210"/>
      <c r="L245" s="210" t="str">
        <f t="shared" si="1"/>
        <v/>
      </c>
      <c r="M245" s="79"/>
      <c r="N245" s="207"/>
      <c r="O245" s="207"/>
      <c r="P245" s="207"/>
      <c r="Q245" s="207"/>
    </row>
    <row r="246" spans="1:17" ht="34.5" customHeight="1">
      <c r="A246" s="82"/>
      <c r="B246" s="205" t="str">
        <f t="shared" si="2"/>
        <v/>
      </c>
      <c r="C246" s="206" t="str">
        <f t="shared" si="3"/>
        <v/>
      </c>
      <c r="D246" s="207" t="str">
        <f t="shared" si="0"/>
        <v/>
      </c>
      <c r="E246" s="207"/>
      <c r="F246" s="205" t="str">
        <f>IF(E246="","",VLOOKUP(E246,'ARAMA LİSTELERİ'!C246:G2285,5,))</f>
        <v/>
      </c>
      <c r="G246" s="207"/>
      <c r="H246" s="210"/>
      <c r="I246" s="79"/>
      <c r="J246" s="210"/>
      <c r="K246" s="210"/>
      <c r="L246" s="210" t="str">
        <f t="shared" si="1"/>
        <v/>
      </c>
      <c r="M246" s="79"/>
      <c r="N246" s="207"/>
      <c r="O246" s="207"/>
      <c r="P246" s="207"/>
      <c r="Q246" s="207"/>
    </row>
    <row r="247" spans="1:17" ht="34.5" customHeight="1">
      <c r="A247" s="82"/>
      <c r="B247" s="205" t="str">
        <f t="shared" si="2"/>
        <v/>
      </c>
      <c r="C247" s="206" t="str">
        <f t="shared" si="3"/>
        <v/>
      </c>
      <c r="D247" s="207" t="str">
        <f t="shared" si="0"/>
        <v/>
      </c>
      <c r="E247" s="207"/>
      <c r="F247" s="205" t="str">
        <f>IF(E247="","",VLOOKUP(E247,'ARAMA LİSTELERİ'!C247:G2286,5,))</f>
        <v/>
      </c>
      <c r="G247" s="207"/>
      <c r="H247" s="210"/>
      <c r="I247" s="79"/>
      <c r="J247" s="210"/>
      <c r="K247" s="210"/>
      <c r="L247" s="210" t="str">
        <f t="shared" si="1"/>
        <v/>
      </c>
      <c r="M247" s="79"/>
      <c r="N247" s="207"/>
      <c r="O247" s="207"/>
      <c r="P247" s="207"/>
      <c r="Q247" s="207"/>
    </row>
    <row r="248" spans="1:17" ht="34.5" customHeight="1">
      <c r="A248" s="82"/>
      <c r="B248" s="205" t="str">
        <f t="shared" si="2"/>
        <v/>
      </c>
      <c r="C248" s="206" t="str">
        <f t="shared" si="3"/>
        <v/>
      </c>
      <c r="D248" s="207" t="str">
        <f t="shared" si="0"/>
        <v/>
      </c>
      <c r="E248" s="207"/>
      <c r="F248" s="205" t="str">
        <f>IF(E248="","",VLOOKUP(E248,'ARAMA LİSTELERİ'!C248:G2287,5,))</f>
        <v/>
      </c>
      <c r="G248" s="207"/>
      <c r="H248" s="210"/>
      <c r="I248" s="79"/>
      <c r="J248" s="210"/>
      <c r="K248" s="210"/>
      <c r="L248" s="210" t="str">
        <f t="shared" si="1"/>
        <v/>
      </c>
      <c r="M248" s="79"/>
      <c r="N248" s="207"/>
      <c r="O248" s="207"/>
      <c r="P248" s="207"/>
      <c r="Q248" s="207"/>
    </row>
    <row r="249" spans="1:17" ht="34.5" customHeight="1">
      <c r="A249" s="82"/>
      <c r="B249" s="205" t="str">
        <f t="shared" si="2"/>
        <v/>
      </c>
      <c r="C249" s="206" t="str">
        <f t="shared" si="3"/>
        <v/>
      </c>
      <c r="D249" s="207" t="str">
        <f t="shared" si="0"/>
        <v/>
      </c>
      <c r="E249" s="207"/>
      <c r="F249" s="205" t="str">
        <f>IF(E249="","",VLOOKUP(E249,'ARAMA LİSTELERİ'!C249:G2288,5,))</f>
        <v/>
      </c>
      <c r="G249" s="207"/>
      <c r="H249" s="210"/>
      <c r="I249" s="79"/>
      <c r="J249" s="210"/>
      <c r="K249" s="210"/>
      <c r="L249" s="210" t="str">
        <f t="shared" si="1"/>
        <v/>
      </c>
      <c r="M249" s="79"/>
      <c r="N249" s="207"/>
      <c r="O249" s="207"/>
      <c r="P249" s="207"/>
      <c r="Q249" s="207"/>
    </row>
    <row r="250" spans="1:17" ht="34.5" customHeight="1">
      <c r="A250" s="82"/>
      <c r="B250" s="205" t="str">
        <f t="shared" si="2"/>
        <v/>
      </c>
      <c r="C250" s="206" t="str">
        <f t="shared" si="3"/>
        <v/>
      </c>
      <c r="D250" s="207" t="str">
        <f t="shared" si="0"/>
        <v/>
      </c>
      <c r="E250" s="207"/>
      <c r="F250" s="205" t="str">
        <f>IF(E250="","",VLOOKUP(E250,'ARAMA LİSTELERİ'!C250:G2289,5,))</f>
        <v/>
      </c>
      <c r="G250" s="207"/>
      <c r="H250" s="210"/>
      <c r="I250" s="79"/>
      <c r="J250" s="210"/>
      <c r="K250" s="210"/>
      <c r="L250" s="210" t="str">
        <f t="shared" si="1"/>
        <v/>
      </c>
      <c r="M250" s="79"/>
      <c r="N250" s="207"/>
      <c r="O250" s="207"/>
      <c r="P250" s="207"/>
      <c r="Q250" s="207"/>
    </row>
    <row r="251" spans="1:17" ht="34.5" customHeight="1">
      <c r="A251" s="82"/>
      <c r="B251" s="205" t="str">
        <f t="shared" si="2"/>
        <v/>
      </c>
      <c r="C251" s="206" t="str">
        <f t="shared" si="3"/>
        <v/>
      </c>
      <c r="D251" s="207" t="str">
        <f t="shared" si="0"/>
        <v/>
      </c>
      <c r="E251" s="207"/>
      <c r="F251" s="205" t="str">
        <f>IF(E251="","",VLOOKUP(E251,'ARAMA LİSTELERİ'!C251:G2290,5,))</f>
        <v/>
      </c>
      <c r="G251" s="207"/>
      <c r="H251" s="210"/>
      <c r="I251" s="79"/>
      <c r="J251" s="210"/>
      <c r="K251" s="210"/>
      <c r="L251" s="210" t="str">
        <f t="shared" si="1"/>
        <v/>
      </c>
      <c r="M251" s="79"/>
      <c r="N251" s="207"/>
      <c r="O251" s="207"/>
      <c r="P251" s="207"/>
      <c r="Q251" s="207"/>
    </row>
    <row r="252" spans="1:17" ht="34.5" customHeight="1">
      <c r="A252" s="82"/>
      <c r="B252" s="205" t="str">
        <f t="shared" si="2"/>
        <v/>
      </c>
      <c r="C252" s="206" t="str">
        <f t="shared" si="3"/>
        <v/>
      </c>
      <c r="D252" s="207" t="str">
        <f t="shared" si="0"/>
        <v/>
      </c>
      <c r="E252" s="207"/>
      <c r="F252" s="205" t="str">
        <f>IF(E252="","",VLOOKUP(E252,'ARAMA LİSTELERİ'!C252:G2291,5,))</f>
        <v/>
      </c>
      <c r="G252" s="207"/>
      <c r="H252" s="210"/>
      <c r="I252" s="79"/>
      <c r="J252" s="210"/>
      <c r="K252" s="210"/>
      <c r="L252" s="210" t="str">
        <f t="shared" si="1"/>
        <v/>
      </c>
      <c r="M252" s="79"/>
      <c r="N252" s="207"/>
      <c r="O252" s="207"/>
      <c r="P252" s="207"/>
      <c r="Q252" s="207"/>
    </row>
    <row r="253" spans="1:17" ht="34.5" customHeight="1">
      <c r="A253" s="82"/>
      <c r="B253" s="205" t="str">
        <f t="shared" si="2"/>
        <v/>
      </c>
      <c r="C253" s="206" t="str">
        <f t="shared" si="3"/>
        <v/>
      </c>
      <c r="D253" s="207" t="str">
        <f t="shared" si="0"/>
        <v/>
      </c>
      <c r="E253" s="207"/>
      <c r="F253" s="205" t="str">
        <f>IF(E253="","",VLOOKUP(E253,'ARAMA LİSTELERİ'!C253:G2292,5,))</f>
        <v/>
      </c>
      <c r="G253" s="207"/>
      <c r="H253" s="210"/>
      <c r="I253" s="79"/>
      <c r="J253" s="210"/>
      <c r="K253" s="210"/>
      <c r="L253" s="210" t="str">
        <f t="shared" si="1"/>
        <v/>
      </c>
      <c r="M253" s="79"/>
      <c r="N253" s="207"/>
      <c r="O253" s="207"/>
      <c r="P253" s="207"/>
      <c r="Q253" s="207"/>
    </row>
    <row r="254" spans="1:17" ht="34.5" customHeight="1">
      <c r="A254" s="82"/>
      <c r="B254" s="205" t="str">
        <f t="shared" si="2"/>
        <v/>
      </c>
      <c r="C254" s="206" t="str">
        <f t="shared" si="3"/>
        <v/>
      </c>
      <c r="D254" s="207" t="str">
        <f t="shared" si="0"/>
        <v/>
      </c>
      <c r="E254" s="207"/>
      <c r="F254" s="205" t="str">
        <f>IF(E254="","",VLOOKUP(E254,'ARAMA LİSTELERİ'!C254:G2293,5,))</f>
        <v/>
      </c>
      <c r="G254" s="207"/>
      <c r="H254" s="210"/>
      <c r="I254" s="79"/>
      <c r="J254" s="210"/>
      <c r="K254" s="210"/>
      <c r="L254" s="210" t="str">
        <f t="shared" si="1"/>
        <v/>
      </c>
      <c r="M254" s="79"/>
      <c r="N254" s="207"/>
      <c r="O254" s="207"/>
      <c r="P254" s="207"/>
      <c r="Q254" s="207"/>
    </row>
    <row r="255" spans="1:17" ht="34.5" customHeight="1">
      <c r="A255" s="82"/>
      <c r="B255" s="205" t="str">
        <f t="shared" si="2"/>
        <v/>
      </c>
      <c r="C255" s="206" t="str">
        <f t="shared" si="3"/>
        <v/>
      </c>
      <c r="D255" s="207" t="str">
        <f t="shared" si="0"/>
        <v/>
      </c>
      <c r="E255" s="207"/>
      <c r="F255" s="205" t="str">
        <f>IF(E255="","",VLOOKUP(E255,'ARAMA LİSTELERİ'!C255:G2294,5,))</f>
        <v/>
      </c>
      <c r="G255" s="207"/>
      <c r="H255" s="210"/>
      <c r="I255" s="79"/>
      <c r="J255" s="210"/>
      <c r="K255" s="210"/>
      <c r="L255" s="210" t="str">
        <f t="shared" si="1"/>
        <v/>
      </c>
      <c r="M255" s="79"/>
      <c r="N255" s="207"/>
      <c r="O255" s="207"/>
      <c r="P255" s="207"/>
      <c r="Q255" s="207"/>
    </row>
    <row r="256" spans="1:17" ht="34.5" customHeight="1">
      <c r="A256" s="82"/>
      <c r="B256" s="205" t="str">
        <f t="shared" si="2"/>
        <v/>
      </c>
      <c r="C256" s="206" t="str">
        <f t="shared" si="3"/>
        <v/>
      </c>
      <c r="D256" s="207" t="str">
        <f t="shared" si="0"/>
        <v/>
      </c>
      <c r="E256" s="207"/>
      <c r="F256" s="205" t="str">
        <f>IF(E256="","",VLOOKUP(E256,'ARAMA LİSTELERİ'!C256:G2295,5,))</f>
        <v/>
      </c>
      <c r="G256" s="207"/>
      <c r="H256" s="210"/>
      <c r="I256" s="79"/>
      <c r="J256" s="210"/>
      <c r="K256" s="210"/>
      <c r="L256" s="210" t="str">
        <f t="shared" si="1"/>
        <v/>
      </c>
      <c r="M256" s="79"/>
      <c r="N256" s="207"/>
      <c r="O256" s="207"/>
      <c r="P256" s="207"/>
      <c r="Q256" s="207"/>
    </row>
    <row r="257" spans="1:17" ht="34.5" customHeight="1">
      <c r="A257" s="82"/>
      <c r="B257" s="205" t="str">
        <f t="shared" si="2"/>
        <v/>
      </c>
      <c r="C257" s="206" t="str">
        <f t="shared" si="3"/>
        <v/>
      </c>
      <c r="D257" s="207" t="str">
        <f t="shared" si="0"/>
        <v/>
      </c>
      <c r="E257" s="207"/>
      <c r="F257" s="205" t="str">
        <f>IF(E257="","",VLOOKUP(E257,'ARAMA LİSTELERİ'!C257:G2296,5,))</f>
        <v/>
      </c>
      <c r="G257" s="207"/>
      <c r="H257" s="210"/>
      <c r="I257" s="79"/>
      <c r="J257" s="210"/>
      <c r="K257" s="210"/>
      <c r="L257" s="210" t="str">
        <f t="shared" si="1"/>
        <v/>
      </c>
      <c r="M257" s="79"/>
      <c r="N257" s="207"/>
      <c r="O257" s="207"/>
      <c r="P257" s="207"/>
      <c r="Q257" s="207"/>
    </row>
    <row r="258" spans="1:17" ht="34.5" customHeight="1">
      <c r="A258" s="82"/>
      <c r="B258" s="205" t="str">
        <f t="shared" si="2"/>
        <v/>
      </c>
      <c r="C258" s="206" t="str">
        <f t="shared" si="3"/>
        <v/>
      </c>
      <c r="D258" s="207" t="str">
        <f t="shared" si="0"/>
        <v/>
      </c>
      <c r="E258" s="207"/>
      <c r="F258" s="205" t="str">
        <f>IF(E258="","",VLOOKUP(E258,'ARAMA LİSTELERİ'!C258:G2297,5,))</f>
        <v/>
      </c>
      <c r="G258" s="207"/>
      <c r="H258" s="210"/>
      <c r="I258" s="79"/>
      <c r="J258" s="210"/>
      <c r="K258" s="210"/>
      <c r="L258" s="210" t="str">
        <f t="shared" si="1"/>
        <v/>
      </c>
      <c r="M258" s="79"/>
      <c r="N258" s="207"/>
      <c r="O258" s="207"/>
      <c r="P258" s="207"/>
      <c r="Q258" s="207"/>
    </row>
    <row r="259" spans="1:17" ht="34.5" customHeight="1">
      <c r="A259" s="82"/>
      <c r="B259" s="205" t="str">
        <f t="shared" si="2"/>
        <v/>
      </c>
      <c r="C259" s="206" t="str">
        <f t="shared" si="3"/>
        <v/>
      </c>
      <c r="D259" s="207" t="str">
        <f t="shared" si="0"/>
        <v/>
      </c>
      <c r="E259" s="207"/>
      <c r="F259" s="205" t="str">
        <f>IF(E259="","",VLOOKUP(E259,'ARAMA LİSTELERİ'!C259:G2298,5,))</f>
        <v/>
      </c>
      <c r="G259" s="207"/>
      <c r="H259" s="210"/>
      <c r="I259" s="79"/>
      <c r="J259" s="210"/>
      <c r="K259" s="210"/>
      <c r="L259" s="210" t="str">
        <f t="shared" si="1"/>
        <v/>
      </c>
      <c r="M259" s="79"/>
      <c r="N259" s="207"/>
      <c r="O259" s="207"/>
      <c r="P259" s="207"/>
      <c r="Q259" s="207"/>
    </row>
    <row r="260" spans="1:17" ht="34.5" customHeight="1">
      <c r="A260" s="82"/>
      <c r="B260" s="205" t="str">
        <f t="shared" si="2"/>
        <v/>
      </c>
      <c r="C260" s="206" t="str">
        <f t="shared" si="3"/>
        <v/>
      </c>
      <c r="D260" s="207" t="str">
        <f t="shared" si="0"/>
        <v/>
      </c>
      <c r="E260" s="207"/>
      <c r="F260" s="205" t="str">
        <f>IF(E260="","",VLOOKUP(E260,'ARAMA LİSTELERİ'!C260:G2299,5,))</f>
        <v/>
      </c>
      <c r="G260" s="207"/>
      <c r="H260" s="210"/>
      <c r="I260" s="79"/>
      <c r="J260" s="210"/>
      <c r="K260" s="210"/>
      <c r="L260" s="210" t="str">
        <f t="shared" si="1"/>
        <v/>
      </c>
      <c r="M260" s="79"/>
      <c r="N260" s="207"/>
      <c r="O260" s="207"/>
      <c r="P260" s="207"/>
      <c r="Q260" s="207"/>
    </row>
    <row r="261" spans="1:17" ht="34.5" customHeight="1">
      <c r="A261" s="82"/>
      <c r="B261" s="205" t="str">
        <f t="shared" si="2"/>
        <v/>
      </c>
      <c r="C261" s="206" t="str">
        <f t="shared" si="3"/>
        <v/>
      </c>
      <c r="D261" s="207" t="str">
        <f t="shared" si="0"/>
        <v/>
      </c>
      <c r="E261" s="207"/>
      <c r="F261" s="205" t="str">
        <f>IF(E261="","",VLOOKUP(E261,'ARAMA LİSTELERİ'!C261:G2300,5,))</f>
        <v/>
      </c>
      <c r="G261" s="207"/>
      <c r="H261" s="210"/>
      <c r="I261" s="79"/>
      <c r="J261" s="210"/>
      <c r="K261" s="210"/>
      <c r="L261" s="210" t="str">
        <f t="shared" si="1"/>
        <v/>
      </c>
      <c r="M261" s="79"/>
      <c r="N261" s="207"/>
      <c r="O261" s="207"/>
      <c r="P261" s="207"/>
      <c r="Q261" s="207"/>
    </row>
    <row r="262" spans="1:17" ht="34.5" customHeight="1">
      <c r="A262" s="82"/>
      <c r="B262" s="205" t="str">
        <f t="shared" si="2"/>
        <v/>
      </c>
      <c r="C262" s="206" t="str">
        <f t="shared" si="3"/>
        <v/>
      </c>
      <c r="D262" s="207" t="str">
        <f t="shared" si="0"/>
        <v/>
      </c>
      <c r="E262" s="207"/>
      <c r="F262" s="205" t="str">
        <f>IF(E262="","",VLOOKUP(E262,'ARAMA LİSTELERİ'!C262:G2301,5,))</f>
        <v/>
      </c>
      <c r="G262" s="207"/>
      <c r="H262" s="210"/>
      <c r="I262" s="79"/>
      <c r="J262" s="210"/>
      <c r="K262" s="210"/>
      <c r="L262" s="210" t="str">
        <f t="shared" si="1"/>
        <v/>
      </c>
      <c r="M262" s="79"/>
      <c r="N262" s="207"/>
      <c r="O262" s="207"/>
      <c r="P262" s="207"/>
      <c r="Q262" s="207"/>
    </row>
    <row r="263" spans="1:17" ht="34.5" customHeight="1">
      <c r="A263" s="82"/>
      <c r="B263" s="205" t="str">
        <f t="shared" si="2"/>
        <v/>
      </c>
      <c r="C263" s="206" t="str">
        <f t="shared" si="3"/>
        <v/>
      </c>
      <c r="D263" s="207" t="str">
        <f t="shared" si="0"/>
        <v/>
      </c>
      <c r="E263" s="207"/>
      <c r="F263" s="205" t="str">
        <f>IF(E263="","",VLOOKUP(E263,'ARAMA LİSTELERİ'!C263:G2302,5,))</f>
        <v/>
      </c>
      <c r="G263" s="207"/>
      <c r="H263" s="210"/>
      <c r="I263" s="79"/>
      <c r="J263" s="210"/>
      <c r="K263" s="210"/>
      <c r="L263" s="210" t="str">
        <f t="shared" si="1"/>
        <v/>
      </c>
      <c r="M263" s="79"/>
      <c r="N263" s="207"/>
      <c r="O263" s="207"/>
      <c r="P263" s="207"/>
      <c r="Q263" s="207"/>
    </row>
    <row r="264" spans="1:17" ht="34.5" customHeight="1">
      <c r="A264" s="82"/>
      <c r="B264" s="205" t="str">
        <f t="shared" si="2"/>
        <v/>
      </c>
      <c r="C264" s="206" t="str">
        <f t="shared" si="3"/>
        <v/>
      </c>
      <c r="D264" s="207" t="str">
        <f t="shared" si="0"/>
        <v/>
      </c>
      <c r="E264" s="207"/>
      <c r="F264" s="205" t="str">
        <f>IF(E264="","",VLOOKUP(E264,'ARAMA LİSTELERİ'!C264:G2303,5,))</f>
        <v/>
      </c>
      <c r="G264" s="207"/>
      <c r="H264" s="210"/>
      <c r="I264" s="79"/>
      <c r="J264" s="210"/>
      <c r="K264" s="210"/>
      <c r="L264" s="210" t="str">
        <f t="shared" si="1"/>
        <v/>
      </c>
      <c r="M264" s="79"/>
      <c r="N264" s="207"/>
      <c r="O264" s="207"/>
      <c r="P264" s="207"/>
      <c r="Q264" s="207"/>
    </row>
    <row r="265" spans="1:17" ht="34.5" customHeight="1">
      <c r="A265" s="82"/>
      <c r="B265" s="205" t="str">
        <f t="shared" si="2"/>
        <v/>
      </c>
      <c r="C265" s="206" t="str">
        <f t="shared" si="3"/>
        <v/>
      </c>
      <c r="D265" s="207" t="str">
        <f t="shared" si="0"/>
        <v/>
      </c>
      <c r="E265" s="207"/>
      <c r="F265" s="205" t="str">
        <f>IF(E265="","",VLOOKUP(E265,'ARAMA LİSTELERİ'!C265:G2304,5,))</f>
        <v/>
      </c>
      <c r="G265" s="207"/>
      <c r="H265" s="210"/>
      <c r="I265" s="79"/>
      <c r="J265" s="210"/>
      <c r="K265" s="210"/>
      <c r="L265" s="210" t="str">
        <f t="shared" si="1"/>
        <v/>
      </c>
      <c r="M265" s="79"/>
      <c r="N265" s="207"/>
      <c r="O265" s="207"/>
      <c r="P265" s="207"/>
      <c r="Q265" s="207"/>
    </row>
    <row r="266" spans="1:17" ht="34.5" customHeight="1">
      <c r="A266" s="82"/>
      <c r="B266" s="205" t="str">
        <f t="shared" si="2"/>
        <v/>
      </c>
      <c r="C266" s="206" t="str">
        <f t="shared" si="3"/>
        <v/>
      </c>
      <c r="D266" s="207" t="str">
        <f t="shared" si="0"/>
        <v/>
      </c>
      <c r="E266" s="207"/>
      <c r="F266" s="205" t="str">
        <f>IF(E266="","",VLOOKUP(E266,'ARAMA LİSTELERİ'!C266:G2305,5,))</f>
        <v/>
      </c>
      <c r="G266" s="207"/>
      <c r="H266" s="210"/>
      <c r="I266" s="79"/>
      <c r="J266" s="210"/>
      <c r="K266" s="210"/>
      <c r="L266" s="210" t="str">
        <f t="shared" si="1"/>
        <v/>
      </c>
      <c r="M266" s="79"/>
      <c r="N266" s="207"/>
      <c r="O266" s="207"/>
      <c r="P266" s="207"/>
      <c r="Q266" s="207"/>
    </row>
    <row r="267" spans="1:17" ht="34.5" customHeight="1">
      <c r="A267" s="82"/>
      <c r="B267" s="205" t="str">
        <f t="shared" si="2"/>
        <v/>
      </c>
      <c r="C267" s="206" t="str">
        <f t="shared" si="3"/>
        <v/>
      </c>
      <c r="D267" s="207" t="str">
        <f t="shared" si="0"/>
        <v/>
      </c>
      <c r="E267" s="207"/>
      <c r="F267" s="205" t="str">
        <f>IF(E267="","",VLOOKUP(E267,'ARAMA LİSTELERİ'!C267:G2306,5,))</f>
        <v/>
      </c>
      <c r="G267" s="207"/>
      <c r="H267" s="210"/>
      <c r="I267" s="79"/>
      <c r="J267" s="210"/>
      <c r="K267" s="210"/>
      <c r="L267" s="210" t="str">
        <f t="shared" si="1"/>
        <v/>
      </c>
      <c r="M267" s="79"/>
      <c r="N267" s="207"/>
      <c r="O267" s="207"/>
      <c r="P267" s="207"/>
      <c r="Q267" s="207"/>
    </row>
    <row r="268" spans="1:17" ht="34.5" customHeight="1">
      <c r="A268" s="82"/>
      <c r="B268" s="205" t="str">
        <f t="shared" si="2"/>
        <v/>
      </c>
      <c r="C268" s="206" t="str">
        <f t="shared" si="3"/>
        <v/>
      </c>
      <c r="D268" s="207" t="str">
        <f t="shared" si="0"/>
        <v/>
      </c>
      <c r="E268" s="207"/>
      <c r="F268" s="205" t="str">
        <f>IF(E268="","",VLOOKUP(E268,'ARAMA LİSTELERİ'!C268:G2307,5,))</f>
        <v/>
      </c>
      <c r="G268" s="207"/>
      <c r="H268" s="210"/>
      <c r="I268" s="79"/>
      <c r="J268" s="210"/>
      <c r="K268" s="210"/>
      <c r="L268" s="210" t="str">
        <f t="shared" si="1"/>
        <v/>
      </c>
      <c r="M268" s="79"/>
      <c r="N268" s="207"/>
      <c r="O268" s="207"/>
      <c r="P268" s="207"/>
      <c r="Q268" s="207"/>
    </row>
    <row r="269" spans="1:17" ht="34.5" customHeight="1">
      <c r="A269" s="82"/>
      <c r="B269" s="205" t="str">
        <f t="shared" si="2"/>
        <v/>
      </c>
      <c r="C269" s="206" t="str">
        <f t="shared" si="3"/>
        <v/>
      </c>
      <c r="D269" s="207" t="str">
        <f t="shared" si="0"/>
        <v/>
      </c>
      <c r="E269" s="207"/>
      <c r="F269" s="205" t="str">
        <f>IF(E269="","",VLOOKUP(E269,'ARAMA LİSTELERİ'!C269:G2308,5,))</f>
        <v/>
      </c>
      <c r="G269" s="207"/>
      <c r="H269" s="210"/>
      <c r="I269" s="79"/>
      <c r="J269" s="210"/>
      <c r="K269" s="210"/>
      <c r="L269" s="210" t="str">
        <f t="shared" si="1"/>
        <v/>
      </c>
      <c r="M269" s="79"/>
      <c r="N269" s="207"/>
      <c r="O269" s="207"/>
      <c r="P269" s="207"/>
      <c r="Q269" s="207"/>
    </row>
    <row r="270" spans="1:17" ht="34.5" customHeight="1">
      <c r="A270" s="82"/>
      <c r="B270" s="205" t="str">
        <f t="shared" si="2"/>
        <v/>
      </c>
      <c r="C270" s="206" t="str">
        <f t="shared" si="3"/>
        <v/>
      </c>
      <c r="D270" s="207" t="str">
        <f t="shared" si="0"/>
        <v/>
      </c>
      <c r="E270" s="207"/>
      <c r="F270" s="205" t="str">
        <f>IF(E270="","",VLOOKUP(E270,'ARAMA LİSTELERİ'!C270:G2309,5,))</f>
        <v/>
      </c>
      <c r="G270" s="207"/>
      <c r="H270" s="210"/>
      <c r="I270" s="79"/>
      <c r="J270" s="210"/>
      <c r="K270" s="210"/>
      <c r="L270" s="210" t="str">
        <f t="shared" si="1"/>
        <v/>
      </c>
      <c r="M270" s="79"/>
      <c r="N270" s="207"/>
      <c r="O270" s="207"/>
      <c r="P270" s="207"/>
      <c r="Q270" s="207"/>
    </row>
    <row r="271" spans="1:17" ht="34.5" customHeight="1">
      <c r="A271" s="82"/>
      <c r="B271" s="205" t="str">
        <f t="shared" si="2"/>
        <v/>
      </c>
      <c r="C271" s="206" t="str">
        <f t="shared" si="3"/>
        <v/>
      </c>
      <c r="D271" s="207" t="str">
        <f t="shared" si="0"/>
        <v/>
      </c>
      <c r="E271" s="207"/>
      <c r="F271" s="205" t="str">
        <f>IF(E271="","",VLOOKUP(E271,'ARAMA LİSTELERİ'!C271:G2310,5,))</f>
        <v/>
      </c>
      <c r="G271" s="207"/>
      <c r="H271" s="210"/>
      <c r="I271" s="79"/>
      <c r="J271" s="210"/>
      <c r="K271" s="210"/>
      <c r="L271" s="210" t="str">
        <f t="shared" si="1"/>
        <v/>
      </c>
      <c r="M271" s="79"/>
      <c r="N271" s="207"/>
      <c r="O271" s="207"/>
      <c r="P271" s="207"/>
      <c r="Q271" s="207"/>
    </row>
    <row r="272" spans="1:17" ht="34.5" customHeight="1">
      <c r="A272" s="82"/>
      <c r="B272" s="205" t="str">
        <f t="shared" si="2"/>
        <v/>
      </c>
      <c r="C272" s="206" t="str">
        <f t="shared" si="3"/>
        <v/>
      </c>
      <c r="D272" s="207" t="str">
        <f t="shared" si="0"/>
        <v/>
      </c>
      <c r="E272" s="207"/>
      <c r="F272" s="205" t="str">
        <f>IF(E272="","",VLOOKUP(E272,'ARAMA LİSTELERİ'!C272:G2311,5,))</f>
        <v/>
      </c>
      <c r="G272" s="207"/>
      <c r="H272" s="210"/>
      <c r="I272" s="79"/>
      <c r="J272" s="210"/>
      <c r="K272" s="210"/>
      <c r="L272" s="210" t="str">
        <f t="shared" si="1"/>
        <v/>
      </c>
      <c r="M272" s="79"/>
      <c r="N272" s="207"/>
      <c r="O272" s="207"/>
      <c r="P272" s="207"/>
      <c r="Q272" s="207"/>
    </row>
    <row r="273" spans="1:17" ht="34.5" customHeight="1">
      <c r="A273" s="82"/>
      <c r="B273" s="205" t="str">
        <f t="shared" si="2"/>
        <v/>
      </c>
      <c r="C273" s="206" t="str">
        <f t="shared" si="3"/>
        <v/>
      </c>
      <c r="D273" s="207" t="str">
        <f t="shared" si="0"/>
        <v/>
      </c>
      <c r="E273" s="207"/>
      <c r="F273" s="205" t="str">
        <f>IF(E273="","",VLOOKUP(E273,'ARAMA LİSTELERİ'!C273:G2312,5,))</f>
        <v/>
      </c>
      <c r="G273" s="207"/>
      <c r="H273" s="210"/>
      <c r="I273" s="79"/>
      <c r="J273" s="210"/>
      <c r="K273" s="210"/>
      <c r="L273" s="210" t="str">
        <f t="shared" si="1"/>
        <v/>
      </c>
      <c r="M273" s="79"/>
      <c r="N273" s="207"/>
      <c r="O273" s="207"/>
      <c r="P273" s="207"/>
      <c r="Q273" s="207"/>
    </row>
    <row r="274" spans="1:17" ht="34.5" customHeight="1">
      <c r="A274" s="82"/>
      <c r="B274" s="205" t="str">
        <f t="shared" si="2"/>
        <v/>
      </c>
      <c r="C274" s="206" t="str">
        <f t="shared" si="3"/>
        <v/>
      </c>
      <c r="D274" s="207" t="str">
        <f t="shared" si="0"/>
        <v/>
      </c>
      <c r="E274" s="207"/>
      <c r="F274" s="205" t="str">
        <f>IF(E274="","",VLOOKUP(E274,'ARAMA LİSTELERİ'!C274:G2313,5,))</f>
        <v/>
      </c>
      <c r="G274" s="207"/>
      <c r="H274" s="210"/>
      <c r="I274" s="79"/>
      <c r="J274" s="210"/>
      <c r="K274" s="210"/>
      <c r="L274" s="210" t="str">
        <f t="shared" si="1"/>
        <v/>
      </c>
      <c r="M274" s="79"/>
      <c r="N274" s="207"/>
      <c r="O274" s="207"/>
      <c r="P274" s="207"/>
      <c r="Q274" s="207"/>
    </row>
    <row r="275" spans="1:17" ht="34.5" customHeight="1">
      <c r="A275" s="82"/>
      <c r="B275" s="205" t="str">
        <f t="shared" si="2"/>
        <v/>
      </c>
      <c r="C275" s="206" t="str">
        <f t="shared" si="3"/>
        <v/>
      </c>
      <c r="D275" s="207" t="str">
        <f t="shared" si="0"/>
        <v/>
      </c>
      <c r="E275" s="207"/>
      <c r="F275" s="205" t="str">
        <f>IF(E275="","",VLOOKUP(E275,'ARAMA LİSTELERİ'!C275:G2314,5,))</f>
        <v/>
      </c>
      <c r="G275" s="207"/>
      <c r="H275" s="210"/>
      <c r="I275" s="79"/>
      <c r="J275" s="210"/>
      <c r="K275" s="210"/>
      <c r="L275" s="210" t="str">
        <f t="shared" si="1"/>
        <v/>
      </c>
      <c r="M275" s="79"/>
      <c r="N275" s="207"/>
      <c r="O275" s="207"/>
      <c r="P275" s="207"/>
      <c r="Q275" s="207"/>
    </row>
    <row r="276" spans="1:17" ht="34.5" customHeight="1">
      <c r="A276" s="82"/>
      <c r="B276" s="205" t="str">
        <f t="shared" si="2"/>
        <v/>
      </c>
      <c r="C276" s="206" t="str">
        <f t="shared" si="3"/>
        <v/>
      </c>
      <c r="D276" s="207" t="str">
        <f t="shared" si="0"/>
        <v/>
      </c>
      <c r="E276" s="207"/>
      <c r="F276" s="205" t="str">
        <f>IF(E276="","",VLOOKUP(E276,'ARAMA LİSTELERİ'!C276:G2315,5,))</f>
        <v/>
      </c>
      <c r="G276" s="207"/>
      <c r="H276" s="210"/>
      <c r="I276" s="79"/>
      <c r="J276" s="210"/>
      <c r="K276" s="210"/>
      <c r="L276" s="210" t="str">
        <f t="shared" si="1"/>
        <v/>
      </c>
      <c r="M276" s="79"/>
      <c r="N276" s="207"/>
      <c r="O276" s="207"/>
      <c r="P276" s="207"/>
      <c r="Q276" s="207"/>
    </row>
    <row r="277" spans="1:17" ht="34.5" customHeight="1">
      <c r="A277" s="82"/>
      <c r="B277" s="205" t="str">
        <f t="shared" si="2"/>
        <v/>
      </c>
      <c r="C277" s="206" t="str">
        <f t="shared" si="3"/>
        <v/>
      </c>
      <c r="D277" s="207" t="str">
        <f t="shared" si="0"/>
        <v/>
      </c>
      <c r="E277" s="207"/>
      <c r="F277" s="205" t="str">
        <f>IF(E277="","",VLOOKUP(E277,'ARAMA LİSTELERİ'!C277:G2316,5,))</f>
        <v/>
      </c>
      <c r="G277" s="207"/>
      <c r="H277" s="210"/>
      <c r="I277" s="79"/>
      <c r="J277" s="210"/>
      <c r="K277" s="210"/>
      <c r="L277" s="210" t="str">
        <f t="shared" si="1"/>
        <v/>
      </c>
      <c r="M277" s="79"/>
      <c r="N277" s="207"/>
      <c r="O277" s="207"/>
      <c r="P277" s="207"/>
      <c r="Q277" s="207"/>
    </row>
    <row r="278" spans="1:17" ht="34.5" customHeight="1">
      <c r="A278" s="82"/>
      <c r="B278" s="205" t="str">
        <f t="shared" si="2"/>
        <v/>
      </c>
      <c r="C278" s="206" t="str">
        <f t="shared" si="3"/>
        <v/>
      </c>
      <c r="D278" s="207" t="str">
        <f t="shared" si="0"/>
        <v/>
      </c>
      <c r="E278" s="207"/>
      <c r="F278" s="205" t="str">
        <f>IF(E278="","",VLOOKUP(E278,'ARAMA LİSTELERİ'!C278:G2317,5,))</f>
        <v/>
      </c>
      <c r="G278" s="207"/>
      <c r="H278" s="210"/>
      <c r="I278" s="79"/>
      <c r="J278" s="210"/>
      <c r="K278" s="210"/>
      <c r="L278" s="210" t="str">
        <f t="shared" si="1"/>
        <v/>
      </c>
      <c r="M278" s="79"/>
      <c r="N278" s="207"/>
      <c r="O278" s="207"/>
      <c r="P278" s="207"/>
      <c r="Q278" s="207"/>
    </row>
    <row r="279" spans="1:17" ht="34.5" customHeight="1">
      <c r="A279" s="82"/>
      <c r="B279" s="205" t="str">
        <f t="shared" si="2"/>
        <v/>
      </c>
      <c r="C279" s="206" t="str">
        <f t="shared" si="3"/>
        <v/>
      </c>
      <c r="D279" s="207" t="str">
        <f t="shared" si="0"/>
        <v/>
      </c>
      <c r="E279" s="207"/>
      <c r="F279" s="205" t="str">
        <f>IF(E279="","",VLOOKUP(E279,'ARAMA LİSTELERİ'!C279:G2318,5,))</f>
        <v/>
      </c>
      <c r="G279" s="207"/>
      <c r="H279" s="210"/>
      <c r="I279" s="79"/>
      <c r="J279" s="210"/>
      <c r="K279" s="210"/>
      <c r="L279" s="210" t="str">
        <f t="shared" si="1"/>
        <v/>
      </c>
      <c r="M279" s="79"/>
      <c r="N279" s="207"/>
      <c r="O279" s="207"/>
      <c r="P279" s="207"/>
      <c r="Q279" s="207"/>
    </row>
    <row r="280" spans="1:17" ht="34.5" customHeight="1">
      <c r="A280" s="82"/>
      <c r="B280" s="205" t="str">
        <f t="shared" si="2"/>
        <v/>
      </c>
      <c r="C280" s="206" t="str">
        <f t="shared" si="3"/>
        <v/>
      </c>
      <c r="D280" s="207" t="str">
        <f t="shared" si="0"/>
        <v/>
      </c>
      <c r="E280" s="207"/>
      <c r="F280" s="205" t="str">
        <f>IF(E280="","",VLOOKUP(E280,'ARAMA LİSTELERİ'!C280:G2319,5,))</f>
        <v/>
      </c>
      <c r="G280" s="207"/>
      <c r="H280" s="210"/>
      <c r="I280" s="79"/>
      <c r="J280" s="210"/>
      <c r="K280" s="210"/>
      <c r="L280" s="210" t="str">
        <f t="shared" si="1"/>
        <v/>
      </c>
      <c r="M280" s="79"/>
      <c r="N280" s="207"/>
      <c r="O280" s="207"/>
      <c r="P280" s="207"/>
      <c r="Q280" s="207"/>
    </row>
    <row r="281" spans="1:17" ht="34.5" customHeight="1">
      <c r="A281" s="82"/>
      <c r="B281" s="205" t="str">
        <f t="shared" si="2"/>
        <v/>
      </c>
      <c r="C281" s="206" t="str">
        <f t="shared" si="3"/>
        <v/>
      </c>
      <c r="D281" s="207" t="str">
        <f t="shared" si="0"/>
        <v/>
      </c>
      <c r="E281" s="207"/>
      <c r="F281" s="205" t="str">
        <f>IF(E281="","",VLOOKUP(E281,'ARAMA LİSTELERİ'!C281:G2320,5,))</f>
        <v/>
      </c>
      <c r="G281" s="207"/>
      <c r="H281" s="210"/>
      <c r="I281" s="79"/>
      <c r="J281" s="210"/>
      <c r="K281" s="210"/>
      <c r="L281" s="210" t="str">
        <f t="shared" si="1"/>
        <v/>
      </c>
      <c r="M281" s="79"/>
      <c r="N281" s="207"/>
      <c r="O281" s="207"/>
      <c r="P281" s="207"/>
      <c r="Q281" s="207"/>
    </row>
    <row r="282" spans="1:17" ht="34.5" customHeight="1">
      <c r="A282" s="82"/>
      <c r="B282" s="205" t="str">
        <f t="shared" si="2"/>
        <v/>
      </c>
      <c r="C282" s="206" t="str">
        <f t="shared" si="3"/>
        <v/>
      </c>
      <c r="D282" s="207" t="str">
        <f t="shared" si="0"/>
        <v/>
      </c>
      <c r="E282" s="207"/>
      <c r="F282" s="205" t="str">
        <f>IF(E282="","",VLOOKUP(E282,'ARAMA LİSTELERİ'!C282:G2321,5,))</f>
        <v/>
      </c>
      <c r="G282" s="207"/>
      <c r="H282" s="210"/>
      <c r="I282" s="79"/>
      <c r="J282" s="210"/>
      <c r="K282" s="210"/>
      <c r="L282" s="210" t="str">
        <f t="shared" si="1"/>
        <v/>
      </c>
      <c r="M282" s="79"/>
      <c r="N282" s="207"/>
      <c r="O282" s="207"/>
      <c r="P282" s="207"/>
      <c r="Q282" s="207"/>
    </row>
    <row r="283" spans="1:17" ht="34.5" customHeight="1">
      <c r="A283" s="82"/>
      <c r="B283" s="205" t="str">
        <f t="shared" si="2"/>
        <v/>
      </c>
      <c r="C283" s="206" t="str">
        <f t="shared" si="3"/>
        <v/>
      </c>
      <c r="D283" s="207" t="str">
        <f t="shared" si="0"/>
        <v/>
      </c>
      <c r="E283" s="207"/>
      <c r="F283" s="205" t="str">
        <f>IF(E283="","",VLOOKUP(E283,'ARAMA LİSTELERİ'!C283:G2322,5,))</f>
        <v/>
      </c>
      <c r="G283" s="207"/>
      <c r="H283" s="210"/>
      <c r="I283" s="79"/>
      <c r="J283" s="210"/>
      <c r="K283" s="210"/>
      <c r="L283" s="210" t="str">
        <f t="shared" si="1"/>
        <v/>
      </c>
      <c r="M283" s="79"/>
      <c r="N283" s="207"/>
      <c r="O283" s="207"/>
      <c r="P283" s="207"/>
      <c r="Q283" s="207"/>
    </row>
    <row r="284" spans="1:17" ht="34.5" customHeight="1">
      <c r="A284" s="82"/>
      <c r="B284" s="205" t="str">
        <f t="shared" si="2"/>
        <v/>
      </c>
      <c r="C284" s="206" t="str">
        <f t="shared" si="3"/>
        <v/>
      </c>
      <c r="D284" s="207" t="str">
        <f t="shared" si="0"/>
        <v/>
      </c>
      <c r="E284" s="207"/>
      <c r="F284" s="205" t="str">
        <f>IF(E284="","",VLOOKUP(E284,'ARAMA LİSTELERİ'!C284:G2323,5,))</f>
        <v/>
      </c>
      <c r="G284" s="207"/>
      <c r="H284" s="210"/>
      <c r="I284" s="79"/>
      <c r="J284" s="210"/>
      <c r="K284" s="210"/>
      <c r="L284" s="210" t="str">
        <f t="shared" si="1"/>
        <v/>
      </c>
      <c r="M284" s="79"/>
      <c r="N284" s="207"/>
      <c r="O284" s="207"/>
      <c r="P284" s="207"/>
      <c r="Q284" s="207"/>
    </row>
    <row r="285" spans="1:17" ht="34.5" customHeight="1">
      <c r="A285" s="82"/>
      <c r="B285" s="205" t="str">
        <f t="shared" si="2"/>
        <v/>
      </c>
      <c r="C285" s="206" t="str">
        <f t="shared" si="3"/>
        <v/>
      </c>
      <c r="D285" s="207" t="str">
        <f t="shared" si="0"/>
        <v/>
      </c>
      <c r="E285" s="207"/>
      <c r="F285" s="205" t="str">
        <f>IF(E285="","",VLOOKUP(E285,'ARAMA LİSTELERİ'!C285:G2324,5,))</f>
        <v/>
      </c>
      <c r="G285" s="207"/>
      <c r="H285" s="210"/>
      <c r="I285" s="79"/>
      <c r="J285" s="210"/>
      <c r="K285" s="210"/>
      <c r="L285" s="210" t="str">
        <f t="shared" si="1"/>
        <v/>
      </c>
      <c r="M285" s="79"/>
      <c r="N285" s="207"/>
      <c r="O285" s="207"/>
      <c r="P285" s="207"/>
      <c r="Q285" s="207"/>
    </row>
    <row r="286" spans="1:17" ht="34.5" customHeight="1">
      <c r="A286" s="82"/>
      <c r="B286" s="205" t="str">
        <f t="shared" si="2"/>
        <v/>
      </c>
      <c r="C286" s="206" t="str">
        <f t="shared" si="3"/>
        <v/>
      </c>
      <c r="D286" s="207" t="str">
        <f t="shared" si="0"/>
        <v/>
      </c>
      <c r="E286" s="207"/>
      <c r="F286" s="205" t="str">
        <f>IF(E286="","",VLOOKUP(E286,'ARAMA LİSTELERİ'!C286:G2325,5,))</f>
        <v/>
      </c>
      <c r="G286" s="207"/>
      <c r="H286" s="210"/>
      <c r="I286" s="79"/>
      <c r="J286" s="210"/>
      <c r="K286" s="210"/>
      <c r="L286" s="210" t="str">
        <f t="shared" si="1"/>
        <v/>
      </c>
      <c r="M286" s="79"/>
      <c r="N286" s="207"/>
      <c r="O286" s="207"/>
      <c r="P286" s="207"/>
      <c r="Q286" s="207"/>
    </row>
    <row r="287" spans="1:17" ht="34.5" customHeight="1">
      <c r="A287" s="82"/>
      <c r="B287" s="205" t="str">
        <f t="shared" si="2"/>
        <v/>
      </c>
      <c r="C287" s="206" t="str">
        <f t="shared" si="3"/>
        <v/>
      </c>
      <c r="D287" s="207" t="str">
        <f t="shared" si="0"/>
        <v/>
      </c>
      <c r="E287" s="207"/>
      <c r="F287" s="205" t="str">
        <f>IF(E287="","",VLOOKUP(E287,'ARAMA LİSTELERİ'!C287:G2326,5,))</f>
        <v/>
      </c>
      <c r="G287" s="207"/>
      <c r="H287" s="210"/>
      <c r="I287" s="79"/>
      <c r="J287" s="210"/>
      <c r="K287" s="210"/>
      <c r="L287" s="210" t="str">
        <f t="shared" si="1"/>
        <v/>
      </c>
      <c r="M287" s="79"/>
      <c r="N287" s="207"/>
      <c r="O287" s="207"/>
      <c r="P287" s="207"/>
      <c r="Q287" s="207"/>
    </row>
    <row r="288" spans="1:17" ht="34.5" customHeight="1">
      <c r="A288" s="82"/>
      <c r="B288" s="205" t="str">
        <f t="shared" si="2"/>
        <v/>
      </c>
      <c r="C288" s="206" t="str">
        <f t="shared" si="3"/>
        <v/>
      </c>
      <c r="D288" s="207" t="str">
        <f t="shared" si="0"/>
        <v/>
      </c>
      <c r="E288" s="207"/>
      <c r="F288" s="205" t="str">
        <f>IF(E288="","",VLOOKUP(E288,'ARAMA LİSTELERİ'!C288:G2327,5,))</f>
        <v/>
      </c>
      <c r="G288" s="207"/>
      <c r="H288" s="210"/>
      <c r="I288" s="79"/>
      <c r="J288" s="210"/>
      <c r="K288" s="210"/>
      <c r="L288" s="210" t="str">
        <f t="shared" si="1"/>
        <v/>
      </c>
      <c r="M288" s="79"/>
      <c r="N288" s="207"/>
      <c r="O288" s="207"/>
      <c r="P288" s="207"/>
      <c r="Q288" s="207"/>
    </row>
    <row r="289" spans="1:17" ht="34.5" customHeight="1">
      <c r="A289" s="82"/>
      <c r="B289" s="205" t="str">
        <f t="shared" si="2"/>
        <v/>
      </c>
      <c r="C289" s="206" t="str">
        <f t="shared" si="3"/>
        <v/>
      </c>
      <c r="D289" s="207" t="str">
        <f t="shared" si="0"/>
        <v/>
      </c>
      <c r="E289" s="207"/>
      <c r="F289" s="205" t="str">
        <f>IF(E289="","",VLOOKUP(E289,'ARAMA LİSTELERİ'!C289:G2328,5,))</f>
        <v/>
      </c>
      <c r="G289" s="207"/>
      <c r="H289" s="210"/>
      <c r="I289" s="79"/>
      <c r="J289" s="210"/>
      <c r="K289" s="210"/>
      <c r="L289" s="210" t="str">
        <f t="shared" si="1"/>
        <v/>
      </c>
      <c r="M289" s="79"/>
      <c r="N289" s="207"/>
      <c r="O289" s="207"/>
      <c r="P289" s="207"/>
      <c r="Q289" s="207"/>
    </row>
    <row r="290" spans="1:17" ht="34.5" customHeight="1">
      <c r="A290" s="82"/>
      <c r="B290" s="205" t="str">
        <f t="shared" si="2"/>
        <v/>
      </c>
      <c r="C290" s="206" t="str">
        <f t="shared" si="3"/>
        <v/>
      </c>
      <c r="D290" s="207" t="str">
        <f t="shared" si="0"/>
        <v/>
      </c>
      <c r="E290" s="207"/>
      <c r="F290" s="205" t="str">
        <f>IF(E290="","",VLOOKUP(E290,'ARAMA LİSTELERİ'!C290:G2329,5,))</f>
        <v/>
      </c>
      <c r="G290" s="207"/>
      <c r="H290" s="210"/>
      <c r="I290" s="79"/>
      <c r="J290" s="210"/>
      <c r="K290" s="210"/>
      <c r="L290" s="210" t="str">
        <f t="shared" si="1"/>
        <v/>
      </c>
      <c r="M290" s="79"/>
      <c r="N290" s="207"/>
      <c r="O290" s="207"/>
      <c r="P290" s="207"/>
      <c r="Q290" s="207"/>
    </row>
    <row r="291" spans="1:17" ht="34.5" customHeight="1">
      <c r="A291" s="82"/>
      <c r="B291" s="205" t="str">
        <f t="shared" si="2"/>
        <v/>
      </c>
      <c r="C291" s="206" t="str">
        <f t="shared" si="3"/>
        <v/>
      </c>
      <c r="D291" s="207" t="str">
        <f t="shared" si="0"/>
        <v/>
      </c>
      <c r="E291" s="207"/>
      <c r="F291" s="205" t="str">
        <f>IF(E291="","",VLOOKUP(E291,'ARAMA LİSTELERİ'!C291:G2330,5,))</f>
        <v/>
      </c>
      <c r="G291" s="207"/>
      <c r="H291" s="210"/>
      <c r="I291" s="79"/>
      <c r="J291" s="210"/>
      <c r="K291" s="210"/>
      <c r="L291" s="210" t="str">
        <f t="shared" si="1"/>
        <v/>
      </c>
      <c r="M291" s="79"/>
      <c r="N291" s="207"/>
      <c r="O291" s="207"/>
      <c r="P291" s="207"/>
      <c r="Q291" s="207"/>
    </row>
    <row r="292" spans="1:17" ht="34.5" customHeight="1">
      <c r="A292" s="82"/>
      <c r="B292" s="205" t="str">
        <f t="shared" si="2"/>
        <v/>
      </c>
      <c r="C292" s="206" t="str">
        <f t="shared" si="3"/>
        <v/>
      </c>
      <c r="D292" s="207" t="str">
        <f t="shared" si="0"/>
        <v/>
      </c>
      <c r="E292" s="207"/>
      <c r="F292" s="205" t="str">
        <f>IF(E292="","",VLOOKUP(E292,'ARAMA LİSTELERİ'!C292:G2331,5,))</f>
        <v/>
      </c>
      <c r="G292" s="207"/>
      <c r="H292" s="210"/>
      <c r="I292" s="79"/>
      <c r="J292" s="210"/>
      <c r="K292" s="210"/>
      <c r="L292" s="210" t="str">
        <f t="shared" si="1"/>
        <v/>
      </c>
      <c r="M292" s="79"/>
      <c r="N292" s="207"/>
      <c r="O292" s="207"/>
      <c r="P292" s="207"/>
      <c r="Q292" s="207"/>
    </row>
    <row r="293" spans="1:17" ht="34.5" customHeight="1">
      <c r="A293" s="82"/>
      <c r="B293" s="205" t="str">
        <f t="shared" si="2"/>
        <v/>
      </c>
      <c r="C293" s="206" t="str">
        <f t="shared" si="3"/>
        <v/>
      </c>
      <c r="D293" s="207" t="str">
        <f t="shared" si="0"/>
        <v/>
      </c>
      <c r="E293" s="207"/>
      <c r="F293" s="205" t="str">
        <f>IF(E293="","",VLOOKUP(E293,'ARAMA LİSTELERİ'!C293:G2332,5,))</f>
        <v/>
      </c>
      <c r="G293" s="207"/>
      <c r="H293" s="210"/>
      <c r="I293" s="79"/>
      <c r="J293" s="210"/>
      <c r="K293" s="210"/>
      <c r="L293" s="210" t="str">
        <f t="shared" si="1"/>
        <v/>
      </c>
      <c r="M293" s="79"/>
      <c r="N293" s="207"/>
      <c r="O293" s="207"/>
      <c r="P293" s="207"/>
      <c r="Q293" s="207"/>
    </row>
    <row r="294" spans="1:17" ht="34.5" customHeight="1">
      <c r="A294" s="82"/>
      <c r="B294" s="205" t="str">
        <f t="shared" si="2"/>
        <v/>
      </c>
      <c r="C294" s="206" t="str">
        <f t="shared" si="3"/>
        <v/>
      </c>
      <c r="D294" s="207" t="str">
        <f t="shared" si="0"/>
        <v/>
      </c>
      <c r="E294" s="207"/>
      <c r="F294" s="205" t="str">
        <f>IF(E294="","",VLOOKUP(E294,'ARAMA LİSTELERİ'!C294:G2333,5,))</f>
        <v/>
      </c>
      <c r="G294" s="207"/>
      <c r="H294" s="210"/>
      <c r="I294" s="79"/>
      <c r="J294" s="210"/>
      <c r="K294" s="210"/>
      <c r="L294" s="210" t="str">
        <f t="shared" si="1"/>
        <v/>
      </c>
      <c r="M294" s="79"/>
      <c r="N294" s="207"/>
      <c r="O294" s="207"/>
      <c r="P294" s="207"/>
      <c r="Q294" s="207"/>
    </row>
    <row r="295" spans="1:17" ht="34.5" customHeight="1">
      <c r="A295" s="82"/>
      <c r="B295" s="205" t="str">
        <f t="shared" si="2"/>
        <v/>
      </c>
      <c r="C295" s="206" t="str">
        <f t="shared" si="3"/>
        <v/>
      </c>
      <c r="D295" s="207" t="str">
        <f t="shared" si="0"/>
        <v/>
      </c>
      <c r="E295" s="207"/>
      <c r="F295" s="205" t="str">
        <f>IF(E295="","",VLOOKUP(E295,'ARAMA LİSTELERİ'!C295:G2334,5,))</f>
        <v/>
      </c>
      <c r="G295" s="207"/>
      <c r="H295" s="210"/>
      <c r="I295" s="79"/>
      <c r="J295" s="210"/>
      <c r="K295" s="210"/>
      <c r="L295" s="210" t="str">
        <f t="shared" si="1"/>
        <v/>
      </c>
      <c r="M295" s="79"/>
      <c r="N295" s="207"/>
      <c r="O295" s="207"/>
      <c r="P295" s="207"/>
      <c r="Q295" s="207"/>
    </row>
    <row r="296" spans="1:17" ht="34.5" customHeight="1">
      <c r="A296" s="82"/>
      <c r="B296" s="205" t="str">
        <f t="shared" si="2"/>
        <v/>
      </c>
      <c r="C296" s="206" t="str">
        <f t="shared" si="3"/>
        <v/>
      </c>
      <c r="D296" s="207" t="str">
        <f t="shared" si="0"/>
        <v/>
      </c>
      <c r="E296" s="207"/>
      <c r="F296" s="205" t="str">
        <f>IF(E296="","",VLOOKUP(E296,'ARAMA LİSTELERİ'!C296:G2335,5,))</f>
        <v/>
      </c>
      <c r="G296" s="207"/>
      <c r="H296" s="210"/>
      <c r="I296" s="79"/>
      <c r="J296" s="210"/>
      <c r="K296" s="210"/>
      <c r="L296" s="210" t="str">
        <f t="shared" si="1"/>
        <v/>
      </c>
      <c r="M296" s="79"/>
      <c r="N296" s="207"/>
      <c r="O296" s="207"/>
      <c r="P296" s="207"/>
      <c r="Q296" s="207"/>
    </row>
    <row r="297" spans="1:17" ht="34.5" customHeight="1">
      <c r="A297" s="82"/>
      <c r="B297" s="205" t="str">
        <f t="shared" si="2"/>
        <v/>
      </c>
      <c r="C297" s="206" t="str">
        <f t="shared" si="3"/>
        <v/>
      </c>
      <c r="D297" s="207" t="str">
        <f t="shared" si="0"/>
        <v/>
      </c>
      <c r="E297" s="207"/>
      <c r="F297" s="205" t="str">
        <f>IF(E297="","",VLOOKUP(E297,'ARAMA LİSTELERİ'!C297:G2336,5,))</f>
        <v/>
      </c>
      <c r="G297" s="207"/>
      <c r="H297" s="210"/>
      <c r="I297" s="79"/>
      <c r="J297" s="210"/>
      <c r="K297" s="210"/>
      <c r="L297" s="210" t="str">
        <f t="shared" si="1"/>
        <v/>
      </c>
      <c r="M297" s="79"/>
      <c r="N297" s="207"/>
      <c r="O297" s="207"/>
      <c r="P297" s="207"/>
      <c r="Q297" s="207"/>
    </row>
    <row r="298" spans="1:17" ht="34.5" customHeight="1">
      <c r="A298" s="82"/>
      <c r="B298" s="205" t="str">
        <f t="shared" si="2"/>
        <v/>
      </c>
      <c r="C298" s="206" t="str">
        <f t="shared" si="3"/>
        <v/>
      </c>
      <c r="D298" s="207" t="str">
        <f t="shared" si="0"/>
        <v/>
      </c>
      <c r="E298" s="207"/>
      <c r="F298" s="205" t="str">
        <f>IF(E298="","",VLOOKUP(E298,'ARAMA LİSTELERİ'!C298:G2337,5,))</f>
        <v/>
      </c>
      <c r="G298" s="207"/>
      <c r="H298" s="210"/>
      <c r="I298" s="79"/>
      <c r="J298" s="210"/>
      <c r="K298" s="210"/>
      <c r="L298" s="210" t="str">
        <f t="shared" si="1"/>
        <v/>
      </c>
      <c r="M298" s="79"/>
      <c r="N298" s="207"/>
      <c r="O298" s="207"/>
      <c r="P298" s="207"/>
      <c r="Q298" s="207"/>
    </row>
    <row r="299" spans="1:17" ht="34.5" customHeight="1">
      <c r="A299" s="82"/>
      <c r="B299" s="205" t="str">
        <f t="shared" si="2"/>
        <v/>
      </c>
      <c r="C299" s="206" t="str">
        <f t="shared" si="3"/>
        <v/>
      </c>
      <c r="D299" s="207" t="str">
        <f t="shared" si="0"/>
        <v/>
      </c>
      <c r="E299" s="207"/>
      <c r="F299" s="205" t="str">
        <f>IF(E299="","",VLOOKUP(E299,'ARAMA LİSTELERİ'!C299:G2338,5,))</f>
        <v/>
      </c>
      <c r="G299" s="207"/>
      <c r="H299" s="210"/>
      <c r="I299" s="79"/>
      <c r="J299" s="210"/>
      <c r="K299" s="210"/>
      <c r="L299" s="210" t="str">
        <f t="shared" si="1"/>
        <v/>
      </c>
      <c r="M299" s="79"/>
      <c r="N299" s="207"/>
      <c r="O299" s="207"/>
      <c r="P299" s="207"/>
      <c r="Q299" s="207"/>
    </row>
    <row r="300" spans="1:17" ht="34.5" customHeight="1">
      <c r="A300" s="82"/>
      <c r="B300" s="205" t="str">
        <f t="shared" si="2"/>
        <v/>
      </c>
      <c r="C300" s="206" t="str">
        <f t="shared" si="3"/>
        <v/>
      </c>
      <c r="D300" s="207" t="str">
        <f t="shared" si="0"/>
        <v/>
      </c>
      <c r="E300" s="207"/>
      <c r="F300" s="205" t="str">
        <f>IF(E300="","",VLOOKUP(E300,'ARAMA LİSTELERİ'!C300:G2339,5,))</f>
        <v/>
      </c>
      <c r="G300" s="207"/>
      <c r="H300" s="210"/>
      <c r="I300" s="79"/>
      <c r="J300" s="210"/>
      <c r="K300" s="210"/>
      <c r="L300" s="210" t="str">
        <f t="shared" si="1"/>
        <v/>
      </c>
      <c r="M300" s="79"/>
      <c r="N300" s="207"/>
      <c r="O300" s="207"/>
      <c r="P300" s="207"/>
      <c r="Q300" s="207"/>
    </row>
    <row r="301" spans="1:17" ht="34.5" customHeight="1">
      <c r="A301" s="82"/>
      <c r="B301" s="205" t="str">
        <f t="shared" si="2"/>
        <v/>
      </c>
      <c r="C301" s="206" t="str">
        <f t="shared" si="3"/>
        <v/>
      </c>
      <c r="D301" s="207" t="str">
        <f t="shared" si="0"/>
        <v/>
      </c>
      <c r="E301" s="207"/>
      <c r="F301" s="205" t="str">
        <f>IF(E301="","",VLOOKUP(E301,'ARAMA LİSTELERİ'!C301:G2340,5,))</f>
        <v/>
      </c>
      <c r="G301" s="207"/>
      <c r="H301" s="210"/>
      <c r="I301" s="79"/>
      <c r="J301" s="210"/>
      <c r="K301" s="210"/>
      <c r="L301" s="210" t="str">
        <f t="shared" si="1"/>
        <v/>
      </c>
      <c r="M301" s="79"/>
      <c r="N301" s="207"/>
      <c r="O301" s="207"/>
      <c r="P301" s="207"/>
      <c r="Q301" s="207"/>
    </row>
    <row r="302" spans="1:17" ht="34.5" customHeight="1">
      <c r="A302" s="82"/>
      <c r="B302" s="205" t="str">
        <f t="shared" si="2"/>
        <v/>
      </c>
      <c r="C302" s="206" t="str">
        <f t="shared" si="3"/>
        <v/>
      </c>
      <c r="D302" s="207" t="str">
        <f t="shared" si="0"/>
        <v/>
      </c>
      <c r="E302" s="207"/>
      <c r="F302" s="205" t="str">
        <f>IF(E302="","",VLOOKUP(E302,'ARAMA LİSTELERİ'!C302:G2341,5,))</f>
        <v/>
      </c>
      <c r="G302" s="207"/>
      <c r="H302" s="210"/>
      <c r="I302" s="79"/>
      <c r="J302" s="210"/>
      <c r="K302" s="210"/>
      <c r="L302" s="210" t="str">
        <f t="shared" si="1"/>
        <v/>
      </c>
      <c r="M302" s="79"/>
      <c r="N302" s="207"/>
      <c r="O302" s="207"/>
      <c r="P302" s="207"/>
      <c r="Q302" s="207"/>
    </row>
    <row r="303" spans="1:17" ht="34.5" customHeight="1">
      <c r="A303" s="82"/>
      <c r="B303" s="205" t="str">
        <f t="shared" si="2"/>
        <v/>
      </c>
      <c r="C303" s="206" t="str">
        <f t="shared" si="3"/>
        <v/>
      </c>
      <c r="D303" s="207" t="str">
        <f t="shared" si="0"/>
        <v/>
      </c>
      <c r="E303" s="207"/>
      <c r="F303" s="205" t="str">
        <f>IF(E303="","",VLOOKUP(E303,'ARAMA LİSTELERİ'!C303:G2342,5,))</f>
        <v/>
      </c>
      <c r="G303" s="207"/>
      <c r="H303" s="210"/>
      <c r="I303" s="79"/>
      <c r="J303" s="210"/>
      <c r="K303" s="210"/>
      <c r="L303" s="210" t="str">
        <f t="shared" si="1"/>
        <v/>
      </c>
      <c r="M303" s="79"/>
      <c r="N303" s="207"/>
      <c r="O303" s="207"/>
      <c r="P303" s="207"/>
      <c r="Q303" s="207"/>
    </row>
    <row r="304" spans="1:17" ht="34.5" customHeight="1">
      <c r="A304" s="82"/>
      <c r="B304" s="205" t="str">
        <f t="shared" si="2"/>
        <v/>
      </c>
      <c r="C304" s="206" t="str">
        <f t="shared" si="3"/>
        <v/>
      </c>
      <c r="D304" s="207" t="str">
        <f t="shared" si="0"/>
        <v/>
      </c>
      <c r="E304" s="207"/>
      <c r="F304" s="205" t="str">
        <f>IF(E304="","",VLOOKUP(E304,'ARAMA LİSTELERİ'!C304:G2343,5,))</f>
        <v/>
      </c>
      <c r="G304" s="207"/>
      <c r="H304" s="210"/>
      <c r="I304" s="79"/>
      <c r="J304" s="210"/>
      <c r="K304" s="210"/>
      <c r="L304" s="210" t="str">
        <f t="shared" si="1"/>
        <v/>
      </c>
      <c r="M304" s="79"/>
      <c r="N304" s="207"/>
      <c r="O304" s="207"/>
      <c r="P304" s="207"/>
      <c r="Q304" s="207"/>
    </row>
    <row r="305" spans="1:17" ht="34.5" customHeight="1">
      <c r="A305" s="82"/>
      <c r="B305" s="205" t="str">
        <f t="shared" si="2"/>
        <v/>
      </c>
      <c r="C305" s="206" t="str">
        <f t="shared" si="3"/>
        <v/>
      </c>
      <c r="D305" s="207" t="str">
        <f t="shared" si="0"/>
        <v/>
      </c>
      <c r="E305" s="207"/>
      <c r="F305" s="205" t="str">
        <f>IF(E305="","",VLOOKUP(E305,'ARAMA LİSTELERİ'!C305:G2344,5,))</f>
        <v/>
      </c>
      <c r="G305" s="207"/>
      <c r="H305" s="210"/>
      <c r="I305" s="79"/>
      <c r="J305" s="210"/>
      <c r="K305" s="210"/>
      <c r="L305" s="210" t="str">
        <f t="shared" si="1"/>
        <v/>
      </c>
      <c r="M305" s="79"/>
      <c r="N305" s="207"/>
      <c r="O305" s="207"/>
      <c r="P305" s="207"/>
      <c r="Q305" s="207"/>
    </row>
    <row r="306" spans="1:17" ht="34.5" customHeight="1">
      <c r="A306" s="82"/>
      <c r="B306" s="205" t="str">
        <f t="shared" si="2"/>
        <v/>
      </c>
      <c r="C306" s="206" t="str">
        <f t="shared" si="3"/>
        <v/>
      </c>
      <c r="D306" s="207" t="str">
        <f t="shared" si="0"/>
        <v/>
      </c>
      <c r="E306" s="207"/>
      <c r="F306" s="205" t="str">
        <f>IF(E306="","",VLOOKUP(E306,'ARAMA LİSTELERİ'!C306:G2345,5,))</f>
        <v/>
      </c>
      <c r="G306" s="207"/>
      <c r="H306" s="210"/>
      <c r="I306" s="79"/>
      <c r="J306" s="210"/>
      <c r="K306" s="210"/>
      <c r="L306" s="210" t="str">
        <f t="shared" si="1"/>
        <v/>
      </c>
      <c r="M306" s="79"/>
      <c r="N306" s="207"/>
      <c r="O306" s="207"/>
      <c r="P306" s="207"/>
      <c r="Q306" s="207"/>
    </row>
    <row r="307" spans="1:17" ht="34.5" customHeight="1">
      <c r="A307" s="82"/>
      <c r="B307" s="205" t="str">
        <f t="shared" si="2"/>
        <v/>
      </c>
      <c r="C307" s="206" t="str">
        <f t="shared" si="3"/>
        <v/>
      </c>
      <c r="D307" s="207" t="str">
        <f t="shared" si="0"/>
        <v/>
      </c>
      <c r="E307" s="207"/>
      <c r="F307" s="205" t="str">
        <f>IF(E307="","",VLOOKUP(E307,'ARAMA LİSTELERİ'!C307:G2346,5,))</f>
        <v/>
      </c>
      <c r="G307" s="207"/>
      <c r="H307" s="210"/>
      <c r="I307" s="79"/>
      <c r="J307" s="210"/>
      <c r="K307" s="210"/>
      <c r="L307" s="210" t="str">
        <f t="shared" si="1"/>
        <v/>
      </c>
      <c r="M307" s="79"/>
      <c r="N307" s="207"/>
      <c r="O307" s="207"/>
      <c r="P307" s="207"/>
      <c r="Q307" s="207"/>
    </row>
    <row r="308" spans="1:17" ht="34.5" customHeight="1">
      <c r="A308" s="82"/>
      <c r="B308" s="205" t="str">
        <f t="shared" si="2"/>
        <v/>
      </c>
      <c r="C308" s="206" t="str">
        <f t="shared" si="3"/>
        <v/>
      </c>
      <c r="D308" s="207" t="str">
        <f t="shared" si="0"/>
        <v/>
      </c>
      <c r="E308" s="207"/>
      <c r="F308" s="205" t="str">
        <f>IF(E308="","",VLOOKUP(E308,'ARAMA LİSTELERİ'!C308:G2347,5,))</f>
        <v/>
      </c>
      <c r="G308" s="207"/>
      <c r="H308" s="210"/>
      <c r="I308" s="79"/>
      <c r="J308" s="210"/>
      <c r="K308" s="210"/>
      <c r="L308" s="210" t="str">
        <f t="shared" si="1"/>
        <v/>
      </c>
      <c r="M308" s="79"/>
      <c r="N308" s="207"/>
      <c r="O308" s="207"/>
      <c r="P308" s="207"/>
      <c r="Q308" s="207"/>
    </row>
    <row r="309" spans="1:17" ht="34.5" customHeight="1">
      <c r="A309" s="82"/>
      <c r="B309" s="205" t="str">
        <f t="shared" si="2"/>
        <v/>
      </c>
      <c r="C309" s="206" t="str">
        <f t="shared" si="3"/>
        <v/>
      </c>
      <c r="D309" s="207" t="str">
        <f t="shared" si="0"/>
        <v/>
      </c>
      <c r="E309" s="207"/>
      <c r="F309" s="205" t="str">
        <f>IF(E309="","",VLOOKUP(E309,'ARAMA LİSTELERİ'!C309:G2348,5,))</f>
        <v/>
      </c>
      <c r="G309" s="207"/>
      <c r="H309" s="210"/>
      <c r="I309" s="79"/>
      <c r="J309" s="210"/>
      <c r="K309" s="210"/>
      <c r="L309" s="210" t="str">
        <f t="shared" si="1"/>
        <v/>
      </c>
      <c r="M309" s="79"/>
      <c r="N309" s="207"/>
      <c r="O309" s="207"/>
      <c r="P309" s="207"/>
      <c r="Q309" s="207"/>
    </row>
    <row r="310" spans="1:17" ht="34.5" customHeight="1">
      <c r="A310" s="82"/>
      <c r="B310" s="205" t="str">
        <f t="shared" si="2"/>
        <v/>
      </c>
      <c r="C310" s="206" t="str">
        <f t="shared" si="3"/>
        <v/>
      </c>
      <c r="D310" s="207" t="str">
        <f t="shared" si="0"/>
        <v/>
      </c>
      <c r="E310" s="207"/>
      <c r="F310" s="205" t="str">
        <f>IF(E310="","",VLOOKUP(E310,'ARAMA LİSTELERİ'!C310:G2349,5,))</f>
        <v/>
      </c>
      <c r="G310" s="207"/>
      <c r="H310" s="210"/>
      <c r="I310" s="79"/>
      <c r="J310" s="210"/>
      <c r="K310" s="210"/>
      <c r="L310" s="210" t="str">
        <f t="shared" si="1"/>
        <v/>
      </c>
      <c r="M310" s="79"/>
      <c r="N310" s="207"/>
      <c r="O310" s="207"/>
      <c r="P310" s="207"/>
      <c r="Q310" s="207"/>
    </row>
    <row r="311" spans="1:17" ht="34.5" customHeight="1">
      <c r="A311" s="82"/>
      <c r="B311" s="205" t="str">
        <f t="shared" si="2"/>
        <v/>
      </c>
      <c r="C311" s="206" t="str">
        <f t="shared" si="3"/>
        <v/>
      </c>
      <c r="D311" s="207" t="str">
        <f t="shared" si="0"/>
        <v/>
      </c>
      <c r="E311" s="207"/>
      <c r="F311" s="205" t="str">
        <f>IF(E311="","",VLOOKUP(E311,'ARAMA LİSTELERİ'!C311:G2350,5,))</f>
        <v/>
      </c>
      <c r="G311" s="207"/>
      <c r="H311" s="210"/>
      <c r="I311" s="79"/>
      <c r="J311" s="210"/>
      <c r="K311" s="210"/>
      <c r="L311" s="210" t="str">
        <f t="shared" si="1"/>
        <v/>
      </c>
      <c r="M311" s="79"/>
      <c r="N311" s="207"/>
      <c r="O311" s="207"/>
      <c r="P311" s="207"/>
      <c r="Q311" s="207"/>
    </row>
    <row r="312" spans="1:17" ht="34.5" customHeight="1">
      <c r="A312" s="82"/>
      <c r="B312" s="205" t="str">
        <f t="shared" si="2"/>
        <v/>
      </c>
      <c r="C312" s="206" t="str">
        <f t="shared" si="3"/>
        <v/>
      </c>
      <c r="D312" s="207" t="str">
        <f t="shared" si="0"/>
        <v/>
      </c>
      <c r="E312" s="207"/>
      <c r="F312" s="205" t="str">
        <f>IF(E312="","",VLOOKUP(E312,'ARAMA LİSTELERİ'!C312:G2351,5,))</f>
        <v/>
      </c>
      <c r="G312" s="207"/>
      <c r="H312" s="210"/>
      <c r="I312" s="79"/>
      <c r="J312" s="210"/>
      <c r="K312" s="210"/>
      <c r="L312" s="210" t="str">
        <f t="shared" si="1"/>
        <v/>
      </c>
      <c r="M312" s="79"/>
      <c r="N312" s="207"/>
      <c r="O312" s="207"/>
      <c r="P312" s="207"/>
      <c r="Q312" s="207"/>
    </row>
    <row r="313" spans="1:17" ht="34.5" customHeight="1">
      <c r="A313" s="82"/>
      <c r="B313" s="205" t="str">
        <f t="shared" si="2"/>
        <v/>
      </c>
      <c r="C313" s="206" t="str">
        <f t="shared" si="3"/>
        <v/>
      </c>
      <c r="D313" s="207" t="str">
        <f t="shared" si="0"/>
        <v/>
      </c>
      <c r="E313" s="207"/>
      <c r="F313" s="205" t="str">
        <f>IF(E313="","",VLOOKUP(E313,'ARAMA LİSTELERİ'!C313:G2352,5,))</f>
        <v/>
      </c>
      <c r="G313" s="207"/>
      <c r="H313" s="210"/>
      <c r="I313" s="79"/>
      <c r="J313" s="210"/>
      <c r="K313" s="210"/>
      <c r="L313" s="210" t="str">
        <f t="shared" si="1"/>
        <v/>
      </c>
      <c r="M313" s="79"/>
      <c r="N313" s="207"/>
      <c r="O313" s="207"/>
      <c r="P313" s="207"/>
      <c r="Q313" s="207"/>
    </row>
    <row r="314" spans="1:17" ht="34.5" customHeight="1">
      <c r="A314" s="82"/>
      <c r="B314" s="205" t="str">
        <f t="shared" si="2"/>
        <v/>
      </c>
      <c r="C314" s="206" t="str">
        <f t="shared" si="3"/>
        <v/>
      </c>
      <c r="D314" s="207" t="str">
        <f t="shared" si="0"/>
        <v/>
      </c>
      <c r="E314" s="207"/>
      <c r="F314" s="205" t="str">
        <f>IF(E314="","",VLOOKUP(E314,'ARAMA LİSTELERİ'!C314:G2353,5,))</f>
        <v/>
      </c>
      <c r="G314" s="207"/>
      <c r="H314" s="210"/>
      <c r="I314" s="79"/>
      <c r="J314" s="210"/>
      <c r="K314" s="210"/>
      <c r="L314" s="210" t="str">
        <f t="shared" si="1"/>
        <v/>
      </c>
      <c r="M314" s="79"/>
      <c r="N314" s="207"/>
      <c r="O314" s="207"/>
      <c r="P314" s="207"/>
      <c r="Q314" s="207"/>
    </row>
    <row r="315" spans="1:17" ht="34.5" customHeight="1">
      <c r="A315" s="82"/>
      <c r="B315" s="205" t="str">
        <f t="shared" si="2"/>
        <v/>
      </c>
      <c r="C315" s="206" t="str">
        <f t="shared" si="3"/>
        <v/>
      </c>
      <c r="D315" s="207" t="str">
        <f t="shared" si="0"/>
        <v/>
      </c>
      <c r="E315" s="207"/>
      <c r="F315" s="205" t="str">
        <f>IF(E315="","",VLOOKUP(E315,'ARAMA LİSTELERİ'!C315:G2354,5,))</f>
        <v/>
      </c>
      <c r="G315" s="207"/>
      <c r="H315" s="210"/>
      <c r="I315" s="79"/>
      <c r="J315" s="210"/>
      <c r="K315" s="210"/>
      <c r="L315" s="210" t="str">
        <f t="shared" si="1"/>
        <v/>
      </c>
      <c r="M315" s="79"/>
      <c r="N315" s="207"/>
      <c r="O315" s="207"/>
      <c r="P315" s="207"/>
      <c r="Q315" s="207"/>
    </row>
    <row r="316" spans="1:17" ht="34.5" customHeight="1">
      <c r="A316" s="82"/>
      <c r="B316" s="205" t="str">
        <f t="shared" si="2"/>
        <v/>
      </c>
      <c r="C316" s="206" t="str">
        <f t="shared" si="3"/>
        <v/>
      </c>
      <c r="D316" s="207" t="str">
        <f t="shared" si="0"/>
        <v/>
      </c>
      <c r="E316" s="207"/>
      <c r="F316" s="205" t="str">
        <f>IF(E316="","",VLOOKUP(E316,'ARAMA LİSTELERİ'!C316:G2355,5,))</f>
        <v/>
      </c>
      <c r="G316" s="207"/>
      <c r="H316" s="210"/>
      <c r="I316" s="79"/>
      <c r="J316" s="210"/>
      <c r="K316" s="210"/>
      <c r="L316" s="210" t="str">
        <f t="shared" si="1"/>
        <v/>
      </c>
      <c r="M316" s="79"/>
      <c r="N316" s="207"/>
      <c r="O316" s="207"/>
      <c r="P316" s="207"/>
      <c r="Q316" s="207"/>
    </row>
    <row r="317" spans="1:17" ht="34.5" customHeight="1">
      <c r="A317" s="82"/>
      <c r="B317" s="205" t="str">
        <f t="shared" si="2"/>
        <v/>
      </c>
      <c r="C317" s="206" t="str">
        <f t="shared" si="3"/>
        <v/>
      </c>
      <c r="D317" s="207" t="str">
        <f t="shared" si="0"/>
        <v/>
      </c>
      <c r="E317" s="207"/>
      <c r="F317" s="205" t="str">
        <f>IF(E317="","",VLOOKUP(E317,'ARAMA LİSTELERİ'!C317:G2356,5,))</f>
        <v/>
      </c>
      <c r="G317" s="207"/>
      <c r="H317" s="210"/>
      <c r="I317" s="79"/>
      <c r="J317" s="210"/>
      <c r="K317" s="210"/>
      <c r="L317" s="210" t="str">
        <f t="shared" si="1"/>
        <v/>
      </c>
      <c r="M317" s="79"/>
      <c r="N317" s="207"/>
      <c r="O317" s="207"/>
      <c r="P317" s="207"/>
      <c r="Q317" s="207"/>
    </row>
    <row r="318" spans="1:17" ht="34.5" customHeight="1">
      <c r="A318" s="82"/>
      <c r="B318" s="205" t="str">
        <f t="shared" si="2"/>
        <v/>
      </c>
      <c r="C318" s="206" t="str">
        <f t="shared" si="3"/>
        <v/>
      </c>
      <c r="D318" s="207" t="str">
        <f t="shared" si="0"/>
        <v/>
      </c>
      <c r="E318" s="207"/>
      <c r="F318" s="205" t="str">
        <f>IF(E318="","",VLOOKUP(E318,'ARAMA LİSTELERİ'!C318:G2357,5,))</f>
        <v/>
      </c>
      <c r="G318" s="207"/>
      <c r="H318" s="210"/>
      <c r="I318" s="79"/>
      <c r="J318" s="210"/>
      <c r="K318" s="210"/>
      <c r="L318" s="210" t="str">
        <f t="shared" si="1"/>
        <v/>
      </c>
      <c r="M318" s="79"/>
      <c r="N318" s="207"/>
      <c r="O318" s="207"/>
      <c r="P318" s="207"/>
      <c r="Q318" s="207"/>
    </row>
    <row r="319" spans="1:17" ht="34.5" customHeight="1">
      <c r="A319" s="82"/>
      <c r="B319" s="205" t="str">
        <f t="shared" si="2"/>
        <v/>
      </c>
      <c r="C319" s="206" t="str">
        <f t="shared" si="3"/>
        <v/>
      </c>
      <c r="D319" s="207" t="str">
        <f t="shared" si="0"/>
        <v/>
      </c>
      <c r="E319" s="207"/>
      <c r="F319" s="205" t="str">
        <f>IF(E319="","",VLOOKUP(E319,'ARAMA LİSTELERİ'!C319:G2358,5,))</f>
        <v/>
      </c>
      <c r="G319" s="207"/>
      <c r="H319" s="210"/>
      <c r="I319" s="79"/>
      <c r="J319" s="210"/>
      <c r="K319" s="210"/>
      <c r="L319" s="210" t="str">
        <f t="shared" si="1"/>
        <v/>
      </c>
      <c r="M319" s="79"/>
      <c r="N319" s="207"/>
      <c r="O319" s="207"/>
      <c r="P319" s="207"/>
      <c r="Q319" s="207"/>
    </row>
    <row r="320" spans="1:17" ht="34.5" customHeight="1">
      <c r="A320" s="82"/>
      <c r="B320" s="205" t="str">
        <f t="shared" si="2"/>
        <v/>
      </c>
      <c r="C320" s="206" t="str">
        <f t="shared" si="3"/>
        <v/>
      </c>
      <c r="D320" s="207" t="str">
        <f t="shared" si="0"/>
        <v/>
      </c>
      <c r="E320" s="207"/>
      <c r="F320" s="205" t="str">
        <f>IF(E320="","",VLOOKUP(E320,'ARAMA LİSTELERİ'!C320:G2359,5,))</f>
        <v/>
      </c>
      <c r="G320" s="207"/>
      <c r="H320" s="210"/>
      <c r="I320" s="79"/>
      <c r="J320" s="210"/>
      <c r="K320" s="210"/>
      <c r="L320" s="210" t="str">
        <f t="shared" si="1"/>
        <v/>
      </c>
      <c r="M320" s="79"/>
      <c r="N320" s="207"/>
      <c r="O320" s="207"/>
      <c r="P320" s="207"/>
      <c r="Q320" s="207"/>
    </row>
    <row r="321" spans="1:17" ht="34.5" customHeight="1">
      <c r="A321" s="82"/>
      <c r="B321" s="205" t="str">
        <f t="shared" si="2"/>
        <v/>
      </c>
      <c r="C321" s="206" t="str">
        <f t="shared" si="3"/>
        <v/>
      </c>
      <c r="D321" s="207" t="str">
        <f t="shared" si="0"/>
        <v/>
      </c>
      <c r="E321" s="207"/>
      <c r="F321" s="205" t="str">
        <f>IF(E321="","",VLOOKUP(E321,'ARAMA LİSTELERİ'!C321:G2360,5,))</f>
        <v/>
      </c>
      <c r="G321" s="207"/>
      <c r="H321" s="210"/>
      <c r="I321" s="79"/>
      <c r="J321" s="210"/>
      <c r="K321" s="210"/>
      <c r="L321" s="210" t="str">
        <f t="shared" si="1"/>
        <v/>
      </c>
      <c r="M321" s="79"/>
      <c r="N321" s="207"/>
      <c r="O321" s="207"/>
      <c r="P321" s="207"/>
      <c r="Q321" s="207"/>
    </row>
    <row r="322" spans="1:17" ht="34.5" customHeight="1">
      <c r="A322" s="82"/>
      <c r="B322" s="205" t="str">
        <f t="shared" si="2"/>
        <v/>
      </c>
      <c r="C322" s="206" t="str">
        <f t="shared" si="3"/>
        <v/>
      </c>
      <c r="D322" s="207" t="str">
        <f t="shared" si="0"/>
        <v/>
      </c>
      <c r="E322" s="207"/>
      <c r="F322" s="205" t="str">
        <f>IF(E322="","",VLOOKUP(E322,'ARAMA LİSTELERİ'!C322:G2361,5,))</f>
        <v/>
      </c>
      <c r="G322" s="207"/>
      <c r="H322" s="210"/>
      <c r="I322" s="79"/>
      <c r="J322" s="210"/>
      <c r="K322" s="210"/>
      <c r="L322" s="210" t="str">
        <f t="shared" si="1"/>
        <v/>
      </c>
      <c r="M322" s="79"/>
      <c r="N322" s="207"/>
      <c r="O322" s="207"/>
      <c r="P322" s="207"/>
      <c r="Q322" s="207"/>
    </row>
    <row r="323" spans="1:17" ht="34.5" customHeight="1">
      <c r="A323" s="82"/>
      <c r="B323" s="205" t="str">
        <f t="shared" si="2"/>
        <v/>
      </c>
      <c r="C323" s="206" t="str">
        <f t="shared" si="3"/>
        <v/>
      </c>
      <c r="D323" s="207" t="str">
        <f t="shared" si="0"/>
        <v/>
      </c>
      <c r="E323" s="207"/>
      <c r="F323" s="205" t="str">
        <f>IF(E323="","",VLOOKUP(E323,'ARAMA LİSTELERİ'!C323:G2362,5,))</f>
        <v/>
      </c>
      <c r="G323" s="207"/>
      <c r="H323" s="210"/>
      <c r="I323" s="79"/>
      <c r="J323" s="210"/>
      <c r="K323" s="210"/>
      <c r="L323" s="210" t="str">
        <f t="shared" si="1"/>
        <v/>
      </c>
      <c r="M323" s="79"/>
      <c r="N323" s="207"/>
      <c r="O323" s="207"/>
      <c r="P323" s="207"/>
      <c r="Q323" s="207"/>
    </row>
    <row r="324" spans="1:17" ht="34.5" customHeight="1">
      <c r="A324" s="82"/>
      <c r="B324" s="205" t="str">
        <f t="shared" si="2"/>
        <v/>
      </c>
      <c r="C324" s="206" t="str">
        <f t="shared" si="3"/>
        <v/>
      </c>
      <c r="D324" s="207" t="str">
        <f t="shared" si="0"/>
        <v/>
      </c>
      <c r="E324" s="207"/>
      <c r="F324" s="205" t="str">
        <f>IF(E324="","",VLOOKUP(E324,'ARAMA LİSTELERİ'!C324:G2363,5,))</f>
        <v/>
      </c>
      <c r="G324" s="207"/>
      <c r="H324" s="210"/>
      <c r="I324" s="79"/>
      <c r="J324" s="210"/>
      <c r="K324" s="210"/>
      <c r="L324" s="210" t="str">
        <f t="shared" si="1"/>
        <v/>
      </c>
      <c r="M324" s="79"/>
      <c r="N324" s="207"/>
      <c r="O324" s="207"/>
      <c r="P324" s="207"/>
      <c r="Q324" s="207"/>
    </row>
    <row r="325" spans="1:17" ht="34.5" customHeight="1">
      <c r="A325" s="82"/>
      <c r="B325" s="205" t="str">
        <f t="shared" si="2"/>
        <v/>
      </c>
      <c r="C325" s="206" t="str">
        <f t="shared" si="3"/>
        <v/>
      </c>
      <c r="D325" s="207" t="str">
        <f t="shared" si="0"/>
        <v/>
      </c>
      <c r="E325" s="207"/>
      <c r="F325" s="205" t="str">
        <f>IF(E325="","",VLOOKUP(E325,'ARAMA LİSTELERİ'!C325:G2364,5,))</f>
        <v/>
      </c>
      <c r="G325" s="207"/>
      <c r="H325" s="210"/>
      <c r="I325" s="79"/>
      <c r="J325" s="210"/>
      <c r="K325" s="210"/>
      <c r="L325" s="210" t="str">
        <f t="shared" si="1"/>
        <v/>
      </c>
      <c r="M325" s="79"/>
      <c r="N325" s="207"/>
      <c r="O325" s="207"/>
      <c r="P325" s="207"/>
      <c r="Q325" s="207"/>
    </row>
    <row r="326" spans="1:17" ht="34.5" customHeight="1">
      <c r="A326" s="82"/>
      <c r="B326" s="205" t="str">
        <f t="shared" si="2"/>
        <v/>
      </c>
      <c r="C326" s="206" t="str">
        <f t="shared" si="3"/>
        <v/>
      </c>
      <c r="D326" s="207" t="str">
        <f t="shared" si="0"/>
        <v/>
      </c>
      <c r="E326" s="207"/>
      <c r="F326" s="205" t="str">
        <f>IF(E326="","",VLOOKUP(E326,'ARAMA LİSTELERİ'!C326:G2365,5,))</f>
        <v/>
      </c>
      <c r="G326" s="207"/>
      <c r="H326" s="210"/>
      <c r="I326" s="79"/>
      <c r="J326" s="210"/>
      <c r="K326" s="210"/>
      <c r="L326" s="210" t="str">
        <f t="shared" si="1"/>
        <v/>
      </c>
      <c r="M326" s="79"/>
      <c r="N326" s="207"/>
      <c r="O326" s="207"/>
      <c r="P326" s="207"/>
      <c r="Q326" s="207"/>
    </row>
    <row r="327" spans="1:17" ht="34.5" customHeight="1">
      <c r="A327" s="82"/>
      <c r="B327" s="205" t="str">
        <f t="shared" si="2"/>
        <v/>
      </c>
      <c r="C327" s="206" t="str">
        <f t="shared" si="3"/>
        <v/>
      </c>
      <c r="D327" s="207" t="str">
        <f t="shared" si="0"/>
        <v/>
      </c>
      <c r="E327" s="207"/>
      <c r="F327" s="205" t="str">
        <f>IF(E327="","",VLOOKUP(E327,'ARAMA LİSTELERİ'!C327:G2366,5,))</f>
        <v/>
      </c>
      <c r="G327" s="207"/>
      <c r="H327" s="210"/>
      <c r="I327" s="79"/>
      <c r="J327" s="210"/>
      <c r="K327" s="210"/>
      <c r="L327" s="210" t="str">
        <f t="shared" si="1"/>
        <v/>
      </c>
      <c r="M327" s="79"/>
      <c r="N327" s="207"/>
      <c r="O327" s="207"/>
      <c r="P327" s="207"/>
      <c r="Q327" s="207"/>
    </row>
    <row r="328" spans="1:17" ht="34.5" customHeight="1">
      <c r="A328" s="82"/>
      <c r="B328" s="205" t="str">
        <f t="shared" si="2"/>
        <v/>
      </c>
      <c r="C328" s="206" t="str">
        <f t="shared" si="3"/>
        <v/>
      </c>
      <c r="D328" s="207" t="str">
        <f t="shared" si="0"/>
        <v/>
      </c>
      <c r="E328" s="207"/>
      <c r="F328" s="205" t="str">
        <f>IF(E328="","",VLOOKUP(E328,'ARAMA LİSTELERİ'!C328:G2367,5,))</f>
        <v/>
      </c>
      <c r="G328" s="207"/>
      <c r="H328" s="210"/>
      <c r="I328" s="79"/>
      <c r="J328" s="210"/>
      <c r="K328" s="210"/>
      <c r="L328" s="210" t="str">
        <f t="shared" si="1"/>
        <v/>
      </c>
      <c r="M328" s="79"/>
      <c r="N328" s="207"/>
      <c r="O328" s="207"/>
      <c r="P328" s="207"/>
      <c r="Q328" s="207"/>
    </row>
    <row r="329" spans="1:17" ht="34.5" customHeight="1">
      <c r="A329" s="82"/>
      <c r="B329" s="205" t="str">
        <f t="shared" si="2"/>
        <v/>
      </c>
      <c r="C329" s="206" t="str">
        <f t="shared" si="3"/>
        <v/>
      </c>
      <c r="D329" s="207" t="str">
        <f t="shared" si="0"/>
        <v/>
      </c>
      <c r="E329" s="207"/>
      <c r="F329" s="205" t="str">
        <f>IF(E329="","",VLOOKUP(E329,'ARAMA LİSTELERİ'!C329:G2368,5,))</f>
        <v/>
      </c>
      <c r="G329" s="207"/>
      <c r="H329" s="210"/>
      <c r="I329" s="79"/>
      <c r="J329" s="210"/>
      <c r="K329" s="210"/>
      <c r="L329" s="210" t="str">
        <f t="shared" si="1"/>
        <v/>
      </c>
      <c r="M329" s="79"/>
      <c r="N329" s="207"/>
      <c r="O329" s="207"/>
      <c r="P329" s="207"/>
      <c r="Q329" s="207"/>
    </row>
    <row r="330" spans="1:17" ht="34.5" customHeight="1">
      <c r="A330" s="82"/>
      <c r="B330" s="205" t="str">
        <f t="shared" si="2"/>
        <v/>
      </c>
      <c r="C330" s="206" t="str">
        <f t="shared" si="3"/>
        <v/>
      </c>
      <c r="D330" s="207" t="str">
        <f t="shared" si="0"/>
        <v/>
      </c>
      <c r="E330" s="207"/>
      <c r="F330" s="205" t="str">
        <f>IF(E330="","",VLOOKUP(E330,'ARAMA LİSTELERİ'!C330:G2369,5,))</f>
        <v/>
      </c>
      <c r="G330" s="207"/>
      <c r="H330" s="210"/>
      <c r="I330" s="79"/>
      <c r="J330" s="210"/>
      <c r="K330" s="210"/>
      <c r="L330" s="210" t="str">
        <f t="shared" si="1"/>
        <v/>
      </c>
      <c r="M330" s="79"/>
      <c r="N330" s="207"/>
      <c r="O330" s="207"/>
      <c r="P330" s="207"/>
      <c r="Q330" s="207"/>
    </row>
    <row r="331" spans="1:17" ht="34.5" customHeight="1">
      <c r="A331" s="82"/>
      <c r="B331" s="205" t="str">
        <f t="shared" si="2"/>
        <v/>
      </c>
      <c r="C331" s="206" t="str">
        <f t="shared" si="3"/>
        <v/>
      </c>
      <c r="D331" s="207" t="str">
        <f t="shared" si="0"/>
        <v/>
      </c>
      <c r="E331" s="207"/>
      <c r="F331" s="205" t="str">
        <f>IF(E331="","",VLOOKUP(E331,'ARAMA LİSTELERİ'!C331:G2370,5,))</f>
        <v/>
      </c>
      <c r="G331" s="207"/>
      <c r="H331" s="210"/>
      <c r="I331" s="79"/>
      <c r="J331" s="210"/>
      <c r="K331" s="210"/>
      <c r="L331" s="210" t="str">
        <f t="shared" si="1"/>
        <v/>
      </c>
      <c r="M331" s="79"/>
      <c r="N331" s="207"/>
      <c r="O331" s="207"/>
      <c r="P331" s="207"/>
      <c r="Q331" s="207"/>
    </row>
    <row r="332" spans="1:17" ht="34.5" customHeight="1">
      <c r="A332" s="82"/>
      <c r="B332" s="205" t="str">
        <f t="shared" si="2"/>
        <v/>
      </c>
      <c r="C332" s="206" t="str">
        <f t="shared" si="3"/>
        <v/>
      </c>
      <c r="D332" s="207" t="str">
        <f t="shared" si="0"/>
        <v/>
      </c>
      <c r="E332" s="207"/>
      <c r="F332" s="205" t="str">
        <f>IF(E332="","",VLOOKUP(E332,'ARAMA LİSTELERİ'!C332:G2371,5,))</f>
        <v/>
      </c>
      <c r="G332" s="207"/>
      <c r="H332" s="210"/>
      <c r="I332" s="79"/>
      <c r="J332" s="210"/>
      <c r="K332" s="210"/>
      <c r="L332" s="210" t="str">
        <f t="shared" si="1"/>
        <v/>
      </c>
      <c r="M332" s="79"/>
      <c r="N332" s="207"/>
      <c r="O332" s="207"/>
      <c r="P332" s="207"/>
      <c r="Q332" s="207"/>
    </row>
    <row r="333" spans="1:17" ht="34.5" customHeight="1">
      <c r="A333" s="82"/>
      <c r="B333" s="205" t="str">
        <f t="shared" si="2"/>
        <v/>
      </c>
      <c r="C333" s="206" t="str">
        <f t="shared" si="3"/>
        <v/>
      </c>
      <c r="D333" s="207" t="str">
        <f t="shared" si="0"/>
        <v/>
      </c>
      <c r="E333" s="207"/>
      <c r="F333" s="205" t="str">
        <f>IF(E333="","",VLOOKUP(E333,'ARAMA LİSTELERİ'!C333:G2372,5,))</f>
        <v/>
      </c>
      <c r="G333" s="207"/>
      <c r="H333" s="210"/>
      <c r="I333" s="79"/>
      <c r="J333" s="210"/>
      <c r="K333" s="210"/>
      <c r="L333" s="210" t="str">
        <f t="shared" si="1"/>
        <v/>
      </c>
      <c r="M333" s="79"/>
      <c r="N333" s="207"/>
      <c r="O333" s="207"/>
      <c r="P333" s="207"/>
      <c r="Q333" s="207"/>
    </row>
    <row r="334" spans="1:17" ht="34.5" customHeight="1">
      <c r="A334" s="82"/>
      <c r="B334" s="205" t="str">
        <f t="shared" si="2"/>
        <v/>
      </c>
      <c r="C334" s="206" t="str">
        <f t="shared" si="3"/>
        <v/>
      </c>
      <c r="D334" s="207" t="str">
        <f t="shared" si="0"/>
        <v/>
      </c>
      <c r="E334" s="207"/>
      <c r="F334" s="205" t="str">
        <f>IF(E334="","",VLOOKUP(E334,'ARAMA LİSTELERİ'!C334:G2373,5,))</f>
        <v/>
      </c>
      <c r="G334" s="207"/>
      <c r="H334" s="210"/>
      <c r="I334" s="79"/>
      <c r="J334" s="210"/>
      <c r="K334" s="210"/>
      <c r="L334" s="210" t="str">
        <f t="shared" si="1"/>
        <v/>
      </c>
      <c r="M334" s="79"/>
      <c r="N334" s="207"/>
      <c r="O334" s="207"/>
      <c r="P334" s="207"/>
      <c r="Q334" s="207"/>
    </row>
    <row r="335" spans="1:17" ht="34.5" customHeight="1">
      <c r="A335" s="82"/>
      <c r="B335" s="205" t="str">
        <f t="shared" si="2"/>
        <v/>
      </c>
      <c r="C335" s="206" t="str">
        <f t="shared" si="3"/>
        <v/>
      </c>
      <c r="D335" s="207" t="str">
        <f t="shared" si="0"/>
        <v/>
      </c>
      <c r="E335" s="207"/>
      <c r="F335" s="205" t="str">
        <f>IF(E335="","",VLOOKUP(E335,'ARAMA LİSTELERİ'!C335:G2374,5,))</f>
        <v/>
      </c>
      <c r="G335" s="207"/>
      <c r="H335" s="210"/>
      <c r="I335" s="79"/>
      <c r="J335" s="210"/>
      <c r="K335" s="210"/>
      <c r="L335" s="210" t="str">
        <f t="shared" si="1"/>
        <v/>
      </c>
      <c r="M335" s="79"/>
      <c r="N335" s="207"/>
      <c r="O335" s="207"/>
      <c r="P335" s="207"/>
      <c r="Q335" s="207"/>
    </row>
    <row r="336" spans="1:17" ht="34.5" customHeight="1">
      <c r="A336" s="82"/>
      <c r="B336" s="205" t="str">
        <f t="shared" si="2"/>
        <v/>
      </c>
      <c r="C336" s="206" t="str">
        <f t="shared" si="3"/>
        <v/>
      </c>
      <c r="D336" s="207" t="str">
        <f t="shared" si="0"/>
        <v/>
      </c>
      <c r="E336" s="207"/>
      <c r="F336" s="205" t="str">
        <f>IF(E336="","",VLOOKUP(E336,'ARAMA LİSTELERİ'!C336:G2375,5,))</f>
        <v/>
      </c>
      <c r="G336" s="207"/>
      <c r="H336" s="210"/>
      <c r="I336" s="79"/>
      <c r="J336" s="210"/>
      <c r="K336" s="210"/>
      <c r="L336" s="210" t="str">
        <f t="shared" si="1"/>
        <v/>
      </c>
      <c r="M336" s="79"/>
      <c r="N336" s="207"/>
      <c r="O336" s="207"/>
      <c r="P336" s="207"/>
      <c r="Q336" s="207"/>
    </row>
    <row r="337" spans="1:17" ht="34.5" customHeight="1">
      <c r="A337" s="82"/>
      <c r="B337" s="205" t="str">
        <f t="shared" si="2"/>
        <v/>
      </c>
      <c r="C337" s="206" t="str">
        <f t="shared" si="3"/>
        <v/>
      </c>
      <c r="D337" s="207" t="str">
        <f t="shared" si="0"/>
        <v/>
      </c>
      <c r="E337" s="207"/>
      <c r="F337" s="205" t="str">
        <f>IF(E337="","",VLOOKUP(E337,'ARAMA LİSTELERİ'!C337:G2376,5,))</f>
        <v/>
      </c>
      <c r="G337" s="207"/>
      <c r="H337" s="210"/>
      <c r="I337" s="79"/>
      <c r="J337" s="210"/>
      <c r="K337" s="210"/>
      <c r="L337" s="210" t="str">
        <f t="shared" si="1"/>
        <v/>
      </c>
      <c r="M337" s="79"/>
      <c r="N337" s="207"/>
      <c r="O337" s="207"/>
      <c r="P337" s="207"/>
      <c r="Q337" s="207"/>
    </row>
    <row r="338" spans="1:17" ht="34.5" customHeight="1">
      <c r="A338" s="82"/>
      <c r="B338" s="205" t="str">
        <f t="shared" si="2"/>
        <v/>
      </c>
      <c r="C338" s="206" t="str">
        <f t="shared" si="3"/>
        <v/>
      </c>
      <c r="D338" s="207" t="str">
        <f t="shared" si="0"/>
        <v/>
      </c>
      <c r="E338" s="207"/>
      <c r="F338" s="205" t="str">
        <f>IF(E338="","",VLOOKUP(E338,'ARAMA LİSTELERİ'!C338:G2377,5,))</f>
        <v/>
      </c>
      <c r="G338" s="207"/>
      <c r="H338" s="210"/>
      <c r="I338" s="79"/>
      <c r="J338" s="210"/>
      <c r="K338" s="210"/>
      <c r="L338" s="210" t="str">
        <f t="shared" si="1"/>
        <v/>
      </c>
      <c r="M338" s="79"/>
      <c r="N338" s="207"/>
      <c r="O338" s="207"/>
      <c r="P338" s="207"/>
      <c r="Q338" s="207"/>
    </row>
    <row r="339" spans="1:17" ht="34.5" customHeight="1">
      <c r="A339" s="82"/>
      <c r="B339" s="205" t="str">
        <f t="shared" si="2"/>
        <v/>
      </c>
      <c r="C339" s="206" t="str">
        <f t="shared" si="3"/>
        <v/>
      </c>
      <c r="D339" s="207" t="str">
        <f t="shared" si="0"/>
        <v/>
      </c>
      <c r="E339" s="207"/>
      <c r="F339" s="205" t="str">
        <f>IF(E339="","",VLOOKUP(E339,'ARAMA LİSTELERİ'!C339:G2378,5,))</f>
        <v/>
      </c>
      <c r="G339" s="207"/>
      <c r="H339" s="210"/>
      <c r="I339" s="79"/>
      <c r="J339" s="210"/>
      <c r="K339" s="210"/>
      <c r="L339" s="210" t="str">
        <f t="shared" si="1"/>
        <v/>
      </c>
      <c r="M339" s="79"/>
      <c r="N339" s="207"/>
      <c r="O339" s="207"/>
      <c r="P339" s="207"/>
      <c r="Q339" s="207"/>
    </row>
    <row r="340" spans="1:17" ht="34.5" customHeight="1">
      <c r="A340" s="82"/>
      <c r="B340" s="205" t="str">
        <f t="shared" si="2"/>
        <v/>
      </c>
      <c r="C340" s="206" t="str">
        <f t="shared" si="3"/>
        <v/>
      </c>
      <c r="D340" s="207" t="str">
        <f t="shared" si="0"/>
        <v/>
      </c>
      <c r="E340" s="207"/>
      <c r="F340" s="205" t="str">
        <f>IF(E340="","",VLOOKUP(E340,'ARAMA LİSTELERİ'!C340:G2379,5,))</f>
        <v/>
      </c>
      <c r="G340" s="207"/>
      <c r="H340" s="210"/>
      <c r="I340" s="79"/>
      <c r="J340" s="210"/>
      <c r="K340" s="210"/>
      <c r="L340" s="210" t="str">
        <f t="shared" si="1"/>
        <v/>
      </c>
      <c r="M340" s="79"/>
      <c r="N340" s="207"/>
      <c r="O340" s="207"/>
      <c r="P340" s="207"/>
      <c r="Q340" s="207"/>
    </row>
    <row r="341" spans="1:17" ht="34.5" customHeight="1">
      <c r="A341" s="82"/>
      <c r="B341" s="205" t="str">
        <f t="shared" si="2"/>
        <v/>
      </c>
      <c r="C341" s="206" t="str">
        <f t="shared" si="3"/>
        <v/>
      </c>
      <c r="D341" s="207" t="str">
        <f t="shared" si="0"/>
        <v/>
      </c>
      <c r="E341" s="207"/>
      <c r="F341" s="205" t="str">
        <f>IF(E341="","",VLOOKUP(E341,'ARAMA LİSTELERİ'!C341:G2380,5,))</f>
        <v/>
      </c>
      <c r="G341" s="207"/>
      <c r="H341" s="210"/>
      <c r="I341" s="79"/>
      <c r="J341" s="210"/>
      <c r="K341" s="210"/>
      <c r="L341" s="210" t="str">
        <f t="shared" si="1"/>
        <v/>
      </c>
      <c r="M341" s="79"/>
      <c r="N341" s="207"/>
      <c r="O341" s="207"/>
      <c r="P341" s="207"/>
      <c r="Q341" s="207"/>
    </row>
    <row r="342" spans="1:17" ht="34.5" customHeight="1">
      <c r="A342" s="82"/>
      <c r="B342" s="205" t="str">
        <f t="shared" si="2"/>
        <v/>
      </c>
      <c r="C342" s="206" t="str">
        <f t="shared" si="3"/>
        <v/>
      </c>
      <c r="D342" s="207" t="str">
        <f t="shared" si="0"/>
        <v/>
      </c>
      <c r="E342" s="207"/>
      <c r="F342" s="205" t="str">
        <f>IF(E342="","",VLOOKUP(E342,'ARAMA LİSTELERİ'!C342:G2381,5,))</f>
        <v/>
      </c>
      <c r="G342" s="207"/>
      <c r="H342" s="210"/>
      <c r="I342" s="79"/>
      <c r="J342" s="210"/>
      <c r="K342" s="210"/>
      <c r="L342" s="210" t="str">
        <f t="shared" si="1"/>
        <v/>
      </c>
      <c r="M342" s="79"/>
      <c r="N342" s="207"/>
      <c r="O342" s="207"/>
      <c r="P342" s="207"/>
      <c r="Q342" s="207"/>
    </row>
    <row r="343" spans="1:17" ht="34.5" customHeight="1">
      <c r="A343" s="82"/>
      <c r="B343" s="205" t="str">
        <f t="shared" si="2"/>
        <v/>
      </c>
      <c r="C343" s="206" t="str">
        <f t="shared" si="3"/>
        <v/>
      </c>
      <c r="D343" s="207" t="str">
        <f t="shared" si="0"/>
        <v/>
      </c>
      <c r="E343" s="207"/>
      <c r="F343" s="205" t="str">
        <f>IF(E343="","",VLOOKUP(E343,'ARAMA LİSTELERİ'!C343:G2382,5,))</f>
        <v/>
      </c>
      <c r="G343" s="207"/>
      <c r="H343" s="210"/>
      <c r="I343" s="79"/>
      <c r="J343" s="210"/>
      <c r="K343" s="210"/>
      <c r="L343" s="210" t="str">
        <f t="shared" si="1"/>
        <v/>
      </c>
      <c r="M343" s="79"/>
      <c r="N343" s="207"/>
      <c r="O343" s="207"/>
      <c r="P343" s="207"/>
      <c r="Q343" s="207"/>
    </row>
    <row r="344" spans="1:17" ht="34.5" customHeight="1">
      <c r="A344" s="82"/>
      <c r="B344" s="205" t="str">
        <f t="shared" si="2"/>
        <v/>
      </c>
      <c r="C344" s="206" t="str">
        <f t="shared" si="3"/>
        <v/>
      </c>
      <c r="D344" s="207" t="str">
        <f t="shared" si="0"/>
        <v/>
      </c>
      <c r="E344" s="207"/>
      <c r="F344" s="205" t="str">
        <f>IF(E344="","",VLOOKUP(E344,'ARAMA LİSTELERİ'!C344:G2383,5,))</f>
        <v/>
      </c>
      <c r="G344" s="207"/>
      <c r="H344" s="210"/>
      <c r="I344" s="79"/>
      <c r="J344" s="210"/>
      <c r="K344" s="210"/>
      <c r="L344" s="210" t="str">
        <f t="shared" si="1"/>
        <v/>
      </c>
      <c r="M344" s="79"/>
      <c r="N344" s="207"/>
      <c r="O344" s="207"/>
      <c r="P344" s="207"/>
      <c r="Q344" s="207"/>
    </row>
    <row r="345" spans="1:17" ht="34.5" customHeight="1">
      <c r="A345" s="82"/>
      <c r="B345" s="205" t="str">
        <f t="shared" si="2"/>
        <v/>
      </c>
      <c r="C345" s="206" t="str">
        <f t="shared" si="3"/>
        <v/>
      </c>
      <c r="D345" s="207" t="str">
        <f t="shared" si="0"/>
        <v/>
      </c>
      <c r="E345" s="207"/>
      <c r="F345" s="205" t="str">
        <f>IF(E345="","",VLOOKUP(E345,'ARAMA LİSTELERİ'!C345:G2384,5,))</f>
        <v/>
      </c>
      <c r="G345" s="207"/>
      <c r="H345" s="210"/>
      <c r="I345" s="79"/>
      <c r="J345" s="210"/>
      <c r="K345" s="210"/>
      <c r="L345" s="210" t="str">
        <f t="shared" si="1"/>
        <v/>
      </c>
      <c r="M345" s="79"/>
      <c r="N345" s="207"/>
      <c r="O345" s="207"/>
      <c r="P345" s="207"/>
      <c r="Q345" s="207"/>
    </row>
    <row r="346" spans="1:17" ht="34.5" customHeight="1">
      <c r="A346" s="82"/>
      <c r="B346" s="205" t="str">
        <f t="shared" si="2"/>
        <v/>
      </c>
      <c r="C346" s="206" t="str">
        <f t="shared" si="3"/>
        <v/>
      </c>
      <c r="D346" s="207" t="str">
        <f t="shared" si="0"/>
        <v/>
      </c>
      <c r="E346" s="207"/>
      <c r="F346" s="205" t="str">
        <f>IF(E346="","",VLOOKUP(E346,'ARAMA LİSTELERİ'!C346:G2385,5,))</f>
        <v/>
      </c>
      <c r="G346" s="207"/>
      <c r="H346" s="210"/>
      <c r="I346" s="79"/>
      <c r="J346" s="210"/>
      <c r="K346" s="210"/>
      <c r="L346" s="210" t="str">
        <f t="shared" si="1"/>
        <v/>
      </c>
      <c r="M346" s="79"/>
      <c r="N346" s="207"/>
      <c r="O346" s="207"/>
      <c r="P346" s="207"/>
      <c r="Q346" s="207"/>
    </row>
    <row r="347" spans="1:17" ht="34.5" customHeight="1">
      <c r="A347" s="82"/>
      <c r="B347" s="205" t="str">
        <f t="shared" si="2"/>
        <v/>
      </c>
      <c r="C347" s="206" t="str">
        <f t="shared" si="3"/>
        <v/>
      </c>
      <c r="D347" s="207" t="str">
        <f t="shared" si="0"/>
        <v/>
      </c>
      <c r="E347" s="207"/>
      <c r="F347" s="205" t="str">
        <f>IF(E347="","",VLOOKUP(E347,'ARAMA LİSTELERİ'!C347:G2386,5,))</f>
        <v/>
      </c>
      <c r="G347" s="207"/>
      <c r="H347" s="210"/>
      <c r="I347" s="79"/>
      <c r="J347" s="210"/>
      <c r="K347" s="210"/>
      <c r="L347" s="210" t="str">
        <f t="shared" si="1"/>
        <v/>
      </c>
      <c r="M347" s="79"/>
      <c r="N347" s="207"/>
      <c r="O347" s="207"/>
      <c r="P347" s="207"/>
      <c r="Q347" s="207"/>
    </row>
    <row r="348" spans="1:17" ht="34.5" customHeight="1">
      <c r="A348" s="82"/>
      <c r="B348" s="205" t="str">
        <f t="shared" si="2"/>
        <v/>
      </c>
      <c r="C348" s="206" t="str">
        <f t="shared" si="3"/>
        <v/>
      </c>
      <c r="D348" s="207" t="str">
        <f t="shared" si="0"/>
        <v/>
      </c>
      <c r="E348" s="207"/>
      <c r="F348" s="205" t="str">
        <f>IF(E348="","",VLOOKUP(E348,'ARAMA LİSTELERİ'!C348:G2387,5,))</f>
        <v/>
      </c>
      <c r="G348" s="207"/>
      <c r="H348" s="210"/>
      <c r="I348" s="79"/>
      <c r="J348" s="210"/>
      <c r="K348" s="210"/>
      <c r="L348" s="210" t="str">
        <f t="shared" si="1"/>
        <v/>
      </c>
      <c r="M348" s="79"/>
      <c r="N348" s="207"/>
      <c r="O348" s="207"/>
      <c r="P348" s="207"/>
      <c r="Q348" s="207"/>
    </row>
    <row r="349" spans="1:17" ht="34.5" customHeight="1">
      <c r="A349" s="82"/>
      <c r="B349" s="205" t="str">
        <f t="shared" si="2"/>
        <v/>
      </c>
      <c r="C349" s="206" t="str">
        <f t="shared" si="3"/>
        <v/>
      </c>
      <c r="D349" s="207" t="str">
        <f t="shared" si="0"/>
        <v/>
      </c>
      <c r="E349" s="207"/>
      <c r="F349" s="205" t="str">
        <f>IF(E349="","",VLOOKUP(E349,'ARAMA LİSTELERİ'!C349:G2388,5,))</f>
        <v/>
      </c>
      <c r="G349" s="207"/>
      <c r="H349" s="210"/>
      <c r="I349" s="79"/>
      <c r="J349" s="210"/>
      <c r="K349" s="210"/>
      <c r="L349" s="210" t="str">
        <f t="shared" si="1"/>
        <v/>
      </c>
      <c r="M349" s="79"/>
      <c r="N349" s="207"/>
      <c r="O349" s="207"/>
      <c r="P349" s="207"/>
      <c r="Q349" s="207"/>
    </row>
    <row r="350" spans="1:17" ht="34.5" customHeight="1">
      <c r="A350" s="82"/>
      <c r="B350" s="205" t="str">
        <f t="shared" si="2"/>
        <v/>
      </c>
      <c r="C350" s="206" t="str">
        <f t="shared" si="3"/>
        <v/>
      </c>
      <c r="D350" s="207" t="str">
        <f t="shared" si="0"/>
        <v/>
      </c>
      <c r="E350" s="207"/>
      <c r="F350" s="205" t="str">
        <f>IF(E350="","",VLOOKUP(E350,'ARAMA LİSTELERİ'!C350:G2389,5,))</f>
        <v/>
      </c>
      <c r="G350" s="207"/>
      <c r="H350" s="210"/>
      <c r="I350" s="79"/>
      <c r="J350" s="210"/>
      <c r="K350" s="210"/>
      <c r="L350" s="210" t="str">
        <f t="shared" si="1"/>
        <v/>
      </c>
      <c r="M350" s="79"/>
      <c r="N350" s="207"/>
      <c r="O350" s="207"/>
      <c r="P350" s="207"/>
      <c r="Q350" s="207"/>
    </row>
    <row r="351" spans="1:17" ht="34.5" customHeight="1">
      <c r="A351" s="82"/>
      <c r="B351" s="205" t="str">
        <f t="shared" si="2"/>
        <v/>
      </c>
      <c r="C351" s="206" t="str">
        <f t="shared" si="3"/>
        <v/>
      </c>
      <c r="D351" s="207" t="str">
        <f t="shared" si="0"/>
        <v/>
      </c>
      <c r="E351" s="207"/>
      <c r="F351" s="205" t="str">
        <f>IF(E351="","",VLOOKUP(E351,'ARAMA LİSTELERİ'!C351:G2390,5,))</f>
        <v/>
      </c>
      <c r="G351" s="207"/>
      <c r="H351" s="210"/>
      <c r="I351" s="79"/>
      <c r="J351" s="210"/>
      <c r="K351" s="210"/>
      <c r="L351" s="210" t="str">
        <f t="shared" si="1"/>
        <v/>
      </c>
      <c r="M351" s="79"/>
      <c r="N351" s="207"/>
      <c r="O351" s="207"/>
      <c r="P351" s="207"/>
      <c r="Q351" s="207"/>
    </row>
    <row r="352" spans="1:17" ht="34.5" customHeight="1">
      <c r="A352" s="82"/>
      <c r="B352" s="205" t="str">
        <f t="shared" si="2"/>
        <v/>
      </c>
      <c r="C352" s="206" t="str">
        <f t="shared" si="3"/>
        <v/>
      </c>
      <c r="D352" s="207" t="str">
        <f t="shared" si="0"/>
        <v/>
      </c>
      <c r="E352" s="207"/>
      <c r="F352" s="205" t="str">
        <f>IF(E352="","",VLOOKUP(E352,'ARAMA LİSTELERİ'!C352:G2391,5,))</f>
        <v/>
      </c>
      <c r="G352" s="207"/>
      <c r="H352" s="210"/>
      <c r="I352" s="79"/>
      <c r="J352" s="210"/>
      <c r="K352" s="210"/>
      <c r="L352" s="210" t="str">
        <f t="shared" si="1"/>
        <v/>
      </c>
      <c r="M352" s="79"/>
      <c r="N352" s="207"/>
      <c r="O352" s="207"/>
      <c r="P352" s="207"/>
      <c r="Q352" s="207"/>
    </row>
    <row r="353" spans="1:17" ht="34.5" customHeight="1">
      <c r="A353" s="82"/>
      <c r="B353" s="205" t="str">
        <f t="shared" si="2"/>
        <v/>
      </c>
      <c r="C353" s="206" t="str">
        <f t="shared" si="3"/>
        <v/>
      </c>
      <c r="D353" s="207" t="str">
        <f t="shared" si="0"/>
        <v/>
      </c>
      <c r="E353" s="207"/>
      <c r="F353" s="205" t="str">
        <f>IF(E353="","",VLOOKUP(E353,'ARAMA LİSTELERİ'!C353:G2392,5,))</f>
        <v/>
      </c>
      <c r="G353" s="207"/>
      <c r="H353" s="210"/>
      <c r="I353" s="79"/>
      <c r="J353" s="210"/>
      <c r="K353" s="210"/>
      <c r="L353" s="210" t="str">
        <f t="shared" si="1"/>
        <v/>
      </c>
      <c r="M353" s="79"/>
      <c r="N353" s="207"/>
      <c r="O353" s="207"/>
      <c r="P353" s="207"/>
      <c r="Q353" s="207"/>
    </row>
    <row r="354" spans="1:17" ht="34.5" customHeight="1">
      <c r="A354" s="82"/>
      <c r="B354" s="205" t="str">
        <f t="shared" si="2"/>
        <v/>
      </c>
      <c r="C354" s="206" t="str">
        <f t="shared" si="3"/>
        <v/>
      </c>
      <c r="D354" s="207" t="str">
        <f t="shared" si="0"/>
        <v/>
      </c>
      <c r="E354" s="207"/>
      <c r="F354" s="205" t="str">
        <f>IF(E354="","",VLOOKUP(E354,'ARAMA LİSTELERİ'!C354:G2393,5,))</f>
        <v/>
      </c>
      <c r="G354" s="207"/>
      <c r="H354" s="210"/>
      <c r="I354" s="79"/>
      <c r="J354" s="210"/>
      <c r="K354" s="210"/>
      <c r="L354" s="210" t="str">
        <f t="shared" si="1"/>
        <v/>
      </c>
      <c r="M354" s="79"/>
      <c r="N354" s="207"/>
      <c r="O354" s="207"/>
      <c r="P354" s="207"/>
      <c r="Q354" s="207"/>
    </row>
    <row r="355" spans="1:17" ht="34.5" customHeight="1">
      <c r="A355" s="82"/>
      <c r="B355" s="205" t="str">
        <f t="shared" si="2"/>
        <v/>
      </c>
      <c r="C355" s="206" t="str">
        <f t="shared" si="3"/>
        <v/>
      </c>
      <c r="D355" s="207" t="str">
        <f t="shared" si="0"/>
        <v/>
      </c>
      <c r="E355" s="207"/>
      <c r="F355" s="205" t="str">
        <f>IF(E355="","",VLOOKUP(E355,'ARAMA LİSTELERİ'!C355:G2394,5,))</f>
        <v/>
      </c>
      <c r="G355" s="207"/>
      <c r="H355" s="210"/>
      <c r="I355" s="79"/>
      <c r="J355" s="210"/>
      <c r="K355" s="210"/>
      <c r="L355" s="210" t="str">
        <f t="shared" si="1"/>
        <v/>
      </c>
      <c r="M355" s="79"/>
      <c r="N355" s="207"/>
      <c r="O355" s="207"/>
      <c r="P355" s="207"/>
      <c r="Q355" s="207"/>
    </row>
    <row r="356" spans="1:17" ht="34.5" customHeight="1">
      <c r="A356" s="82"/>
      <c r="B356" s="205" t="str">
        <f t="shared" si="2"/>
        <v/>
      </c>
      <c r="C356" s="206" t="str">
        <f t="shared" si="3"/>
        <v/>
      </c>
      <c r="D356" s="207" t="str">
        <f t="shared" si="0"/>
        <v/>
      </c>
      <c r="E356" s="207"/>
      <c r="F356" s="205" t="str">
        <f>IF(E356="","",VLOOKUP(E356,'ARAMA LİSTELERİ'!C356:G2395,5,))</f>
        <v/>
      </c>
      <c r="G356" s="207"/>
      <c r="H356" s="210"/>
      <c r="I356" s="79"/>
      <c r="J356" s="210"/>
      <c r="K356" s="210"/>
      <c r="L356" s="210" t="str">
        <f t="shared" si="1"/>
        <v/>
      </c>
      <c r="M356" s="79"/>
      <c r="N356" s="207"/>
      <c r="O356" s="207"/>
      <c r="P356" s="207"/>
      <c r="Q356" s="207"/>
    </row>
    <row r="357" spans="1:17" ht="34.5" customHeight="1">
      <c r="A357" s="82"/>
      <c r="B357" s="205" t="str">
        <f t="shared" si="2"/>
        <v/>
      </c>
      <c r="C357" s="206" t="str">
        <f t="shared" si="3"/>
        <v/>
      </c>
      <c r="D357" s="207" t="str">
        <f t="shared" si="0"/>
        <v/>
      </c>
      <c r="E357" s="207"/>
      <c r="F357" s="205" t="str">
        <f>IF(E357="","",VLOOKUP(E357,'ARAMA LİSTELERİ'!C357:G2396,5,))</f>
        <v/>
      </c>
      <c r="G357" s="207"/>
      <c r="H357" s="210"/>
      <c r="I357" s="79"/>
      <c r="J357" s="210"/>
      <c r="K357" s="210"/>
      <c r="L357" s="210" t="str">
        <f t="shared" si="1"/>
        <v/>
      </c>
      <c r="M357" s="79"/>
      <c r="N357" s="207"/>
      <c r="O357" s="207"/>
      <c r="P357" s="207"/>
      <c r="Q357" s="207"/>
    </row>
    <row r="358" spans="1:17" ht="34.5" customHeight="1">
      <c r="A358" s="82"/>
      <c r="B358" s="205" t="str">
        <f t="shared" si="2"/>
        <v/>
      </c>
      <c r="C358" s="206" t="str">
        <f t="shared" si="3"/>
        <v/>
      </c>
      <c r="D358" s="207" t="str">
        <f t="shared" si="0"/>
        <v/>
      </c>
      <c r="E358" s="207"/>
      <c r="F358" s="205" t="str">
        <f>IF(E358="","",VLOOKUP(E358,'ARAMA LİSTELERİ'!C358:G2397,5,))</f>
        <v/>
      </c>
      <c r="G358" s="207"/>
      <c r="H358" s="210"/>
      <c r="I358" s="79"/>
      <c r="J358" s="210"/>
      <c r="K358" s="210"/>
      <c r="L358" s="210" t="str">
        <f t="shared" si="1"/>
        <v/>
      </c>
      <c r="M358" s="79"/>
      <c r="N358" s="207"/>
      <c r="O358" s="207"/>
      <c r="P358" s="207"/>
      <c r="Q358" s="207"/>
    </row>
    <row r="359" spans="1:17" ht="34.5" customHeight="1">
      <c r="A359" s="82"/>
      <c r="B359" s="205" t="str">
        <f t="shared" si="2"/>
        <v/>
      </c>
      <c r="C359" s="206" t="str">
        <f t="shared" si="3"/>
        <v/>
      </c>
      <c r="D359" s="207" t="str">
        <f t="shared" si="0"/>
        <v/>
      </c>
      <c r="E359" s="207"/>
      <c r="F359" s="205" t="str">
        <f>IF(E359="","",VLOOKUP(E359,'ARAMA LİSTELERİ'!C359:G2398,5,))</f>
        <v/>
      </c>
      <c r="G359" s="207"/>
      <c r="H359" s="210"/>
      <c r="I359" s="79"/>
      <c r="J359" s="210"/>
      <c r="K359" s="210"/>
      <c r="L359" s="210" t="str">
        <f t="shared" si="1"/>
        <v/>
      </c>
      <c r="M359" s="79"/>
      <c r="N359" s="207"/>
      <c r="O359" s="207"/>
      <c r="P359" s="207"/>
      <c r="Q359" s="207"/>
    </row>
    <row r="360" spans="1:17" ht="34.5" customHeight="1">
      <c r="A360" s="82"/>
      <c r="B360" s="205" t="str">
        <f t="shared" si="2"/>
        <v/>
      </c>
      <c r="C360" s="206" t="str">
        <f t="shared" si="3"/>
        <v/>
      </c>
      <c r="D360" s="207" t="str">
        <f t="shared" si="0"/>
        <v/>
      </c>
      <c r="E360" s="207"/>
      <c r="F360" s="205" t="str">
        <f>IF(E360="","",VLOOKUP(E360,'ARAMA LİSTELERİ'!C360:G2399,5,))</f>
        <v/>
      </c>
      <c r="G360" s="207"/>
      <c r="H360" s="210"/>
      <c r="I360" s="79"/>
      <c r="J360" s="210"/>
      <c r="K360" s="210"/>
      <c r="L360" s="210" t="str">
        <f t="shared" si="1"/>
        <v/>
      </c>
      <c r="M360" s="79"/>
      <c r="N360" s="207"/>
      <c r="O360" s="207"/>
      <c r="P360" s="207"/>
      <c r="Q360" s="207"/>
    </row>
    <row r="361" spans="1:17" ht="34.5" customHeight="1">
      <c r="A361" s="82"/>
      <c r="B361" s="205" t="str">
        <f t="shared" si="2"/>
        <v/>
      </c>
      <c r="C361" s="206" t="str">
        <f t="shared" si="3"/>
        <v/>
      </c>
      <c r="D361" s="207" t="str">
        <f t="shared" si="0"/>
        <v/>
      </c>
      <c r="E361" s="207"/>
      <c r="F361" s="205" t="str">
        <f>IF(E361="","",VLOOKUP(E361,'ARAMA LİSTELERİ'!C361:G2400,5,))</f>
        <v/>
      </c>
      <c r="G361" s="207"/>
      <c r="H361" s="210"/>
      <c r="I361" s="79"/>
      <c r="J361" s="210"/>
      <c r="K361" s="210"/>
      <c r="L361" s="210" t="str">
        <f t="shared" si="1"/>
        <v/>
      </c>
      <c r="M361" s="79"/>
      <c r="N361" s="207"/>
      <c r="O361" s="207"/>
      <c r="P361" s="207"/>
      <c r="Q361" s="207"/>
    </row>
    <row r="362" spans="1:17" ht="34.5" customHeight="1">
      <c r="A362" s="82"/>
      <c r="B362" s="205" t="str">
        <f t="shared" si="2"/>
        <v/>
      </c>
      <c r="C362" s="206" t="str">
        <f t="shared" si="3"/>
        <v/>
      </c>
      <c r="D362" s="207" t="str">
        <f t="shared" si="0"/>
        <v/>
      </c>
      <c r="E362" s="207"/>
      <c r="F362" s="205" t="str">
        <f>IF(E362="","",VLOOKUP(E362,'ARAMA LİSTELERİ'!C362:G2401,5,))</f>
        <v/>
      </c>
      <c r="G362" s="207"/>
      <c r="H362" s="210"/>
      <c r="I362" s="79"/>
      <c r="J362" s="210"/>
      <c r="K362" s="210"/>
      <c r="L362" s="210" t="str">
        <f t="shared" si="1"/>
        <v/>
      </c>
      <c r="M362" s="79"/>
      <c r="N362" s="207"/>
      <c r="O362" s="207"/>
      <c r="P362" s="207"/>
      <c r="Q362" s="207"/>
    </row>
    <row r="363" spans="1:17" ht="34.5" customHeight="1">
      <c r="A363" s="82"/>
      <c r="B363" s="205" t="str">
        <f t="shared" si="2"/>
        <v/>
      </c>
      <c r="C363" s="206" t="str">
        <f t="shared" si="3"/>
        <v/>
      </c>
      <c r="D363" s="207" t="str">
        <f t="shared" si="0"/>
        <v/>
      </c>
      <c r="E363" s="207"/>
      <c r="F363" s="205" t="str">
        <f>IF(E363="","",VLOOKUP(E363,'ARAMA LİSTELERİ'!C363:G2402,5,))</f>
        <v/>
      </c>
      <c r="G363" s="207"/>
      <c r="H363" s="210"/>
      <c r="I363" s="79"/>
      <c r="J363" s="210"/>
      <c r="K363" s="210"/>
      <c r="L363" s="210" t="str">
        <f t="shared" si="1"/>
        <v/>
      </c>
      <c r="M363" s="79"/>
      <c r="N363" s="207"/>
      <c r="O363" s="207"/>
      <c r="P363" s="207"/>
      <c r="Q363" s="207"/>
    </row>
    <row r="364" spans="1:17" ht="34.5" customHeight="1">
      <c r="A364" s="82"/>
      <c r="B364" s="205" t="str">
        <f t="shared" si="2"/>
        <v/>
      </c>
      <c r="C364" s="206" t="str">
        <f t="shared" si="3"/>
        <v/>
      </c>
      <c r="D364" s="207" t="str">
        <f t="shared" si="0"/>
        <v/>
      </c>
      <c r="E364" s="207"/>
      <c r="F364" s="205" t="str">
        <f>IF(E364="","",VLOOKUP(E364,'ARAMA LİSTELERİ'!C364:G2403,5,))</f>
        <v/>
      </c>
      <c r="G364" s="207"/>
      <c r="H364" s="210"/>
      <c r="I364" s="79"/>
      <c r="J364" s="210"/>
      <c r="K364" s="210"/>
      <c r="L364" s="210" t="str">
        <f t="shared" si="1"/>
        <v/>
      </c>
      <c r="M364" s="79"/>
      <c r="N364" s="207"/>
      <c r="O364" s="207"/>
      <c r="P364" s="207"/>
      <c r="Q364" s="207"/>
    </row>
    <row r="365" spans="1:17" ht="34.5" customHeight="1">
      <c r="A365" s="82"/>
      <c r="B365" s="205" t="str">
        <f t="shared" si="2"/>
        <v/>
      </c>
      <c r="C365" s="206" t="str">
        <f t="shared" si="3"/>
        <v/>
      </c>
      <c r="D365" s="207" t="str">
        <f t="shared" si="0"/>
        <v/>
      </c>
      <c r="E365" s="207"/>
      <c r="F365" s="205" t="str">
        <f>IF(E365="","",VLOOKUP(E365,'ARAMA LİSTELERİ'!C365:G2404,5,))</f>
        <v/>
      </c>
      <c r="G365" s="207"/>
      <c r="H365" s="210"/>
      <c r="I365" s="79"/>
      <c r="J365" s="210"/>
      <c r="K365" s="210"/>
      <c r="L365" s="210" t="str">
        <f t="shared" si="1"/>
        <v/>
      </c>
      <c r="M365" s="79"/>
      <c r="N365" s="207"/>
      <c r="O365" s="207"/>
      <c r="P365" s="207"/>
      <c r="Q365" s="207"/>
    </row>
    <row r="366" spans="1:17" ht="34.5" customHeight="1">
      <c r="A366" s="82"/>
      <c r="B366" s="205" t="str">
        <f t="shared" si="2"/>
        <v/>
      </c>
      <c r="C366" s="206" t="str">
        <f t="shared" si="3"/>
        <v/>
      </c>
      <c r="D366" s="207" t="str">
        <f t="shared" si="0"/>
        <v/>
      </c>
      <c r="E366" s="207"/>
      <c r="F366" s="205" t="str">
        <f>IF(E366="","",VLOOKUP(E366,'ARAMA LİSTELERİ'!C366:G2405,5,))</f>
        <v/>
      </c>
      <c r="G366" s="207"/>
      <c r="H366" s="210"/>
      <c r="I366" s="79"/>
      <c r="J366" s="210"/>
      <c r="K366" s="210"/>
      <c r="L366" s="210" t="str">
        <f t="shared" si="1"/>
        <v/>
      </c>
      <c r="M366" s="79"/>
      <c r="N366" s="207"/>
      <c r="O366" s="207"/>
      <c r="P366" s="207"/>
      <c r="Q366" s="207"/>
    </row>
    <row r="367" spans="1:17" ht="34.5" customHeight="1">
      <c r="A367" s="82"/>
      <c r="B367" s="205" t="str">
        <f t="shared" si="2"/>
        <v/>
      </c>
      <c r="C367" s="206" t="str">
        <f t="shared" si="3"/>
        <v/>
      </c>
      <c r="D367" s="207" t="str">
        <f t="shared" si="0"/>
        <v/>
      </c>
      <c r="E367" s="207"/>
      <c r="F367" s="205" t="str">
        <f>IF(E367="","",VLOOKUP(E367,'ARAMA LİSTELERİ'!C367:G2406,5,))</f>
        <v/>
      </c>
      <c r="G367" s="207"/>
      <c r="H367" s="210"/>
      <c r="I367" s="79"/>
      <c r="J367" s="210"/>
      <c r="K367" s="210"/>
      <c r="L367" s="210" t="str">
        <f t="shared" si="1"/>
        <v/>
      </c>
      <c r="M367" s="79"/>
      <c r="N367" s="207"/>
      <c r="O367" s="207"/>
      <c r="P367" s="207"/>
      <c r="Q367" s="207"/>
    </row>
    <row r="368" spans="1:17" ht="34.5" customHeight="1">
      <c r="A368" s="82"/>
      <c r="B368" s="205" t="str">
        <f t="shared" si="2"/>
        <v/>
      </c>
      <c r="C368" s="206" t="str">
        <f t="shared" si="3"/>
        <v/>
      </c>
      <c r="D368" s="207" t="str">
        <f t="shared" si="0"/>
        <v/>
      </c>
      <c r="E368" s="207"/>
      <c r="F368" s="205" t="str">
        <f>IF(E368="","",VLOOKUP(E368,'ARAMA LİSTELERİ'!C368:G2407,5,))</f>
        <v/>
      </c>
      <c r="G368" s="207"/>
      <c r="H368" s="210"/>
      <c r="I368" s="79"/>
      <c r="J368" s="210"/>
      <c r="K368" s="210"/>
      <c r="L368" s="210" t="str">
        <f t="shared" si="1"/>
        <v/>
      </c>
      <c r="M368" s="79"/>
      <c r="N368" s="207"/>
      <c r="O368" s="207"/>
      <c r="P368" s="207"/>
      <c r="Q368" s="207"/>
    </row>
    <row r="369" spans="1:17" ht="34.5" customHeight="1">
      <c r="A369" s="82"/>
      <c r="B369" s="205" t="str">
        <f t="shared" si="2"/>
        <v/>
      </c>
      <c r="C369" s="206" t="str">
        <f t="shared" si="3"/>
        <v/>
      </c>
      <c r="D369" s="207" t="str">
        <f t="shared" si="0"/>
        <v/>
      </c>
      <c r="E369" s="207"/>
      <c r="F369" s="205" t="str">
        <f>IF(E369="","",VLOOKUP(E369,'ARAMA LİSTELERİ'!C369:G2408,5,))</f>
        <v/>
      </c>
      <c r="G369" s="207"/>
      <c r="H369" s="210"/>
      <c r="I369" s="79"/>
      <c r="J369" s="210"/>
      <c r="K369" s="210"/>
      <c r="L369" s="210" t="str">
        <f t="shared" si="1"/>
        <v/>
      </c>
      <c r="M369" s="79"/>
      <c r="N369" s="207"/>
      <c r="O369" s="207"/>
      <c r="P369" s="207"/>
      <c r="Q369" s="207"/>
    </row>
    <row r="370" spans="1:17" ht="34.5" customHeight="1">
      <c r="A370" s="82"/>
      <c r="B370" s="205" t="str">
        <f t="shared" si="2"/>
        <v/>
      </c>
      <c r="C370" s="206" t="str">
        <f t="shared" si="3"/>
        <v/>
      </c>
      <c r="D370" s="207" t="str">
        <f t="shared" si="0"/>
        <v/>
      </c>
      <c r="E370" s="207"/>
      <c r="F370" s="205" t="str">
        <f>IF(E370="","",VLOOKUP(E370,'ARAMA LİSTELERİ'!C370:G2409,5,))</f>
        <v/>
      </c>
      <c r="G370" s="207"/>
      <c r="H370" s="210"/>
      <c r="I370" s="79"/>
      <c r="J370" s="210"/>
      <c r="K370" s="210"/>
      <c r="L370" s="210" t="str">
        <f t="shared" si="1"/>
        <v/>
      </c>
      <c r="M370" s="79"/>
      <c r="N370" s="207"/>
      <c r="O370" s="207"/>
      <c r="P370" s="207"/>
      <c r="Q370" s="207"/>
    </row>
    <row r="371" spans="1:17" ht="34.5" customHeight="1">
      <c r="A371" s="82"/>
      <c r="B371" s="205" t="str">
        <f t="shared" si="2"/>
        <v/>
      </c>
      <c r="C371" s="206" t="str">
        <f t="shared" si="3"/>
        <v/>
      </c>
      <c r="D371" s="207" t="str">
        <f t="shared" si="0"/>
        <v/>
      </c>
      <c r="E371" s="207"/>
      <c r="F371" s="205" t="str">
        <f>IF(E371="","",VLOOKUP(E371,'ARAMA LİSTELERİ'!C371:G2410,5,))</f>
        <v/>
      </c>
      <c r="G371" s="207"/>
      <c r="H371" s="210"/>
      <c r="I371" s="79"/>
      <c r="J371" s="210"/>
      <c r="K371" s="210"/>
      <c r="L371" s="210" t="str">
        <f t="shared" si="1"/>
        <v/>
      </c>
      <c r="M371" s="79"/>
      <c r="N371" s="207"/>
      <c r="O371" s="207"/>
      <c r="P371" s="207"/>
      <c r="Q371" s="207"/>
    </row>
    <row r="372" spans="1:17" ht="34.5" customHeight="1">
      <c r="A372" s="82"/>
      <c r="B372" s="205" t="str">
        <f t="shared" si="2"/>
        <v/>
      </c>
      <c r="C372" s="206" t="str">
        <f t="shared" si="3"/>
        <v/>
      </c>
      <c r="D372" s="207" t="str">
        <f t="shared" si="0"/>
        <v/>
      </c>
      <c r="E372" s="207"/>
      <c r="F372" s="205" t="str">
        <f>IF(E372="","",VLOOKUP(E372,'ARAMA LİSTELERİ'!C372:G2411,5,))</f>
        <v/>
      </c>
      <c r="G372" s="207"/>
      <c r="H372" s="210"/>
      <c r="I372" s="79"/>
      <c r="J372" s="210"/>
      <c r="K372" s="210"/>
      <c r="L372" s="210" t="str">
        <f t="shared" si="1"/>
        <v/>
      </c>
      <c r="M372" s="79"/>
      <c r="N372" s="207"/>
      <c r="O372" s="207"/>
      <c r="P372" s="207"/>
      <c r="Q372" s="207"/>
    </row>
    <row r="373" spans="1:17" ht="34.5" customHeight="1">
      <c r="A373" s="82"/>
      <c r="B373" s="205" t="str">
        <f t="shared" si="2"/>
        <v/>
      </c>
      <c r="C373" s="206" t="str">
        <f t="shared" si="3"/>
        <v/>
      </c>
      <c r="D373" s="207" t="str">
        <f t="shared" si="0"/>
        <v/>
      </c>
      <c r="E373" s="207"/>
      <c r="F373" s="205" t="str">
        <f>IF(E373="","",VLOOKUP(E373,'ARAMA LİSTELERİ'!C373:G2412,5,))</f>
        <v/>
      </c>
      <c r="G373" s="207"/>
      <c r="H373" s="210"/>
      <c r="I373" s="79"/>
      <c r="J373" s="210"/>
      <c r="K373" s="210"/>
      <c r="L373" s="210" t="str">
        <f t="shared" si="1"/>
        <v/>
      </c>
      <c r="M373" s="79"/>
      <c r="N373" s="207"/>
      <c r="O373" s="207"/>
      <c r="P373" s="207"/>
      <c r="Q373" s="207"/>
    </row>
    <row r="374" spans="1:17" ht="34.5" customHeight="1">
      <c r="A374" s="82"/>
      <c r="B374" s="205" t="str">
        <f t="shared" si="2"/>
        <v/>
      </c>
      <c r="C374" s="206" t="str">
        <f t="shared" si="3"/>
        <v/>
      </c>
      <c r="D374" s="207" t="str">
        <f t="shared" si="0"/>
        <v/>
      </c>
      <c r="E374" s="207"/>
      <c r="F374" s="205" t="str">
        <f>IF(E374="","",VLOOKUP(E374,'ARAMA LİSTELERİ'!C374:G2413,5,))</f>
        <v/>
      </c>
      <c r="G374" s="207"/>
      <c r="H374" s="210"/>
      <c r="I374" s="79"/>
      <c r="J374" s="210"/>
      <c r="K374" s="210"/>
      <c r="L374" s="210" t="str">
        <f t="shared" si="1"/>
        <v/>
      </c>
      <c r="M374" s="79"/>
      <c r="N374" s="207"/>
      <c r="O374" s="207"/>
      <c r="P374" s="207"/>
      <c r="Q374" s="207"/>
    </row>
    <row r="375" spans="1:17" ht="34.5" customHeight="1">
      <c r="A375" s="82"/>
      <c r="B375" s="205" t="str">
        <f t="shared" si="2"/>
        <v/>
      </c>
      <c r="C375" s="206" t="str">
        <f t="shared" si="3"/>
        <v/>
      </c>
      <c r="D375" s="207" t="str">
        <f t="shared" si="0"/>
        <v/>
      </c>
      <c r="E375" s="207"/>
      <c r="F375" s="205" t="str">
        <f>IF(E375="","",VLOOKUP(E375,'ARAMA LİSTELERİ'!C375:G2414,5,))</f>
        <v/>
      </c>
      <c r="G375" s="207"/>
      <c r="H375" s="210"/>
      <c r="I375" s="79"/>
      <c r="J375" s="210"/>
      <c r="K375" s="210"/>
      <c r="L375" s="210" t="str">
        <f t="shared" si="1"/>
        <v/>
      </c>
      <c r="M375" s="79"/>
      <c r="N375" s="207"/>
      <c r="O375" s="207"/>
      <c r="P375" s="207"/>
      <c r="Q375" s="207"/>
    </row>
    <row r="376" spans="1:17" ht="34.5" customHeight="1">
      <c r="A376" s="82"/>
      <c r="B376" s="205" t="str">
        <f t="shared" si="2"/>
        <v/>
      </c>
      <c r="C376" s="206" t="str">
        <f t="shared" si="3"/>
        <v/>
      </c>
      <c r="D376" s="207" t="str">
        <f t="shared" si="0"/>
        <v/>
      </c>
      <c r="E376" s="207"/>
      <c r="F376" s="205" t="str">
        <f>IF(E376="","",VLOOKUP(E376,'ARAMA LİSTELERİ'!C376:G2415,5,))</f>
        <v/>
      </c>
      <c r="G376" s="207"/>
      <c r="H376" s="210"/>
      <c r="I376" s="79"/>
      <c r="J376" s="210"/>
      <c r="K376" s="210"/>
      <c r="L376" s="210" t="str">
        <f t="shared" si="1"/>
        <v/>
      </c>
      <c r="M376" s="79"/>
      <c r="N376" s="207"/>
      <c r="O376" s="207"/>
      <c r="P376" s="207"/>
      <c r="Q376" s="207"/>
    </row>
    <row r="377" spans="1:17" ht="34.5" customHeight="1">
      <c r="A377" s="82"/>
      <c r="B377" s="205" t="str">
        <f t="shared" si="2"/>
        <v/>
      </c>
      <c r="C377" s="206" t="str">
        <f t="shared" si="3"/>
        <v/>
      </c>
      <c r="D377" s="207" t="str">
        <f t="shared" si="0"/>
        <v/>
      </c>
      <c r="E377" s="207"/>
      <c r="F377" s="205" t="str">
        <f>IF(E377="","",VLOOKUP(E377,'ARAMA LİSTELERİ'!C377:G2416,5,))</f>
        <v/>
      </c>
      <c r="G377" s="207"/>
      <c r="H377" s="210"/>
      <c r="I377" s="79"/>
      <c r="J377" s="210"/>
      <c r="K377" s="210"/>
      <c r="L377" s="210" t="str">
        <f t="shared" si="1"/>
        <v/>
      </c>
      <c r="M377" s="79"/>
      <c r="N377" s="207"/>
      <c r="O377" s="207"/>
      <c r="P377" s="207"/>
      <c r="Q377" s="207"/>
    </row>
    <row r="378" spans="1:17" ht="34.5" customHeight="1">
      <c r="A378" s="82"/>
      <c r="B378" s="205" t="str">
        <f t="shared" si="2"/>
        <v/>
      </c>
      <c r="C378" s="206" t="str">
        <f t="shared" si="3"/>
        <v/>
      </c>
      <c r="D378" s="207" t="str">
        <f t="shared" si="0"/>
        <v/>
      </c>
      <c r="E378" s="207"/>
      <c r="F378" s="205" t="str">
        <f>IF(E378="","",VLOOKUP(E378,'ARAMA LİSTELERİ'!C378:G2417,5,))</f>
        <v/>
      </c>
      <c r="G378" s="207"/>
      <c r="H378" s="210"/>
      <c r="I378" s="79"/>
      <c r="J378" s="210"/>
      <c r="K378" s="210"/>
      <c r="L378" s="210" t="str">
        <f t="shared" si="1"/>
        <v/>
      </c>
      <c r="M378" s="79"/>
      <c r="N378" s="207"/>
      <c r="O378" s="207"/>
      <c r="P378" s="207"/>
      <c r="Q378" s="207"/>
    </row>
    <row r="379" spans="1:17" ht="34.5" customHeight="1">
      <c r="A379" s="82"/>
      <c r="B379" s="205" t="str">
        <f t="shared" si="2"/>
        <v/>
      </c>
      <c r="C379" s="206" t="str">
        <f t="shared" si="3"/>
        <v/>
      </c>
      <c r="D379" s="207" t="str">
        <f t="shared" si="0"/>
        <v/>
      </c>
      <c r="E379" s="207"/>
      <c r="F379" s="205" t="str">
        <f>IF(E379="","",VLOOKUP(E379,'ARAMA LİSTELERİ'!C379:G2418,5,))</f>
        <v/>
      </c>
      <c r="G379" s="207"/>
      <c r="H379" s="210"/>
      <c r="I379" s="79"/>
      <c r="J379" s="210"/>
      <c r="K379" s="210"/>
      <c r="L379" s="210" t="str">
        <f t="shared" si="1"/>
        <v/>
      </c>
      <c r="M379" s="79"/>
      <c r="N379" s="207"/>
      <c r="O379" s="207"/>
      <c r="P379" s="207"/>
      <c r="Q379" s="207"/>
    </row>
    <row r="380" spans="1:17" ht="34.5" customHeight="1">
      <c r="A380" s="82"/>
      <c r="B380" s="205" t="str">
        <f t="shared" si="2"/>
        <v/>
      </c>
      <c r="C380" s="206" t="str">
        <f t="shared" si="3"/>
        <v/>
      </c>
      <c r="D380" s="207" t="str">
        <f t="shared" si="0"/>
        <v/>
      </c>
      <c r="E380" s="207"/>
      <c r="F380" s="205" t="str">
        <f>IF(E380="","",VLOOKUP(E380,'ARAMA LİSTELERİ'!C380:G2419,5,))</f>
        <v/>
      </c>
      <c r="G380" s="207"/>
      <c r="H380" s="210"/>
      <c r="I380" s="79"/>
      <c r="J380" s="210"/>
      <c r="K380" s="210"/>
      <c r="L380" s="210" t="str">
        <f t="shared" si="1"/>
        <v/>
      </c>
      <c r="M380" s="79"/>
      <c r="N380" s="207"/>
      <c r="O380" s="207"/>
      <c r="P380" s="207"/>
      <c r="Q380" s="207"/>
    </row>
    <row r="381" spans="1:17" ht="34.5" customHeight="1">
      <c r="A381" s="82"/>
      <c r="B381" s="205" t="str">
        <f t="shared" si="2"/>
        <v/>
      </c>
      <c r="C381" s="206" t="str">
        <f t="shared" si="3"/>
        <v/>
      </c>
      <c r="D381" s="207" t="str">
        <f t="shared" si="0"/>
        <v/>
      </c>
      <c r="E381" s="207"/>
      <c r="F381" s="205" t="str">
        <f>IF(E381="","",VLOOKUP(E381,'ARAMA LİSTELERİ'!C381:G2420,5,))</f>
        <v/>
      </c>
      <c r="G381" s="207"/>
      <c r="H381" s="210"/>
      <c r="I381" s="79"/>
      <c r="J381" s="210"/>
      <c r="K381" s="210"/>
      <c r="L381" s="210" t="str">
        <f t="shared" si="1"/>
        <v/>
      </c>
      <c r="M381" s="79"/>
      <c r="N381" s="207"/>
      <c r="O381" s="207"/>
      <c r="P381" s="207"/>
      <c r="Q381" s="207"/>
    </row>
    <row r="382" spans="1:17" ht="34.5" customHeight="1">
      <c r="A382" s="82"/>
      <c r="B382" s="205" t="str">
        <f t="shared" si="2"/>
        <v/>
      </c>
      <c r="C382" s="206" t="str">
        <f t="shared" si="3"/>
        <v/>
      </c>
      <c r="D382" s="207" t="str">
        <f t="shared" si="0"/>
        <v/>
      </c>
      <c r="E382" s="207"/>
      <c r="F382" s="205" t="str">
        <f>IF(E382="","",VLOOKUP(E382,'ARAMA LİSTELERİ'!C382:G2421,5,))</f>
        <v/>
      </c>
      <c r="G382" s="207"/>
      <c r="H382" s="210"/>
      <c r="I382" s="79"/>
      <c r="J382" s="210"/>
      <c r="K382" s="210"/>
      <c r="L382" s="210" t="str">
        <f t="shared" si="1"/>
        <v/>
      </c>
      <c r="M382" s="79"/>
      <c r="N382" s="207"/>
      <c r="O382" s="207"/>
      <c r="P382" s="207"/>
      <c r="Q382" s="207"/>
    </row>
    <row r="383" spans="1:17" ht="34.5" customHeight="1">
      <c r="A383" s="82"/>
      <c r="B383" s="205" t="str">
        <f t="shared" si="2"/>
        <v/>
      </c>
      <c r="C383" s="206" t="str">
        <f t="shared" si="3"/>
        <v/>
      </c>
      <c r="D383" s="207" t="str">
        <f t="shared" si="0"/>
        <v/>
      </c>
      <c r="E383" s="207"/>
      <c r="F383" s="205" t="str">
        <f>IF(E383="","",VLOOKUP(E383,'ARAMA LİSTELERİ'!C383:G2422,5,))</f>
        <v/>
      </c>
      <c r="G383" s="207"/>
      <c r="H383" s="210"/>
      <c r="I383" s="79"/>
      <c r="J383" s="210"/>
      <c r="K383" s="210"/>
      <c r="L383" s="210" t="str">
        <f t="shared" si="1"/>
        <v/>
      </c>
      <c r="M383" s="79"/>
      <c r="N383" s="207"/>
      <c r="O383" s="207"/>
      <c r="P383" s="207"/>
      <c r="Q383" s="207"/>
    </row>
    <row r="384" spans="1:17" ht="34.5" customHeight="1">
      <c r="A384" s="82"/>
      <c r="B384" s="205" t="str">
        <f t="shared" si="2"/>
        <v/>
      </c>
      <c r="C384" s="206" t="str">
        <f t="shared" si="3"/>
        <v/>
      </c>
      <c r="D384" s="207" t="str">
        <f t="shared" si="0"/>
        <v/>
      </c>
      <c r="E384" s="207"/>
      <c r="F384" s="205" t="str">
        <f>IF(E384="","",VLOOKUP(E384,'ARAMA LİSTELERİ'!C384:G2423,5,))</f>
        <v/>
      </c>
      <c r="G384" s="207"/>
      <c r="H384" s="210"/>
      <c r="I384" s="79"/>
      <c r="J384" s="210"/>
      <c r="K384" s="210"/>
      <c r="L384" s="210" t="str">
        <f t="shared" si="1"/>
        <v/>
      </c>
      <c r="M384" s="79"/>
      <c r="N384" s="207"/>
      <c r="O384" s="207"/>
      <c r="P384" s="207"/>
      <c r="Q384" s="207"/>
    </row>
    <row r="385" spans="1:17" ht="34.5" customHeight="1">
      <c r="A385" s="82"/>
      <c r="B385" s="205" t="str">
        <f t="shared" si="2"/>
        <v/>
      </c>
      <c r="C385" s="206" t="str">
        <f t="shared" si="3"/>
        <v/>
      </c>
      <c r="D385" s="207" t="str">
        <f t="shared" si="0"/>
        <v/>
      </c>
      <c r="E385" s="207"/>
      <c r="F385" s="205" t="str">
        <f>IF(E385="","",VLOOKUP(E385,'ARAMA LİSTELERİ'!C385:G2424,5,))</f>
        <v/>
      </c>
      <c r="G385" s="207"/>
      <c r="H385" s="210"/>
      <c r="I385" s="79"/>
      <c r="J385" s="210"/>
      <c r="K385" s="210"/>
      <c r="L385" s="210" t="str">
        <f t="shared" si="1"/>
        <v/>
      </c>
      <c r="M385" s="79"/>
      <c r="N385" s="207"/>
      <c r="O385" s="207"/>
      <c r="P385" s="207"/>
      <c r="Q385" s="207"/>
    </row>
    <row r="386" spans="1:17" ht="34.5" customHeight="1">
      <c r="A386" s="82"/>
      <c r="B386" s="205" t="str">
        <f t="shared" si="2"/>
        <v/>
      </c>
      <c r="C386" s="206" t="str">
        <f t="shared" si="3"/>
        <v/>
      </c>
      <c r="D386" s="207" t="str">
        <f t="shared" si="0"/>
        <v/>
      </c>
      <c r="E386" s="207"/>
      <c r="F386" s="205" t="str">
        <f>IF(E386="","",VLOOKUP(E386,'ARAMA LİSTELERİ'!C386:G2425,5,))</f>
        <v/>
      </c>
      <c r="G386" s="207"/>
      <c r="H386" s="210"/>
      <c r="I386" s="79"/>
      <c r="J386" s="210"/>
      <c r="K386" s="210"/>
      <c r="L386" s="210" t="str">
        <f t="shared" si="1"/>
        <v/>
      </c>
      <c r="M386" s="79"/>
      <c r="N386" s="207"/>
      <c r="O386" s="207"/>
      <c r="P386" s="207"/>
      <c r="Q386" s="207"/>
    </row>
    <row r="387" spans="1:17" ht="34.5" customHeight="1">
      <c r="A387" s="82"/>
      <c r="B387" s="205" t="str">
        <f t="shared" si="2"/>
        <v/>
      </c>
      <c r="C387" s="206" t="str">
        <f t="shared" si="3"/>
        <v/>
      </c>
      <c r="D387" s="207" t="str">
        <f t="shared" si="0"/>
        <v/>
      </c>
      <c r="E387" s="207"/>
      <c r="F387" s="205" t="str">
        <f>IF(E387="","",VLOOKUP(E387,'ARAMA LİSTELERİ'!C387:G2426,5,))</f>
        <v/>
      </c>
      <c r="G387" s="207"/>
      <c r="H387" s="210"/>
      <c r="I387" s="79"/>
      <c r="J387" s="210"/>
      <c r="K387" s="210"/>
      <c r="L387" s="210" t="str">
        <f t="shared" si="1"/>
        <v/>
      </c>
      <c r="M387" s="79"/>
      <c r="N387" s="207"/>
      <c r="O387" s="207"/>
      <c r="P387" s="207"/>
      <c r="Q387" s="207"/>
    </row>
    <row r="388" spans="1:17" ht="34.5" customHeight="1">
      <c r="A388" s="82"/>
      <c r="B388" s="205" t="str">
        <f t="shared" si="2"/>
        <v/>
      </c>
      <c r="C388" s="206" t="str">
        <f t="shared" si="3"/>
        <v/>
      </c>
      <c r="D388" s="207" t="str">
        <f t="shared" si="0"/>
        <v/>
      </c>
      <c r="E388" s="207"/>
      <c r="F388" s="205" t="str">
        <f>IF(E388="","",VLOOKUP(E388,'ARAMA LİSTELERİ'!C388:G2427,5,))</f>
        <v/>
      </c>
      <c r="G388" s="207"/>
      <c r="H388" s="210"/>
      <c r="I388" s="79"/>
      <c r="J388" s="210"/>
      <c r="K388" s="210"/>
      <c r="L388" s="210" t="str">
        <f t="shared" si="1"/>
        <v/>
      </c>
      <c r="M388" s="79"/>
      <c r="N388" s="207"/>
      <c r="O388" s="207"/>
      <c r="P388" s="207"/>
      <c r="Q388" s="207"/>
    </row>
    <row r="389" spans="1:17" ht="34.5" customHeight="1">
      <c r="A389" s="82"/>
      <c r="B389" s="205" t="str">
        <f t="shared" si="2"/>
        <v/>
      </c>
      <c r="C389" s="206" t="str">
        <f t="shared" si="3"/>
        <v/>
      </c>
      <c r="D389" s="207" t="str">
        <f t="shared" si="0"/>
        <v/>
      </c>
      <c r="E389" s="207"/>
      <c r="F389" s="205" t="str">
        <f>IF(E389="","",VLOOKUP(E389,'ARAMA LİSTELERİ'!C389:G2428,5,))</f>
        <v/>
      </c>
      <c r="G389" s="207"/>
      <c r="H389" s="210"/>
      <c r="I389" s="79"/>
      <c r="J389" s="210"/>
      <c r="K389" s="210"/>
      <c r="L389" s="210" t="str">
        <f t="shared" si="1"/>
        <v/>
      </c>
      <c r="M389" s="79"/>
      <c r="N389" s="207"/>
      <c r="O389" s="207"/>
      <c r="P389" s="207"/>
      <c r="Q389" s="207"/>
    </row>
    <row r="390" spans="1:17" ht="34.5" customHeight="1">
      <c r="A390" s="82"/>
      <c r="B390" s="205" t="str">
        <f t="shared" si="2"/>
        <v/>
      </c>
      <c r="C390" s="206" t="str">
        <f t="shared" si="3"/>
        <v/>
      </c>
      <c r="D390" s="207" t="str">
        <f t="shared" si="0"/>
        <v/>
      </c>
      <c r="E390" s="207"/>
      <c r="F390" s="205" t="str">
        <f>IF(E390="","",VLOOKUP(E390,'ARAMA LİSTELERİ'!C390:G2429,5,))</f>
        <v/>
      </c>
      <c r="G390" s="207"/>
      <c r="H390" s="210"/>
      <c r="I390" s="79"/>
      <c r="J390" s="210"/>
      <c r="K390" s="210"/>
      <c r="L390" s="210" t="str">
        <f t="shared" si="1"/>
        <v/>
      </c>
      <c r="M390" s="79"/>
      <c r="N390" s="207"/>
      <c r="O390" s="207"/>
      <c r="P390" s="207"/>
      <c r="Q390" s="207"/>
    </row>
    <row r="391" spans="1:17" ht="34.5" customHeight="1">
      <c r="A391" s="82"/>
      <c r="B391" s="205" t="str">
        <f t="shared" si="2"/>
        <v/>
      </c>
      <c r="C391" s="206" t="str">
        <f t="shared" si="3"/>
        <v/>
      </c>
      <c r="D391" s="207" t="str">
        <f t="shared" si="0"/>
        <v/>
      </c>
      <c r="E391" s="207"/>
      <c r="F391" s="205" t="str">
        <f>IF(E391="","",VLOOKUP(E391,'ARAMA LİSTELERİ'!C391:G2430,5,))</f>
        <v/>
      </c>
      <c r="G391" s="207"/>
      <c r="H391" s="210"/>
      <c r="I391" s="79"/>
      <c r="J391" s="210"/>
      <c r="K391" s="210"/>
      <c r="L391" s="210" t="str">
        <f t="shared" si="1"/>
        <v/>
      </c>
      <c r="M391" s="79"/>
      <c r="N391" s="207"/>
      <c r="O391" s="207"/>
      <c r="P391" s="207"/>
      <c r="Q391" s="207"/>
    </row>
    <row r="392" spans="1:17" ht="34.5" customHeight="1">
      <c r="A392" s="82"/>
      <c r="B392" s="205" t="str">
        <f t="shared" si="2"/>
        <v/>
      </c>
      <c r="C392" s="206" t="str">
        <f t="shared" si="3"/>
        <v/>
      </c>
      <c r="D392" s="207" t="str">
        <f t="shared" si="0"/>
        <v/>
      </c>
      <c r="E392" s="207"/>
      <c r="F392" s="205" t="str">
        <f>IF(E392="","",VLOOKUP(E392,'ARAMA LİSTELERİ'!C392:G2431,5,))</f>
        <v/>
      </c>
      <c r="G392" s="207"/>
      <c r="H392" s="210"/>
      <c r="I392" s="79"/>
      <c r="J392" s="210"/>
      <c r="K392" s="210"/>
      <c r="L392" s="210" t="str">
        <f t="shared" si="1"/>
        <v/>
      </c>
      <c r="M392" s="79"/>
      <c r="N392" s="207"/>
      <c r="O392" s="207"/>
      <c r="P392" s="207"/>
      <c r="Q392" s="207"/>
    </row>
    <row r="393" spans="1:17" ht="34.5" customHeight="1">
      <c r="A393" s="82"/>
      <c r="B393" s="205" t="str">
        <f t="shared" si="2"/>
        <v/>
      </c>
      <c r="C393" s="206" t="str">
        <f t="shared" si="3"/>
        <v/>
      </c>
      <c r="D393" s="207" t="str">
        <f t="shared" si="0"/>
        <v/>
      </c>
      <c r="E393" s="207"/>
      <c r="F393" s="205" t="str">
        <f>IF(E393="","",VLOOKUP(E393,'ARAMA LİSTELERİ'!C393:G2432,5,))</f>
        <v/>
      </c>
      <c r="G393" s="207"/>
      <c r="H393" s="210"/>
      <c r="I393" s="79"/>
      <c r="J393" s="210"/>
      <c r="K393" s="210"/>
      <c r="L393" s="210" t="str">
        <f t="shared" si="1"/>
        <v/>
      </c>
      <c r="M393" s="79"/>
      <c r="N393" s="207"/>
      <c r="O393" s="207"/>
      <c r="P393" s="207"/>
      <c r="Q393" s="207"/>
    </row>
    <row r="394" spans="1:17" ht="34.5" customHeight="1">
      <c r="A394" s="82"/>
      <c r="B394" s="205" t="str">
        <f t="shared" si="2"/>
        <v/>
      </c>
      <c r="C394" s="206" t="str">
        <f t="shared" si="3"/>
        <v/>
      </c>
      <c r="D394" s="207" t="str">
        <f t="shared" si="0"/>
        <v/>
      </c>
      <c r="E394" s="207"/>
      <c r="F394" s="205" t="str">
        <f>IF(E394="","",VLOOKUP(E394,'ARAMA LİSTELERİ'!C394:G2433,5,))</f>
        <v/>
      </c>
      <c r="G394" s="207"/>
      <c r="H394" s="210"/>
      <c r="I394" s="79"/>
      <c r="J394" s="210"/>
      <c r="K394" s="210"/>
      <c r="L394" s="210" t="str">
        <f t="shared" si="1"/>
        <v/>
      </c>
      <c r="M394" s="79"/>
      <c r="N394" s="207"/>
      <c r="O394" s="207"/>
      <c r="P394" s="207"/>
      <c r="Q394" s="207"/>
    </row>
    <row r="395" spans="1:17" ht="34.5" customHeight="1">
      <c r="A395" s="82"/>
      <c r="B395" s="205" t="str">
        <f t="shared" si="2"/>
        <v/>
      </c>
      <c r="C395" s="206" t="str">
        <f t="shared" si="3"/>
        <v/>
      </c>
      <c r="D395" s="207" t="str">
        <f t="shared" si="0"/>
        <v/>
      </c>
      <c r="E395" s="207"/>
      <c r="F395" s="205" t="str">
        <f>IF(E395="","",VLOOKUP(E395,'ARAMA LİSTELERİ'!C395:G2434,5,))</f>
        <v/>
      </c>
      <c r="G395" s="207"/>
      <c r="H395" s="210"/>
      <c r="I395" s="79"/>
      <c r="J395" s="210"/>
      <c r="K395" s="210"/>
      <c r="L395" s="210" t="str">
        <f t="shared" si="1"/>
        <v/>
      </c>
      <c r="M395" s="79"/>
      <c r="N395" s="207"/>
      <c r="O395" s="207"/>
      <c r="P395" s="207"/>
      <c r="Q395" s="207"/>
    </row>
    <row r="396" spans="1:17" ht="34.5" customHeight="1">
      <c r="A396" s="82"/>
      <c r="B396" s="205" t="str">
        <f t="shared" si="2"/>
        <v/>
      </c>
      <c r="C396" s="206" t="str">
        <f t="shared" si="3"/>
        <v/>
      </c>
      <c r="D396" s="207" t="str">
        <f t="shared" si="0"/>
        <v/>
      </c>
      <c r="E396" s="207"/>
      <c r="F396" s="205" t="str">
        <f>IF(E396="","",VLOOKUP(E396,'ARAMA LİSTELERİ'!C396:G2435,5,))</f>
        <v/>
      </c>
      <c r="G396" s="207"/>
      <c r="H396" s="210"/>
      <c r="I396" s="79"/>
      <c r="J396" s="210"/>
      <c r="K396" s="210"/>
      <c r="L396" s="210" t="str">
        <f t="shared" si="1"/>
        <v/>
      </c>
      <c r="M396" s="79"/>
      <c r="N396" s="207"/>
      <c r="O396" s="207"/>
      <c r="P396" s="207"/>
      <c r="Q396" s="207"/>
    </row>
    <row r="397" spans="1:17" ht="34.5" customHeight="1">
      <c r="A397" s="82"/>
      <c r="B397" s="205" t="str">
        <f t="shared" si="2"/>
        <v/>
      </c>
      <c r="C397" s="206" t="str">
        <f t="shared" si="3"/>
        <v/>
      </c>
      <c r="D397" s="207" t="str">
        <f t="shared" si="0"/>
        <v/>
      </c>
      <c r="E397" s="207"/>
      <c r="F397" s="205" t="str">
        <f>IF(E397="","",VLOOKUP(E397,'ARAMA LİSTELERİ'!C397:G2436,5,))</f>
        <v/>
      </c>
      <c r="G397" s="207"/>
      <c r="H397" s="210"/>
      <c r="I397" s="79"/>
      <c r="J397" s="210"/>
      <c r="K397" s="210"/>
      <c r="L397" s="210" t="str">
        <f t="shared" si="1"/>
        <v/>
      </c>
      <c r="M397" s="79"/>
      <c r="N397" s="207"/>
      <c r="O397" s="207"/>
      <c r="P397" s="207"/>
      <c r="Q397" s="207"/>
    </row>
    <row r="398" spans="1:17" ht="34.5" customHeight="1">
      <c r="A398" s="82"/>
      <c r="B398" s="205" t="str">
        <f t="shared" si="2"/>
        <v/>
      </c>
      <c r="C398" s="206" t="str">
        <f t="shared" si="3"/>
        <v/>
      </c>
      <c r="D398" s="207" t="str">
        <f t="shared" si="0"/>
        <v/>
      </c>
      <c r="E398" s="207"/>
      <c r="F398" s="205" t="str">
        <f>IF(E398="","",VLOOKUP(E398,'ARAMA LİSTELERİ'!C398:G2437,5,))</f>
        <v/>
      </c>
      <c r="G398" s="207"/>
      <c r="H398" s="210"/>
      <c r="I398" s="79"/>
      <c r="J398" s="210"/>
      <c r="K398" s="210"/>
      <c r="L398" s="210" t="str">
        <f t="shared" si="1"/>
        <v/>
      </c>
      <c r="M398" s="79"/>
      <c r="N398" s="207"/>
      <c r="O398" s="207"/>
      <c r="P398" s="207"/>
      <c r="Q398" s="207"/>
    </row>
    <row r="399" spans="1:17" ht="34.5" customHeight="1">
      <c r="A399" s="82"/>
      <c r="B399" s="205" t="str">
        <f t="shared" si="2"/>
        <v/>
      </c>
      <c r="C399" s="206" t="str">
        <f t="shared" si="3"/>
        <v/>
      </c>
      <c r="D399" s="207" t="str">
        <f t="shared" si="0"/>
        <v/>
      </c>
      <c r="E399" s="207"/>
      <c r="F399" s="205" t="str">
        <f>IF(E399="","",VLOOKUP(E399,'ARAMA LİSTELERİ'!C399:G2438,5,))</f>
        <v/>
      </c>
      <c r="G399" s="207"/>
      <c r="H399" s="210"/>
      <c r="I399" s="79"/>
      <c r="J399" s="210"/>
      <c r="K399" s="210"/>
      <c r="L399" s="210" t="str">
        <f t="shared" si="1"/>
        <v/>
      </c>
      <c r="M399" s="79"/>
      <c r="N399" s="207"/>
      <c r="O399" s="207"/>
      <c r="P399" s="207"/>
      <c r="Q399" s="207"/>
    </row>
    <row r="400" spans="1:17" ht="34.5" customHeight="1">
      <c r="A400" s="82"/>
      <c r="B400" s="205" t="str">
        <f t="shared" si="2"/>
        <v/>
      </c>
      <c r="C400" s="206" t="str">
        <f t="shared" si="3"/>
        <v/>
      </c>
      <c r="D400" s="207" t="str">
        <f t="shared" si="0"/>
        <v/>
      </c>
      <c r="E400" s="207"/>
      <c r="F400" s="205" t="str">
        <f>IF(E400="","",VLOOKUP(E400,'ARAMA LİSTELERİ'!C400:G2439,5,))</f>
        <v/>
      </c>
      <c r="G400" s="207"/>
      <c r="H400" s="210"/>
      <c r="I400" s="79"/>
      <c r="J400" s="210"/>
      <c r="K400" s="210"/>
      <c r="L400" s="210" t="str">
        <f t="shared" si="1"/>
        <v/>
      </c>
      <c r="M400" s="79"/>
      <c r="N400" s="207"/>
      <c r="O400" s="207"/>
      <c r="P400" s="207"/>
      <c r="Q400" s="207"/>
    </row>
    <row r="401" spans="1:17" ht="34.5" customHeight="1">
      <c r="A401" s="82"/>
      <c r="B401" s="205" t="str">
        <f t="shared" si="2"/>
        <v/>
      </c>
      <c r="C401" s="206" t="str">
        <f t="shared" si="3"/>
        <v/>
      </c>
      <c r="D401" s="207" t="str">
        <f t="shared" si="0"/>
        <v/>
      </c>
      <c r="E401" s="207"/>
      <c r="F401" s="205" t="str">
        <f>IF(E401="","",VLOOKUP(E401,'ARAMA LİSTELERİ'!C401:G2440,5,))</f>
        <v/>
      </c>
      <c r="G401" s="207"/>
      <c r="H401" s="210"/>
      <c r="I401" s="79"/>
      <c r="J401" s="210"/>
      <c r="K401" s="210"/>
      <c r="L401" s="210" t="str">
        <f t="shared" si="1"/>
        <v/>
      </c>
      <c r="M401" s="79"/>
      <c r="N401" s="207"/>
      <c r="O401" s="207"/>
      <c r="P401" s="207"/>
      <c r="Q401" s="207"/>
    </row>
    <row r="402" spans="1:17" ht="34.5" customHeight="1">
      <c r="A402" s="82"/>
      <c r="B402" s="205" t="str">
        <f t="shared" si="2"/>
        <v/>
      </c>
      <c r="C402" s="206" t="str">
        <f t="shared" si="3"/>
        <v/>
      </c>
      <c r="D402" s="207" t="str">
        <f t="shared" si="0"/>
        <v/>
      </c>
      <c r="E402" s="207"/>
      <c r="F402" s="205" t="str">
        <f>IF(E402="","",VLOOKUP(E402,'ARAMA LİSTELERİ'!C402:G2441,5,))</f>
        <v/>
      </c>
      <c r="G402" s="207"/>
      <c r="H402" s="210"/>
      <c r="I402" s="79"/>
      <c r="J402" s="210"/>
      <c r="K402" s="210"/>
      <c r="L402" s="210" t="str">
        <f t="shared" si="1"/>
        <v/>
      </c>
      <c r="M402" s="79"/>
      <c r="N402" s="207"/>
      <c r="O402" s="207"/>
      <c r="P402" s="207"/>
      <c r="Q402" s="207"/>
    </row>
    <row r="403" spans="1:17" ht="34.5" customHeight="1">
      <c r="A403" s="82"/>
      <c r="B403" s="205" t="str">
        <f t="shared" si="2"/>
        <v/>
      </c>
      <c r="C403" s="206" t="str">
        <f t="shared" si="3"/>
        <v/>
      </c>
      <c r="D403" s="207" t="str">
        <f t="shared" si="0"/>
        <v/>
      </c>
      <c r="E403" s="207"/>
      <c r="F403" s="205" t="str">
        <f>IF(E403="","",VLOOKUP(E403,'ARAMA LİSTELERİ'!C403:G2442,5,))</f>
        <v/>
      </c>
      <c r="G403" s="207"/>
      <c r="H403" s="210"/>
      <c r="I403" s="79"/>
      <c r="J403" s="210"/>
      <c r="K403" s="210"/>
      <c r="L403" s="210" t="str">
        <f t="shared" si="1"/>
        <v/>
      </c>
      <c r="M403" s="79"/>
      <c r="N403" s="207"/>
      <c r="O403" s="207"/>
      <c r="P403" s="207"/>
      <c r="Q403" s="207"/>
    </row>
    <row r="404" spans="1:17" ht="34.5" customHeight="1">
      <c r="A404" s="82"/>
      <c r="B404" s="205" t="str">
        <f t="shared" si="2"/>
        <v/>
      </c>
      <c r="C404" s="206" t="str">
        <f t="shared" si="3"/>
        <v/>
      </c>
      <c r="D404" s="207" t="str">
        <f t="shared" si="0"/>
        <v/>
      </c>
      <c r="E404" s="207"/>
      <c r="F404" s="205" t="str">
        <f>IF(E404="","",VLOOKUP(E404,'ARAMA LİSTELERİ'!C404:G2443,5,))</f>
        <v/>
      </c>
      <c r="G404" s="207"/>
      <c r="H404" s="210"/>
      <c r="I404" s="79"/>
      <c r="J404" s="210"/>
      <c r="K404" s="210"/>
      <c r="L404" s="210" t="str">
        <f t="shared" si="1"/>
        <v/>
      </c>
      <c r="M404" s="79"/>
      <c r="N404" s="207"/>
      <c r="O404" s="207"/>
      <c r="P404" s="207"/>
      <c r="Q404" s="207"/>
    </row>
    <row r="405" spans="1:17" ht="34.5" customHeight="1">
      <c r="A405" s="82"/>
      <c r="B405" s="205" t="str">
        <f t="shared" si="2"/>
        <v/>
      </c>
      <c r="C405" s="206" t="str">
        <f t="shared" si="3"/>
        <v/>
      </c>
      <c r="D405" s="207" t="str">
        <f t="shared" si="0"/>
        <v/>
      </c>
      <c r="E405" s="207"/>
      <c r="F405" s="205" t="str">
        <f>IF(E405="","",VLOOKUP(E405,'ARAMA LİSTELERİ'!C405:G2444,5,))</f>
        <v/>
      </c>
      <c r="G405" s="207"/>
      <c r="H405" s="210"/>
      <c r="I405" s="79"/>
      <c r="J405" s="210"/>
      <c r="K405" s="210"/>
      <c r="L405" s="210" t="str">
        <f t="shared" si="1"/>
        <v/>
      </c>
      <c r="M405" s="79"/>
      <c r="N405" s="207"/>
      <c r="O405" s="207"/>
      <c r="P405" s="207"/>
      <c r="Q405" s="207"/>
    </row>
    <row r="406" spans="1:17" ht="34.5" customHeight="1">
      <c r="A406" s="82"/>
      <c r="B406" s="205" t="str">
        <f t="shared" si="2"/>
        <v/>
      </c>
      <c r="C406" s="206" t="str">
        <f t="shared" si="3"/>
        <v/>
      </c>
      <c r="D406" s="207" t="str">
        <f t="shared" si="0"/>
        <v/>
      </c>
      <c r="E406" s="207"/>
      <c r="F406" s="205" t="str">
        <f>IF(E406="","",VLOOKUP(E406,'ARAMA LİSTELERİ'!C406:G2445,5,))</f>
        <v/>
      </c>
      <c r="G406" s="207"/>
      <c r="H406" s="210"/>
      <c r="I406" s="79"/>
      <c r="J406" s="210"/>
      <c r="K406" s="210"/>
      <c r="L406" s="210" t="str">
        <f t="shared" si="1"/>
        <v/>
      </c>
      <c r="M406" s="79"/>
      <c r="N406" s="207"/>
      <c r="O406" s="207"/>
      <c r="P406" s="207"/>
      <c r="Q406" s="207"/>
    </row>
    <row r="407" spans="1:17" ht="34.5" customHeight="1">
      <c r="A407" s="82"/>
      <c r="B407" s="205" t="str">
        <f t="shared" si="2"/>
        <v/>
      </c>
      <c r="C407" s="206" t="str">
        <f t="shared" si="3"/>
        <v/>
      </c>
      <c r="D407" s="207" t="str">
        <f t="shared" si="0"/>
        <v/>
      </c>
      <c r="E407" s="207"/>
      <c r="F407" s="205" t="str">
        <f>IF(E407="","",VLOOKUP(E407,'ARAMA LİSTELERİ'!C407:G2446,5,))</f>
        <v/>
      </c>
      <c r="G407" s="207"/>
      <c r="H407" s="210"/>
      <c r="I407" s="79"/>
      <c r="J407" s="210"/>
      <c r="K407" s="210"/>
      <c r="L407" s="210" t="str">
        <f t="shared" si="1"/>
        <v/>
      </c>
      <c r="M407" s="79"/>
      <c r="N407" s="207"/>
      <c r="O407" s="207"/>
      <c r="P407" s="207"/>
      <c r="Q407" s="207"/>
    </row>
    <row r="408" spans="1:17" ht="34.5" customHeight="1">
      <c r="A408" s="82"/>
      <c r="B408" s="205" t="str">
        <f t="shared" si="2"/>
        <v/>
      </c>
      <c r="C408" s="206" t="str">
        <f t="shared" si="3"/>
        <v/>
      </c>
      <c r="D408" s="207" t="str">
        <f t="shared" si="0"/>
        <v/>
      </c>
      <c r="E408" s="207"/>
      <c r="F408" s="205" t="str">
        <f>IF(E408="","",VLOOKUP(E408,'ARAMA LİSTELERİ'!C408:G2447,5,))</f>
        <v/>
      </c>
      <c r="G408" s="207"/>
      <c r="H408" s="210"/>
      <c r="I408" s="79"/>
      <c r="J408" s="210"/>
      <c r="K408" s="210"/>
      <c r="L408" s="210" t="str">
        <f t="shared" si="1"/>
        <v/>
      </c>
      <c r="M408" s="79"/>
      <c r="N408" s="207"/>
      <c r="O408" s="207"/>
      <c r="P408" s="207"/>
      <c r="Q408" s="207"/>
    </row>
    <row r="409" spans="1:17" ht="34.5" customHeight="1">
      <c r="A409" s="82"/>
      <c r="B409" s="205" t="str">
        <f t="shared" si="2"/>
        <v/>
      </c>
      <c r="C409" s="206" t="str">
        <f t="shared" si="3"/>
        <v/>
      </c>
      <c r="D409" s="207" t="str">
        <f t="shared" si="0"/>
        <v/>
      </c>
      <c r="E409" s="207"/>
      <c r="F409" s="205" t="str">
        <f>IF(E409="","",VLOOKUP(E409,'ARAMA LİSTELERİ'!C409:G2448,5,))</f>
        <v/>
      </c>
      <c r="G409" s="207"/>
      <c r="H409" s="210"/>
      <c r="I409" s="79"/>
      <c r="J409" s="210"/>
      <c r="K409" s="210"/>
      <c r="L409" s="210" t="str">
        <f t="shared" si="1"/>
        <v/>
      </c>
      <c r="M409" s="79"/>
      <c r="N409" s="207"/>
      <c r="O409" s="207"/>
      <c r="P409" s="207"/>
      <c r="Q409" s="207"/>
    </row>
    <row r="410" spans="1:17" ht="34.5" customHeight="1">
      <c r="A410" s="82"/>
      <c r="B410" s="205" t="str">
        <f t="shared" si="2"/>
        <v/>
      </c>
      <c r="C410" s="206" t="str">
        <f t="shared" si="3"/>
        <v/>
      </c>
      <c r="D410" s="207" t="str">
        <f t="shared" si="0"/>
        <v/>
      </c>
      <c r="E410" s="207"/>
      <c r="F410" s="205" t="str">
        <f>IF(E410="","",VLOOKUP(E410,'ARAMA LİSTELERİ'!C410:G2449,5,))</f>
        <v/>
      </c>
      <c r="G410" s="207"/>
      <c r="H410" s="210"/>
      <c r="I410" s="79"/>
      <c r="J410" s="210"/>
      <c r="K410" s="210"/>
      <c r="L410" s="210" t="str">
        <f t="shared" si="1"/>
        <v/>
      </c>
      <c r="M410" s="79"/>
      <c r="N410" s="207"/>
      <c r="O410" s="207"/>
      <c r="P410" s="207"/>
      <c r="Q410" s="207"/>
    </row>
    <row r="411" spans="1:17" ht="34.5" customHeight="1">
      <c r="A411" s="82"/>
      <c r="B411" s="205" t="str">
        <f t="shared" si="2"/>
        <v/>
      </c>
      <c r="C411" s="206" t="str">
        <f t="shared" si="3"/>
        <v/>
      </c>
      <c r="D411" s="207" t="str">
        <f t="shared" si="0"/>
        <v/>
      </c>
      <c r="E411" s="207"/>
      <c r="F411" s="205" t="str">
        <f>IF(E411="","",VLOOKUP(E411,'ARAMA LİSTELERİ'!C411:G2450,5,))</f>
        <v/>
      </c>
      <c r="G411" s="207"/>
      <c r="H411" s="210"/>
      <c r="I411" s="79"/>
      <c r="J411" s="210"/>
      <c r="K411" s="210"/>
      <c r="L411" s="210" t="str">
        <f t="shared" si="1"/>
        <v/>
      </c>
      <c r="M411" s="79"/>
      <c r="N411" s="207"/>
      <c r="O411" s="207"/>
      <c r="P411" s="207"/>
      <c r="Q411" s="207"/>
    </row>
    <row r="412" spans="1:17" ht="34.5" customHeight="1">
      <c r="A412" s="82"/>
      <c r="B412" s="205" t="str">
        <f t="shared" si="2"/>
        <v/>
      </c>
      <c r="C412" s="206" t="str">
        <f t="shared" si="3"/>
        <v/>
      </c>
      <c r="D412" s="207" t="str">
        <f t="shared" si="0"/>
        <v/>
      </c>
      <c r="E412" s="207"/>
      <c r="F412" s="205" t="str">
        <f>IF(E412="","",VLOOKUP(E412,'ARAMA LİSTELERİ'!C412:G2451,5,))</f>
        <v/>
      </c>
      <c r="G412" s="207"/>
      <c r="H412" s="210"/>
      <c r="I412" s="79"/>
      <c r="J412" s="210"/>
      <c r="K412" s="210"/>
      <c r="L412" s="210" t="str">
        <f t="shared" si="1"/>
        <v/>
      </c>
      <c r="M412" s="79"/>
      <c r="N412" s="207"/>
      <c r="O412" s="207"/>
      <c r="P412" s="207"/>
      <c r="Q412" s="207"/>
    </row>
    <row r="413" spans="1:17" ht="34.5" customHeight="1">
      <c r="A413" s="82"/>
      <c r="B413" s="205" t="str">
        <f t="shared" si="2"/>
        <v/>
      </c>
      <c r="C413" s="206" t="str">
        <f t="shared" si="3"/>
        <v/>
      </c>
      <c r="D413" s="207" t="str">
        <f t="shared" si="0"/>
        <v/>
      </c>
      <c r="E413" s="207"/>
      <c r="F413" s="205" t="str">
        <f>IF(E413="","",VLOOKUP(E413,'ARAMA LİSTELERİ'!C413:G2452,5,))</f>
        <v/>
      </c>
      <c r="G413" s="207"/>
      <c r="H413" s="210"/>
      <c r="I413" s="79"/>
      <c r="J413" s="210"/>
      <c r="K413" s="210"/>
      <c r="L413" s="210" t="str">
        <f t="shared" si="1"/>
        <v/>
      </c>
      <c r="M413" s="79"/>
      <c r="N413" s="207"/>
      <c r="O413" s="207"/>
      <c r="P413" s="207"/>
      <c r="Q413" s="207"/>
    </row>
    <row r="414" spans="1:17" ht="34.5" customHeight="1">
      <c r="A414" s="82"/>
      <c r="B414" s="205" t="str">
        <f t="shared" si="2"/>
        <v/>
      </c>
      <c r="C414" s="206" t="str">
        <f t="shared" si="3"/>
        <v/>
      </c>
      <c r="D414" s="207" t="str">
        <f t="shared" si="0"/>
        <v/>
      </c>
      <c r="E414" s="207"/>
      <c r="F414" s="205" t="str">
        <f>IF(E414="","",VLOOKUP(E414,'ARAMA LİSTELERİ'!C414:G2453,5,))</f>
        <v/>
      </c>
      <c r="G414" s="207"/>
      <c r="H414" s="210"/>
      <c r="I414" s="79"/>
      <c r="J414" s="210"/>
      <c r="K414" s="210"/>
      <c r="L414" s="210" t="str">
        <f t="shared" si="1"/>
        <v/>
      </c>
      <c r="M414" s="79"/>
      <c r="N414" s="207"/>
      <c r="O414" s="207"/>
      <c r="P414" s="207"/>
      <c r="Q414" s="207"/>
    </row>
    <row r="415" spans="1:17" ht="34.5" customHeight="1">
      <c r="A415" s="82"/>
      <c r="B415" s="205" t="str">
        <f t="shared" si="2"/>
        <v/>
      </c>
      <c r="C415" s="206" t="str">
        <f t="shared" si="3"/>
        <v/>
      </c>
      <c r="D415" s="207" t="str">
        <f t="shared" si="0"/>
        <v/>
      </c>
      <c r="E415" s="207"/>
      <c r="F415" s="205" t="str">
        <f>IF(E415="","",VLOOKUP(E415,'ARAMA LİSTELERİ'!C415:G2454,5,))</f>
        <v/>
      </c>
      <c r="G415" s="207"/>
      <c r="H415" s="210"/>
      <c r="I415" s="79"/>
      <c r="J415" s="210"/>
      <c r="K415" s="210"/>
      <c r="L415" s="210" t="str">
        <f t="shared" si="1"/>
        <v/>
      </c>
      <c r="M415" s="79"/>
      <c r="N415" s="207"/>
      <c r="O415" s="207"/>
      <c r="P415" s="207"/>
      <c r="Q415" s="207"/>
    </row>
    <row r="416" spans="1:17" ht="34.5" customHeight="1">
      <c r="A416" s="82"/>
      <c r="B416" s="205" t="str">
        <f t="shared" si="2"/>
        <v/>
      </c>
      <c r="C416" s="206" t="str">
        <f t="shared" si="3"/>
        <v/>
      </c>
      <c r="D416" s="207" t="str">
        <f t="shared" si="0"/>
        <v/>
      </c>
      <c r="E416" s="207"/>
      <c r="F416" s="205" t="str">
        <f>IF(E416="","",VLOOKUP(E416,'ARAMA LİSTELERİ'!C416:G2455,5,))</f>
        <v/>
      </c>
      <c r="G416" s="207"/>
      <c r="H416" s="210"/>
      <c r="I416" s="79"/>
      <c r="J416" s="210"/>
      <c r="K416" s="210"/>
      <c r="L416" s="210" t="str">
        <f t="shared" si="1"/>
        <v/>
      </c>
      <c r="M416" s="79"/>
      <c r="N416" s="207"/>
      <c r="O416" s="207"/>
      <c r="P416" s="207"/>
      <c r="Q416" s="207"/>
    </row>
    <row r="417" spans="1:17" ht="34.5" customHeight="1">
      <c r="A417" s="82"/>
      <c r="B417" s="205" t="str">
        <f t="shared" si="2"/>
        <v/>
      </c>
      <c r="C417" s="206" t="str">
        <f t="shared" si="3"/>
        <v/>
      </c>
      <c r="D417" s="207" t="str">
        <f t="shared" si="0"/>
        <v/>
      </c>
      <c r="E417" s="207"/>
      <c r="F417" s="205" t="str">
        <f>IF(E417="","",VLOOKUP(E417,'ARAMA LİSTELERİ'!C417:G2456,5,))</f>
        <v/>
      </c>
      <c r="G417" s="207"/>
      <c r="H417" s="210"/>
      <c r="I417" s="79"/>
      <c r="J417" s="210"/>
      <c r="K417" s="210"/>
      <c r="L417" s="210" t="str">
        <f t="shared" si="1"/>
        <v/>
      </c>
      <c r="M417" s="79"/>
      <c r="N417" s="207"/>
      <c r="O417" s="207"/>
      <c r="P417" s="207"/>
      <c r="Q417" s="207"/>
    </row>
    <row r="418" spans="1:17" ht="34.5" customHeight="1">
      <c r="A418" s="82"/>
      <c r="B418" s="205" t="str">
        <f t="shared" si="2"/>
        <v/>
      </c>
      <c r="C418" s="206" t="str">
        <f t="shared" si="3"/>
        <v/>
      </c>
      <c r="D418" s="207" t="str">
        <f t="shared" si="0"/>
        <v/>
      </c>
      <c r="E418" s="207"/>
      <c r="F418" s="205" t="str">
        <f>IF(E418="","",VLOOKUP(E418,'ARAMA LİSTELERİ'!C418:G2457,5,))</f>
        <v/>
      </c>
      <c r="G418" s="207"/>
      <c r="H418" s="210"/>
      <c r="I418" s="79"/>
      <c r="J418" s="210"/>
      <c r="K418" s="210"/>
      <c r="L418" s="210" t="str">
        <f t="shared" si="1"/>
        <v/>
      </c>
      <c r="M418" s="79"/>
      <c r="N418" s="207"/>
      <c r="O418" s="207"/>
      <c r="P418" s="207"/>
      <c r="Q418" s="207"/>
    </row>
    <row r="419" spans="1:17" ht="34.5" customHeight="1">
      <c r="A419" s="82"/>
      <c r="B419" s="205" t="str">
        <f t="shared" si="2"/>
        <v/>
      </c>
      <c r="C419" s="206" t="str">
        <f t="shared" si="3"/>
        <v/>
      </c>
      <c r="D419" s="207" t="str">
        <f t="shared" si="0"/>
        <v/>
      </c>
      <c r="E419" s="207"/>
      <c r="F419" s="205" t="str">
        <f>IF(E419="","",VLOOKUP(E419,'ARAMA LİSTELERİ'!C419:G2458,5,))</f>
        <v/>
      </c>
      <c r="G419" s="207"/>
      <c r="H419" s="210"/>
      <c r="I419" s="79"/>
      <c r="J419" s="210"/>
      <c r="K419" s="210"/>
      <c r="L419" s="210" t="str">
        <f t="shared" si="1"/>
        <v/>
      </c>
      <c r="M419" s="79"/>
      <c r="N419" s="207"/>
      <c r="O419" s="207"/>
      <c r="P419" s="207"/>
      <c r="Q419" s="207"/>
    </row>
    <row r="420" spans="1:17" ht="34.5" customHeight="1">
      <c r="A420" s="82"/>
      <c r="B420" s="205" t="str">
        <f t="shared" si="2"/>
        <v/>
      </c>
      <c r="C420" s="206" t="str">
        <f t="shared" si="3"/>
        <v/>
      </c>
      <c r="D420" s="207" t="str">
        <f t="shared" si="0"/>
        <v/>
      </c>
      <c r="E420" s="207"/>
      <c r="F420" s="205" t="str">
        <f>IF(E420="","",VLOOKUP(E420,'ARAMA LİSTELERİ'!C420:G2459,5,))</f>
        <v/>
      </c>
      <c r="G420" s="207"/>
      <c r="H420" s="210"/>
      <c r="I420" s="79"/>
      <c r="J420" s="210"/>
      <c r="K420" s="210"/>
      <c r="L420" s="210" t="str">
        <f t="shared" si="1"/>
        <v/>
      </c>
      <c r="M420" s="79"/>
      <c r="N420" s="207"/>
      <c r="O420" s="207"/>
      <c r="P420" s="207"/>
      <c r="Q420" s="207"/>
    </row>
    <row r="421" spans="1:17" ht="34.5" customHeight="1">
      <c r="A421" s="82"/>
      <c r="B421" s="205" t="str">
        <f t="shared" si="2"/>
        <v/>
      </c>
      <c r="C421" s="206" t="str">
        <f t="shared" si="3"/>
        <v/>
      </c>
      <c r="D421" s="207" t="str">
        <f t="shared" si="0"/>
        <v/>
      </c>
      <c r="E421" s="207"/>
      <c r="F421" s="205" t="str">
        <f>IF(E421="","",VLOOKUP(E421,'ARAMA LİSTELERİ'!C421:G2460,5,))</f>
        <v/>
      </c>
      <c r="G421" s="207"/>
      <c r="H421" s="210"/>
      <c r="I421" s="79"/>
      <c r="J421" s="210"/>
      <c r="K421" s="210"/>
      <c r="L421" s="210" t="str">
        <f t="shared" si="1"/>
        <v/>
      </c>
      <c r="M421" s="79"/>
      <c r="N421" s="207"/>
      <c r="O421" s="207"/>
      <c r="P421" s="207"/>
      <c r="Q421" s="207"/>
    </row>
    <row r="422" spans="1:17" ht="34.5" customHeight="1">
      <c r="A422" s="82"/>
      <c r="B422" s="205" t="str">
        <f t="shared" si="2"/>
        <v/>
      </c>
      <c r="C422" s="206" t="str">
        <f t="shared" si="3"/>
        <v/>
      </c>
      <c r="D422" s="207" t="str">
        <f t="shared" si="0"/>
        <v/>
      </c>
      <c r="E422" s="207"/>
      <c r="F422" s="205" t="str">
        <f>IF(E422="","",VLOOKUP(E422,'ARAMA LİSTELERİ'!C422:G2461,5,))</f>
        <v/>
      </c>
      <c r="G422" s="207"/>
      <c r="H422" s="210"/>
      <c r="I422" s="79"/>
      <c r="J422" s="210"/>
      <c r="K422" s="210"/>
      <c r="L422" s="210" t="str">
        <f t="shared" si="1"/>
        <v/>
      </c>
      <c r="M422" s="79"/>
      <c r="N422" s="207"/>
      <c r="O422" s="207"/>
      <c r="P422" s="207"/>
      <c r="Q422" s="207"/>
    </row>
    <row r="423" spans="1:17" ht="34.5" customHeight="1">
      <c r="A423" s="82"/>
      <c r="B423" s="205" t="str">
        <f t="shared" si="2"/>
        <v/>
      </c>
      <c r="C423" s="206" t="str">
        <f t="shared" si="3"/>
        <v/>
      </c>
      <c r="D423" s="207" t="str">
        <f t="shared" si="0"/>
        <v/>
      </c>
      <c r="E423" s="207"/>
      <c r="F423" s="205" t="str">
        <f>IF(E423="","",VLOOKUP(E423,'ARAMA LİSTELERİ'!C423:G2462,5,))</f>
        <v/>
      </c>
      <c r="G423" s="207"/>
      <c r="H423" s="210"/>
      <c r="I423" s="79"/>
      <c r="J423" s="210"/>
      <c r="K423" s="210"/>
      <c r="L423" s="210" t="str">
        <f t="shared" si="1"/>
        <v/>
      </c>
      <c r="M423" s="79"/>
      <c r="N423" s="207"/>
      <c r="O423" s="207"/>
      <c r="P423" s="207"/>
      <c r="Q423" s="207"/>
    </row>
    <row r="424" spans="1:17" ht="34.5" customHeight="1">
      <c r="A424" s="82"/>
      <c r="B424" s="205" t="str">
        <f t="shared" si="2"/>
        <v/>
      </c>
      <c r="C424" s="206" t="str">
        <f t="shared" si="3"/>
        <v/>
      </c>
      <c r="D424" s="207" t="str">
        <f t="shared" si="0"/>
        <v/>
      </c>
      <c r="E424" s="207"/>
      <c r="F424" s="205" t="str">
        <f>IF(E424="","",VLOOKUP(E424,'ARAMA LİSTELERİ'!C424:G2463,5,))</f>
        <v/>
      </c>
      <c r="G424" s="207"/>
      <c r="H424" s="210"/>
      <c r="I424" s="79"/>
      <c r="J424" s="210"/>
      <c r="K424" s="210"/>
      <c r="L424" s="210" t="str">
        <f t="shared" si="1"/>
        <v/>
      </c>
      <c r="M424" s="79"/>
      <c r="N424" s="207"/>
      <c r="O424" s="207"/>
      <c r="P424" s="207"/>
      <c r="Q424" s="207"/>
    </row>
    <row r="425" spans="1:17" ht="34.5" customHeight="1">
      <c r="A425" s="82"/>
      <c r="B425" s="205" t="str">
        <f t="shared" si="2"/>
        <v/>
      </c>
      <c r="C425" s="206" t="str">
        <f t="shared" si="3"/>
        <v/>
      </c>
      <c r="D425" s="207" t="str">
        <f t="shared" si="0"/>
        <v/>
      </c>
      <c r="E425" s="207"/>
      <c r="F425" s="205" t="str">
        <f>IF(E425="","",VLOOKUP(E425,'ARAMA LİSTELERİ'!C425:G2464,5,))</f>
        <v/>
      </c>
      <c r="G425" s="207"/>
      <c r="H425" s="210"/>
      <c r="I425" s="79"/>
      <c r="J425" s="210"/>
      <c r="K425" s="210"/>
      <c r="L425" s="210" t="str">
        <f t="shared" si="1"/>
        <v/>
      </c>
      <c r="M425" s="79"/>
      <c r="N425" s="207"/>
      <c r="O425" s="207"/>
      <c r="P425" s="207"/>
      <c r="Q425" s="207"/>
    </row>
    <row r="426" spans="1:17" ht="34.5" customHeight="1">
      <c r="A426" s="82"/>
      <c r="B426" s="205" t="str">
        <f t="shared" si="2"/>
        <v/>
      </c>
      <c r="C426" s="206" t="str">
        <f t="shared" si="3"/>
        <v/>
      </c>
      <c r="D426" s="207" t="str">
        <f t="shared" si="0"/>
        <v/>
      </c>
      <c r="E426" s="207"/>
      <c r="F426" s="205" t="str">
        <f>IF(E426="","",VLOOKUP(E426,'ARAMA LİSTELERİ'!C426:G2465,5,))</f>
        <v/>
      </c>
      <c r="G426" s="207"/>
      <c r="H426" s="210"/>
      <c r="I426" s="79"/>
      <c r="J426" s="210"/>
      <c r="K426" s="210"/>
      <c r="L426" s="210" t="str">
        <f t="shared" si="1"/>
        <v/>
      </c>
      <c r="M426" s="79"/>
      <c r="N426" s="207"/>
      <c r="O426" s="207"/>
      <c r="P426" s="207"/>
      <c r="Q426" s="207"/>
    </row>
    <row r="427" spans="1:17" ht="34.5" customHeight="1">
      <c r="A427" s="82"/>
      <c r="B427" s="205" t="str">
        <f t="shared" si="2"/>
        <v/>
      </c>
      <c r="C427" s="206" t="str">
        <f t="shared" si="3"/>
        <v/>
      </c>
      <c r="D427" s="207" t="str">
        <f t="shared" si="0"/>
        <v/>
      </c>
      <c r="E427" s="207"/>
      <c r="F427" s="205" t="str">
        <f>IF(E427="","",VLOOKUP(E427,'ARAMA LİSTELERİ'!C427:G2466,5,))</f>
        <v/>
      </c>
      <c r="G427" s="207"/>
      <c r="H427" s="210"/>
      <c r="I427" s="79"/>
      <c r="J427" s="210"/>
      <c r="K427" s="210"/>
      <c r="L427" s="210" t="str">
        <f t="shared" si="1"/>
        <v/>
      </c>
      <c r="M427" s="79"/>
      <c r="N427" s="207"/>
      <c r="O427" s="207"/>
      <c r="P427" s="207"/>
      <c r="Q427" s="207"/>
    </row>
    <row r="428" spans="1:17" ht="34.5" customHeight="1">
      <c r="A428" s="82"/>
      <c r="B428" s="205" t="str">
        <f t="shared" si="2"/>
        <v/>
      </c>
      <c r="C428" s="206" t="str">
        <f t="shared" si="3"/>
        <v/>
      </c>
      <c r="D428" s="207" t="str">
        <f t="shared" si="0"/>
        <v/>
      </c>
      <c r="E428" s="207"/>
      <c r="F428" s="205" t="str">
        <f>IF(E428="","",VLOOKUP(E428,'ARAMA LİSTELERİ'!C428:G2467,5,))</f>
        <v/>
      </c>
      <c r="G428" s="207"/>
      <c r="H428" s="210"/>
      <c r="I428" s="79"/>
      <c r="J428" s="210"/>
      <c r="K428" s="210"/>
      <c r="L428" s="210" t="str">
        <f t="shared" si="1"/>
        <v/>
      </c>
      <c r="M428" s="79"/>
      <c r="N428" s="207"/>
      <c r="O428" s="207"/>
      <c r="P428" s="207"/>
      <c r="Q428" s="207"/>
    </row>
    <row r="429" spans="1:17" ht="34.5" customHeight="1">
      <c r="A429" s="82"/>
      <c r="B429" s="205" t="str">
        <f t="shared" si="2"/>
        <v/>
      </c>
      <c r="C429" s="206" t="str">
        <f t="shared" si="3"/>
        <v/>
      </c>
      <c r="D429" s="207" t="str">
        <f t="shared" si="0"/>
        <v/>
      </c>
      <c r="E429" s="207"/>
      <c r="F429" s="205" t="str">
        <f>IF(E429="","",VLOOKUP(E429,'ARAMA LİSTELERİ'!C429:G2468,5,))</f>
        <v/>
      </c>
      <c r="G429" s="207"/>
      <c r="H429" s="210"/>
      <c r="I429" s="79"/>
      <c r="J429" s="210"/>
      <c r="K429" s="210"/>
      <c r="L429" s="210" t="str">
        <f t="shared" si="1"/>
        <v/>
      </c>
      <c r="M429" s="79"/>
      <c r="N429" s="207"/>
      <c r="O429" s="207"/>
      <c r="P429" s="207"/>
      <c r="Q429" s="207"/>
    </row>
    <row r="430" spans="1:17" ht="34.5" customHeight="1">
      <c r="A430" s="82"/>
      <c r="B430" s="205" t="str">
        <f t="shared" si="2"/>
        <v/>
      </c>
      <c r="C430" s="206" t="str">
        <f t="shared" si="3"/>
        <v/>
      </c>
      <c r="D430" s="207" t="str">
        <f t="shared" si="0"/>
        <v/>
      </c>
      <c r="E430" s="207"/>
      <c r="F430" s="205" t="str">
        <f>IF(E430="","",VLOOKUP(E430,'ARAMA LİSTELERİ'!C430:G2469,5,))</f>
        <v/>
      </c>
      <c r="G430" s="207"/>
      <c r="H430" s="210"/>
      <c r="I430" s="79"/>
      <c r="J430" s="210"/>
      <c r="K430" s="210"/>
      <c r="L430" s="210" t="str">
        <f t="shared" si="1"/>
        <v/>
      </c>
      <c r="M430" s="79"/>
      <c r="N430" s="207"/>
      <c r="O430" s="207"/>
      <c r="P430" s="207"/>
      <c r="Q430" s="207"/>
    </row>
    <row r="431" spans="1:17" ht="34.5" customHeight="1">
      <c r="A431" s="82"/>
      <c r="B431" s="205" t="str">
        <f t="shared" si="2"/>
        <v/>
      </c>
      <c r="C431" s="206" t="str">
        <f t="shared" si="3"/>
        <v/>
      </c>
      <c r="D431" s="207" t="str">
        <f t="shared" si="0"/>
        <v/>
      </c>
      <c r="E431" s="207"/>
      <c r="F431" s="205" t="str">
        <f>IF(E431="","",VLOOKUP(E431,'ARAMA LİSTELERİ'!C431:G2470,5,))</f>
        <v/>
      </c>
      <c r="G431" s="207"/>
      <c r="H431" s="210"/>
      <c r="I431" s="79"/>
      <c r="J431" s="210"/>
      <c r="K431" s="210"/>
      <c r="L431" s="210" t="str">
        <f t="shared" si="1"/>
        <v/>
      </c>
      <c r="M431" s="79"/>
      <c r="N431" s="207"/>
      <c r="O431" s="207"/>
      <c r="P431" s="207"/>
      <c r="Q431" s="207"/>
    </row>
    <row r="432" spans="1:17" ht="34.5" customHeight="1">
      <c r="A432" s="82"/>
      <c r="B432" s="205" t="str">
        <f t="shared" si="2"/>
        <v/>
      </c>
      <c r="C432" s="206" t="str">
        <f t="shared" si="3"/>
        <v/>
      </c>
      <c r="D432" s="207" t="str">
        <f t="shared" si="0"/>
        <v/>
      </c>
      <c r="E432" s="207"/>
      <c r="F432" s="205" t="str">
        <f>IF(E432="","",VLOOKUP(E432,'ARAMA LİSTELERİ'!C432:G2471,5,))</f>
        <v/>
      </c>
      <c r="G432" s="207"/>
      <c r="H432" s="210"/>
      <c r="I432" s="79"/>
      <c r="J432" s="210"/>
      <c r="K432" s="210"/>
      <c r="L432" s="210" t="str">
        <f t="shared" si="1"/>
        <v/>
      </c>
      <c r="M432" s="79"/>
      <c r="N432" s="207"/>
      <c r="O432" s="207"/>
      <c r="P432" s="207"/>
      <c r="Q432" s="207"/>
    </row>
    <row r="433" spans="1:17" ht="34.5" customHeight="1">
      <c r="A433" s="82"/>
      <c r="B433" s="205" t="str">
        <f t="shared" si="2"/>
        <v/>
      </c>
      <c r="C433" s="206" t="str">
        <f t="shared" si="3"/>
        <v/>
      </c>
      <c r="D433" s="207" t="str">
        <f t="shared" si="0"/>
        <v/>
      </c>
      <c r="E433" s="207"/>
      <c r="F433" s="205" t="str">
        <f>IF(E433="","",VLOOKUP(E433,'ARAMA LİSTELERİ'!C433:G2472,5,))</f>
        <v/>
      </c>
      <c r="G433" s="207"/>
      <c r="H433" s="210"/>
      <c r="I433" s="79"/>
      <c r="J433" s="210"/>
      <c r="K433" s="210"/>
      <c r="L433" s="210" t="str">
        <f t="shared" si="1"/>
        <v/>
      </c>
      <c r="M433" s="79"/>
      <c r="N433" s="207"/>
      <c r="O433" s="207"/>
      <c r="P433" s="207"/>
      <c r="Q433" s="207"/>
    </row>
    <row r="434" spans="1:17" ht="34.5" customHeight="1">
      <c r="A434" s="82"/>
      <c r="B434" s="205" t="str">
        <f t="shared" si="2"/>
        <v/>
      </c>
      <c r="C434" s="206" t="str">
        <f t="shared" si="3"/>
        <v/>
      </c>
      <c r="D434" s="207" t="str">
        <f t="shared" si="0"/>
        <v/>
      </c>
      <c r="E434" s="207"/>
      <c r="F434" s="205" t="str">
        <f>IF(E434="","",VLOOKUP(E434,'ARAMA LİSTELERİ'!C434:G2473,5,))</f>
        <v/>
      </c>
      <c r="G434" s="207"/>
      <c r="H434" s="210"/>
      <c r="I434" s="79"/>
      <c r="J434" s="210"/>
      <c r="K434" s="210"/>
      <c r="L434" s="210" t="str">
        <f t="shared" si="1"/>
        <v/>
      </c>
      <c r="M434" s="79"/>
      <c r="N434" s="207"/>
      <c r="O434" s="207"/>
      <c r="P434" s="207"/>
      <c r="Q434" s="207"/>
    </row>
    <row r="435" spans="1:17" ht="34.5" customHeight="1">
      <c r="A435" s="82"/>
      <c r="B435" s="205" t="str">
        <f t="shared" si="2"/>
        <v/>
      </c>
      <c r="C435" s="206" t="str">
        <f t="shared" si="3"/>
        <v/>
      </c>
      <c r="D435" s="207" t="str">
        <f t="shared" si="0"/>
        <v/>
      </c>
      <c r="E435" s="207"/>
      <c r="F435" s="205" t="str">
        <f>IF(E435="","",VLOOKUP(E435,'ARAMA LİSTELERİ'!C435:G2474,5,))</f>
        <v/>
      </c>
      <c r="G435" s="207"/>
      <c r="H435" s="210"/>
      <c r="I435" s="79"/>
      <c r="J435" s="210"/>
      <c r="K435" s="210"/>
      <c r="L435" s="210" t="str">
        <f t="shared" si="1"/>
        <v/>
      </c>
      <c r="M435" s="79"/>
      <c r="N435" s="207"/>
      <c r="O435" s="207"/>
      <c r="P435" s="207"/>
      <c r="Q435" s="207"/>
    </row>
    <row r="436" spans="1:17" ht="34.5" customHeight="1">
      <c r="A436" s="82"/>
      <c r="B436" s="205" t="str">
        <f t="shared" si="2"/>
        <v/>
      </c>
      <c r="C436" s="206" t="str">
        <f t="shared" si="3"/>
        <v/>
      </c>
      <c r="D436" s="207" t="str">
        <f t="shared" si="0"/>
        <v/>
      </c>
      <c r="E436" s="207"/>
      <c r="F436" s="205" t="str">
        <f>IF(E436="","",VLOOKUP(E436,'ARAMA LİSTELERİ'!C436:G2475,5,))</f>
        <v/>
      </c>
      <c r="G436" s="207"/>
      <c r="H436" s="210"/>
      <c r="I436" s="79"/>
      <c r="J436" s="210"/>
      <c r="K436" s="210"/>
      <c r="L436" s="210" t="str">
        <f t="shared" si="1"/>
        <v/>
      </c>
      <c r="M436" s="79"/>
      <c r="N436" s="207"/>
      <c r="O436" s="207"/>
      <c r="P436" s="207"/>
      <c r="Q436" s="207"/>
    </row>
    <row r="437" spans="1:17" ht="34.5" customHeight="1">
      <c r="A437" s="82"/>
      <c r="B437" s="205" t="str">
        <f t="shared" si="2"/>
        <v/>
      </c>
      <c r="C437" s="206" t="str">
        <f t="shared" si="3"/>
        <v/>
      </c>
      <c r="D437" s="207" t="str">
        <f t="shared" si="0"/>
        <v/>
      </c>
      <c r="E437" s="207"/>
      <c r="F437" s="205" t="str">
        <f>IF(E437="","",VLOOKUP(E437,'ARAMA LİSTELERİ'!C437:G2476,5,))</f>
        <v/>
      </c>
      <c r="G437" s="207"/>
      <c r="H437" s="210"/>
      <c r="I437" s="79"/>
      <c r="J437" s="210"/>
      <c r="K437" s="210"/>
      <c r="L437" s="210" t="str">
        <f t="shared" si="1"/>
        <v/>
      </c>
      <c r="M437" s="79"/>
      <c r="N437" s="207"/>
      <c r="O437" s="207"/>
      <c r="P437" s="207"/>
      <c r="Q437" s="207"/>
    </row>
    <row r="438" spans="1:17" ht="34.5" customHeight="1">
      <c r="A438" s="82"/>
      <c r="B438" s="205" t="str">
        <f t="shared" si="2"/>
        <v/>
      </c>
      <c r="C438" s="206" t="str">
        <f t="shared" si="3"/>
        <v/>
      </c>
      <c r="D438" s="207" t="str">
        <f t="shared" si="0"/>
        <v/>
      </c>
      <c r="E438" s="207"/>
      <c r="F438" s="205" t="str">
        <f>IF(E438="","",VLOOKUP(E438,'ARAMA LİSTELERİ'!C438:G2477,5,))</f>
        <v/>
      </c>
      <c r="G438" s="207"/>
      <c r="H438" s="210"/>
      <c r="I438" s="79"/>
      <c r="J438" s="210"/>
      <c r="K438" s="210"/>
      <c r="L438" s="210" t="str">
        <f t="shared" si="1"/>
        <v/>
      </c>
      <c r="M438" s="79"/>
      <c r="N438" s="207"/>
      <c r="O438" s="207"/>
      <c r="P438" s="207"/>
      <c r="Q438" s="207"/>
    </row>
    <row r="439" spans="1:17" ht="34.5" customHeight="1">
      <c r="A439" s="82"/>
      <c r="B439" s="205" t="str">
        <f t="shared" si="2"/>
        <v/>
      </c>
      <c r="C439" s="206" t="str">
        <f t="shared" si="3"/>
        <v/>
      </c>
      <c r="D439" s="207" t="str">
        <f t="shared" si="0"/>
        <v/>
      </c>
      <c r="E439" s="207"/>
      <c r="F439" s="205" t="str">
        <f>IF(E439="","",VLOOKUP(E439,'ARAMA LİSTELERİ'!C439:G2478,5,))</f>
        <v/>
      </c>
      <c r="G439" s="207"/>
      <c r="H439" s="210"/>
      <c r="I439" s="79"/>
      <c r="J439" s="210"/>
      <c r="K439" s="210"/>
      <c r="L439" s="210" t="str">
        <f t="shared" si="1"/>
        <v/>
      </c>
      <c r="M439" s="79"/>
      <c r="N439" s="207"/>
      <c r="O439" s="207"/>
      <c r="P439" s="207"/>
      <c r="Q439" s="207"/>
    </row>
    <row r="440" spans="1:17" ht="34.5" customHeight="1">
      <c r="A440" s="82"/>
      <c r="B440" s="205" t="str">
        <f t="shared" si="2"/>
        <v/>
      </c>
      <c r="C440" s="206" t="str">
        <f t="shared" si="3"/>
        <v/>
      </c>
      <c r="D440" s="207" t="str">
        <f t="shared" si="0"/>
        <v/>
      </c>
      <c r="E440" s="207"/>
      <c r="F440" s="205" t="str">
        <f>IF(E440="","",VLOOKUP(E440,'ARAMA LİSTELERİ'!C440:G2479,5,))</f>
        <v/>
      </c>
      <c r="G440" s="207"/>
      <c r="H440" s="210"/>
      <c r="I440" s="79"/>
      <c r="J440" s="210"/>
      <c r="K440" s="210"/>
      <c r="L440" s="210" t="str">
        <f t="shared" si="1"/>
        <v/>
      </c>
      <c r="M440" s="79"/>
      <c r="N440" s="207"/>
      <c r="O440" s="207"/>
      <c r="P440" s="207"/>
      <c r="Q440" s="207"/>
    </row>
    <row r="441" spans="1:17" ht="34.5" customHeight="1">
      <c r="A441" s="82"/>
      <c r="B441" s="205" t="str">
        <f t="shared" si="2"/>
        <v/>
      </c>
      <c r="C441" s="206" t="str">
        <f t="shared" si="3"/>
        <v/>
      </c>
      <c r="D441" s="207" t="str">
        <f t="shared" si="0"/>
        <v/>
      </c>
      <c r="E441" s="207"/>
      <c r="F441" s="205" t="str">
        <f>IF(E441="","",VLOOKUP(E441,'ARAMA LİSTELERİ'!C441:G2480,5,))</f>
        <v/>
      </c>
      <c r="G441" s="207"/>
      <c r="H441" s="210"/>
      <c r="I441" s="79"/>
      <c r="J441" s="210"/>
      <c r="K441" s="210"/>
      <c r="L441" s="210" t="str">
        <f t="shared" si="1"/>
        <v/>
      </c>
      <c r="M441" s="79"/>
      <c r="N441" s="207"/>
      <c r="O441" s="207"/>
      <c r="P441" s="207"/>
      <c r="Q441" s="207"/>
    </row>
    <row r="442" spans="1:17" ht="34.5" customHeight="1">
      <c r="A442" s="82"/>
      <c r="B442" s="205" t="str">
        <f t="shared" si="2"/>
        <v/>
      </c>
      <c r="C442" s="206" t="str">
        <f t="shared" si="3"/>
        <v/>
      </c>
      <c r="D442" s="207" t="str">
        <f t="shared" si="0"/>
        <v/>
      </c>
      <c r="E442" s="207"/>
      <c r="F442" s="205" t="str">
        <f>IF(E442="","",VLOOKUP(E442,'ARAMA LİSTELERİ'!C442:G2481,5,))</f>
        <v/>
      </c>
      <c r="G442" s="207"/>
      <c r="H442" s="210"/>
      <c r="I442" s="79"/>
      <c r="J442" s="210"/>
      <c r="K442" s="210"/>
      <c r="L442" s="210" t="str">
        <f t="shared" si="1"/>
        <v/>
      </c>
      <c r="M442" s="79"/>
      <c r="N442" s="207"/>
      <c r="O442" s="207"/>
      <c r="P442" s="207"/>
      <c r="Q442" s="207"/>
    </row>
    <row r="443" spans="1:17" ht="34.5" customHeight="1">
      <c r="A443" s="82"/>
      <c r="B443" s="205" t="str">
        <f t="shared" si="2"/>
        <v/>
      </c>
      <c r="C443" s="206" t="str">
        <f t="shared" si="3"/>
        <v/>
      </c>
      <c r="D443" s="207" t="str">
        <f t="shared" si="0"/>
        <v/>
      </c>
      <c r="E443" s="207"/>
      <c r="F443" s="205" t="str">
        <f>IF(E443="","",VLOOKUP(E443,'ARAMA LİSTELERİ'!C443:G2482,5,))</f>
        <v/>
      </c>
      <c r="G443" s="207"/>
      <c r="H443" s="210"/>
      <c r="I443" s="79"/>
      <c r="J443" s="210"/>
      <c r="K443" s="210"/>
      <c r="L443" s="210" t="str">
        <f t="shared" si="1"/>
        <v/>
      </c>
      <c r="M443" s="79"/>
      <c r="N443" s="207"/>
      <c r="O443" s="207"/>
      <c r="P443" s="207"/>
      <c r="Q443" s="207"/>
    </row>
    <row r="444" spans="1:17" ht="34.5" customHeight="1">
      <c r="A444" s="82"/>
      <c r="B444" s="205" t="str">
        <f t="shared" si="2"/>
        <v/>
      </c>
      <c r="C444" s="206" t="str">
        <f t="shared" si="3"/>
        <v/>
      </c>
      <c r="D444" s="207" t="str">
        <f t="shared" si="0"/>
        <v/>
      </c>
      <c r="E444" s="207"/>
      <c r="F444" s="205" t="str">
        <f>IF(E444="","",VLOOKUP(E444,'ARAMA LİSTELERİ'!C444:G2483,5,))</f>
        <v/>
      </c>
      <c r="G444" s="207"/>
      <c r="H444" s="210"/>
      <c r="I444" s="79"/>
      <c r="J444" s="210"/>
      <c r="K444" s="210"/>
      <c r="L444" s="210" t="str">
        <f t="shared" si="1"/>
        <v/>
      </c>
      <c r="M444" s="79"/>
      <c r="N444" s="207"/>
      <c r="O444" s="207"/>
      <c r="P444" s="207"/>
      <c r="Q444" s="207"/>
    </row>
    <row r="445" spans="1:17" ht="34.5" customHeight="1">
      <c r="A445" s="82"/>
      <c r="B445" s="205" t="str">
        <f t="shared" si="2"/>
        <v/>
      </c>
      <c r="C445" s="206" t="str">
        <f t="shared" si="3"/>
        <v/>
      </c>
      <c r="D445" s="207" t="str">
        <f t="shared" si="0"/>
        <v/>
      </c>
      <c r="E445" s="207"/>
      <c r="F445" s="205" t="str">
        <f>IF(E445="","",VLOOKUP(E445,'ARAMA LİSTELERİ'!C445:G2484,5,))</f>
        <v/>
      </c>
      <c r="G445" s="207"/>
      <c r="H445" s="210"/>
      <c r="I445" s="79"/>
      <c r="J445" s="210"/>
      <c r="K445" s="210"/>
      <c r="L445" s="210" t="str">
        <f t="shared" si="1"/>
        <v/>
      </c>
      <c r="M445" s="79"/>
      <c r="N445" s="207"/>
      <c r="O445" s="207"/>
      <c r="P445" s="207"/>
      <c r="Q445" s="207"/>
    </row>
    <row r="446" spans="1:17" ht="34.5" customHeight="1">
      <c r="A446" s="82"/>
      <c r="B446" s="205" t="str">
        <f t="shared" si="2"/>
        <v/>
      </c>
      <c r="C446" s="206" t="str">
        <f t="shared" si="3"/>
        <v/>
      </c>
      <c r="D446" s="207" t="str">
        <f t="shared" si="0"/>
        <v/>
      </c>
      <c r="E446" s="207"/>
      <c r="F446" s="205" t="str">
        <f>IF(E446="","",VLOOKUP(E446,'ARAMA LİSTELERİ'!C446:G2485,5,))</f>
        <v/>
      </c>
      <c r="G446" s="207"/>
      <c r="H446" s="210"/>
      <c r="I446" s="79"/>
      <c r="J446" s="210"/>
      <c r="K446" s="210"/>
      <c r="L446" s="210" t="str">
        <f t="shared" si="1"/>
        <v/>
      </c>
      <c r="M446" s="79"/>
      <c r="N446" s="207"/>
      <c r="O446" s="207"/>
      <c r="P446" s="207"/>
      <c r="Q446" s="207"/>
    </row>
    <row r="447" spans="1:17" ht="34.5" customHeight="1">
      <c r="A447" s="82"/>
      <c r="B447" s="205" t="str">
        <f t="shared" si="2"/>
        <v/>
      </c>
      <c r="C447" s="206" t="str">
        <f t="shared" si="3"/>
        <v/>
      </c>
      <c r="D447" s="207" t="str">
        <f t="shared" si="0"/>
        <v/>
      </c>
      <c r="E447" s="207"/>
      <c r="F447" s="205" t="str">
        <f>IF(E447="","",VLOOKUP(E447,'ARAMA LİSTELERİ'!C447:G2486,5,))</f>
        <v/>
      </c>
      <c r="G447" s="207"/>
      <c r="H447" s="210"/>
      <c r="I447" s="79"/>
      <c r="J447" s="210"/>
      <c r="K447" s="210"/>
      <c r="L447" s="210" t="str">
        <f t="shared" si="1"/>
        <v/>
      </c>
      <c r="M447" s="79"/>
      <c r="N447" s="207"/>
      <c r="O447" s="207"/>
      <c r="P447" s="207"/>
      <c r="Q447" s="207"/>
    </row>
    <row r="448" spans="1:17" ht="34.5" customHeight="1">
      <c r="A448" s="82"/>
      <c r="B448" s="205" t="str">
        <f t="shared" si="2"/>
        <v/>
      </c>
      <c r="C448" s="206" t="str">
        <f t="shared" si="3"/>
        <v/>
      </c>
      <c r="D448" s="207" t="str">
        <f t="shared" si="0"/>
        <v/>
      </c>
      <c r="E448" s="207"/>
      <c r="F448" s="205" t="str">
        <f>IF(E448="","",VLOOKUP(E448,'ARAMA LİSTELERİ'!C448:G2487,5,))</f>
        <v/>
      </c>
      <c r="G448" s="207"/>
      <c r="H448" s="210"/>
      <c r="I448" s="79"/>
      <c r="J448" s="210"/>
      <c r="K448" s="210"/>
      <c r="L448" s="210" t="str">
        <f t="shared" si="1"/>
        <v/>
      </c>
      <c r="M448" s="79"/>
      <c r="N448" s="207"/>
      <c r="O448" s="207"/>
      <c r="P448" s="207"/>
      <c r="Q448" s="207"/>
    </row>
    <row r="449" spans="1:17" ht="34.5" customHeight="1">
      <c r="A449" s="82"/>
      <c r="B449" s="205" t="str">
        <f t="shared" si="2"/>
        <v/>
      </c>
      <c r="C449" s="206" t="str">
        <f t="shared" si="3"/>
        <v/>
      </c>
      <c r="D449" s="207" t="str">
        <f t="shared" si="0"/>
        <v/>
      </c>
      <c r="E449" s="207"/>
      <c r="F449" s="205" t="str">
        <f>IF(E449="","",VLOOKUP(E449,'ARAMA LİSTELERİ'!C449:G2488,5,))</f>
        <v/>
      </c>
      <c r="G449" s="207"/>
      <c r="H449" s="210"/>
      <c r="I449" s="79"/>
      <c r="J449" s="210"/>
      <c r="K449" s="210"/>
      <c r="L449" s="210" t="str">
        <f t="shared" si="1"/>
        <v/>
      </c>
      <c r="M449" s="79"/>
      <c r="N449" s="207"/>
      <c r="O449" s="207"/>
      <c r="P449" s="207"/>
      <c r="Q449" s="207"/>
    </row>
    <row r="450" spans="1:17" ht="34.5" customHeight="1">
      <c r="A450" s="82"/>
      <c r="B450" s="205" t="str">
        <f t="shared" si="2"/>
        <v/>
      </c>
      <c r="C450" s="206" t="str">
        <f t="shared" si="3"/>
        <v/>
      </c>
      <c r="D450" s="207" t="str">
        <f t="shared" si="0"/>
        <v/>
      </c>
      <c r="E450" s="207"/>
      <c r="F450" s="205" t="str">
        <f>IF(E450="","",VLOOKUP(E450,'ARAMA LİSTELERİ'!C450:G2489,5,))</f>
        <v/>
      </c>
      <c r="G450" s="207"/>
      <c r="H450" s="210"/>
      <c r="I450" s="79"/>
      <c r="J450" s="210"/>
      <c r="K450" s="210"/>
      <c r="L450" s="210" t="str">
        <f t="shared" si="1"/>
        <v/>
      </c>
      <c r="M450" s="79"/>
      <c r="N450" s="207"/>
      <c r="O450" s="207"/>
      <c r="P450" s="207"/>
      <c r="Q450" s="207"/>
    </row>
    <row r="451" spans="1:17" ht="34.5" customHeight="1">
      <c r="A451" s="82"/>
      <c r="B451" s="205" t="str">
        <f t="shared" si="2"/>
        <v/>
      </c>
      <c r="C451" s="206" t="str">
        <f t="shared" si="3"/>
        <v/>
      </c>
      <c r="D451" s="207" t="str">
        <f t="shared" si="0"/>
        <v/>
      </c>
      <c r="E451" s="207"/>
      <c r="F451" s="205" t="str">
        <f>IF(E451="","",VLOOKUP(E451,'ARAMA LİSTELERİ'!C451:G2490,5,))</f>
        <v/>
      </c>
      <c r="G451" s="207"/>
      <c r="H451" s="210"/>
      <c r="I451" s="79"/>
      <c r="J451" s="210"/>
      <c r="K451" s="210"/>
      <c r="L451" s="210" t="str">
        <f t="shared" si="1"/>
        <v/>
      </c>
      <c r="M451" s="79"/>
      <c r="N451" s="207"/>
      <c r="O451" s="207"/>
      <c r="P451" s="207"/>
      <c r="Q451" s="207"/>
    </row>
    <row r="452" spans="1:17" ht="34.5" customHeight="1">
      <c r="A452" s="82"/>
      <c r="B452" s="205" t="str">
        <f t="shared" si="2"/>
        <v/>
      </c>
      <c r="C452" s="206" t="str">
        <f t="shared" si="3"/>
        <v/>
      </c>
      <c r="D452" s="207" t="str">
        <f t="shared" si="0"/>
        <v/>
      </c>
      <c r="E452" s="207"/>
      <c r="F452" s="205" t="str">
        <f>IF(E452="","",VLOOKUP(E452,'ARAMA LİSTELERİ'!C452:G2491,5,))</f>
        <v/>
      </c>
      <c r="G452" s="207"/>
      <c r="H452" s="210"/>
      <c r="I452" s="79"/>
      <c r="J452" s="210"/>
      <c r="K452" s="210"/>
      <c r="L452" s="210" t="str">
        <f t="shared" si="1"/>
        <v/>
      </c>
      <c r="M452" s="79"/>
      <c r="N452" s="207"/>
      <c r="O452" s="207"/>
      <c r="P452" s="207"/>
      <c r="Q452" s="207"/>
    </row>
    <row r="453" spans="1:17" ht="34.5" customHeight="1">
      <c r="A453" s="82"/>
      <c r="B453" s="205" t="str">
        <f t="shared" si="2"/>
        <v/>
      </c>
      <c r="C453" s="206" t="str">
        <f t="shared" si="3"/>
        <v/>
      </c>
      <c r="D453" s="207" t="str">
        <f t="shared" si="0"/>
        <v/>
      </c>
      <c r="E453" s="207"/>
      <c r="F453" s="205" t="str">
        <f>IF(E453="","",VLOOKUP(E453,'ARAMA LİSTELERİ'!C453:G2492,5,))</f>
        <v/>
      </c>
      <c r="G453" s="207"/>
      <c r="H453" s="210"/>
      <c r="I453" s="79"/>
      <c r="J453" s="210"/>
      <c r="K453" s="210"/>
      <c r="L453" s="210" t="str">
        <f t="shared" si="1"/>
        <v/>
      </c>
      <c r="M453" s="79"/>
      <c r="N453" s="207"/>
      <c r="O453" s="207"/>
      <c r="P453" s="207"/>
      <c r="Q453" s="207"/>
    </row>
    <row r="454" spans="1:17" ht="34.5" customHeight="1">
      <c r="A454" s="82"/>
      <c r="B454" s="205" t="str">
        <f t="shared" si="2"/>
        <v/>
      </c>
      <c r="C454" s="206" t="str">
        <f t="shared" si="3"/>
        <v/>
      </c>
      <c r="D454" s="207" t="str">
        <f t="shared" si="0"/>
        <v/>
      </c>
      <c r="E454" s="207"/>
      <c r="F454" s="205" t="str">
        <f>IF(E454="","",VLOOKUP(E454,'ARAMA LİSTELERİ'!C454:G2493,5,))</f>
        <v/>
      </c>
      <c r="G454" s="207"/>
      <c r="H454" s="210"/>
      <c r="I454" s="79"/>
      <c r="J454" s="210"/>
      <c r="K454" s="210"/>
      <c r="L454" s="210" t="str">
        <f t="shared" si="1"/>
        <v/>
      </c>
      <c r="M454" s="79"/>
      <c r="N454" s="207"/>
      <c r="O454" s="207"/>
      <c r="P454" s="207"/>
      <c r="Q454" s="207"/>
    </row>
    <row r="455" spans="1:17" ht="34.5" customHeight="1">
      <c r="A455" s="82"/>
      <c r="B455" s="205" t="str">
        <f t="shared" si="2"/>
        <v/>
      </c>
      <c r="C455" s="206" t="str">
        <f t="shared" si="3"/>
        <v/>
      </c>
      <c r="D455" s="207" t="str">
        <f t="shared" si="0"/>
        <v/>
      </c>
      <c r="E455" s="207"/>
      <c r="F455" s="205" t="str">
        <f>IF(E455="","",VLOOKUP(E455,'ARAMA LİSTELERİ'!C455:G2494,5,))</f>
        <v/>
      </c>
      <c r="G455" s="207"/>
      <c r="H455" s="210"/>
      <c r="I455" s="79"/>
      <c r="J455" s="210"/>
      <c r="K455" s="210"/>
      <c r="L455" s="210" t="str">
        <f t="shared" si="1"/>
        <v/>
      </c>
      <c r="M455" s="79"/>
      <c r="N455" s="207"/>
      <c r="O455" s="207"/>
      <c r="P455" s="207"/>
      <c r="Q455" s="207"/>
    </row>
    <row r="456" spans="1:17" ht="34.5" customHeight="1">
      <c r="A456" s="82"/>
      <c r="B456" s="205" t="str">
        <f t="shared" si="2"/>
        <v/>
      </c>
      <c r="C456" s="206" t="str">
        <f t="shared" si="3"/>
        <v/>
      </c>
      <c r="D456" s="207" t="str">
        <f t="shared" si="0"/>
        <v/>
      </c>
      <c r="E456" s="207"/>
      <c r="F456" s="205" t="str">
        <f>IF(E456="","",VLOOKUP(E456,'ARAMA LİSTELERİ'!C456:G2495,5,))</f>
        <v/>
      </c>
      <c r="G456" s="207"/>
      <c r="H456" s="210"/>
      <c r="I456" s="79"/>
      <c r="J456" s="210"/>
      <c r="K456" s="210"/>
      <c r="L456" s="210" t="str">
        <f t="shared" si="1"/>
        <v/>
      </c>
      <c r="M456" s="79"/>
      <c r="N456" s="207"/>
      <c r="O456" s="207"/>
      <c r="P456" s="207"/>
      <c r="Q456" s="207"/>
    </row>
    <row r="457" spans="1:17" ht="34.5" customHeight="1">
      <c r="A457" s="82"/>
      <c r="B457" s="205" t="str">
        <f t="shared" si="2"/>
        <v/>
      </c>
      <c r="C457" s="206" t="str">
        <f t="shared" si="3"/>
        <v/>
      </c>
      <c r="D457" s="207" t="str">
        <f t="shared" si="0"/>
        <v/>
      </c>
      <c r="E457" s="207"/>
      <c r="F457" s="205" t="str">
        <f>IF(E457="","",VLOOKUP(E457,'ARAMA LİSTELERİ'!C457:G2496,5,))</f>
        <v/>
      </c>
      <c r="G457" s="207"/>
      <c r="H457" s="210"/>
      <c r="I457" s="79"/>
      <c r="J457" s="210"/>
      <c r="K457" s="210"/>
      <c r="L457" s="210" t="str">
        <f t="shared" si="1"/>
        <v/>
      </c>
      <c r="M457" s="79"/>
      <c r="N457" s="207"/>
      <c r="O457" s="207"/>
      <c r="P457" s="207"/>
      <c r="Q457" s="207"/>
    </row>
    <row r="458" spans="1:17" ht="34.5" customHeight="1">
      <c r="A458" s="82"/>
      <c r="B458" s="205" t="str">
        <f t="shared" si="2"/>
        <v/>
      </c>
      <c r="C458" s="206" t="str">
        <f t="shared" si="3"/>
        <v/>
      </c>
      <c r="D458" s="207" t="str">
        <f t="shared" si="0"/>
        <v/>
      </c>
      <c r="E458" s="207"/>
      <c r="F458" s="205" t="str">
        <f>IF(E458="","",VLOOKUP(E458,'ARAMA LİSTELERİ'!C458:G2497,5,))</f>
        <v/>
      </c>
      <c r="G458" s="207"/>
      <c r="H458" s="210"/>
      <c r="I458" s="79"/>
      <c r="J458" s="210"/>
      <c r="K458" s="210"/>
      <c r="L458" s="210" t="str">
        <f t="shared" si="1"/>
        <v/>
      </c>
      <c r="M458" s="79"/>
      <c r="N458" s="207"/>
      <c r="O458" s="207"/>
      <c r="P458" s="207"/>
      <c r="Q458" s="207"/>
    </row>
    <row r="459" spans="1:17" ht="34.5" customHeight="1">
      <c r="A459" s="82"/>
      <c r="B459" s="205" t="str">
        <f t="shared" si="2"/>
        <v/>
      </c>
      <c r="C459" s="206" t="str">
        <f t="shared" si="3"/>
        <v/>
      </c>
      <c r="D459" s="207" t="str">
        <f t="shared" si="0"/>
        <v/>
      </c>
      <c r="E459" s="207"/>
      <c r="F459" s="205" t="str">
        <f>IF(E459="","",VLOOKUP(E459,'ARAMA LİSTELERİ'!C459:G2498,5,))</f>
        <v/>
      </c>
      <c r="G459" s="207"/>
      <c r="H459" s="210"/>
      <c r="I459" s="79"/>
      <c r="J459" s="210"/>
      <c r="K459" s="210"/>
      <c r="L459" s="210" t="str">
        <f t="shared" si="1"/>
        <v/>
      </c>
      <c r="M459" s="79"/>
      <c r="N459" s="207"/>
      <c r="O459" s="207"/>
      <c r="P459" s="207"/>
      <c r="Q459" s="207"/>
    </row>
    <row r="460" spans="1:17" ht="34.5" customHeight="1">
      <c r="A460" s="82"/>
      <c r="B460" s="205" t="str">
        <f t="shared" si="2"/>
        <v/>
      </c>
      <c r="C460" s="206" t="str">
        <f t="shared" si="3"/>
        <v/>
      </c>
      <c r="D460" s="207" t="str">
        <f t="shared" si="0"/>
        <v/>
      </c>
      <c r="E460" s="207"/>
      <c r="F460" s="205" t="str">
        <f>IF(E460="","",VLOOKUP(E460,'ARAMA LİSTELERİ'!C460:G2499,5,))</f>
        <v/>
      </c>
      <c r="G460" s="207"/>
      <c r="H460" s="210"/>
      <c r="I460" s="79"/>
      <c r="J460" s="210"/>
      <c r="K460" s="210"/>
      <c r="L460" s="210" t="str">
        <f t="shared" si="1"/>
        <v/>
      </c>
      <c r="M460" s="79"/>
      <c r="N460" s="207"/>
      <c r="O460" s="207"/>
      <c r="P460" s="207"/>
      <c r="Q460" s="207"/>
    </row>
    <row r="461" spans="1:17" ht="34.5" customHeight="1">
      <c r="A461" s="82"/>
      <c r="B461" s="205" t="str">
        <f t="shared" si="2"/>
        <v/>
      </c>
      <c r="C461" s="206" t="str">
        <f t="shared" si="3"/>
        <v/>
      </c>
      <c r="D461" s="207" t="str">
        <f t="shared" si="0"/>
        <v/>
      </c>
      <c r="E461" s="207"/>
      <c r="F461" s="205" t="str">
        <f>IF(E461="","",VLOOKUP(E461,'ARAMA LİSTELERİ'!C461:G2500,5,))</f>
        <v/>
      </c>
      <c r="G461" s="207"/>
      <c r="H461" s="210"/>
      <c r="I461" s="79"/>
      <c r="J461" s="210"/>
      <c r="K461" s="210"/>
      <c r="L461" s="210" t="str">
        <f t="shared" si="1"/>
        <v/>
      </c>
      <c r="M461" s="79"/>
      <c r="N461" s="207"/>
      <c r="O461" s="207"/>
      <c r="P461" s="207"/>
      <c r="Q461" s="207"/>
    </row>
    <row r="462" spans="1:17" ht="34.5" customHeight="1">
      <c r="A462" s="82"/>
      <c r="B462" s="205" t="str">
        <f t="shared" si="2"/>
        <v/>
      </c>
      <c r="C462" s="206" t="str">
        <f t="shared" si="3"/>
        <v/>
      </c>
      <c r="D462" s="207" t="str">
        <f t="shared" si="0"/>
        <v/>
      </c>
      <c r="E462" s="207"/>
      <c r="F462" s="205" t="str">
        <f>IF(E462="","",VLOOKUP(E462,'ARAMA LİSTELERİ'!C462:G2501,5,))</f>
        <v/>
      </c>
      <c r="G462" s="207"/>
      <c r="H462" s="210"/>
      <c r="I462" s="79"/>
      <c r="J462" s="210"/>
      <c r="K462" s="210"/>
      <c r="L462" s="210" t="str">
        <f t="shared" si="1"/>
        <v/>
      </c>
      <c r="M462" s="79"/>
      <c r="N462" s="207"/>
      <c r="O462" s="207"/>
      <c r="P462" s="207"/>
      <c r="Q462" s="207"/>
    </row>
    <row r="463" spans="1:17" ht="34.5" customHeight="1">
      <c r="A463" s="82"/>
      <c r="B463" s="205" t="str">
        <f t="shared" si="2"/>
        <v/>
      </c>
      <c r="C463" s="206" t="str">
        <f t="shared" si="3"/>
        <v/>
      </c>
      <c r="D463" s="207" t="str">
        <f t="shared" si="0"/>
        <v/>
      </c>
      <c r="E463" s="207"/>
      <c r="F463" s="205" t="str">
        <f>IF(E463="","",VLOOKUP(E463,'ARAMA LİSTELERİ'!C463:G2502,5,))</f>
        <v/>
      </c>
      <c r="G463" s="207"/>
      <c r="H463" s="210"/>
      <c r="I463" s="79"/>
      <c r="J463" s="210"/>
      <c r="K463" s="210"/>
      <c r="L463" s="210" t="str">
        <f t="shared" si="1"/>
        <v/>
      </c>
      <c r="M463" s="79"/>
      <c r="N463" s="207"/>
      <c r="O463" s="207"/>
      <c r="P463" s="207"/>
      <c r="Q463" s="207"/>
    </row>
    <row r="464" spans="1:17" ht="34.5" customHeight="1">
      <c r="A464" s="82"/>
      <c r="B464" s="205" t="str">
        <f t="shared" si="2"/>
        <v/>
      </c>
      <c r="C464" s="206" t="str">
        <f t="shared" si="3"/>
        <v/>
      </c>
      <c r="D464" s="207" t="str">
        <f t="shared" si="0"/>
        <v/>
      </c>
      <c r="E464" s="207"/>
      <c r="F464" s="205" t="str">
        <f>IF(E464="","",VLOOKUP(E464,'ARAMA LİSTELERİ'!C464:G2503,5,))</f>
        <v/>
      </c>
      <c r="G464" s="207"/>
      <c r="H464" s="210"/>
      <c r="I464" s="79"/>
      <c r="J464" s="210"/>
      <c r="K464" s="210"/>
      <c r="L464" s="210" t="str">
        <f t="shared" si="1"/>
        <v/>
      </c>
      <c r="M464" s="79"/>
      <c r="N464" s="207"/>
      <c r="O464" s="207"/>
      <c r="P464" s="207"/>
      <c r="Q464" s="207"/>
    </row>
    <row r="465" spans="1:17" ht="34.5" customHeight="1">
      <c r="A465" s="82"/>
      <c r="B465" s="205" t="str">
        <f t="shared" si="2"/>
        <v/>
      </c>
      <c r="C465" s="206" t="str">
        <f t="shared" si="3"/>
        <v/>
      </c>
      <c r="D465" s="207" t="str">
        <f t="shared" si="0"/>
        <v/>
      </c>
      <c r="E465" s="207"/>
      <c r="F465" s="205" t="str">
        <f>IF(E465="","",VLOOKUP(E465,'ARAMA LİSTELERİ'!C465:G2504,5,))</f>
        <v/>
      </c>
      <c r="G465" s="207"/>
      <c r="H465" s="210"/>
      <c r="I465" s="79"/>
      <c r="J465" s="210"/>
      <c r="K465" s="210"/>
      <c r="L465" s="210" t="str">
        <f t="shared" si="1"/>
        <v/>
      </c>
      <c r="M465" s="79"/>
      <c r="N465" s="207"/>
      <c r="O465" s="207"/>
      <c r="P465" s="207"/>
      <c r="Q465" s="207"/>
    </row>
    <row r="466" spans="1:17" ht="34.5" customHeight="1">
      <c r="A466" s="82"/>
      <c r="B466" s="205" t="str">
        <f t="shared" si="2"/>
        <v/>
      </c>
      <c r="C466" s="206" t="str">
        <f t="shared" si="3"/>
        <v/>
      </c>
      <c r="D466" s="207" t="str">
        <f t="shared" si="0"/>
        <v/>
      </c>
      <c r="E466" s="207"/>
      <c r="F466" s="205" t="str">
        <f>IF(E466="","",VLOOKUP(E466,'ARAMA LİSTELERİ'!C466:G2505,5,))</f>
        <v/>
      </c>
      <c r="G466" s="207"/>
      <c r="H466" s="210"/>
      <c r="I466" s="79"/>
      <c r="J466" s="210"/>
      <c r="K466" s="210"/>
      <c r="L466" s="210" t="str">
        <f t="shared" si="1"/>
        <v/>
      </c>
      <c r="M466" s="79"/>
      <c r="N466" s="207"/>
      <c r="O466" s="207"/>
      <c r="P466" s="207"/>
      <c r="Q466" s="207"/>
    </row>
    <row r="467" spans="1:17" ht="34.5" customHeight="1">
      <c r="A467" s="82"/>
      <c r="B467" s="205" t="str">
        <f t="shared" si="2"/>
        <v/>
      </c>
      <c r="C467" s="206" t="str">
        <f t="shared" si="3"/>
        <v/>
      </c>
      <c r="D467" s="207" t="str">
        <f t="shared" si="0"/>
        <v/>
      </c>
      <c r="E467" s="207"/>
      <c r="F467" s="205" t="str">
        <f>IF(E467="","",VLOOKUP(E467,'ARAMA LİSTELERİ'!C467:G2506,5,))</f>
        <v/>
      </c>
      <c r="G467" s="207"/>
      <c r="H467" s="210"/>
      <c r="I467" s="79"/>
      <c r="J467" s="210"/>
      <c r="K467" s="210"/>
      <c r="L467" s="210" t="str">
        <f t="shared" si="1"/>
        <v/>
      </c>
      <c r="M467" s="79"/>
      <c r="N467" s="207"/>
      <c r="O467" s="207"/>
      <c r="P467" s="207"/>
      <c r="Q467" s="207"/>
    </row>
    <row r="468" spans="1:17" ht="34.5" customHeight="1">
      <c r="A468" s="82"/>
      <c r="B468" s="205" t="str">
        <f t="shared" si="2"/>
        <v/>
      </c>
      <c r="C468" s="206" t="str">
        <f t="shared" si="3"/>
        <v/>
      </c>
      <c r="D468" s="207" t="str">
        <f t="shared" si="0"/>
        <v/>
      </c>
      <c r="E468" s="207"/>
      <c r="F468" s="205" t="str">
        <f>IF(E468="","",VLOOKUP(E468,'ARAMA LİSTELERİ'!C468:G2507,5,))</f>
        <v/>
      </c>
      <c r="G468" s="207"/>
      <c r="H468" s="210"/>
      <c r="I468" s="79"/>
      <c r="J468" s="210"/>
      <c r="K468" s="210"/>
      <c r="L468" s="210" t="str">
        <f t="shared" si="1"/>
        <v/>
      </c>
      <c r="M468" s="79"/>
      <c r="N468" s="207"/>
      <c r="O468" s="207"/>
      <c r="P468" s="207"/>
      <c r="Q468" s="207"/>
    </row>
    <row r="469" spans="1:17" ht="34.5" customHeight="1">
      <c r="A469" s="82"/>
      <c r="B469" s="205" t="str">
        <f t="shared" si="2"/>
        <v/>
      </c>
      <c r="C469" s="206" t="str">
        <f t="shared" si="3"/>
        <v/>
      </c>
      <c r="D469" s="207" t="str">
        <f t="shared" si="0"/>
        <v/>
      </c>
      <c r="E469" s="207"/>
      <c r="F469" s="205" t="str">
        <f>IF(E469="","",VLOOKUP(E469,'ARAMA LİSTELERİ'!C469:G2508,5,))</f>
        <v/>
      </c>
      <c r="G469" s="207"/>
      <c r="H469" s="210"/>
      <c r="I469" s="79"/>
      <c r="J469" s="210"/>
      <c r="K469" s="210"/>
      <c r="L469" s="210" t="str">
        <f t="shared" si="1"/>
        <v/>
      </c>
      <c r="M469" s="79"/>
      <c r="N469" s="207"/>
      <c r="O469" s="207"/>
      <c r="P469" s="207"/>
      <c r="Q469" s="207"/>
    </row>
    <row r="470" spans="1:17" ht="34.5" customHeight="1">
      <c r="A470" s="82"/>
      <c r="B470" s="205" t="str">
        <f t="shared" si="2"/>
        <v/>
      </c>
      <c r="C470" s="206" t="str">
        <f t="shared" si="3"/>
        <v/>
      </c>
      <c r="D470" s="207" t="str">
        <f t="shared" si="0"/>
        <v/>
      </c>
      <c r="E470" s="207"/>
      <c r="F470" s="205" t="str">
        <f>IF(E470="","",VLOOKUP(E470,'ARAMA LİSTELERİ'!C470:G2509,5,))</f>
        <v/>
      </c>
      <c r="G470" s="207"/>
      <c r="H470" s="210"/>
      <c r="I470" s="79"/>
      <c r="J470" s="210"/>
      <c r="K470" s="210"/>
      <c r="L470" s="210" t="str">
        <f t="shared" si="1"/>
        <v/>
      </c>
      <c r="M470" s="79"/>
      <c r="N470" s="207"/>
      <c r="O470" s="207"/>
      <c r="P470" s="207"/>
      <c r="Q470" s="207"/>
    </row>
    <row r="471" spans="1:17" ht="34.5" customHeight="1">
      <c r="A471" s="82"/>
      <c r="B471" s="205" t="str">
        <f t="shared" si="2"/>
        <v/>
      </c>
      <c r="C471" s="206" t="str">
        <f t="shared" si="3"/>
        <v/>
      </c>
      <c r="D471" s="207" t="str">
        <f t="shared" si="0"/>
        <v/>
      </c>
      <c r="E471" s="207"/>
      <c r="F471" s="205" t="str">
        <f>IF(E471="","",VLOOKUP(E471,'ARAMA LİSTELERİ'!C471:G2510,5,))</f>
        <v/>
      </c>
      <c r="G471" s="207"/>
      <c r="H471" s="210"/>
      <c r="I471" s="79"/>
      <c r="J471" s="210"/>
      <c r="K471" s="210"/>
      <c r="L471" s="210" t="str">
        <f t="shared" si="1"/>
        <v/>
      </c>
      <c r="M471" s="79"/>
      <c r="N471" s="207"/>
      <c r="O471" s="207"/>
      <c r="P471" s="207"/>
      <c r="Q471" s="207"/>
    </row>
    <row r="472" spans="1:17" ht="34.5" customHeight="1">
      <c r="A472" s="82"/>
      <c r="B472" s="205" t="str">
        <f t="shared" si="2"/>
        <v/>
      </c>
      <c r="C472" s="206" t="str">
        <f t="shared" si="3"/>
        <v/>
      </c>
      <c r="D472" s="207" t="str">
        <f t="shared" si="0"/>
        <v/>
      </c>
      <c r="E472" s="207"/>
      <c r="F472" s="205" t="str">
        <f>IF(E472="","",VLOOKUP(E472,'ARAMA LİSTELERİ'!C472:G2511,5,))</f>
        <v/>
      </c>
      <c r="G472" s="207"/>
      <c r="H472" s="210"/>
      <c r="I472" s="79"/>
      <c r="J472" s="210"/>
      <c r="K472" s="210"/>
      <c r="L472" s="210" t="str">
        <f t="shared" si="1"/>
        <v/>
      </c>
      <c r="M472" s="79"/>
      <c r="N472" s="207"/>
      <c r="O472" s="207"/>
      <c r="P472" s="207"/>
      <c r="Q472" s="207"/>
    </row>
    <row r="473" spans="1:17" ht="34.5" customHeight="1">
      <c r="A473" s="82"/>
      <c r="B473" s="205" t="str">
        <f t="shared" si="2"/>
        <v/>
      </c>
      <c r="C473" s="206" t="str">
        <f t="shared" si="3"/>
        <v/>
      </c>
      <c r="D473" s="207" t="str">
        <f t="shared" si="0"/>
        <v/>
      </c>
      <c r="E473" s="207"/>
      <c r="F473" s="205" t="str">
        <f>IF(E473="","",VLOOKUP(E473,'ARAMA LİSTELERİ'!C473:G2512,5,))</f>
        <v/>
      </c>
      <c r="G473" s="207"/>
      <c r="H473" s="210"/>
      <c r="I473" s="79"/>
      <c r="J473" s="210"/>
      <c r="K473" s="210"/>
      <c r="L473" s="210" t="str">
        <f t="shared" si="1"/>
        <v/>
      </c>
      <c r="M473" s="79"/>
      <c r="N473" s="207"/>
      <c r="O473" s="207"/>
      <c r="P473" s="207"/>
      <c r="Q473" s="207"/>
    </row>
    <row r="474" spans="1:17" ht="34.5" customHeight="1">
      <c r="A474" s="82"/>
      <c r="B474" s="205" t="str">
        <f t="shared" si="2"/>
        <v/>
      </c>
      <c r="C474" s="206" t="str">
        <f t="shared" si="3"/>
        <v/>
      </c>
      <c r="D474" s="207" t="str">
        <f t="shared" si="0"/>
        <v/>
      </c>
      <c r="E474" s="207"/>
      <c r="F474" s="205" t="str">
        <f>IF(E474="","",VLOOKUP(E474,'ARAMA LİSTELERİ'!C474:G2513,5,))</f>
        <v/>
      </c>
      <c r="G474" s="207"/>
      <c r="H474" s="210"/>
      <c r="I474" s="79"/>
      <c r="J474" s="210"/>
      <c r="K474" s="210"/>
      <c r="L474" s="210" t="str">
        <f t="shared" si="1"/>
        <v/>
      </c>
      <c r="M474" s="79"/>
      <c r="N474" s="207"/>
      <c r="O474" s="207"/>
      <c r="P474" s="207"/>
      <c r="Q474" s="207"/>
    </row>
    <row r="475" spans="1:17" ht="34.5" customHeight="1">
      <c r="A475" s="82"/>
      <c r="B475" s="205" t="str">
        <f t="shared" si="2"/>
        <v/>
      </c>
      <c r="C475" s="206" t="str">
        <f t="shared" si="3"/>
        <v/>
      </c>
      <c r="D475" s="207" t="str">
        <f t="shared" si="0"/>
        <v/>
      </c>
      <c r="E475" s="207"/>
      <c r="F475" s="205" t="str">
        <f>IF(E475="","",VLOOKUP(E475,'ARAMA LİSTELERİ'!C475:G2514,5,))</f>
        <v/>
      </c>
      <c r="G475" s="207"/>
      <c r="H475" s="210"/>
      <c r="I475" s="79"/>
      <c r="J475" s="210"/>
      <c r="K475" s="210"/>
      <c r="L475" s="210" t="str">
        <f t="shared" si="1"/>
        <v/>
      </c>
      <c r="M475" s="79"/>
      <c r="N475" s="207"/>
      <c r="O475" s="207"/>
      <c r="P475" s="207"/>
      <c r="Q475" s="207"/>
    </row>
    <row r="476" spans="1:17" ht="34.5" customHeight="1">
      <c r="A476" s="82"/>
      <c r="B476" s="205" t="str">
        <f t="shared" si="2"/>
        <v/>
      </c>
      <c r="C476" s="206" t="str">
        <f t="shared" si="3"/>
        <v/>
      </c>
      <c r="D476" s="207" t="str">
        <f t="shared" si="0"/>
        <v/>
      </c>
      <c r="E476" s="207"/>
      <c r="F476" s="205" t="str">
        <f>IF(E476="","",VLOOKUP(E476,'ARAMA LİSTELERİ'!C476:G2515,5,))</f>
        <v/>
      </c>
      <c r="G476" s="207"/>
      <c r="H476" s="210"/>
      <c r="I476" s="79"/>
      <c r="J476" s="210"/>
      <c r="K476" s="210"/>
      <c r="L476" s="210" t="str">
        <f t="shared" si="1"/>
        <v/>
      </c>
      <c r="M476" s="79"/>
      <c r="N476" s="207"/>
      <c r="O476" s="207"/>
      <c r="P476" s="207"/>
      <c r="Q476" s="207"/>
    </row>
    <row r="477" spans="1:17" ht="34.5" customHeight="1">
      <c r="A477" s="82"/>
      <c r="B477" s="205" t="str">
        <f t="shared" si="2"/>
        <v/>
      </c>
      <c r="C477" s="206" t="str">
        <f t="shared" si="3"/>
        <v/>
      </c>
      <c r="D477" s="207" t="str">
        <f t="shared" si="0"/>
        <v/>
      </c>
      <c r="E477" s="207"/>
      <c r="F477" s="205" t="str">
        <f>IF(E477="","",VLOOKUP(E477,'ARAMA LİSTELERİ'!C477:G2516,5,))</f>
        <v/>
      </c>
      <c r="G477" s="207"/>
      <c r="H477" s="210"/>
      <c r="I477" s="79"/>
      <c r="J477" s="210"/>
      <c r="K477" s="210"/>
      <c r="L477" s="210" t="str">
        <f t="shared" si="1"/>
        <v/>
      </c>
      <c r="M477" s="79"/>
      <c r="N477" s="207"/>
      <c r="O477" s="207"/>
      <c r="P477" s="207"/>
      <c r="Q477" s="207"/>
    </row>
    <row r="478" spans="1:17" ht="34.5" customHeight="1">
      <c r="A478" s="82"/>
      <c r="B478" s="205" t="str">
        <f t="shared" si="2"/>
        <v/>
      </c>
      <c r="C478" s="206" t="str">
        <f t="shared" si="3"/>
        <v/>
      </c>
      <c r="D478" s="207" t="str">
        <f t="shared" si="0"/>
        <v/>
      </c>
      <c r="E478" s="207"/>
      <c r="F478" s="205" t="str">
        <f>IF(E478="","",VLOOKUP(E478,'ARAMA LİSTELERİ'!C478:G2517,5,))</f>
        <v/>
      </c>
      <c r="G478" s="207"/>
      <c r="H478" s="210"/>
      <c r="I478" s="79"/>
      <c r="J478" s="210"/>
      <c r="K478" s="210"/>
      <c r="L478" s="210" t="str">
        <f t="shared" si="1"/>
        <v/>
      </c>
      <c r="M478" s="79"/>
      <c r="N478" s="207"/>
      <c r="O478" s="207"/>
      <c r="P478" s="207"/>
      <c r="Q478" s="207"/>
    </row>
    <row r="479" spans="1:17" ht="34.5" customHeight="1">
      <c r="A479" s="82"/>
      <c r="B479" s="205" t="str">
        <f t="shared" si="2"/>
        <v/>
      </c>
      <c r="C479" s="206" t="str">
        <f t="shared" si="3"/>
        <v/>
      </c>
      <c r="D479" s="207" t="str">
        <f t="shared" si="0"/>
        <v/>
      </c>
      <c r="E479" s="207"/>
      <c r="F479" s="205" t="str">
        <f>IF(E479="","",VLOOKUP(E479,'ARAMA LİSTELERİ'!C479:G2518,5,))</f>
        <v/>
      </c>
      <c r="G479" s="207"/>
      <c r="H479" s="210"/>
      <c r="I479" s="79"/>
      <c r="J479" s="210"/>
      <c r="K479" s="210"/>
      <c r="L479" s="210" t="str">
        <f t="shared" si="1"/>
        <v/>
      </c>
      <c r="M479" s="79"/>
      <c r="N479" s="207"/>
      <c r="O479" s="207"/>
      <c r="P479" s="207"/>
      <c r="Q479" s="207"/>
    </row>
    <row r="480" spans="1:17" ht="34.5" customHeight="1">
      <c r="A480" s="82"/>
      <c r="B480" s="205" t="str">
        <f t="shared" si="2"/>
        <v/>
      </c>
      <c r="C480" s="206" t="str">
        <f t="shared" si="3"/>
        <v/>
      </c>
      <c r="D480" s="207" t="str">
        <f t="shared" si="0"/>
        <v/>
      </c>
      <c r="E480" s="207"/>
      <c r="F480" s="205" t="str">
        <f>IF(E480="","",VLOOKUP(E480,'ARAMA LİSTELERİ'!C480:G2519,5,))</f>
        <v/>
      </c>
      <c r="G480" s="207"/>
      <c r="H480" s="210"/>
      <c r="I480" s="79"/>
      <c r="J480" s="210"/>
      <c r="K480" s="210"/>
      <c r="L480" s="210" t="str">
        <f t="shared" si="1"/>
        <v/>
      </c>
      <c r="M480" s="79"/>
      <c r="N480" s="207"/>
      <c r="O480" s="207"/>
      <c r="P480" s="207"/>
      <c r="Q480" s="207"/>
    </row>
    <row r="481" spans="1:17" ht="34.5" customHeight="1">
      <c r="A481" s="82"/>
      <c r="B481" s="205" t="str">
        <f t="shared" si="2"/>
        <v/>
      </c>
      <c r="C481" s="206" t="str">
        <f t="shared" si="3"/>
        <v/>
      </c>
      <c r="D481" s="207" t="str">
        <f t="shared" si="0"/>
        <v/>
      </c>
      <c r="E481" s="207"/>
      <c r="F481" s="205" t="str">
        <f>IF(E481="","",VLOOKUP(E481,'ARAMA LİSTELERİ'!C481:G2520,5,))</f>
        <v/>
      </c>
      <c r="G481" s="207"/>
      <c r="H481" s="210"/>
      <c r="I481" s="79"/>
      <c r="J481" s="210"/>
      <c r="K481" s="210"/>
      <c r="L481" s="210" t="str">
        <f t="shared" si="1"/>
        <v/>
      </c>
      <c r="M481" s="79"/>
      <c r="N481" s="207"/>
      <c r="O481" s="207"/>
      <c r="P481" s="207"/>
      <c r="Q481" s="207"/>
    </row>
    <row r="482" spans="1:17" ht="34.5" customHeight="1">
      <c r="A482" s="82"/>
      <c r="B482" s="205" t="str">
        <f t="shared" si="2"/>
        <v/>
      </c>
      <c r="C482" s="206" t="str">
        <f t="shared" si="3"/>
        <v/>
      </c>
      <c r="D482" s="207" t="str">
        <f t="shared" si="0"/>
        <v/>
      </c>
      <c r="E482" s="207"/>
      <c r="F482" s="205" t="str">
        <f>IF(E482="","",VLOOKUP(E482,'ARAMA LİSTELERİ'!C482:G2521,5,))</f>
        <v/>
      </c>
      <c r="G482" s="207"/>
      <c r="H482" s="210"/>
      <c r="I482" s="79"/>
      <c r="J482" s="210"/>
      <c r="K482" s="210"/>
      <c r="L482" s="210" t="str">
        <f t="shared" si="1"/>
        <v/>
      </c>
      <c r="M482" s="79"/>
      <c r="N482" s="207"/>
      <c r="O482" s="207"/>
      <c r="P482" s="207"/>
      <c r="Q482" s="207"/>
    </row>
    <row r="483" spans="1:17" ht="34.5" customHeight="1">
      <c r="A483" s="82"/>
      <c r="B483" s="205" t="str">
        <f t="shared" si="2"/>
        <v/>
      </c>
      <c r="C483" s="206" t="str">
        <f t="shared" si="3"/>
        <v/>
      </c>
      <c r="D483" s="207" t="str">
        <f t="shared" si="0"/>
        <v/>
      </c>
      <c r="E483" s="207"/>
      <c r="F483" s="205" t="str">
        <f>IF(E483="","",VLOOKUP(E483,'ARAMA LİSTELERİ'!C483:G2522,5,))</f>
        <v/>
      </c>
      <c r="G483" s="207"/>
      <c r="H483" s="210"/>
      <c r="I483" s="79"/>
      <c r="J483" s="210"/>
      <c r="K483" s="210"/>
      <c r="L483" s="210" t="str">
        <f t="shared" si="1"/>
        <v/>
      </c>
      <c r="M483" s="79"/>
      <c r="N483" s="207"/>
      <c r="O483" s="207"/>
      <c r="P483" s="207"/>
      <c r="Q483" s="207"/>
    </row>
    <row r="484" spans="1:17" ht="34.5" customHeight="1">
      <c r="A484" s="82"/>
      <c r="B484" s="205" t="str">
        <f t="shared" si="2"/>
        <v/>
      </c>
      <c r="C484" s="206" t="str">
        <f t="shared" si="3"/>
        <v/>
      </c>
      <c r="D484" s="207" t="str">
        <f t="shared" si="0"/>
        <v/>
      </c>
      <c r="E484" s="207"/>
      <c r="F484" s="205" t="str">
        <f>IF(E484="","",VLOOKUP(E484,'ARAMA LİSTELERİ'!C484:G2523,5,))</f>
        <v/>
      </c>
      <c r="G484" s="207"/>
      <c r="H484" s="210"/>
      <c r="I484" s="79"/>
      <c r="J484" s="210"/>
      <c r="K484" s="210"/>
      <c r="L484" s="210" t="str">
        <f t="shared" si="1"/>
        <v/>
      </c>
      <c r="M484" s="79"/>
      <c r="N484" s="207"/>
      <c r="O484" s="207"/>
      <c r="P484" s="207"/>
      <c r="Q484" s="207"/>
    </row>
    <row r="485" spans="1:17" ht="34.5" customHeight="1">
      <c r="A485" s="82"/>
      <c r="B485" s="205" t="str">
        <f t="shared" si="2"/>
        <v/>
      </c>
      <c r="C485" s="206" t="str">
        <f t="shared" si="3"/>
        <v/>
      </c>
      <c r="D485" s="207" t="str">
        <f t="shared" si="0"/>
        <v/>
      </c>
      <c r="E485" s="207"/>
      <c r="F485" s="205" t="str">
        <f>IF(E485="","",VLOOKUP(E485,'ARAMA LİSTELERİ'!C485:G2524,5,))</f>
        <v/>
      </c>
      <c r="G485" s="207"/>
      <c r="H485" s="210"/>
      <c r="I485" s="79"/>
      <c r="J485" s="210"/>
      <c r="K485" s="210"/>
      <c r="L485" s="210" t="str">
        <f t="shared" si="1"/>
        <v/>
      </c>
      <c r="M485" s="79"/>
      <c r="N485" s="207"/>
      <c r="O485" s="207"/>
      <c r="P485" s="207"/>
      <c r="Q485" s="207"/>
    </row>
    <row r="486" spans="1:17" ht="34.5" customHeight="1">
      <c r="A486" s="82"/>
      <c r="B486" s="205" t="str">
        <f t="shared" si="2"/>
        <v/>
      </c>
      <c r="C486" s="206" t="str">
        <f t="shared" si="3"/>
        <v/>
      </c>
      <c r="D486" s="207" t="str">
        <f t="shared" si="0"/>
        <v/>
      </c>
      <c r="E486" s="207"/>
      <c r="F486" s="205" t="str">
        <f>IF(E486="","",VLOOKUP(E486,'ARAMA LİSTELERİ'!C486:G2525,5,))</f>
        <v/>
      </c>
      <c r="G486" s="207"/>
      <c r="H486" s="210"/>
      <c r="I486" s="79"/>
      <c r="J486" s="210"/>
      <c r="K486" s="210"/>
      <c r="L486" s="210" t="str">
        <f t="shared" si="1"/>
        <v/>
      </c>
      <c r="M486" s="79"/>
      <c r="N486" s="207"/>
      <c r="O486" s="207"/>
      <c r="P486" s="207"/>
      <c r="Q486" s="207"/>
    </row>
    <row r="487" spans="1:17" ht="34.5" customHeight="1">
      <c r="A487" s="82"/>
      <c r="B487" s="205" t="str">
        <f t="shared" si="2"/>
        <v/>
      </c>
      <c r="C487" s="206" t="str">
        <f t="shared" si="3"/>
        <v/>
      </c>
      <c r="D487" s="207" t="str">
        <f t="shared" si="0"/>
        <v/>
      </c>
      <c r="E487" s="207"/>
      <c r="F487" s="205" t="str">
        <f>IF(E487="","",VLOOKUP(E487,'ARAMA LİSTELERİ'!C487:G2526,5,))</f>
        <v/>
      </c>
      <c r="G487" s="207"/>
      <c r="H487" s="210"/>
      <c r="I487" s="79"/>
      <c r="J487" s="210"/>
      <c r="K487" s="210"/>
      <c r="L487" s="210" t="str">
        <f t="shared" si="1"/>
        <v/>
      </c>
      <c r="M487" s="79"/>
      <c r="N487" s="207"/>
      <c r="O487" s="207"/>
      <c r="P487" s="207"/>
      <c r="Q487" s="207"/>
    </row>
    <row r="488" spans="1:17" ht="34.5" customHeight="1">
      <c r="A488" s="82"/>
      <c r="B488" s="205" t="str">
        <f t="shared" si="2"/>
        <v/>
      </c>
      <c r="C488" s="206" t="str">
        <f t="shared" si="3"/>
        <v/>
      </c>
      <c r="D488" s="207" t="str">
        <f t="shared" si="0"/>
        <v/>
      </c>
      <c r="E488" s="207"/>
      <c r="F488" s="205" t="str">
        <f>IF(E488="","",VLOOKUP(E488,'ARAMA LİSTELERİ'!C488:G2527,5,))</f>
        <v/>
      </c>
      <c r="G488" s="207"/>
      <c r="H488" s="210"/>
      <c r="I488" s="79"/>
      <c r="J488" s="210"/>
      <c r="K488" s="210"/>
      <c r="L488" s="210" t="str">
        <f t="shared" si="1"/>
        <v/>
      </c>
      <c r="M488" s="79"/>
      <c r="N488" s="207"/>
      <c r="O488" s="207"/>
      <c r="P488" s="207"/>
      <c r="Q488" s="207"/>
    </row>
    <row r="489" spans="1:17" ht="34.5" customHeight="1">
      <c r="A489" s="82"/>
      <c r="B489" s="205" t="str">
        <f t="shared" si="2"/>
        <v/>
      </c>
      <c r="C489" s="206" t="str">
        <f t="shared" si="3"/>
        <v/>
      </c>
      <c r="D489" s="207" t="str">
        <f t="shared" si="0"/>
        <v/>
      </c>
      <c r="E489" s="207"/>
      <c r="F489" s="205" t="str">
        <f>IF(E489="","",VLOOKUP(E489,'ARAMA LİSTELERİ'!C489:G2528,5,))</f>
        <v/>
      </c>
      <c r="G489" s="207"/>
      <c r="H489" s="210"/>
      <c r="I489" s="79"/>
      <c r="J489" s="210"/>
      <c r="K489" s="210"/>
      <c r="L489" s="210" t="str">
        <f t="shared" si="1"/>
        <v/>
      </c>
      <c r="M489" s="79"/>
      <c r="N489" s="207"/>
      <c r="O489" s="207"/>
      <c r="P489" s="207"/>
      <c r="Q489" s="207"/>
    </row>
    <row r="490" spans="1:17" ht="34.5" customHeight="1">
      <c r="A490" s="82"/>
      <c r="B490" s="205" t="str">
        <f t="shared" si="2"/>
        <v/>
      </c>
      <c r="C490" s="206" t="str">
        <f t="shared" si="3"/>
        <v/>
      </c>
      <c r="D490" s="207" t="str">
        <f t="shared" si="0"/>
        <v/>
      </c>
      <c r="E490" s="207"/>
      <c r="F490" s="205" t="str">
        <f>IF(E490="","",VLOOKUP(E490,'ARAMA LİSTELERİ'!C490:G2529,5,))</f>
        <v/>
      </c>
      <c r="G490" s="207"/>
      <c r="H490" s="210"/>
      <c r="I490" s="79"/>
      <c r="J490" s="210"/>
      <c r="K490" s="210"/>
      <c r="L490" s="210" t="str">
        <f t="shared" si="1"/>
        <v/>
      </c>
      <c r="M490" s="79"/>
      <c r="N490" s="207"/>
      <c r="O490" s="207"/>
      <c r="P490" s="207"/>
      <c r="Q490" s="207"/>
    </row>
    <row r="491" spans="1:17" ht="34.5" customHeight="1">
      <c r="A491" s="82"/>
      <c r="B491" s="205" t="str">
        <f t="shared" si="2"/>
        <v/>
      </c>
      <c r="C491" s="206" t="str">
        <f t="shared" si="3"/>
        <v/>
      </c>
      <c r="D491" s="207" t="str">
        <f t="shared" si="0"/>
        <v/>
      </c>
      <c r="E491" s="207"/>
      <c r="F491" s="205" t="str">
        <f>IF(E491="","",VLOOKUP(E491,'ARAMA LİSTELERİ'!C491:G2530,5,))</f>
        <v/>
      </c>
      <c r="G491" s="207"/>
      <c r="H491" s="210"/>
      <c r="I491" s="79"/>
      <c r="J491" s="210"/>
      <c r="K491" s="210"/>
      <c r="L491" s="210" t="str">
        <f t="shared" si="1"/>
        <v/>
      </c>
      <c r="M491" s="79"/>
      <c r="N491" s="207"/>
      <c r="O491" s="207"/>
      <c r="P491" s="207"/>
      <c r="Q491" s="207"/>
    </row>
    <row r="492" spans="1:17" ht="34.5" customHeight="1">
      <c r="A492" s="82"/>
      <c r="B492" s="205" t="str">
        <f t="shared" si="2"/>
        <v/>
      </c>
      <c r="C492" s="206" t="str">
        <f t="shared" si="3"/>
        <v/>
      </c>
      <c r="D492" s="207" t="str">
        <f t="shared" si="0"/>
        <v/>
      </c>
      <c r="E492" s="207"/>
      <c r="F492" s="205" t="str">
        <f>IF(E492="","",VLOOKUP(E492,'ARAMA LİSTELERİ'!C492:G2531,5,))</f>
        <v/>
      </c>
      <c r="G492" s="207"/>
      <c r="H492" s="210"/>
      <c r="I492" s="79"/>
      <c r="J492" s="210"/>
      <c r="K492" s="210"/>
      <c r="L492" s="210" t="str">
        <f t="shared" si="1"/>
        <v/>
      </c>
      <c r="M492" s="79"/>
      <c r="N492" s="207"/>
      <c r="O492" s="207"/>
      <c r="P492" s="207"/>
      <c r="Q492" s="207"/>
    </row>
    <row r="493" spans="1:17" ht="34.5" customHeight="1">
      <c r="A493" s="82"/>
      <c r="B493" s="205" t="str">
        <f t="shared" si="2"/>
        <v/>
      </c>
      <c r="C493" s="206" t="str">
        <f t="shared" si="3"/>
        <v/>
      </c>
      <c r="D493" s="207" t="str">
        <f t="shared" si="0"/>
        <v/>
      </c>
      <c r="E493" s="207"/>
      <c r="F493" s="205" t="str">
        <f>IF(E493="","",VLOOKUP(E493,'ARAMA LİSTELERİ'!C493:G2532,5,))</f>
        <v/>
      </c>
      <c r="G493" s="207"/>
      <c r="H493" s="210"/>
      <c r="I493" s="79"/>
      <c r="J493" s="210"/>
      <c r="K493" s="210"/>
      <c r="L493" s="210" t="str">
        <f t="shared" si="1"/>
        <v/>
      </c>
      <c r="M493" s="79"/>
      <c r="N493" s="207"/>
      <c r="O493" s="207"/>
      <c r="P493" s="207"/>
      <c r="Q493" s="207"/>
    </row>
    <row r="494" spans="1:17" ht="34.5" customHeight="1">
      <c r="A494" s="82"/>
      <c r="B494" s="205" t="str">
        <f t="shared" si="2"/>
        <v/>
      </c>
      <c r="C494" s="206" t="str">
        <f t="shared" si="3"/>
        <v/>
      </c>
      <c r="D494" s="207" t="str">
        <f t="shared" si="0"/>
        <v/>
      </c>
      <c r="E494" s="207"/>
      <c r="F494" s="205" t="str">
        <f>IF(E494="","",VLOOKUP(E494,'ARAMA LİSTELERİ'!C494:G2533,5,))</f>
        <v/>
      </c>
      <c r="G494" s="207"/>
      <c r="H494" s="210"/>
      <c r="I494" s="79"/>
      <c r="J494" s="210"/>
      <c r="K494" s="210"/>
      <c r="L494" s="210" t="str">
        <f t="shared" si="1"/>
        <v/>
      </c>
      <c r="M494" s="79"/>
      <c r="N494" s="207"/>
      <c r="O494" s="207"/>
      <c r="P494" s="207"/>
      <c r="Q494" s="207"/>
    </row>
    <row r="495" spans="1:17" ht="34.5" customHeight="1">
      <c r="A495" s="82"/>
      <c r="B495" s="205" t="str">
        <f t="shared" si="2"/>
        <v/>
      </c>
      <c r="C495" s="206" t="str">
        <f t="shared" si="3"/>
        <v/>
      </c>
      <c r="D495" s="207" t="str">
        <f t="shared" si="0"/>
        <v/>
      </c>
      <c r="E495" s="207"/>
      <c r="F495" s="205" t="str">
        <f>IF(E495="","",VLOOKUP(E495,'ARAMA LİSTELERİ'!C495:G2534,5,))</f>
        <v/>
      </c>
      <c r="G495" s="207"/>
      <c r="H495" s="210"/>
      <c r="I495" s="79"/>
      <c r="J495" s="210"/>
      <c r="K495" s="210"/>
      <c r="L495" s="210" t="str">
        <f t="shared" si="1"/>
        <v/>
      </c>
      <c r="M495" s="79"/>
      <c r="N495" s="207"/>
      <c r="O495" s="207"/>
      <c r="P495" s="207"/>
      <c r="Q495" s="207"/>
    </row>
    <row r="496" spans="1:17" ht="34.5" customHeight="1">
      <c r="A496" s="82"/>
      <c r="B496" s="205" t="str">
        <f t="shared" si="2"/>
        <v/>
      </c>
      <c r="C496" s="206" t="str">
        <f t="shared" si="3"/>
        <v/>
      </c>
      <c r="D496" s="207" t="str">
        <f t="shared" si="0"/>
        <v/>
      </c>
      <c r="E496" s="207"/>
      <c r="F496" s="205" t="str">
        <f>IF(E496="","",VLOOKUP(E496,'ARAMA LİSTELERİ'!C496:G2535,5,))</f>
        <v/>
      </c>
      <c r="G496" s="207"/>
      <c r="H496" s="210"/>
      <c r="I496" s="79"/>
      <c r="J496" s="210"/>
      <c r="K496" s="210"/>
      <c r="L496" s="210" t="str">
        <f t="shared" si="1"/>
        <v/>
      </c>
      <c r="M496" s="79"/>
      <c r="N496" s="207"/>
      <c r="O496" s="207"/>
      <c r="P496" s="207"/>
      <c r="Q496" s="207"/>
    </row>
    <row r="497" spans="1:17" ht="34.5" customHeight="1">
      <c r="A497" s="82"/>
      <c r="B497" s="205" t="str">
        <f t="shared" si="2"/>
        <v/>
      </c>
      <c r="C497" s="206" t="str">
        <f t="shared" si="3"/>
        <v/>
      </c>
      <c r="D497" s="207" t="str">
        <f t="shared" si="0"/>
        <v/>
      </c>
      <c r="E497" s="207"/>
      <c r="F497" s="205" t="str">
        <f>IF(E497="","",VLOOKUP(E497,'ARAMA LİSTELERİ'!C497:G2536,5,))</f>
        <v/>
      </c>
      <c r="G497" s="207"/>
      <c r="H497" s="210"/>
      <c r="I497" s="79"/>
      <c r="J497" s="210"/>
      <c r="K497" s="210"/>
      <c r="L497" s="210" t="str">
        <f t="shared" si="1"/>
        <v/>
      </c>
      <c r="M497" s="79"/>
      <c r="N497" s="207"/>
      <c r="O497" s="207"/>
      <c r="P497" s="207"/>
      <c r="Q497" s="207"/>
    </row>
    <row r="498" spans="1:17" ht="34.5" customHeight="1">
      <c r="A498" s="82"/>
      <c r="B498" s="205" t="str">
        <f t="shared" si="2"/>
        <v/>
      </c>
      <c r="C498" s="206" t="str">
        <f t="shared" si="3"/>
        <v/>
      </c>
      <c r="D498" s="207" t="str">
        <f t="shared" si="0"/>
        <v/>
      </c>
      <c r="E498" s="207"/>
      <c r="F498" s="205" t="str">
        <f>IF(E498="","",VLOOKUP(E498,'ARAMA LİSTELERİ'!C498:G2537,5,))</f>
        <v/>
      </c>
      <c r="G498" s="207"/>
      <c r="H498" s="210"/>
      <c r="I498" s="79"/>
      <c r="J498" s="210"/>
      <c r="K498" s="210"/>
      <c r="L498" s="210" t="str">
        <f t="shared" si="1"/>
        <v/>
      </c>
      <c r="M498" s="79"/>
      <c r="N498" s="207"/>
      <c r="O498" s="207"/>
      <c r="P498" s="207"/>
      <c r="Q498" s="207"/>
    </row>
    <row r="499" spans="1:17" ht="34.5" customHeight="1">
      <c r="A499" s="82"/>
      <c r="B499" s="205" t="str">
        <f t="shared" si="2"/>
        <v/>
      </c>
      <c r="C499" s="206" t="str">
        <f t="shared" si="3"/>
        <v/>
      </c>
      <c r="D499" s="207" t="str">
        <f t="shared" si="0"/>
        <v/>
      </c>
      <c r="E499" s="207"/>
      <c r="F499" s="205" t="str">
        <f>IF(E499="","",VLOOKUP(E499,'ARAMA LİSTELERİ'!C499:G2538,5,))</f>
        <v/>
      </c>
      <c r="G499" s="207"/>
      <c r="H499" s="210"/>
      <c r="I499" s="79"/>
      <c r="J499" s="210"/>
      <c r="K499" s="210"/>
      <c r="L499" s="210" t="str">
        <f t="shared" si="1"/>
        <v/>
      </c>
      <c r="M499" s="79"/>
      <c r="N499" s="207"/>
      <c r="O499" s="207"/>
      <c r="P499" s="207"/>
      <c r="Q499" s="207"/>
    </row>
    <row r="500" spans="1:17" ht="34.5" customHeight="1">
      <c r="A500" s="82"/>
      <c r="B500" s="205" t="str">
        <f t="shared" si="2"/>
        <v/>
      </c>
      <c r="C500" s="206" t="str">
        <f t="shared" si="3"/>
        <v/>
      </c>
      <c r="D500" s="207" t="str">
        <f t="shared" si="0"/>
        <v/>
      </c>
      <c r="E500" s="207"/>
      <c r="F500" s="205" t="str">
        <f>IF(E500="","",VLOOKUP(E500,'ARAMA LİSTELERİ'!C500:G2539,5,))</f>
        <v/>
      </c>
      <c r="G500" s="207"/>
      <c r="H500" s="210"/>
      <c r="I500" s="79"/>
      <c r="J500" s="210"/>
      <c r="K500" s="210"/>
      <c r="L500" s="210" t="str">
        <f t="shared" si="1"/>
        <v/>
      </c>
      <c r="M500" s="79"/>
      <c r="N500" s="207"/>
      <c r="O500" s="207"/>
      <c r="P500" s="207"/>
      <c r="Q500" s="207"/>
    </row>
    <row r="501" spans="1:17" ht="34.5" customHeight="1">
      <c r="A501" s="82"/>
      <c r="B501" s="205" t="str">
        <f t="shared" si="2"/>
        <v/>
      </c>
      <c r="C501" s="206" t="str">
        <f t="shared" si="3"/>
        <v/>
      </c>
      <c r="D501" s="207" t="str">
        <f t="shared" si="0"/>
        <v/>
      </c>
      <c r="E501" s="207"/>
      <c r="F501" s="205" t="str">
        <f>IF(E501="","",VLOOKUP(E501,'ARAMA LİSTELERİ'!C501:G2540,5,))</f>
        <v/>
      </c>
      <c r="G501" s="207"/>
      <c r="H501" s="210"/>
      <c r="I501" s="79"/>
      <c r="J501" s="210"/>
      <c r="K501" s="210"/>
      <c r="L501" s="210" t="str">
        <f t="shared" si="1"/>
        <v/>
      </c>
      <c r="M501" s="79"/>
      <c r="N501" s="207"/>
      <c r="O501" s="207"/>
      <c r="P501" s="207"/>
      <c r="Q501" s="207"/>
    </row>
    <row r="502" spans="1:17" ht="34.5" customHeight="1">
      <c r="A502" s="82"/>
      <c r="B502" s="205" t="str">
        <f t="shared" si="2"/>
        <v/>
      </c>
      <c r="C502" s="206" t="str">
        <f t="shared" si="3"/>
        <v/>
      </c>
      <c r="D502" s="207" t="str">
        <f t="shared" si="0"/>
        <v/>
      </c>
      <c r="E502" s="207"/>
      <c r="F502" s="205" t="str">
        <f>IF(E502="","",VLOOKUP(E502,'ARAMA LİSTELERİ'!C502:G2541,5,))</f>
        <v/>
      </c>
      <c r="G502" s="207"/>
      <c r="H502" s="210"/>
      <c r="I502" s="79"/>
      <c r="J502" s="210"/>
      <c r="K502" s="210"/>
      <c r="L502" s="210" t="str">
        <f t="shared" si="1"/>
        <v/>
      </c>
      <c r="M502" s="79"/>
      <c r="N502" s="207"/>
      <c r="O502" s="207"/>
      <c r="P502" s="207"/>
      <c r="Q502" s="207"/>
    </row>
    <row r="503" spans="1:17" ht="34.5" customHeight="1">
      <c r="A503" s="82"/>
      <c r="B503" s="205" t="str">
        <f t="shared" si="2"/>
        <v/>
      </c>
      <c r="C503" s="206" t="str">
        <f t="shared" si="3"/>
        <v/>
      </c>
      <c r="D503" s="207" t="str">
        <f t="shared" si="0"/>
        <v/>
      </c>
      <c r="E503" s="207"/>
      <c r="F503" s="205" t="str">
        <f>IF(E503="","",VLOOKUP(E503,'ARAMA LİSTELERİ'!C503:G2542,5,))</f>
        <v/>
      </c>
      <c r="G503" s="207"/>
      <c r="H503" s="210"/>
      <c r="I503" s="79"/>
      <c r="J503" s="210"/>
      <c r="K503" s="210"/>
      <c r="L503" s="210" t="str">
        <f t="shared" si="1"/>
        <v/>
      </c>
      <c r="M503" s="79"/>
      <c r="N503" s="207"/>
      <c r="O503" s="207"/>
      <c r="P503" s="207"/>
      <c r="Q503" s="207"/>
    </row>
    <row r="504" spans="1:17" ht="34.5" customHeight="1">
      <c r="A504" s="82"/>
      <c r="B504" s="205" t="str">
        <f t="shared" si="2"/>
        <v/>
      </c>
      <c r="C504" s="206" t="str">
        <f t="shared" si="3"/>
        <v/>
      </c>
      <c r="D504" s="207" t="str">
        <f t="shared" si="0"/>
        <v/>
      </c>
      <c r="E504" s="207"/>
      <c r="F504" s="205" t="str">
        <f>IF(E504="","",VLOOKUP(E504,'ARAMA LİSTELERİ'!C504:G2543,5,))</f>
        <v/>
      </c>
      <c r="G504" s="207"/>
      <c r="H504" s="210"/>
      <c r="I504" s="79"/>
      <c r="J504" s="210"/>
      <c r="K504" s="210"/>
      <c r="L504" s="210" t="str">
        <f t="shared" si="1"/>
        <v/>
      </c>
      <c r="M504" s="79"/>
      <c r="N504" s="207"/>
      <c r="O504" s="207"/>
      <c r="P504" s="207"/>
      <c r="Q504" s="207"/>
    </row>
    <row r="505" spans="1:17" ht="34.5" customHeight="1">
      <c r="A505" s="82"/>
      <c r="B505" s="205" t="str">
        <f t="shared" si="2"/>
        <v/>
      </c>
      <c r="C505" s="206" t="str">
        <f t="shared" si="3"/>
        <v/>
      </c>
      <c r="D505" s="207" t="str">
        <f t="shared" si="0"/>
        <v/>
      </c>
      <c r="E505" s="207"/>
      <c r="F505" s="205" t="str">
        <f>IF(E505="","",VLOOKUP(E505,'ARAMA LİSTELERİ'!C505:G2544,5,))</f>
        <v/>
      </c>
      <c r="G505" s="207"/>
      <c r="H505" s="210"/>
      <c r="I505" s="79"/>
      <c r="J505" s="210"/>
      <c r="K505" s="210"/>
      <c r="L505" s="210" t="str">
        <f t="shared" si="1"/>
        <v/>
      </c>
      <c r="M505" s="79"/>
      <c r="N505" s="207"/>
      <c r="O505" s="207"/>
      <c r="P505" s="207"/>
      <c r="Q505" s="207"/>
    </row>
    <row r="506" spans="1:17" ht="34.5" customHeight="1">
      <c r="A506" s="82"/>
      <c r="B506" s="205" t="str">
        <f t="shared" si="2"/>
        <v/>
      </c>
      <c r="C506" s="206" t="str">
        <f t="shared" si="3"/>
        <v/>
      </c>
      <c r="D506" s="207" t="str">
        <f t="shared" si="0"/>
        <v/>
      </c>
      <c r="E506" s="207"/>
      <c r="F506" s="205" t="str">
        <f>IF(E506="","",VLOOKUP(E506,'ARAMA LİSTELERİ'!C506:G2545,5,))</f>
        <v/>
      </c>
      <c r="G506" s="207"/>
      <c r="H506" s="210"/>
      <c r="I506" s="79"/>
      <c r="J506" s="210"/>
      <c r="K506" s="210"/>
      <c r="L506" s="210" t="str">
        <f t="shared" si="1"/>
        <v/>
      </c>
      <c r="M506" s="79"/>
      <c r="N506" s="207"/>
      <c r="O506" s="207"/>
      <c r="P506" s="207"/>
      <c r="Q506" s="207"/>
    </row>
    <row r="507" spans="1:17" ht="34.5" customHeight="1">
      <c r="A507" s="82"/>
      <c r="B507" s="205" t="str">
        <f t="shared" si="2"/>
        <v/>
      </c>
      <c r="C507" s="206" t="str">
        <f t="shared" si="3"/>
        <v/>
      </c>
      <c r="D507" s="207" t="str">
        <f t="shared" si="0"/>
        <v/>
      </c>
      <c r="E507" s="207"/>
      <c r="F507" s="205" t="str">
        <f>IF(E507="","",VLOOKUP(E507,'ARAMA LİSTELERİ'!C507:G2546,5,))</f>
        <v/>
      </c>
      <c r="G507" s="207"/>
      <c r="H507" s="210"/>
      <c r="I507" s="79"/>
      <c r="J507" s="210"/>
      <c r="K507" s="210"/>
      <c r="L507" s="210" t="str">
        <f t="shared" si="1"/>
        <v/>
      </c>
      <c r="M507" s="79"/>
      <c r="N507" s="207"/>
      <c r="O507" s="207"/>
      <c r="P507" s="207"/>
      <c r="Q507" s="207"/>
    </row>
    <row r="508" spans="1:17" ht="34.5" customHeight="1">
      <c r="A508" s="82"/>
      <c r="B508" s="205" t="str">
        <f t="shared" si="2"/>
        <v/>
      </c>
      <c r="C508" s="206" t="str">
        <f t="shared" si="3"/>
        <v/>
      </c>
      <c r="D508" s="207" t="str">
        <f t="shared" si="0"/>
        <v/>
      </c>
      <c r="E508" s="207"/>
      <c r="F508" s="205" t="str">
        <f>IF(E508="","",VLOOKUP(E508,'ARAMA LİSTELERİ'!C508:G2547,5,))</f>
        <v/>
      </c>
      <c r="G508" s="207"/>
      <c r="H508" s="210"/>
      <c r="I508" s="79"/>
      <c r="J508" s="210"/>
      <c r="K508" s="210"/>
      <c r="L508" s="210" t="str">
        <f t="shared" si="1"/>
        <v/>
      </c>
      <c r="M508" s="79"/>
      <c r="N508" s="207"/>
      <c r="O508" s="207"/>
      <c r="P508" s="207"/>
      <c r="Q508" s="207"/>
    </row>
    <row r="509" spans="1:17" ht="34.5" customHeight="1">
      <c r="A509" s="82"/>
      <c r="B509" s="205" t="str">
        <f t="shared" si="2"/>
        <v/>
      </c>
      <c r="C509" s="206" t="str">
        <f t="shared" si="3"/>
        <v/>
      </c>
      <c r="D509" s="207" t="str">
        <f t="shared" si="0"/>
        <v/>
      </c>
      <c r="E509" s="207"/>
      <c r="F509" s="205" t="str">
        <f>IF(E509="","",VLOOKUP(E509,'ARAMA LİSTELERİ'!C509:G2548,5,))</f>
        <v/>
      </c>
      <c r="G509" s="207"/>
      <c r="H509" s="210"/>
      <c r="I509" s="79"/>
      <c r="J509" s="210"/>
      <c r="K509" s="210"/>
      <c r="L509" s="210" t="str">
        <f t="shared" si="1"/>
        <v/>
      </c>
      <c r="M509" s="79"/>
      <c r="N509" s="207"/>
      <c r="O509" s="207"/>
      <c r="P509" s="207"/>
      <c r="Q509" s="207"/>
    </row>
    <row r="510" spans="1:17" ht="34.5" customHeight="1">
      <c r="A510" s="82"/>
      <c r="B510" s="205" t="str">
        <f t="shared" si="2"/>
        <v/>
      </c>
      <c r="C510" s="206" t="str">
        <f t="shared" si="3"/>
        <v/>
      </c>
      <c r="D510" s="207" t="str">
        <f t="shared" si="0"/>
        <v/>
      </c>
      <c r="E510" s="207"/>
      <c r="F510" s="205" t="str">
        <f>IF(E510="","",VLOOKUP(E510,'ARAMA LİSTELERİ'!C510:G2549,5,))</f>
        <v/>
      </c>
      <c r="G510" s="207"/>
      <c r="H510" s="210"/>
      <c r="I510" s="79"/>
      <c r="J510" s="210"/>
      <c r="K510" s="210"/>
      <c r="L510" s="210" t="str">
        <f t="shared" si="1"/>
        <v/>
      </c>
      <c r="M510" s="79"/>
      <c r="N510" s="207"/>
      <c r="O510" s="207"/>
      <c r="P510" s="207"/>
      <c r="Q510" s="207"/>
    </row>
    <row r="511" spans="1:17" ht="34.5" customHeight="1">
      <c r="A511" s="82"/>
      <c r="B511" s="205" t="str">
        <f t="shared" si="2"/>
        <v/>
      </c>
      <c r="C511" s="206" t="str">
        <f t="shared" si="3"/>
        <v/>
      </c>
      <c r="D511" s="207" t="str">
        <f t="shared" si="0"/>
        <v/>
      </c>
      <c r="E511" s="207"/>
      <c r="F511" s="205" t="str">
        <f>IF(E511="","",VLOOKUP(E511,'ARAMA LİSTELERİ'!C511:G2550,5,))</f>
        <v/>
      </c>
      <c r="G511" s="207"/>
      <c r="H511" s="210"/>
      <c r="I511" s="79"/>
      <c r="J511" s="210"/>
      <c r="K511" s="210"/>
      <c r="L511" s="210" t="str">
        <f t="shared" si="1"/>
        <v/>
      </c>
      <c r="M511" s="79"/>
      <c r="N511" s="207"/>
      <c r="O511" s="207"/>
      <c r="P511" s="207"/>
      <c r="Q511" s="207"/>
    </row>
    <row r="512" spans="1:17" ht="34.5" customHeight="1">
      <c r="A512" s="82"/>
      <c r="B512" s="205" t="str">
        <f t="shared" si="2"/>
        <v/>
      </c>
      <c r="C512" s="206" t="str">
        <f t="shared" si="3"/>
        <v/>
      </c>
      <c r="D512" s="207" t="str">
        <f t="shared" si="0"/>
        <v/>
      </c>
      <c r="E512" s="207"/>
      <c r="F512" s="205" t="str">
        <f>IF(E512="","",VLOOKUP(E512,'ARAMA LİSTELERİ'!C512:G2551,5,))</f>
        <v/>
      </c>
      <c r="G512" s="207"/>
      <c r="H512" s="210"/>
      <c r="I512" s="79"/>
      <c r="J512" s="210"/>
      <c r="K512" s="210"/>
      <c r="L512" s="210" t="str">
        <f t="shared" si="1"/>
        <v/>
      </c>
      <c r="M512" s="79"/>
      <c r="N512" s="207"/>
      <c r="O512" s="207"/>
      <c r="P512" s="207"/>
      <c r="Q512" s="207"/>
    </row>
    <row r="513" spans="1:17" ht="34.5" customHeight="1">
      <c r="A513" s="82"/>
      <c r="B513" s="205" t="str">
        <f t="shared" si="2"/>
        <v/>
      </c>
      <c r="C513" s="206" t="str">
        <f t="shared" si="3"/>
        <v/>
      </c>
      <c r="D513" s="207" t="str">
        <f t="shared" si="0"/>
        <v/>
      </c>
      <c r="E513" s="207"/>
      <c r="F513" s="205" t="str">
        <f>IF(E513="","",VLOOKUP(E513,'ARAMA LİSTELERİ'!C513:G2552,5,))</f>
        <v/>
      </c>
      <c r="G513" s="207"/>
      <c r="H513" s="210"/>
      <c r="I513" s="79"/>
      <c r="J513" s="210"/>
      <c r="K513" s="210"/>
      <c r="L513" s="210" t="str">
        <f t="shared" si="1"/>
        <v/>
      </c>
      <c r="M513" s="79"/>
      <c r="N513" s="207"/>
      <c r="O513" s="207"/>
      <c r="P513" s="207"/>
      <c r="Q513" s="207"/>
    </row>
    <row r="514" spans="1:17" ht="34.5" customHeight="1">
      <c r="A514" s="82"/>
      <c r="B514" s="205" t="str">
        <f t="shared" si="2"/>
        <v/>
      </c>
      <c r="C514" s="206" t="str">
        <f t="shared" si="3"/>
        <v/>
      </c>
      <c r="D514" s="207" t="str">
        <f t="shared" si="0"/>
        <v/>
      </c>
      <c r="E514" s="207"/>
      <c r="F514" s="205" t="str">
        <f>IF(E514="","",VLOOKUP(E514,'ARAMA LİSTELERİ'!C514:G2553,5,))</f>
        <v/>
      </c>
      <c r="G514" s="207"/>
      <c r="H514" s="210"/>
      <c r="I514" s="79"/>
      <c r="J514" s="210"/>
      <c r="K514" s="210"/>
      <c r="L514" s="210" t="str">
        <f t="shared" si="1"/>
        <v/>
      </c>
      <c r="M514" s="79"/>
      <c r="N514" s="207"/>
      <c r="O514" s="207"/>
      <c r="P514" s="207"/>
      <c r="Q514" s="207"/>
    </row>
    <row r="515" spans="1:17" ht="34.5" customHeight="1">
      <c r="A515" s="82"/>
      <c r="B515" s="205" t="str">
        <f t="shared" si="2"/>
        <v/>
      </c>
      <c r="C515" s="206" t="str">
        <f t="shared" si="3"/>
        <v/>
      </c>
      <c r="D515" s="207" t="str">
        <f t="shared" si="0"/>
        <v/>
      </c>
      <c r="E515" s="207"/>
      <c r="F515" s="205" t="str">
        <f>IF(E515="","",VLOOKUP(E515,'ARAMA LİSTELERİ'!C515:G2554,5,))</f>
        <v/>
      </c>
      <c r="G515" s="207"/>
      <c r="H515" s="210"/>
      <c r="I515" s="79"/>
      <c r="J515" s="210"/>
      <c r="K515" s="210"/>
      <c r="L515" s="210" t="str">
        <f t="shared" si="1"/>
        <v/>
      </c>
      <c r="M515" s="79"/>
      <c r="N515" s="207"/>
      <c r="O515" s="207"/>
      <c r="P515" s="207"/>
      <c r="Q515" s="207"/>
    </row>
    <row r="516" spans="1:17" ht="34.5" customHeight="1">
      <c r="A516" s="82"/>
      <c r="B516" s="205" t="str">
        <f t="shared" si="2"/>
        <v/>
      </c>
      <c r="C516" s="206" t="str">
        <f t="shared" si="3"/>
        <v/>
      </c>
      <c r="D516" s="207" t="str">
        <f t="shared" si="0"/>
        <v/>
      </c>
      <c r="E516" s="207"/>
      <c r="F516" s="205" t="str">
        <f>IF(E516="","",VLOOKUP(E516,'ARAMA LİSTELERİ'!C516:G2555,5,))</f>
        <v/>
      </c>
      <c r="G516" s="207"/>
      <c r="H516" s="210"/>
      <c r="I516" s="79"/>
      <c r="J516" s="210"/>
      <c r="K516" s="210"/>
      <c r="L516" s="210" t="str">
        <f t="shared" si="1"/>
        <v/>
      </c>
      <c r="M516" s="79"/>
      <c r="N516" s="207"/>
      <c r="O516" s="207"/>
      <c r="P516" s="207"/>
      <c r="Q516" s="207"/>
    </row>
    <row r="517" spans="1:17" ht="34.5" customHeight="1">
      <c r="A517" s="82"/>
      <c r="B517" s="205" t="str">
        <f t="shared" si="2"/>
        <v/>
      </c>
      <c r="C517" s="206" t="str">
        <f t="shared" si="3"/>
        <v/>
      </c>
      <c r="D517" s="207" t="str">
        <f t="shared" si="0"/>
        <v/>
      </c>
      <c r="E517" s="207"/>
      <c r="F517" s="205" t="str">
        <f>IF(E517="","",VLOOKUP(E517,'ARAMA LİSTELERİ'!C517:G2556,5,))</f>
        <v/>
      </c>
      <c r="G517" s="207"/>
      <c r="H517" s="210"/>
      <c r="I517" s="79"/>
      <c r="J517" s="210"/>
      <c r="K517" s="210"/>
      <c r="L517" s="210" t="str">
        <f t="shared" si="1"/>
        <v/>
      </c>
      <c r="M517" s="79"/>
      <c r="N517" s="207"/>
      <c r="O517" s="207"/>
      <c r="P517" s="207"/>
      <c r="Q517" s="207"/>
    </row>
    <row r="518" spans="1:17" ht="34.5" customHeight="1">
      <c r="A518" s="82"/>
      <c r="B518" s="205" t="str">
        <f t="shared" si="2"/>
        <v/>
      </c>
      <c r="C518" s="206" t="str">
        <f t="shared" si="3"/>
        <v/>
      </c>
      <c r="D518" s="207" t="str">
        <f t="shared" si="0"/>
        <v/>
      </c>
      <c r="E518" s="207"/>
      <c r="F518" s="205" t="str">
        <f>IF(E518="","",VLOOKUP(E518,'ARAMA LİSTELERİ'!C518:G2557,5,))</f>
        <v/>
      </c>
      <c r="G518" s="207"/>
      <c r="H518" s="210"/>
      <c r="I518" s="79"/>
      <c r="J518" s="210"/>
      <c r="K518" s="210"/>
      <c r="L518" s="210" t="str">
        <f t="shared" si="1"/>
        <v/>
      </c>
      <c r="M518" s="79"/>
      <c r="N518" s="207"/>
      <c r="O518" s="207"/>
      <c r="P518" s="207"/>
      <c r="Q518" s="207"/>
    </row>
    <row r="519" spans="1:17" ht="34.5" customHeight="1">
      <c r="A519" s="82"/>
      <c r="B519" s="205" t="str">
        <f t="shared" si="2"/>
        <v/>
      </c>
      <c r="C519" s="206" t="str">
        <f t="shared" si="3"/>
        <v/>
      </c>
      <c r="D519" s="207" t="str">
        <f t="shared" si="0"/>
        <v/>
      </c>
      <c r="E519" s="207"/>
      <c r="F519" s="205" t="str">
        <f>IF(E519="","",VLOOKUP(E519,'ARAMA LİSTELERİ'!C519:G2558,5,))</f>
        <v/>
      </c>
      <c r="G519" s="207"/>
      <c r="H519" s="210"/>
      <c r="I519" s="79"/>
      <c r="J519" s="210"/>
      <c r="K519" s="210"/>
      <c r="L519" s="210" t="str">
        <f t="shared" si="1"/>
        <v/>
      </c>
      <c r="M519" s="79"/>
      <c r="N519" s="207"/>
      <c r="O519" s="207"/>
      <c r="P519" s="207"/>
      <c r="Q519" s="207"/>
    </row>
    <row r="520" spans="1:17" ht="34.5" customHeight="1">
      <c r="A520" s="82"/>
      <c r="B520" s="205" t="str">
        <f t="shared" si="2"/>
        <v/>
      </c>
      <c r="C520" s="206" t="str">
        <f t="shared" si="3"/>
        <v/>
      </c>
      <c r="D520" s="207" t="str">
        <f t="shared" si="0"/>
        <v/>
      </c>
      <c r="E520" s="207"/>
      <c r="F520" s="205" t="str">
        <f>IF(E520="","",VLOOKUP(E520,'ARAMA LİSTELERİ'!C520:G2559,5,))</f>
        <v/>
      </c>
      <c r="G520" s="207"/>
      <c r="H520" s="210"/>
      <c r="I520" s="79"/>
      <c r="J520" s="210"/>
      <c r="K520" s="210"/>
      <c r="L520" s="210" t="str">
        <f t="shared" si="1"/>
        <v/>
      </c>
      <c r="M520" s="79"/>
      <c r="N520" s="207"/>
      <c r="O520" s="207"/>
      <c r="P520" s="207"/>
      <c r="Q520" s="207"/>
    </row>
    <row r="521" spans="1:17" ht="34.5" customHeight="1">
      <c r="A521" s="82"/>
      <c r="B521" s="205" t="str">
        <f t="shared" si="2"/>
        <v/>
      </c>
      <c r="C521" s="206" t="str">
        <f t="shared" si="3"/>
        <v/>
      </c>
      <c r="D521" s="207" t="str">
        <f t="shared" si="0"/>
        <v/>
      </c>
      <c r="E521" s="207"/>
      <c r="F521" s="205" t="str">
        <f>IF(E521="","",VLOOKUP(E521,'ARAMA LİSTELERİ'!C521:G2560,5,))</f>
        <v/>
      </c>
      <c r="G521" s="207"/>
      <c r="H521" s="210"/>
      <c r="I521" s="79"/>
      <c r="J521" s="210"/>
      <c r="K521" s="210"/>
      <c r="L521" s="210" t="str">
        <f t="shared" si="1"/>
        <v/>
      </c>
      <c r="M521" s="79"/>
      <c r="N521" s="207"/>
      <c r="O521" s="207"/>
      <c r="P521" s="207"/>
      <c r="Q521" s="207"/>
    </row>
    <row r="522" spans="1:17" ht="34.5" customHeight="1">
      <c r="A522" s="82"/>
      <c r="B522" s="205" t="str">
        <f t="shared" si="2"/>
        <v/>
      </c>
      <c r="C522" s="206" t="str">
        <f t="shared" si="3"/>
        <v/>
      </c>
      <c r="D522" s="207" t="str">
        <f t="shared" si="0"/>
        <v/>
      </c>
      <c r="E522" s="207"/>
      <c r="F522" s="205" t="str">
        <f>IF(E522="","",VLOOKUP(E522,'ARAMA LİSTELERİ'!C522:G2561,5,))</f>
        <v/>
      </c>
      <c r="G522" s="207"/>
      <c r="H522" s="210"/>
      <c r="I522" s="79"/>
      <c r="J522" s="210"/>
      <c r="K522" s="210"/>
      <c r="L522" s="210" t="str">
        <f t="shared" si="1"/>
        <v/>
      </c>
      <c r="M522" s="79"/>
      <c r="N522" s="207"/>
      <c r="O522" s="207"/>
      <c r="P522" s="207"/>
      <c r="Q522" s="207"/>
    </row>
    <row r="523" spans="1:17" ht="34.5" customHeight="1">
      <c r="A523" s="82"/>
      <c r="B523" s="205" t="str">
        <f t="shared" si="2"/>
        <v/>
      </c>
      <c r="C523" s="206" t="str">
        <f t="shared" si="3"/>
        <v/>
      </c>
      <c r="D523" s="207" t="str">
        <f t="shared" si="0"/>
        <v/>
      </c>
      <c r="E523" s="207"/>
      <c r="F523" s="205" t="str">
        <f>IF(E523="","",VLOOKUP(E523,'ARAMA LİSTELERİ'!C523:G2562,5,))</f>
        <v/>
      </c>
      <c r="G523" s="207"/>
      <c r="H523" s="210"/>
      <c r="I523" s="79"/>
      <c r="J523" s="210"/>
      <c r="K523" s="210"/>
      <c r="L523" s="210" t="str">
        <f t="shared" si="1"/>
        <v/>
      </c>
      <c r="M523" s="79"/>
      <c r="N523" s="207"/>
      <c r="O523" s="207"/>
      <c r="P523" s="207"/>
      <c r="Q523" s="207"/>
    </row>
    <row r="524" spans="1:17" ht="34.5" customHeight="1">
      <c r="A524" s="82"/>
      <c r="B524" s="205" t="str">
        <f t="shared" si="2"/>
        <v/>
      </c>
      <c r="C524" s="206" t="str">
        <f t="shared" si="3"/>
        <v/>
      </c>
      <c r="D524" s="207" t="str">
        <f t="shared" si="0"/>
        <v/>
      </c>
      <c r="E524" s="207"/>
      <c r="F524" s="205" t="str">
        <f>IF(E524="","",VLOOKUP(E524,'ARAMA LİSTELERİ'!C524:G2563,5,))</f>
        <v/>
      </c>
      <c r="G524" s="207"/>
      <c r="H524" s="210"/>
      <c r="I524" s="79"/>
      <c r="J524" s="210"/>
      <c r="K524" s="210"/>
      <c r="L524" s="210" t="str">
        <f t="shared" si="1"/>
        <v/>
      </c>
      <c r="M524" s="79"/>
      <c r="N524" s="207"/>
      <c r="O524" s="207"/>
      <c r="P524" s="207"/>
      <c r="Q524" s="207"/>
    </row>
    <row r="525" spans="1:17" ht="34.5" customHeight="1">
      <c r="A525" s="82"/>
      <c r="B525" s="205" t="str">
        <f t="shared" si="2"/>
        <v/>
      </c>
      <c r="C525" s="206" t="str">
        <f t="shared" si="3"/>
        <v/>
      </c>
      <c r="D525" s="207" t="str">
        <f t="shared" si="0"/>
        <v/>
      </c>
      <c r="E525" s="207"/>
      <c r="F525" s="205" t="str">
        <f>IF(E525="","",VLOOKUP(E525,'ARAMA LİSTELERİ'!C525:G2564,5,))</f>
        <v/>
      </c>
      <c r="G525" s="207"/>
      <c r="H525" s="210"/>
      <c r="I525" s="79"/>
      <c r="J525" s="210"/>
      <c r="K525" s="210"/>
      <c r="L525" s="210" t="str">
        <f t="shared" si="1"/>
        <v/>
      </c>
      <c r="M525" s="79"/>
      <c r="N525" s="207"/>
      <c r="O525" s="207"/>
      <c r="P525" s="207"/>
      <c r="Q525" s="207"/>
    </row>
    <row r="526" spans="1:17" ht="34.5" customHeight="1">
      <c r="A526" s="82"/>
      <c r="B526" s="205" t="str">
        <f t="shared" si="2"/>
        <v/>
      </c>
      <c r="C526" s="206" t="str">
        <f t="shared" si="3"/>
        <v/>
      </c>
      <c r="D526" s="207" t="str">
        <f t="shared" si="0"/>
        <v/>
      </c>
      <c r="E526" s="207"/>
      <c r="F526" s="205" t="str">
        <f>IF(E526="","",VLOOKUP(E526,'ARAMA LİSTELERİ'!C526:G2565,5,))</f>
        <v/>
      </c>
      <c r="G526" s="207"/>
      <c r="H526" s="210"/>
      <c r="I526" s="79"/>
      <c r="J526" s="210"/>
      <c r="K526" s="210"/>
      <c r="L526" s="210" t="str">
        <f t="shared" si="1"/>
        <v/>
      </c>
      <c r="M526" s="79"/>
      <c r="N526" s="207"/>
      <c r="O526" s="207"/>
      <c r="P526" s="207"/>
      <c r="Q526" s="207"/>
    </row>
    <row r="527" spans="1:17" ht="34.5" customHeight="1">
      <c r="A527" s="82"/>
      <c r="B527" s="205" t="str">
        <f t="shared" si="2"/>
        <v/>
      </c>
      <c r="C527" s="206" t="str">
        <f t="shared" si="3"/>
        <v/>
      </c>
      <c r="D527" s="207" t="str">
        <f t="shared" si="0"/>
        <v/>
      </c>
      <c r="E527" s="207"/>
      <c r="F527" s="205" t="str">
        <f>IF(E527="","",VLOOKUP(E527,'ARAMA LİSTELERİ'!C527:G2566,5,))</f>
        <v/>
      </c>
      <c r="G527" s="207"/>
      <c r="H527" s="210"/>
      <c r="I527" s="79"/>
      <c r="J527" s="210"/>
      <c r="K527" s="210"/>
      <c r="L527" s="210" t="str">
        <f t="shared" si="1"/>
        <v/>
      </c>
      <c r="M527" s="79"/>
      <c r="N527" s="207"/>
      <c r="O527" s="207"/>
      <c r="P527" s="207"/>
      <c r="Q527" s="207"/>
    </row>
    <row r="528" spans="1:17" ht="34.5" customHeight="1">
      <c r="A528" s="82"/>
      <c r="B528" s="205" t="str">
        <f t="shared" si="2"/>
        <v/>
      </c>
      <c r="C528" s="206" t="str">
        <f t="shared" si="3"/>
        <v/>
      </c>
      <c r="D528" s="207" t="str">
        <f t="shared" si="0"/>
        <v/>
      </c>
      <c r="E528" s="207"/>
      <c r="F528" s="205" t="str">
        <f>IF(E528="","",VLOOKUP(E528,'ARAMA LİSTELERİ'!C528:G2567,5,))</f>
        <v/>
      </c>
      <c r="G528" s="207"/>
      <c r="H528" s="210"/>
      <c r="I528" s="79"/>
      <c r="J528" s="210"/>
      <c r="K528" s="210"/>
      <c r="L528" s="210" t="str">
        <f t="shared" si="1"/>
        <v/>
      </c>
      <c r="M528" s="79"/>
      <c r="N528" s="207"/>
      <c r="O528" s="207"/>
      <c r="P528" s="207"/>
      <c r="Q528" s="207"/>
    </row>
    <row r="529" spans="1:17" ht="34.5" customHeight="1">
      <c r="A529" s="82"/>
      <c r="B529" s="205" t="str">
        <f t="shared" si="2"/>
        <v/>
      </c>
      <c r="C529" s="206" t="str">
        <f t="shared" si="3"/>
        <v/>
      </c>
      <c r="D529" s="207" t="str">
        <f t="shared" si="0"/>
        <v/>
      </c>
      <c r="E529" s="207"/>
      <c r="F529" s="205" t="str">
        <f>IF(E529="","",VLOOKUP(E529,'ARAMA LİSTELERİ'!C529:G2568,5,))</f>
        <v/>
      </c>
      <c r="G529" s="207"/>
      <c r="H529" s="210"/>
      <c r="I529" s="79"/>
      <c r="J529" s="210"/>
      <c r="K529" s="210"/>
      <c r="L529" s="210" t="str">
        <f t="shared" si="1"/>
        <v/>
      </c>
      <c r="M529" s="79"/>
      <c r="N529" s="207"/>
      <c r="O529" s="207"/>
      <c r="P529" s="207"/>
      <c r="Q529" s="207"/>
    </row>
    <row r="530" spans="1:17" ht="34.5" customHeight="1">
      <c r="A530" s="82"/>
      <c r="B530" s="205" t="str">
        <f t="shared" si="2"/>
        <v/>
      </c>
      <c r="C530" s="206" t="str">
        <f t="shared" si="3"/>
        <v/>
      </c>
      <c r="D530" s="207" t="str">
        <f t="shared" si="0"/>
        <v/>
      </c>
      <c r="E530" s="207"/>
      <c r="F530" s="205" t="str">
        <f>IF(E530="","",VLOOKUP(E530,'ARAMA LİSTELERİ'!C530:G2569,5,))</f>
        <v/>
      </c>
      <c r="G530" s="207"/>
      <c r="H530" s="210"/>
      <c r="I530" s="79"/>
      <c r="J530" s="210"/>
      <c r="K530" s="210"/>
      <c r="L530" s="210" t="str">
        <f t="shared" si="1"/>
        <v/>
      </c>
      <c r="M530" s="79"/>
      <c r="N530" s="207"/>
      <c r="O530" s="207"/>
      <c r="P530" s="207"/>
      <c r="Q530" s="207"/>
    </row>
    <row r="531" spans="1:17" ht="34.5" customHeight="1">
      <c r="A531" s="82"/>
      <c r="B531" s="205" t="str">
        <f t="shared" si="2"/>
        <v/>
      </c>
      <c r="C531" s="206" t="str">
        <f t="shared" si="3"/>
        <v/>
      </c>
      <c r="D531" s="207" t="str">
        <f t="shared" si="0"/>
        <v/>
      </c>
      <c r="E531" s="207"/>
      <c r="F531" s="205" t="str">
        <f>IF(E531="","",VLOOKUP(E531,'ARAMA LİSTELERİ'!C531:G2570,5,))</f>
        <v/>
      </c>
      <c r="G531" s="207"/>
      <c r="H531" s="210"/>
      <c r="I531" s="79"/>
      <c r="J531" s="210"/>
      <c r="K531" s="210"/>
      <c r="L531" s="210" t="str">
        <f t="shared" si="1"/>
        <v/>
      </c>
      <c r="M531" s="79"/>
      <c r="N531" s="207"/>
      <c r="O531" s="207"/>
      <c r="P531" s="207"/>
      <c r="Q531" s="207"/>
    </row>
    <row r="532" spans="1:17" ht="34.5" customHeight="1">
      <c r="A532" s="82"/>
      <c r="B532" s="205" t="str">
        <f t="shared" si="2"/>
        <v/>
      </c>
      <c r="C532" s="206" t="str">
        <f t="shared" si="3"/>
        <v/>
      </c>
      <c r="D532" s="207" t="str">
        <f t="shared" si="0"/>
        <v/>
      </c>
      <c r="E532" s="207"/>
      <c r="F532" s="205" t="str">
        <f>IF(E532="","",VLOOKUP(E532,'ARAMA LİSTELERİ'!C532:G2571,5,))</f>
        <v/>
      </c>
      <c r="G532" s="207"/>
      <c r="H532" s="210"/>
      <c r="I532" s="79"/>
      <c r="J532" s="210"/>
      <c r="K532" s="210"/>
      <c r="L532" s="210" t="str">
        <f t="shared" si="1"/>
        <v/>
      </c>
      <c r="M532" s="79"/>
      <c r="N532" s="207"/>
      <c r="O532" s="207"/>
      <c r="P532" s="207"/>
      <c r="Q532" s="207"/>
    </row>
    <row r="533" spans="1:17" ht="34.5" customHeight="1">
      <c r="A533" s="82"/>
      <c r="B533" s="205" t="str">
        <f t="shared" si="2"/>
        <v/>
      </c>
      <c r="C533" s="206" t="str">
        <f t="shared" si="3"/>
        <v/>
      </c>
      <c r="D533" s="207" t="str">
        <f t="shared" si="0"/>
        <v/>
      </c>
      <c r="E533" s="207"/>
      <c r="F533" s="205" t="str">
        <f>IF(E533="","",VLOOKUP(E533,'ARAMA LİSTELERİ'!C533:G2572,5,))</f>
        <v/>
      </c>
      <c r="G533" s="207"/>
      <c r="H533" s="210"/>
      <c r="I533" s="79"/>
      <c r="J533" s="210"/>
      <c r="K533" s="210"/>
      <c r="L533" s="210" t="str">
        <f t="shared" si="1"/>
        <v/>
      </c>
      <c r="M533" s="79"/>
      <c r="N533" s="207"/>
      <c r="O533" s="207"/>
      <c r="P533" s="207"/>
      <c r="Q533" s="207"/>
    </row>
    <row r="534" spans="1:17" ht="34.5" customHeight="1">
      <c r="A534" s="82"/>
      <c r="B534" s="205" t="str">
        <f t="shared" si="2"/>
        <v/>
      </c>
      <c r="C534" s="206" t="str">
        <f t="shared" si="3"/>
        <v/>
      </c>
      <c r="D534" s="207" t="str">
        <f t="shared" si="0"/>
        <v/>
      </c>
      <c r="E534" s="207"/>
      <c r="F534" s="205" t="str">
        <f>IF(E534="","",VLOOKUP(E534,'ARAMA LİSTELERİ'!C534:G2573,5,))</f>
        <v/>
      </c>
      <c r="G534" s="207"/>
      <c r="H534" s="210"/>
      <c r="I534" s="79"/>
      <c r="J534" s="210"/>
      <c r="K534" s="210"/>
      <c r="L534" s="210" t="str">
        <f t="shared" si="1"/>
        <v/>
      </c>
      <c r="M534" s="79"/>
      <c r="N534" s="207"/>
      <c r="O534" s="207"/>
      <c r="P534" s="207"/>
      <c r="Q534" s="207"/>
    </row>
    <row r="535" spans="1:17" ht="34.5" customHeight="1">
      <c r="A535" s="82"/>
      <c r="B535" s="205" t="str">
        <f t="shared" si="2"/>
        <v/>
      </c>
      <c r="C535" s="206" t="str">
        <f t="shared" si="3"/>
        <v/>
      </c>
      <c r="D535" s="207" t="str">
        <f t="shared" si="0"/>
        <v/>
      </c>
      <c r="E535" s="207"/>
      <c r="F535" s="205" t="str">
        <f>IF(E535="","",VLOOKUP(E535,'ARAMA LİSTELERİ'!C535:G2574,5,))</f>
        <v/>
      </c>
      <c r="G535" s="207"/>
      <c r="H535" s="210"/>
      <c r="I535" s="79"/>
      <c r="J535" s="210"/>
      <c r="K535" s="210"/>
      <c r="L535" s="210" t="str">
        <f t="shared" si="1"/>
        <v/>
      </c>
      <c r="M535" s="79"/>
      <c r="N535" s="207"/>
      <c r="O535" s="207"/>
      <c r="P535" s="207"/>
      <c r="Q535" s="207"/>
    </row>
    <row r="536" spans="1:17" ht="34.5" customHeight="1">
      <c r="A536" s="82"/>
      <c r="B536" s="205" t="str">
        <f t="shared" si="2"/>
        <v/>
      </c>
      <c r="C536" s="206" t="str">
        <f t="shared" si="3"/>
        <v/>
      </c>
      <c r="D536" s="207" t="str">
        <f t="shared" si="0"/>
        <v/>
      </c>
      <c r="E536" s="207"/>
      <c r="F536" s="205" t="str">
        <f>IF(E536="","",VLOOKUP(E536,'ARAMA LİSTELERİ'!C536:G2575,5,))</f>
        <v/>
      </c>
      <c r="G536" s="207"/>
      <c r="H536" s="210"/>
      <c r="I536" s="79"/>
      <c r="J536" s="210"/>
      <c r="K536" s="210"/>
      <c r="L536" s="210" t="str">
        <f t="shared" si="1"/>
        <v/>
      </c>
      <c r="M536" s="79"/>
      <c r="N536" s="207"/>
      <c r="O536" s="207"/>
      <c r="P536" s="207"/>
      <c r="Q536" s="207"/>
    </row>
    <row r="537" spans="1:17" ht="34.5" customHeight="1">
      <c r="A537" s="82"/>
      <c r="B537" s="205" t="str">
        <f t="shared" si="2"/>
        <v/>
      </c>
      <c r="C537" s="206" t="str">
        <f t="shared" si="3"/>
        <v/>
      </c>
      <c r="D537" s="207" t="str">
        <f t="shared" si="0"/>
        <v/>
      </c>
      <c r="E537" s="207"/>
      <c r="F537" s="205" t="str">
        <f>IF(E537="","",VLOOKUP(E537,'ARAMA LİSTELERİ'!C537:G2576,5,))</f>
        <v/>
      </c>
      <c r="G537" s="207"/>
      <c r="H537" s="210"/>
      <c r="I537" s="79"/>
      <c r="J537" s="210"/>
      <c r="K537" s="210"/>
      <c r="L537" s="210" t="str">
        <f t="shared" si="1"/>
        <v/>
      </c>
      <c r="M537" s="79"/>
      <c r="N537" s="207"/>
      <c r="O537" s="207"/>
      <c r="P537" s="207"/>
      <c r="Q537" s="207"/>
    </row>
    <row r="538" spans="1:17" ht="34.5" customHeight="1">
      <c r="A538" s="82"/>
      <c r="B538" s="205" t="str">
        <f t="shared" si="2"/>
        <v/>
      </c>
      <c r="C538" s="206" t="str">
        <f t="shared" si="3"/>
        <v/>
      </c>
      <c r="D538" s="207" t="str">
        <f t="shared" si="0"/>
        <v/>
      </c>
      <c r="E538" s="207"/>
      <c r="F538" s="205" t="str">
        <f>IF(E538="","",VLOOKUP(E538,'ARAMA LİSTELERİ'!C538:G2577,5,))</f>
        <v/>
      </c>
      <c r="G538" s="207"/>
      <c r="H538" s="210"/>
      <c r="I538" s="79"/>
      <c r="J538" s="210"/>
      <c r="K538" s="210"/>
      <c r="L538" s="210" t="str">
        <f t="shared" si="1"/>
        <v/>
      </c>
      <c r="M538" s="79"/>
      <c r="N538" s="207"/>
      <c r="O538" s="207"/>
      <c r="P538" s="207"/>
      <c r="Q538" s="207"/>
    </row>
    <row r="539" spans="1:17" ht="34.5" customHeight="1">
      <c r="A539" s="82"/>
      <c r="B539" s="205" t="str">
        <f t="shared" si="2"/>
        <v/>
      </c>
      <c r="C539" s="206" t="str">
        <f t="shared" si="3"/>
        <v/>
      </c>
      <c r="D539" s="207" t="str">
        <f t="shared" si="0"/>
        <v/>
      </c>
      <c r="E539" s="207"/>
      <c r="F539" s="205" t="str">
        <f>IF(E539="","",VLOOKUP(E539,'ARAMA LİSTELERİ'!C539:G2578,5,))</f>
        <v/>
      </c>
      <c r="G539" s="207"/>
      <c r="H539" s="210"/>
      <c r="I539" s="79"/>
      <c r="J539" s="210"/>
      <c r="K539" s="210"/>
      <c r="L539" s="210" t="str">
        <f t="shared" si="1"/>
        <v/>
      </c>
      <c r="M539" s="79"/>
      <c r="N539" s="207"/>
      <c r="O539" s="207"/>
      <c r="P539" s="207"/>
      <c r="Q539" s="207"/>
    </row>
    <row r="540" spans="1:17" ht="34.5" customHeight="1">
      <c r="A540" s="82"/>
      <c r="B540" s="205" t="str">
        <f t="shared" si="2"/>
        <v/>
      </c>
      <c r="C540" s="206" t="str">
        <f t="shared" si="3"/>
        <v/>
      </c>
      <c r="D540" s="207" t="str">
        <f t="shared" si="0"/>
        <v/>
      </c>
      <c r="E540" s="207"/>
      <c r="F540" s="205" t="str">
        <f>IF(E540="","",VLOOKUP(E540,'ARAMA LİSTELERİ'!C540:G2579,5,))</f>
        <v/>
      </c>
      <c r="G540" s="207"/>
      <c r="H540" s="210"/>
      <c r="I540" s="79"/>
      <c r="J540" s="210"/>
      <c r="K540" s="210"/>
      <c r="L540" s="210" t="str">
        <f t="shared" si="1"/>
        <v/>
      </c>
      <c r="M540" s="79"/>
      <c r="N540" s="207"/>
      <c r="O540" s="207"/>
      <c r="P540" s="207"/>
      <c r="Q540" s="207"/>
    </row>
    <row r="541" spans="1:17" ht="34.5" customHeight="1">
      <c r="A541" s="82"/>
      <c r="B541" s="205" t="str">
        <f t="shared" si="2"/>
        <v/>
      </c>
      <c r="C541" s="206" t="str">
        <f t="shared" si="3"/>
        <v/>
      </c>
      <c r="D541" s="207" t="str">
        <f t="shared" si="0"/>
        <v/>
      </c>
      <c r="E541" s="207"/>
      <c r="F541" s="205" t="str">
        <f>IF(E541="","",VLOOKUP(E541,'ARAMA LİSTELERİ'!C541:G2580,5,))</f>
        <v/>
      </c>
      <c r="G541" s="207"/>
      <c r="H541" s="210"/>
      <c r="I541" s="79"/>
      <c r="J541" s="210"/>
      <c r="K541" s="210"/>
      <c r="L541" s="210" t="str">
        <f t="shared" si="1"/>
        <v/>
      </c>
      <c r="M541" s="79"/>
      <c r="N541" s="207"/>
      <c r="O541" s="207"/>
      <c r="P541" s="207"/>
      <c r="Q541" s="207"/>
    </row>
    <row r="542" spans="1:17" ht="34.5" customHeight="1">
      <c r="A542" s="82"/>
      <c r="B542" s="205" t="str">
        <f t="shared" si="2"/>
        <v/>
      </c>
      <c r="C542" s="206" t="str">
        <f t="shared" si="3"/>
        <v/>
      </c>
      <c r="D542" s="207" t="str">
        <f t="shared" si="0"/>
        <v/>
      </c>
      <c r="E542" s="207"/>
      <c r="F542" s="205" t="str">
        <f>IF(E542="","",VLOOKUP(E542,'ARAMA LİSTELERİ'!C542:G2581,5,))</f>
        <v/>
      </c>
      <c r="G542" s="207"/>
      <c r="H542" s="210"/>
      <c r="I542" s="79"/>
      <c r="J542" s="210"/>
      <c r="K542" s="210"/>
      <c r="L542" s="210" t="str">
        <f t="shared" si="1"/>
        <v/>
      </c>
      <c r="M542" s="79"/>
      <c r="N542" s="207"/>
      <c r="O542" s="207"/>
      <c r="P542" s="207"/>
      <c r="Q542" s="207"/>
    </row>
    <row r="543" spans="1:17" ht="34.5" customHeight="1">
      <c r="A543" s="82"/>
      <c r="B543" s="205" t="str">
        <f t="shared" si="2"/>
        <v/>
      </c>
      <c r="C543" s="206" t="str">
        <f t="shared" si="3"/>
        <v/>
      </c>
      <c r="D543" s="207" t="str">
        <f t="shared" si="0"/>
        <v/>
      </c>
      <c r="E543" s="207"/>
      <c r="F543" s="205" t="str">
        <f>IF(E543="","",VLOOKUP(E543,'ARAMA LİSTELERİ'!C543:G2582,5,))</f>
        <v/>
      </c>
      <c r="G543" s="207"/>
      <c r="H543" s="210"/>
      <c r="I543" s="79"/>
      <c r="J543" s="210"/>
      <c r="K543" s="210"/>
      <c r="L543" s="210" t="str">
        <f t="shared" si="1"/>
        <v/>
      </c>
      <c r="M543" s="79"/>
      <c r="N543" s="207"/>
      <c r="O543" s="207"/>
      <c r="P543" s="207"/>
      <c r="Q543" s="207"/>
    </row>
    <row r="544" spans="1:17" ht="34.5" customHeight="1">
      <c r="A544" s="82"/>
      <c r="B544" s="205" t="str">
        <f t="shared" si="2"/>
        <v/>
      </c>
      <c r="C544" s="206" t="str">
        <f t="shared" si="3"/>
        <v/>
      </c>
      <c r="D544" s="207" t="str">
        <f t="shared" si="0"/>
        <v/>
      </c>
      <c r="E544" s="207"/>
      <c r="F544" s="205" t="str">
        <f>IF(E544="","",VLOOKUP(E544,'ARAMA LİSTELERİ'!C544:G2583,5,))</f>
        <v/>
      </c>
      <c r="G544" s="207"/>
      <c r="H544" s="210"/>
      <c r="I544" s="79"/>
      <c r="J544" s="210"/>
      <c r="K544" s="210"/>
      <c r="L544" s="210" t="str">
        <f t="shared" si="1"/>
        <v/>
      </c>
      <c r="M544" s="79"/>
      <c r="N544" s="207"/>
      <c r="O544" s="207"/>
      <c r="P544" s="207"/>
      <c r="Q544" s="207"/>
    </row>
    <row r="545" spans="1:17" ht="34.5" customHeight="1">
      <c r="A545" s="82"/>
      <c r="B545" s="205" t="str">
        <f t="shared" si="2"/>
        <v/>
      </c>
      <c r="C545" s="206" t="str">
        <f t="shared" si="3"/>
        <v/>
      </c>
      <c r="D545" s="207" t="str">
        <f t="shared" si="0"/>
        <v/>
      </c>
      <c r="E545" s="207"/>
      <c r="F545" s="205" t="str">
        <f>IF(E545="","",VLOOKUP(E545,'ARAMA LİSTELERİ'!C545:G2584,5,))</f>
        <v/>
      </c>
      <c r="G545" s="207"/>
      <c r="H545" s="210"/>
      <c r="I545" s="79"/>
      <c r="J545" s="210"/>
      <c r="K545" s="210"/>
      <c r="L545" s="210" t="str">
        <f t="shared" si="1"/>
        <v/>
      </c>
      <c r="M545" s="79"/>
      <c r="N545" s="207"/>
      <c r="O545" s="207"/>
      <c r="P545" s="207"/>
      <c r="Q545" s="207"/>
    </row>
    <row r="546" spans="1:17" ht="34.5" customHeight="1">
      <c r="A546" s="82"/>
      <c r="B546" s="205" t="str">
        <f t="shared" si="2"/>
        <v/>
      </c>
      <c r="C546" s="206" t="str">
        <f t="shared" si="3"/>
        <v/>
      </c>
      <c r="D546" s="207" t="str">
        <f t="shared" si="0"/>
        <v/>
      </c>
      <c r="E546" s="207"/>
      <c r="F546" s="205" t="str">
        <f>IF(E546="","",VLOOKUP(E546,'ARAMA LİSTELERİ'!C546:G2585,5,))</f>
        <v/>
      </c>
      <c r="G546" s="207"/>
      <c r="H546" s="210"/>
      <c r="I546" s="79"/>
      <c r="J546" s="210"/>
      <c r="K546" s="210"/>
      <c r="L546" s="210" t="str">
        <f t="shared" si="1"/>
        <v/>
      </c>
      <c r="M546" s="79"/>
      <c r="N546" s="207"/>
      <c r="O546" s="207"/>
      <c r="P546" s="207"/>
      <c r="Q546" s="207"/>
    </row>
    <row r="547" spans="1:17" ht="34.5" customHeight="1">
      <c r="A547" s="82"/>
      <c r="B547" s="205" t="str">
        <f t="shared" si="2"/>
        <v/>
      </c>
      <c r="C547" s="206" t="str">
        <f t="shared" si="3"/>
        <v/>
      </c>
      <c r="D547" s="207" t="str">
        <f t="shared" si="0"/>
        <v/>
      </c>
      <c r="E547" s="207"/>
      <c r="F547" s="205" t="str">
        <f>IF(E547="","",VLOOKUP(E547,'ARAMA LİSTELERİ'!C547:G2586,5,))</f>
        <v/>
      </c>
      <c r="G547" s="207"/>
      <c r="H547" s="210"/>
      <c r="I547" s="79"/>
      <c r="J547" s="210"/>
      <c r="K547" s="210"/>
      <c r="L547" s="210" t="str">
        <f t="shared" si="1"/>
        <v/>
      </c>
      <c r="M547" s="79"/>
      <c r="N547" s="207"/>
      <c r="O547" s="207"/>
      <c r="P547" s="207"/>
      <c r="Q547" s="207"/>
    </row>
    <row r="548" spans="1:17" ht="34.5" customHeight="1">
      <c r="A548" s="82"/>
      <c r="B548" s="205" t="str">
        <f t="shared" si="2"/>
        <v/>
      </c>
      <c r="C548" s="206" t="str">
        <f t="shared" si="3"/>
        <v/>
      </c>
      <c r="D548" s="207" t="str">
        <f t="shared" si="0"/>
        <v/>
      </c>
      <c r="E548" s="207"/>
      <c r="F548" s="205" t="str">
        <f>IF(E548="","",VLOOKUP(E548,'ARAMA LİSTELERİ'!C548:G2587,5,))</f>
        <v/>
      </c>
      <c r="G548" s="207"/>
      <c r="H548" s="210"/>
      <c r="I548" s="79"/>
      <c r="J548" s="210"/>
      <c r="K548" s="210"/>
      <c r="L548" s="210" t="str">
        <f t="shared" si="1"/>
        <v/>
      </c>
      <c r="M548" s="79"/>
      <c r="N548" s="207"/>
      <c r="O548" s="207"/>
      <c r="P548" s="207"/>
      <c r="Q548" s="207"/>
    </row>
    <row r="549" spans="1:17" ht="34.5" customHeight="1">
      <c r="A549" s="82"/>
      <c r="B549" s="205" t="str">
        <f t="shared" si="2"/>
        <v/>
      </c>
      <c r="C549" s="206" t="str">
        <f t="shared" si="3"/>
        <v/>
      </c>
      <c r="D549" s="207" t="str">
        <f t="shared" si="0"/>
        <v/>
      </c>
      <c r="E549" s="207"/>
      <c r="F549" s="205" t="str">
        <f>IF(E549="","",VLOOKUP(E549,'ARAMA LİSTELERİ'!C549:G2588,5,))</f>
        <v/>
      </c>
      <c r="G549" s="207"/>
      <c r="H549" s="210"/>
      <c r="I549" s="79"/>
      <c r="J549" s="210"/>
      <c r="K549" s="210"/>
      <c r="L549" s="210" t="str">
        <f t="shared" si="1"/>
        <v/>
      </c>
      <c r="M549" s="79"/>
      <c r="N549" s="207"/>
      <c r="O549" s="207"/>
      <c r="P549" s="207"/>
      <c r="Q549" s="207"/>
    </row>
    <row r="550" spans="1:17" ht="34.5" customHeight="1">
      <c r="A550" s="82"/>
      <c r="B550" s="205" t="str">
        <f t="shared" si="2"/>
        <v/>
      </c>
      <c r="C550" s="206" t="str">
        <f t="shared" si="3"/>
        <v/>
      </c>
      <c r="D550" s="207" t="str">
        <f t="shared" si="0"/>
        <v/>
      </c>
      <c r="E550" s="207"/>
      <c r="F550" s="205" t="str">
        <f>IF(E550="","",VLOOKUP(E550,'ARAMA LİSTELERİ'!C550:G2589,5,))</f>
        <v/>
      </c>
      <c r="G550" s="207"/>
      <c r="H550" s="210"/>
      <c r="I550" s="79"/>
      <c r="J550" s="210"/>
      <c r="K550" s="210"/>
      <c r="L550" s="210" t="str">
        <f t="shared" si="1"/>
        <v/>
      </c>
      <c r="M550" s="79"/>
      <c r="N550" s="207"/>
      <c r="O550" s="207"/>
      <c r="P550" s="207"/>
      <c r="Q550" s="207"/>
    </row>
    <row r="551" spans="1:17" ht="34.5" customHeight="1">
      <c r="A551" s="82"/>
      <c r="B551" s="205" t="str">
        <f t="shared" si="2"/>
        <v/>
      </c>
      <c r="C551" s="206" t="str">
        <f t="shared" si="3"/>
        <v/>
      </c>
      <c r="D551" s="207" t="str">
        <f t="shared" si="0"/>
        <v/>
      </c>
      <c r="E551" s="207"/>
      <c r="F551" s="205" t="str">
        <f>IF(E551="","",VLOOKUP(E551,'ARAMA LİSTELERİ'!C551:G2590,5,))</f>
        <v/>
      </c>
      <c r="G551" s="207"/>
      <c r="H551" s="210"/>
      <c r="I551" s="79"/>
      <c r="J551" s="210"/>
      <c r="K551" s="210"/>
      <c r="L551" s="210" t="str">
        <f t="shared" si="1"/>
        <v/>
      </c>
      <c r="M551" s="79"/>
      <c r="N551" s="207"/>
      <c r="O551" s="207"/>
      <c r="P551" s="207"/>
      <c r="Q551" s="207"/>
    </row>
    <row r="552" spans="1:17" ht="34.5" customHeight="1">
      <c r="A552" s="82"/>
      <c r="B552" s="205" t="str">
        <f t="shared" si="2"/>
        <v/>
      </c>
      <c r="C552" s="206" t="str">
        <f t="shared" si="3"/>
        <v/>
      </c>
      <c r="D552" s="207" t="str">
        <f t="shared" si="0"/>
        <v/>
      </c>
      <c r="E552" s="207"/>
      <c r="F552" s="205" t="str">
        <f>IF(E552="","",VLOOKUP(E552,'ARAMA LİSTELERİ'!C552:G2591,5,))</f>
        <v/>
      </c>
      <c r="G552" s="207"/>
      <c r="H552" s="210"/>
      <c r="I552" s="79"/>
      <c r="J552" s="210"/>
      <c r="K552" s="210"/>
      <c r="L552" s="210" t="str">
        <f t="shared" si="1"/>
        <v/>
      </c>
      <c r="M552" s="79"/>
      <c r="N552" s="207"/>
      <c r="O552" s="207"/>
      <c r="P552" s="207"/>
      <c r="Q552" s="207"/>
    </row>
    <row r="553" spans="1:17" ht="34.5" customHeight="1">
      <c r="A553" s="82"/>
      <c r="B553" s="205" t="str">
        <f t="shared" si="2"/>
        <v/>
      </c>
      <c r="C553" s="206" t="str">
        <f t="shared" si="3"/>
        <v/>
      </c>
      <c r="D553" s="207" t="str">
        <f t="shared" si="0"/>
        <v/>
      </c>
      <c r="E553" s="207"/>
      <c r="F553" s="205" t="str">
        <f>IF(E553="","",VLOOKUP(E553,'ARAMA LİSTELERİ'!C553:G2592,5,))</f>
        <v/>
      </c>
      <c r="G553" s="207"/>
      <c r="H553" s="210"/>
      <c r="I553" s="79"/>
      <c r="J553" s="210"/>
      <c r="K553" s="210"/>
      <c r="L553" s="210" t="str">
        <f t="shared" si="1"/>
        <v/>
      </c>
      <c r="M553" s="79"/>
      <c r="N553" s="207"/>
      <c r="O553" s="207"/>
      <c r="P553" s="207"/>
      <c r="Q553" s="207"/>
    </row>
    <row r="554" spans="1:17" ht="34.5" customHeight="1">
      <c r="A554" s="82"/>
      <c r="B554" s="205" t="str">
        <f t="shared" si="2"/>
        <v/>
      </c>
      <c r="C554" s="206" t="str">
        <f t="shared" si="3"/>
        <v/>
      </c>
      <c r="D554" s="207" t="str">
        <f t="shared" si="0"/>
        <v/>
      </c>
      <c r="E554" s="207"/>
      <c r="F554" s="205" t="str">
        <f>IF(E554="","",VLOOKUP(E554,'ARAMA LİSTELERİ'!C554:G2593,5,))</f>
        <v/>
      </c>
      <c r="G554" s="207"/>
      <c r="H554" s="210"/>
      <c r="I554" s="79"/>
      <c r="J554" s="210"/>
      <c r="K554" s="210"/>
      <c r="L554" s="210" t="str">
        <f t="shared" si="1"/>
        <v/>
      </c>
      <c r="M554" s="79"/>
      <c r="N554" s="207"/>
      <c r="O554" s="207"/>
      <c r="P554" s="207"/>
      <c r="Q554" s="207"/>
    </row>
    <row r="555" spans="1:17" ht="34.5" customHeight="1">
      <c r="A555" s="82"/>
      <c r="B555" s="205" t="str">
        <f t="shared" si="2"/>
        <v/>
      </c>
      <c r="C555" s="206" t="str">
        <f t="shared" si="3"/>
        <v/>
      </c>
      <c r="D555" s="207" t="str">
        <f t="shared" si="0"/>
        <v/>
      </c>
      <c r="E555" s="207"/>
      <c r="F555" s="205" t="str">
        <f>IF(E555="","",VLOOKUP(E555,'ARAMA LİSTELERİ'!C555:G2594,5,))</f>
        <v/>
      </c>
      <c r="G555" s="207"/>
      <c r="H555" s="210"/>
      <c r="I555" s="79"/>
      <c r="J555" s="210"/>
      <c r="K555" s="210"/>
      <c r="L555" s="210" t="str">
        <f t="shared" si="1"/>
        <v/>
      </c>
      <c r="M555" s="79"/>
      <c r="N555" s="207"/>
      <c r="O555" s="207"/>
      <c r="P555" s="207"/>
      <c r="Q555" s="207"/>
    </row>
    <row r="556" spans="1:17" ht="34.5" customHeight="1">
      <c r="A556" s="82"/>
      <c r="B556" s="205" t="str">
        <f t="shared" si="2"/>
        <v/>
      </c>
      <c r="C556" s="206" t="str">
        <f t="shared" si="3"/>
        <v/>
      </c>
      <c r="D556" s="207" t="str">
        <f t="shared" si="0"/>
        <v/>
      </c>
      <c r="E556" s="207"/>
      <c r="F556" s="205" t="str">
        <f>IF(E556="","",VLOOKUP(E556,'ARAMA LİSTELERİ'!C556:G2595,5,))</f>
        <v/>
      </c>
      <c r="G556" s="207"/>
      <c r="H556" s="210"/>
      <c r="I556" s="79"/>
      <c r="J556" s="210"/>
      <c r="K556" s="210"/>
      <c r="L556" s="210" t="str">
        <f t="shared" si="1"/>
        <v/>
      </c>
      <c r="M556" s="79"/>
      <c r="N556" s="207"/>
      <c r="O556" s="207"/>
      <c r="P556" s="207"/>
      <c r="Q556" s="207"/>
    </row>
    <row r="557" spans="1:17" ht="34.5" customHeight="1">
      <c r="A557" s="82"/>
      <c r="B557" s="205" t="str">
        <f t="shared" si="2"/>
        <v/>
      </c>
      <c r="C557" s="206" t="str">
        <f t="shared" si="3"/>
        <v/>
      </c>
      <c r="D557" s="207" t="str">
        <f t="shared" si="0"/>
        <v/>
      </c>
      <c r="E557" s="207"/>
      <c r="F557" s="205" t="str">
        <f>IF(E557="","",VLOOKUP(E557,'ARAMA LİSTELERİ'!C557:G2596,5,))</f>
        <v/>
      </c>
      <c r="G557" s="207"/>
      <c r="H557" s="210"/>
      <c r="I557" s="79"/>
      <c r="J557" s="210"/>
      <c r="K557" s="210"/>
      <c r="L557" s="210" t="str">
        <f t="shared" si="1"/>
        <v/>
      </c>
      <c r="M557" s="79"/>
      <c r="N557" s="207"/>
      <c r="O557" s="207"/>
      <c r="P557" s="207"/>
      <c r="Q557" s="207"/>
    </row>
    <row r="558" spans="1:17" ht="34.5" customHeight="1">
      <c r="A558" s="82"/>
      <c r="B558" s="205" t="str">
        <f t="shared" si="2"/>
        <v/>
      </c>
      <c r="C558" s="206" t="str">
        <f t="shared" si="3"/>
        <v/>
      </c>
      <c r="D558" s="207" t="str">
        <f t="shared" si="0"/>
        <v/>
      </c>
      <c r="E558" s="207"/>
      <c r="F558" s="205" t="str">
        <f>IF(E558="","",VLOOKUP(E558,'ARAMA LİSTELERİ'!C558:G2597,5,))</f>
        <v/>
      </c>
      <c r="G558" s="207"/>
      <c r="H558" s="210"/>
      <c r="I558" s="79"/>
      <c r="J558" s="210"/>
      <c r="K558" s="210"/>
      <c r="L558" s="210" t="str">
        <f t="shared" si="1"/>
        <v/>
      </c>
      <c r="M558" s="79"/>
      <c r="N558" s="207"/>
      <c r="O558" s="207"/>
      <c r="P558" s="207"/>
      <c r="Q558" s="207"/>
    </row>
    <row r="559" spans="1:17" ht="34.5" customHeight="1">
      <c r="A559" s="82"/>
      <c r="B559" s="205" t="str">
        <f t="shared" si="2"/>
        <v/>
      </c>
      <c r="C559" s="206" t="str">
        <f t="shared" si="3"/>
        <v/>
      </c>
      <c r="D559" s="207" t="str">
        <f t="shared" si="0"/>
        <v/>
      </c>
      <c r="E559" s="207"/>
      <c r="F559" s="205" t="str">
        <f>IF(E559="","",VLOOKUP(E559,'ARAMA LİSTELERİ'!C559:G2598,5,))</f>
        <v/>
      </c>
      <c r="G559" s="207"/>
      <c r="H559" s="210"/>
      <c r="I559" s="79"/>
      <c r="J559" s="210"/>
      <c r="K559" s="210"/>
      <c r="L559" s="210" t="str">
        <f t="shared" si="1"/>
        <v/>
      </c>
      <c r="M559" s="79"/>
      <c r="N559" s="207"/>
      <c r="O559" s="207"/>
      <c r="P559" s="207"/>
      <c r="Q559" s="207"/>
    </row>
    <row r="560" spans="1:17" ht="34.5" customHeight="1">
      <c r="A560" s="82"/>
      <c r="B560" s="205" t="str">
        <f t="shared" si="2"/>
        <v/>
      </c>
      <c r="C560" s="206" t="str">
        <f t="shared" si="3"/>
        <v/>
      </c>
      <c r="D560" s="207" t="str">
        <f t="shared" si="0"/>
        <v/>
      </c>
      <c r="E560" s="207"/>
      <c r="F560" s="205" t="str">
        <f>IF(E560="","",VLOOKUP(E560,'ARAMA LİSTELERİ'!C560:G2599,5,))</f>
        <v/>
      </c>
      <c r="G560" s="207"/>
      <c r="H560" s="210"/>
      <c r="I560" s="79"/>
      <c r="J560" s="210"/>
      <c r="K560" s="210"/>
      <c r="L560" s="210" t="str">
        <f t="shared" si="1"/>
        <v/>
      </c>
      <c r="M560" s="79"/>
      <c r="N560" s="207"/>
      <c r="O560" s="207"/>
      <c r="P560" s="207"/>
      <c r="Q560" s="207"/>
    </row>
    <row r="561" spans="1:17" ht="34.5" customHeight="1">
      <c r="A561" s="82"/>
      <c r="B561" s="205" t="str">
        <f t="shared" si="2"/>
        <v/>
      </c>
      <c r="C561" s="206" t="str">
        <f t="shared" si="3"/>
        <v/>
      </c>
      <c r="D561" s="207" t="str">
        <f t="shared" si="0"/>
        <v/>
      </c>
      <c r="E561" s="207"/>
      <c r="F561" s="205" t="str">
        <f>IF(E561="","",VLOOKUP(E561,'ARAMA LİSTELERİ'!C561:G2600,5,))</f>
        <v/>
      </c>
      <c r="G561" s="207"/>
      <c r="H561" s="210"/>
      <c r="I561" s="79"/>
      <c r="J561" s="210"/>
      <c r="K561" s="210"/>
      <c r="L561" s="210" t="str">
        <f t="shared" si="1"/>
        <v/>
      </c>
      <c r="M561" s="79"/>
      <c r="N561" s="207"/>
      <c r="O561" s="207"/>
      <c r="P561" s="207"/>
      <c r="Q561" s="207"/>
    </row>
    <row r="562" spans="1:17" ht="34.5" customHeight="1">
      <c r="A562" s="82"/>
      <c r="B562" s="205" t="str">
        <f t="shared" si="2"/>
        <v/>
      </c>
      <c r="C562" s="206" t="str">
        <f t="shared" si="3"/>
        <v/>
      </c>
      <c r="D562" s="207" t="str">
        <f t="shared" si="0"/>
        <v/>
      </c>
      <c r="E562" s="207"/>
      <c r="F562" s="205" t="str">
        <f>IF(E562="","",VLOOKUP(E562,'ARAMA LİSTELERİ'!C562:G2601,5,))</f>
        <v/>
      </c>
      <c r="G562" s="207"/>
      <c r="H562" s="210"/>
      <c r="I562" s="79"/>
      <c r="J562" s="210"/>
      <c r="K562" s="210"/>
      <c r="L562" s="210" t="str">
        <f t="shared" si="1"/>
        <v/>
      </c>
      <c r="M562" s="79"/>
      <c r="N562" s="207"/>
      <c r="O562" s="207"/>
      <c r="P562" s="207"/>
      <c r="Q562" s="207"/>
    </row>
    <row r="563" spans="1:17" ht="34.5" customHeight="1">
      <c r="A563" s="82"/>
      <c r="B563" s="205" t="str">
        <f t="shared" si="2"/>
        <v/>
      </c>
      <c r="C563" s="206" t="str">
        <f t="shared" si="3"/>
        <v/>
      </c>
      <c r="D563" s="207" t="str">
        <f t="shared" si="0"/>
        <v/>
      </c>
      <c r="E563" s="207"/>
      <c r="F563" s="205" t="str">
        <f>IF(E563="","",VLOOKUP(E563,'ARAMA LİSTELERİ'!C563:G2602,5,))</f>
        <v/>
      </c>
      <c r="G563" s="207"/>
      <c r="H563" s="210"/>
      <c r="I563" s="79"/>
      <c r="J563" s="210"/>
      <c r="K563" s="210"/>
      <c r="L563" s="210" t="str">
        <f t="shared" si="1"/>
        <v/>
      </c>
      <c r="M563" s="79"/>
      <c r="N563" s="207"/>
      <c r="O563" s="207"/>
      <c r="P563" s="207"/>
      <c r="Q563" s="207"/>
    </row>
    <row r="564" spans="1:17" ht="34.5" customHeight="1">
      <c r="A564" s="82"/>
      <c r="B564" s="205" t="str">
        <f t="shared" si="2"/>
        <v/>
      </c>
      <c r="C564" s="206" t="str">
        <f t="shared" si="3"/>
        <v/>
      </c>
      <c r="D564" s="207" t="str">
        <f t="shared" si="0"/>
        <v/>
      </c>
      <c r="E564" s="207"/>
      <c r="F564" s="205" t="str">
        <f>IF(E564="","",VLOOKUP(E564,'ARAMA LİSTELERİ'!C564:G2603,5,))</f>
        <v/>
      </c>
      <c r="G564" s="207"/>
      <c r="H564" s="210"/>
      <c r="I564" s="79"/>
      <c r="J564" s="210"/>
      <c r="K564" s="210"/>
      <c r="L564" s="210" t="str">
        <f t="shared" si="1"/>
        <v/>
      </c>
      <c r="M564" s="79"/>
      <c r="N564" s="207"/>
      <c r="O564" s="207"/>
      <c r="P564" s="207"/>
      <c r="Q564" s="207"/>
    </row>
    <row r="565" spans="1:17" ht="34.5" customHeight="1">
      <c r="A565" s="82"/>
      <c r="B565" s="205" t="str">
        <f t="shared" si="2"/>
        <v/>
      </c>
      <c r="C565" s="206" t="str">
        <f t="shared" si="3"/>
        <v/>
      </c>
      <c r="D565" s="207" t="str">
        <f t="shared" si="0"/>
        <v/>
      </c>
      <c r="E565" s="207"/>
      <c r="F565" s="205" t="str">
        <f>IF(E565="","",VLOOKUP(E565,'ARAMA LİSTELERİ'!C565:G2604,5,))</f>
        <v/>
      </c>
      <c r="G565" s="207"/>
      <c r="H565" s="210"/>
      <c r="I565" s="79"/>
      <c r="J565" s="210"/>
      <c r="K565" s="210"/>
      <c r="L565" s="210" t="str">
        <f t="shared" si="1"/>
        <v/>
      </c>
      <c r="M565" s="79"/>
      <c r="N565" s="207"/>
      <c r="O565" s="207"/>
      <c r="P565" s="207"/>
      <c r="Q565" s="207"/>
    </row>
    <row r="566" spans="1:17" ht="34.5" customHeight="1">
      <c r="A566" s="82"/>
      <c r="B566" s="205" t="str">
        <f t="shared" si="2"/>
        <v/>
      </c>
      <c r="C566" s="206" t="str">
        <f t="shared" si="3"/>
        <v/>
      </c>
      <c r="D566" s="207" t="str">
        <f t="shared" si="0"/>
        <v/>
      </c>
      <c r="E566" s="207"/>
      <c r="F566" s="205" t="str">
        <f>IF(E566="","",VLOOKUP(E566,'ARAMA LİSTELERİ'!C566:G2605,5,))</f>
        <v/>
      </c>
      <c r="G566" s="207"/>
      <c r="H566" s="210"/>
      <c r="I566" s="79"/>
      <c r="J566" s="210"/>
      <c r="K566" s="210"/>
      <c r="L566" s="210" t="str">
        <f t="shared" si="1"/>
        <v/>
      </c>
      <c r="M566" s="79"/>
      <c r="N566" s="207"/>
      <c r="O566" s="207"/>
      <c r="P566" s="207"/>
      <c r="Q566" s="207"/>
    </row>
    <row r="567" spans="1:17" ht="34.5" customHeight="1">
      <c r="A567" s="82"/>
      <c r="B567" s="205" t="str">
        <f t="shared" si="2"/>
        <v/>
      </c>
      <c r="C567" s="206" t="str">
        <f t="shared" si="3"/>
        <v/>
      </c>
      <c r="D567" s="207" t="str">
        <f t="shared" si="0"/>
        <v/>
      </c>
      <c r="E567" s="207"/>
      <c r="F567" s="205" t="str">
        <f>IF(E567="","",VLOOKUP(E567,'ARAMA LİSTELERİ'!C567:G2606,5,))</f>
        <v/>
      </c>
      <c r="G567" s="207"/>
      <c r="H567" s="210"/>
      <c r="I567" s="79"/>
      <c r="J567" s="210"/>
      <c r="K567" s="210"/>
      <c r="L567" s="210" t="str">
        <f t="shared" si="1"/>
        <v/>
      </c>
      <c r="M567" s="79"/>
      <c r="N567" s="207"/>
      <c r="O567" s="207"/>
      <c r="P567" s="207"/>
      <c r="Q567" s="207"/>
    </row>
    <row r="568" spans="1:17" ht="34.5" customHeight="1">
      <c r="A568" s="82"/>
      <c r="B568" s="205" t="str">
        <f t="shared" si="2"/>
        <v/>
      </c>
      <c r="C568" s="206" t="str">
        <f t="shared" si="3"/>
        <v/>
      </c>
      <c r="D568" s="207" t="str">
        <f t="shared" si="0"/>
        <v/>
      </c>
      <c r="E568" s="207"/>
      <c r="F568" s="205" t="str">
        <f>IF(E568="","",VLOOKUP(E568,'ARAMA LİSTELERİ'!C568:G2607,5,))</f>
        <v/>
      </c>
      <c r="G568" s="207"/>
      <c r="H568" s="210"/>
      <c r="I568" s="79"/>
      <c r="J568" s="210"/>
      <c r="K568" s="210"/>
      <c r="L568" s="210" t="str">
        <f t="shared" si="1"/>
        <v/>
      </c>
      <c r="M568" s="79"/>
      <c r="N568" s="207"/>
      <c r="O568" s="207"/>
      <c r="P568" s="207"/>
      <c r="Q568" s="207"/>
    </row>
    <row r="569" spans="1:17" ht="34.5" customHeight="1">
      <c r="A569" s="82"/>
      <c r="B569" s="205" t="str">
        <f t="shared" si="2"/>
        <v/>
      </c>
      <c r="C569" s="206" t="str">
        <f t="shared" si="3"/>
        <v/>
      </c>
      <c r="D569" s="207" t="str">
        <f t="shared" si="0"/>
        <v/>
      </c>
      <c r="E569" s="207"/>
      <c r="F569" s="205" t="str">
        <f>IF(E569="","",VLOOKUP(E569,'ARAMA LİSTELERİ'!C569:G2608,5,))</f>
        <v/>
      </c>
      <c r="G569" s="207"/>
      <c r="H569" s="210"/>
      <c r="I569" s="79"/>
      <c r="J569" s="210"/>
      <c r="K569" s="210"/>
      <c r="L569" s="210" t="str">
        <f t="shared" si="1"/>
        <v/>
      </c>
      <c r="M569" s="79"/>
      <c r="N569" s="207"/>
      <c r="O569" s="207"/>
      <c r="P569" s="207"/>
      <c r="Q569" s="207"/>
    </row>
    <row r="570" spans="1:17" ht="34.5" customHeight="1">
      <c r="A570" s="82"/>
      <c r="B570" s="205" t="str">
        <f t="shared" si="2"/>
        <v/>
      </c>
      <c r="C570" s="206" t="str">
        <f t="shared" si="3"/>
        <v/>
      </c>
      <c r="D570" s="207" t="str">
        <f t="shared" si="0"/>
        <v/>
      </c>
      <c r="E570" s="207"/>
      <c r="F570" s="205" t="str">
        <f>IF(E570="","",VLOOKUP(E570,'ARAMA LİSTELERİ'!C570:G2609,5,))</f>
        <v/>
      </c>
      <c r="G570" s="207"/>
      <c r="H570" s="210"/>
      <c r="I570" s="79"/>
      <c r="J570" s="210"/>
      <c r="K570" s="210"/>
      <c r="L570" s="210" t="str">
        <f t="shared" si="1"/>
        <v/>
      </c>
      <c r="M570" s="79"/>
      <c r="N570" s="207"/>
      <c r="O570" s="207"/>
      <c r="P570" s="207"/>
      <c r="Q570" s="207"/>
    </row>
    <row r="571" spans="1:17" ht="34.5" customHeight="1">
      <c r="A571" s="82"/>
      <c r="B571" s="205" t="str">
        <f t="shared" si="2"/>
        <v/>
      </c>
      <c r="C571" s="206" t="str">
        <f t="shared" si="3"/>
        <v/>
      </c>
      <c r="D571" s="207" t="str">
        <f t="shared" si="0"/>
        <v/>
      </c>
      <c r="E571" s="207"/>
      <c r="F571" s="205" t="str">
        <f>IF(E571="","",VLOOKUP(E571,'ARAMA LİSTELERİ'!C571:G2610,5,))</f>
        <v/>
      </c>
      <c r="G571" s="207"/>
      <c r="H571" s="210"/>
      <c r="I571" s="79"/>
      <c r="J571" s="210"/>
      <c r="K571" s="210"/>
      <c r="L571" s="210" t="str">
        <f t="shared" si="1"/>
        <v/>
      </c>
      <c r="M571" s="79"/>
      <c r="N571" s="207"/>
      <c r="O571" s="207"/>
      <c r="P571" s="207"/>
      <c r="Q571" s="207"/>
    </row>
    <row r="572" spans="1:17" ht="34.5" customHeight="1">
      <c r="A572" s="82"/>
      <c r="B572" s="205" t="str">
        <f t="shared" si="2"/>
        <v/>
      </c>
      <c r="C572" s="206" t="str">
        <f t="shared" si="3"/>
        <v/>
      </c>
      <c r="D572" s="207" t="str">
        <f t="shared" si="0"/>
        <v/>
      </c>
      <c r="E572" s="207"/>
      <c r="F572" s="205" t="str">
        <f>IF(E572="","",VLOOKUP(E572,'ARAMA LİSTELERİ'!C572:G2611,5,))</f>
        <v/>
      </c>
      <c r="G572" s="207"/>
      <c r="H572" s="210"/>
      <c r="I572" s="79"/>
      <c r="J572" s="210"/>
      <c r="K572" s="210"/>
      <c r="L572" s="210" t="str">
        <f t="shared" si="1"/>
        <v/>
      </c>
      <c r="M572" s="79"/>
      <c r="N572" s="207"/>
      <c r="O572" s="207"/>
      <c r="P572" s="207"/>
      <c r="Q572" s="207"/>
    </row>
    <row r="573" spans="1:17" ht="34.5" customHeight="1">
      <c r="A573" s="82"/>
      <c r="B573" s="205" t="str">
        <f t="shared" si="2"/>
        <v/>
      </c>
      <c r="C573" s="206" t="str">
        <f t="shared" si="3"/>
        <v/>
      </c>
      <c r="D573" s="207" t="str">
        <f t="shared" si="0"/>
        <v/>
      </c>
      <c r="E573" s="207"/>
      <c r="F573" s="205" t="str">
        <f>IF(E573="","",VLOOKUP(E573,'ARAMA LİSTELERİ'!C573:G2612,5,))</f>
        <v/>
      </c>
      <c r="G573" s="207"/>
      <c r="H573" s="210"/>
      <c r="I573" s="79"/>
      <c r="J573" s="210"/>
      <c r="K573" s="210"/>
      <c r="L573" s="210" t="str">
        <f t="shared" si="1"/>
        <v/>
      </c>
      <c r="M573" s="79"/>
      <c r="N573" s="207"/>
      <c r="O573" s="207"/>
      <c r="P573" s="207"/>
      <c r="Q573" s="207"/>
    </row>
    <row r="574" spans="1:17" ht="34.5" customHeight="1">
      <c r="A574" s="82"/>
      <c r="B574" s="205" t="str">
        <f t="shared" si="2"/>
        <v/>
      </c>
      <c r="C574" s="206" t="str">
        <f t="shared" si="3"/>
        <v/>
      </c>
      <c r="D574" s="207" t="str">
        <f t="shared" si="0"/>
        <v/>
      </c>
      <c r="E574" s="207"/>
      <c r="F574" s="205" t="str">
        <f>IF(E574="","",VLOOKUP(E574,'ARAMA LİSTELERİ'!C574:G2613,5,))</f>
        <v/>
      </c>
      <c r="G574" s="207"/>
      <c r="H574" s="210"/>
      <c r="I574" s="79"/>
      <c r="J574" s="210"/>
      <c r="K574" s="210"/>
      <c r="L574" s="210" t="str">
        <f t="shared" si="1"/>
        <v/>
      </c>
      <c r="M574" s="79"/>
      <c r="N574" s="207"/>
      <c r="O574" s="207"/>
      <c r="P574" s="207"/>
      <c r="Q574" s="207"/>
    </row>
    <row r="575" spans="1:17" ht="34.5" customHeight="1">
      <c r="A575" s="82"/>
      <c r="B575" s="205" t="str">
        <f t="shared" si="2"/>
        <v/>
      </c>
      <c r="C575" s="206" t="str">
        <f t="shared" si="3"/>
        <v/>
      </c>
      <c r="D575" s="207" t="str">
        <f t="shared" si="0"/>
        <v/>
      </c>
      <c r="E575" s="207"/>
      <c r="F575" s="205" t="str">
        <f>IF(E575="","",VLOOKUP(E575,'ARAMA LİSTELERİ'!C575:G2614,5,))</f>
        <v/>
      </c>
      <c r="G575" s="207"/>
      <c r="H575" s="210"/>
      <c r="I575" s="79"/>
      <c r="J575" s="210"/>
      <c r="K575" s="210"/>
      <c r="L575" s="210" t="str">
        <f t="shared" si="1"/>
        <v/>
      </c>
      <c r="M575" s="79"/>
      <c r="N575" s="207"/>
      <c r="O575" s="207"/>
      <c r="P575" s="207"/>
      <c r="Q575" s="207"/>
    </row>
    <row r="576" spans="1:17" ht="34.5" customHeight="1">
      <c r="A576" s="82"/>
      <c r="B576" s="205" t="str">
        <f t="shared" si="2"/>
        <v/>
      </c>
      <c r="C576" s="206" t="str">
        <f t="shared" si="3"/>
        <v/>
      </c>
      <c r="D576" s="207" t="str">
        <f t="shared" si="0"/>
        <v/>
      </c>
      <c r="E576" s="207"/>
      <c r="F576" s="205" t="str">
        <f>IF(E576="","",VLOOKUP(E576,'ARAMA LİSTELERİ'!C576:G2615,5,))</f>
        <v/>
      </c>
      <c r="G576" s="207"/>
      <c r="H576" s="210"/>
      <c r="I576" s="79"/>
      <c r="J576" s="210"/>
      <c r="K576" s="210"/>
      <c r="L576" s="210" t="str">
        <f t="shared" si="1"/>
        <v/>
      </c>
      <c r="M576" s="79"/>
      <c r="N576" s="207"/>
      <c r="O576" s="207"/>
      <c r="P576" s="207"/>
      <c r="Q576" s="207"/>
    </row>
    <row r="577" spans="1:17" ht="34.5" customHeight="1">
      <c r="A577" s="82"/>
      <c r="B577" s="205" t="str">
        <f t="shared" si="2"/>
        <v/>
      </c>
      <c r="C577" s="206" t="str">
        <f t="shared" si="3"/>
        <v/>
      </c>
      <c r="D577" s="207" t="str">
        <f t="shared" si="0"/>
        <v/>
      </c>
      <c r="E577" s="207"/>
      <c r="F577" s="205" t="str">
        <f>IF(E577="","",VLOOKUP(E577,'ARAMA LİSTELERİ'!C577:G2616,5,))</f>
        <v/>
      </c>
      <c r="G577" s="207"/>
      <c r="H577" s="210"/>
      <c r="I577" s="79"/>
      <c r="J577" s="210"/>
      <c r="K577" s="210"/>
      <c r="L577" s="210" t="str">
        <f t="shared" si="1"/>
        <v/>
      </c>
      <c r="M577" s="79"/>
      <c r="N577" s="207"/>
      <c r="O577" s="207"/>
      <c r="P577" s="207"/>
      <c r="Q577" s="207"/>
    </row>
    <row r="578" spans="1:17" ht="34.5" customHeight="1">
      <c r="A578" s="82"/>
      <c r="B578" s="205" t="str">
        <f t="shared" si="2"/>
        <v/>
      </c>
      <c r="C578" s="206" t="str">
        <f t="shared" si="3"/>
        <v/>
      </c>
      <c r="D578" s="207" t="str">
        <f t="shared" si="0"/>
        <v/>
      </c>
      <c r="E578" s="207"/>
      <c r="F578" s="205" t="str">
        <f>IF(E578="","",VLOOKUP(E578,'ARAMA LİSTELERİ'!C578:G2617,5,))</f>
        <v/>
      </c>
      <c r="G578" s="207"/>
      <c r="H578" s="210"/>
      <c r="I578" s="79"/>
      <c r="J578" s="210"/>
      <c r="K578" s="210"/>
      <c r="L578" s="210" t="str">
        <f t="shared" si="1"/>
        <v/>
      </c>
      <c r="M578" s="79"/>
      <c r="N578" s="207"/>
      <c r="O578" s="207"/>
      <c r="P578" s="207"/>
      <c r="Q578" s="207"/>
    </row>
    <row r="579" spans="1:17" ht="34.5" customHeight="1">
      <c r="A579" s="82"/>
      <c r="B579" s="205" t="str">
        <f t="shared" si="2"/>
        <v/>
      </c>
      <c r="C579" s="206" t="str">
        <f t="shared" si="3"/>
        <v/>
      </c>
      <c r="D579" s="207" t="str">
        <f t="shared" si="0"/>
        <v/>
      </c>
      <c r="E579" s="207"/>
      <c r="F579" s="205" t="str">
        <f>IF(E579="","",VLOOKUP(E579,'ARAMA LİSTELERİ'!C579:G2618,5,))</f>
        <v/>
      </c>
      <c r="G579" s="207"/>
      <c r="H579" s="210"/>
      <c r="I579" s="79"/>
      <c r="J579" s="210"/>
      <c r="K579" s="210"/>
      <c r="L579" s="210" t="str">
        <f t="shared" si="1"/>
        <v/>
      </c>
      <c r="M579" s="79"/>
      <c r="N579" s="207"/>
      <c r="O579" s="207"/>
      <c r="P579" s="207"/>
      <c r="Q579" s="207"/>
    </row>
    <row r="580" spans="1:17" ht="34.5" customHeight="1">
      <c r="A580" s="82"/>
      <c r="B580" s="205" t="str">
        <f t="shared" si="2"/>
        <v/>
      </c>
      <c r="C580" s="206" t="str">
        <f t="shared" si="3"/>
        <v/>
      </c>
      <c r="D580" s="207" t="str">
        <f t="shared" si="0"/>
        <v/>
      </c>
      <c r="E580" s="207"/>
      <c r="F580" s="205" t="str">
        <f>IF(E580="","",VLOOKUP(E580,'ARAMA LİSTELERİ'!C580:G2619,5,))</f>
        <v/>
      </c>
      <c r="G580" s="207"/>
      <c r="H580" s="210"/>
      <c r="I580" s="79"/>
      <c r="J580" s="210"/>
      <c r="K580" s="210"/>
      <c r="L580" s="210" t="str">
        <f t="shared" si="1"/>
        <v/>
      </c>
      <c r="M580" s="79"/>
      <c r="N580" s="207"/>
      <c r="O580" s="207"/>
      <c r="P580" s="207"/>
      <c r="Q580" s="207"/>
    </row>
    <row r="581" spans="1:17" ht="34.5" customHeight="1">
      <c r="A581" s="82"/>
      <c r="B581" s="205" t="str">
        <f t="shared" si="2"/>
        <v/>
      </c>
      <c r="C581" s="206" t="str">
        <f t="shared" si="3"/>
        <v/>
      </c>
      <c r="D581" s="207" t="str">
        <f t="shared" si="0"/>
        <v/>
      </c>
      <c r="E581" s="207"/>
      <c r="F581" s="205" t="str">
        <f>IF(E581="","",VLOOKUP(E581,'ARAMA LİSTELERİ'!C581:G2620,5,))</f>
        <v/>
      </c>
      <c r="G581" s="207"/>
      <c r="H581" s="210"/>
      <c r="I581" s="79"/>
      <c r="J581" s="210"/>
      <c r="K581" s="210"/>
      <c r="L581" s="210" t="str">
        <f t="shared" si="1"/>
        <v/>
      </c>
      <c r="M581" s="79"/>
      <c r="N581" s="207"/>
      <c r="O581" s="207"/>
      <c r="P581" s="207"/>
      <c r="Q581" s="207"/>
    </row>
    <row r="582" spans="1:17" ht="34.5" customHeight="1">
      <c r="A582" s="82"/>
      <c r="B582" s="205" t="str">
        <f t="shared" si="2"/>
        <v/>
      </c>
      <c r="C582" s="206" t="str">
        <f t="shared" si="3"/>
        <v/>
      </c>
      <c r="D582" s="207" t="str">
        <f t="shared" si="0"/>
        <v/>
      </c>
      <c r="E582" s="207"/>
      <c r="F582" s="205" t="str">
        <f>IF(E582="","",VLOOKUP(E582,'ARAMA LİSTELERİ'!C582:G2621,5,))</f>
        <v/>
      </c>
      <c r="G582" s="207"/>
      <c r="H582" s="210"/>
      <c r="I582" s="79"/>
      <c r="J582" s="210"/>
      <c r="K582" s="210"/>
      <c r="L582" s="210" t="str">
        <f t="shared" si="1"/>
        <v/>
      </c>
      <c r="M582" s="79"/>
      <c r="N582" s="207"/>
      <c r="O582" s="207"/>
      <c r="P582" s="207"/>
      <c r="Q582" s="207"/>
    </row>
    <row r="583" spans="1:17" ht="34.5" customHeight="1">
      <c r="A583" s="82"/>
      <c r="B583" s="205" t="str">
        <f t="shared" si="2"/>
        <v/>
      </c>
      <c r="C583" s="206" t="str">
        <f t="shared" si="3"/>
        <v/>
      </c>
      <c r="D583" s="207" t="str">
        <f t="shared" si="0"/>
        <v/>
      </c>
      <c r="E583" s="207"/>
      <c r="F583" s="205" t="str">
        <f>IF(E583="","",VLOOKUP(E583,'ARAMA LİSTELERİ'!C583:G2622,5,))</f>
        <v/>
      </c>
      <c r="G583" s="207"/>
      <c r="H583" s="210"/>
      <c r="I583" s="79"/>
      <c r="J583" s="210"/>
      <c r="K583" s="210"/>
      <c r="L583" s="210" t="str">
        <f t="shared" si="1"/>
        <v/>
      </c>
      <c r="M583" s="79"/>
      <c r="N583" s="207"/>
      <c r="O583" s="207"/>
      <c r="P583" s="207"/>
      <c r="Q583" s="207"/>
    </row>
    <row r="584" spans="1:17" ht="34.5" customHeight="1">
      <c r="A584" s="82"/>
      <c r="B584" s="205" t="str">
        <f t="shared" si="2"/>
        <v/>
      </c>
      <c r="C584" s="206" t="str">
        <f t="shared" si="3"/>
        <v/>
      </c>
      <c r="D584" s="207" t="str">
        <f t="shared" si="0"/>
        <v/>
      </c>
      <c r="E584" s="207"/>
      <c r="F584" s="205" t="str">
        <f>IF(E584="","",VLOOKUP(E584,'ARAMA LİSTELERİ'!C584:G2623,5,))</f>
        <v/>
      </c>
      <c r="G584" s="207"/>
      <c r="H584" s="210"/>
      <c r="I584" s="79"/>
      <c r="J584" s="210"/>
      <c r="K584" s="210"/>
      <c r="L584" s="210" t="str">
        <f t="shared" si="1"/>
        <v/>
      </c>
      <c r="M584" s="79"/>
      <c r="N584" s="207"/>
      <c r="O584" s="207"/>
      <c r="P584" s="207"/>
      <c r="Q584" s="207"/>
    </row>
    <row r="585" spans="1:17" ht="34.5" customHeight="1">
      <c r="A585" s="82"/>
      <c r="B585" s="205" t="str">
        <f t="shared" si="2"/>
        <v/>
      </c>
      <c r="C585" s="206" t="str">
        <f t="shared" si="3"/>
        <v/>
      </c>
      <c r="D585" s="207" t="str">
        <f t="shared" si="0"/>
        <v/>
      </c>
      <c r="E585" s="207"/>
      <c r="F585" s="205" t="str">
        <f>IF(E585="","",VLOOKUP(E585,'ARAMA LİSTELERİ'!C585:G2624,5,))</f>
        <v/>
      </c>
      <c r="G585" s="207"/>
      <c r="H585" s="210"/>
      <c r="I585" s="79"/>
      <c r="J585" s="210"/>
      <c r="K585" s="210"/>
      <c r="L585" s="210" t="str">
        <f t="shared" si="1"/>
        <v/>
      </c>
      <c r="M585" s="79"/>
      <c r="N585" s="207"/>
      <c r="O585" s="207"/>
      <c r="P585" s="207"/>
      <c r="Q585" s="207"/>
    </row>
    <row r="586" spans="1:17" ht="34.5" customHeight="1">
      <c r="A586" s="82"/>
      <c r="B586" s="205" t="str">
        <f t="shared" si="2"/>
        <v/>
      </c>
      <c r="C586" s="206" t="str">
        <f t="shared" si="3"/>
        <v/>
      </c>
      <c r="D586" s="207" t="str">
        <f t="shared" si="0"/>
        <v/>
      </c>
      <c r="E586" s="207"/>
      <c r="F586" s="205" t="str">
        <f>IF(E586="","",VLOOKUP(E586,'ARAMA LİSTELERİ'!C586:G2625,5,))</f>
        <v/>
      </c>
      <c r="G586" s="207"/>
      <c r="H586" s="210"/>
      <c r="I586" s="79"/>
      <c r="J586" s="210"/>
      <c r="K586" s="210"/>
      <c r="L586" s="210" t="str">
        <f t="shared" si="1"/>
        <v/>
      </c>
      <c r="M586" s="79"/>
      <c r="N586" s="207"/>
      <c r="O586" s="207"/>
      <c r="P586" s="207"/>
      <c r="Q586" s="207"/>
    </row>
    <row r="587" spans="1:17" ht="34.5" customHeight="1">
      <c r="A587" s="82"/>
      <c r="B587" s="205" t="str">
        <f t="shared" si="2"/>
        <v/>
      </c>
      <c r="C587" s="206" t="str">
        <f t="shared" si="3"/>
        <v/>
      </c>
      <c r="D587" s="207" t="str">
        <f t="shared" si="0"/>
        <v/>
      </c>
      <c r="E587" s="207"/>
      <c r="F587" s="205" t="str">
        <f>IF(E587="","",VLOOKUP(E587,'ARAMA LİSTELERİ'!C587:G2626,5,))</f>
        <v/>
      </c>
      <c r="G587" s="207"/>
      <c r="H587" s="210"/>
      <c r="I587" s="79"/>
      <c r="J587" s="210"/>
      <c r="K587" s="210"/>
      <c r="L587" s="210" t="str">
        <f t="shared" si="1"/>
        <v/>
      </c>
      <c r="M587" s="79"/>
      <c r="N587" s="207"/>
      <c r="O587" s="207"/>
      <c r="P587" s="207"/>
      <c r="Q587" s="207"/>
    </row>
    <row r="588" spans="1:17" ht="34.5" customHeight="1">
      <c r="A588" s="82"/>
      <c r="B588" s="205" t="str">
        <f t="shared" si="2"/>
        <v/>
      </c>
      <c r="C588" s="206" t="str">
        <f t="shared" si="3"/>
        <v/>
      </c>
      <c r="D588" s="207" t="str">
        <f t="shared" si="0"/>
        <v/>
      </c>
      <c r="E588" s="207"/>
      <c r="F588" s="205" t="str">
        <f>IF(E588="","",VLOOKUP(E588,'ARAMA LİSTELERİ'!C588:G2627,5,))</f>
        <v/>
      </c>
      <c r="G588" s="207"/>
      <c r="H588" s="210"/>
      <c r="I588" s="79"/>
      <c r="J588" s="210"/>
      <c r="K588" s="210"/>
      <c r="L588" s="210" t="str">
        <f t="shared" si="1"/>
        <v/>
      </c>
      <c r="M588" s="79"/>
      <c r="N588" s="207"/>
      <c r="O588" s="207"/>
      <c r="P588" s="207"/>
      <c r="Q588" s="207"/>
    </row>
    <row r="589" spans="1:17" ht="34.5" customHeight="1">
      <c r="A589" s="82"/>
      <c r="B589" s="205" t="str">
        <f t="shared" si="2"/>
        <v/>
      </c>
      <c r="C589" s="206" t="str">
        <f t="shared" si="3"/>
        <v/>
      </c>
      <c r="D589" s="207" t="str">
        <f t="shared" si="0"/>
        <v/>
      </c>
      <c r="E589" s="207"/>
      <c r="F589" s="205" t="str">
        <f>IF(E589="","",VLOOKUP(E589,'ARAMA LİSTELERİ'!C589:G2628,5,))</f>
        <v/>
      </c>
      <c r="G589" s="207"/>
      <c r="H589" s="210"/>
      <c r="I589" s="79"/>
      <c r="J589" s="210"/>
      <c r="K589" s="210"/>
      <c r="L589" s="210" t="str">
        <f t="shared" si="1"/>
        <v/>
      </c>
      <c r="M589" s="79"/>
      <c r="N589" s="207"/>
      <c r="O589" s="207"/>
      <c r="P589" s="207"/>
      <c r="Q589" s="207"/>
    </row>
    <row r="590" spans="1:17" ht="34.5" customHeight="1">
      <c r="A590" s="82"/>
      <c r="B590" s="205" t="str">
        <f t="shared" si="2"/>
        <v/>
      </c>
      <c r="C590" s="206" t="str">
        <f t="shared" si="3"/>
        <v/>
      </c>
      <c r="D590" s="207" t="str">
        <f t="shared" si="0"/>
        <v/>
      </c>
      <c r="E590" s="207"/>
      <c r="F590" s="205" t="str">
        <f>IF(E590="","",VLOOKUP(E590,'ARAMA LİSTELERİ'!C590:G2629,5,))</f>
        <v/>
      </c>
      <c r="G590" s="207"/>
      <c r="H590" s="210"/>
      <c r="I590" s="79"/>
      <c r="J590" s="210"/>
      <c r="K590" s="210"/>
      <c r="L590" s="210" t="str">
        <f t="shared" si="1"/>
        <v/>
      </c>
      <c r="M590" s="79"/>
      <c r="N590" s="207"/>
      <c r="O590" s="207"/>
      <c r="P590" s="207"/>
      <c r="Q590" s="207"/>
    </row>
    <row r="591" spans="1:17" ht="34.5" customHeight="1">
      <c r="A591" s="82"/>
      <c r="B591" s="205" t="str">
        <f t="shared" si="2"/>
        <v/>
      </c>
      <c r="C591" s="206" t="str">
        <f t="shared" si="3"/>
        <v/>
      </c>
      <c r="D591" s="207" t="str">
        <f t="shared" si="0"/>
        <v/>
      </c>
      <c r="E591" s="207"/>
      <c r="F591" s="205" t="str">
        <f>IF(E591="","",VLOOKUP(E591,'ARAMA LİSTELERİ'!C591:G2630,5,))</f>
        <v/>
      </c>
      <c r="G591" s="207"/>
      <c r="H591" s="210"/>
      <c r="I591" s="79"/>
      <c r="J591" s="210"/>
      <c r="K591" s="210"/>
      <c r="L591" s="210" t="str">
        <f t="shared" si="1"/>
        <v/>
      </c>
      <c r="M591" s="79"/>
      <c r="N591" s="207"/>
      <c r="O591" s="207"/>
      <c r="P591" s="207"/>
      <c r="Q591" s="207"/>
    </row>
    <row r="592" spans="1:17" ht="34.5" customHeight="1">
      <c r="A592" s="82"/>
      <c r="B592" s="205" t="str">
        <f t="shared" si="2"/>
        <v/>
      </c>
      <c r="C592" s="206" t="str">
        <f t="shared" si="3"/>
        <v/>
      </c>
      <c r="D592" s="207" t="str">
        <f t="shared" si="0"/>
        <v/>
      </c>
      <c r="E592" s="207"/>
      <c r="F592" s="205" t="str">
        <f>IF(E592="","",VLOOKUP(E592,'ARAMA LİSTELERİ'!C592:G2631,5,))</f>
        <v/>
      </c>
      <c r="G592" s="207"/>
      <c r="H592" s="210"/>
      <c r="I592" s="79"/>
      <c r="J592" s="210"/>
      <c r="K592" s="210"/>
      <c r="L592" s="210" t="str">
        <f t="shared" si="1"/>
        <v/>
      </c>
      <c r="M592" s="79"/>
      <c r="N592" s="207"/>
      <c r="O592" s="207"/>
      <c r="P592" s="207"/>
      <c r="Q592" s="207"/>
    </row>
    <row r="593" spans="1:17" ht="34.5" customHeight="1">
      <c r="A593" s="82"/>
      <c r="B593" s="205" t="str">
        <f t="shared" si="2"/>
        <v/>
      </c>
      <c r="C593" s="206" t="str">
        <f t="shared" si="3"/>
        <v/>
      </c>
      <c r="D593" s="207" t="str">
        <f t="shared" si="0"/>
        <v/>
      </c>
      <c r="E593" s="207"/>
      <c r="F593" s="205" t="str">
        <f>IF(E593="","",VLOOKUP(E593,'ARAMA LİSTELERİ'!C593:G2632,5,))</f>
        <v/>
      </c>
      <c r="G593" s="207"/>
      <c r="H593" s="210"/>
      <c r="I593" s="79"/>
      <c r="J593" s="210"/>
      <c r="K593" s="210"/>
      <c r="L593" s="210" t="str">
        <f t="shared" si="1"/>
        <v/>
      </c>
      <c r="M593" s="79"/>
      <c r="N593" s="207"/>
      <c r="O593" s="207"/>
      <c r="P593" s="207"/>
      <c r="Q593" s="207"/>
    </row>
    <row r="594" spans="1:17" ht="34.5" customHeight="1">
      <c r="A594" s="82"/>
      <c r="B594" s="205" t="str">
        <f t="shared" si="2"/>
        <v/>
      </c>
      <c r="C594" s="206" t="str">
        <f t="shared" si="3"/>
        <v/>
      </c>
      <c r="D594" s="207" t="str">
        <f t="shared" si="0"/>
        <v/>
      </c>
      <c r="E594" s="207"/>
      <c r="F594" s="205" t="str">
        <f>IF(E594="","",VLOOKUP(E594,'ARAMA LİSTELERİ'!C594:G2633,5,))</f>
        <v/>
      </c>
      <c r="G594" s="207"/>
      <c r="H594" s="210"/>
      <c r="I594" s="79"/>
      <c r="J594" s="210"/>
      <c r="K594" s="210"/>
      <c r="L594" s="210" t="str">
        <f t="shared" si="1"/>
        <v/>
      </c>
      <c r="M594" s="79"/>
      <c r="N594" s="207"/>
      <c r="O594" s="207"/>
      <c r="P594" s="207"/>
      <c r="Q594" s="207"/>
    </row>
    <row r="595" spans="1:17" ht="34.5" customHeight="1">
      <c r="A595" s="82"/>
      <c r="B595" s="205" t="str">
        <f t="shared" si="2"/>
        <v/>
      </c>
      <c r="C595" s="206" t="str">
        <f t="shared" si="3"/>
        <v/>
      </c>
      <c r="D595" s="207" t="str">
        <f t="shared" si="0"/>
        <v/>
      </c>
      <c r="E595" s="207"/>
      <c r="F595" s="205" t="str">
        <f>IF(E595="","",VLOOKUP(E595,'ARAMA LİSTELERİ'!C595:G2634,5,))</f>
        <v/>
      </c>
      <c r="G595" s="207"/>
      <c r="H595" s="210"/>
      <c r="I595" s="79"/>
      <c r="J595" s="210"/>
      <c r="K595" s="210"/>
      <c r="L595" s="210" t="str">
        <f t="shared" si="1"/>
        <v/>
      </c>
      <c r="M595" s="79"/>
      <c r="N595" s="207"/>
      <c r="O595" s="207"/>
      <c r="P595" s="207"/>
      <c r="Q595" s="207"/>
    </row>
    <row r="596" spans="1:17" ht="34.5" customHeight="1">
      <c r="A596" s="82"/>
      <c r="B596" s="205" t="str">
        <f t="shared" si="2"/>
        <v/>
      </c>
      <c r="C596" s="206" t="str">
        <f t="shared" si="3"/>
        <v/>
      </c>
      <c r="D596" s="207" t="str">
        <f t="shared" si="0"/>
        <v/>
      </c>
      <c r="E596" s="207"/>
      <c r="F596" s="205" t="str">
        <f>IF(E596="","",VLOOKUP(E596,'ARAMA LİSTELERİ'!C596:G2635,5,))</f>
        <v/>
      </c>
      <c r="G596" s="207"/>
      <c r="H596" s="210"/>
      <c r="I596" s="79"/>
      <c r="J596" s="210"/>
      <c r="K596" s="210"/>
      <c r="L596" s="210" t="str">
        <f t="shared" si="1"/>
        <v/>
      </c>
      <c r="M596" s="79"/>
      <c r="N596" s="207"/>
      <c r="O596" s="207"/>
      <c r="P596" s="207"/>
      <c r="Q596" s="207"/>
    </row>
    <row r="597" spans="1:17" ht="34.5" customHeight="1">
      <c r="A597" s="82"/>
      <c r="B597" s="205" t="str">
        <f t="shared" si="2"/>
        <v/>
      </c>
      <c r="C597" s="206" t="str">
        <f t="shared" si="3"/>
        <v/>
      </c>
      <c r="D597" s="207" t="str">
        <f t="shared" si="0"/>
        <v/>
      </c>
      <c r="E597" s="207"/>
      <c r="F597" s="205" t="str">
        <f>IF(E597="","",VLOOKUP(E597,'ARAMA LİSTELERİ'!C597:G2636,5,))</f>
        <v/>
      </c>
      <c r="G597" s="207"/>
      <c r="H597" s="210"/>
      <c r="I597" s="79"/>
      <c r="J597" s="210"/>
      <c r="K597" s="210"/>
      <c r="L597" s="210" t="str">
        <f t="shared" si="1"/>
        <v/>
      </c>
      <c r="M597" s="79"/>
      <c r="N597" s="207"/>
      <c r="O597" s="207"/>
      <c r="P597" s="207"/>
      <c r="Q597" s="207"/>
    </row>
    <row r="598" spans="1:17" ht="34.5" customHeight="1">
      <c r="A598" s="82"/>
      <c r="B598" s="205" t="str">
        <f t="shared" si="2"/>
        <v/>
      </c>
      <c r="C598" s="206" t="str">
        <f t="shared" si="3"/>
        <v/>
      </c>
      <c r="D598" s="207" t="str">
        <f t="shared" si="0"/>
        <v/>
      </c>
      <c r="E598" s="207"/>
      <c r="F598" s="205" t="str">
        <f>IF(E598="","",VLOOKUP(E598,'ARAMA LİSTELERİ'!C598:G2637,5,))</f>
        <v/>
      </c>
      <c r="G598" s="207"/>
      <c r="H598" s="210"/>
      <c r="I598" s="79"/>
      <c r="J598" s="210"/>
      <c r="K598" s="210"/>
      <c r="L598" s="210" t="str">
        <f t="shared" si="1"/>
        <v/>
      </c>
      <c r="M598" s="79"/>
      <c r="N598" s="207"/>
      <c r="O598" s="207"/>
      <c r="P598" s="207"/>
      <c r="Q598" s="207"/>
    </row>
    <row r="599" spans="1:17" ht="34.5" customHeight="1">
      <c r="A599" s="82"/>
      <c r="B599" s="205" t="str">
        <f t="shared" si="2"/>
        <v/>
      </c>
      <c r="C599" s="206" t="str">
        <f t="shared" si="3"/>
        <v/>
      </c>
      <c r="D599" s="207" t="str">
        <f t="shared" si="0"/>
        <v/>
      </c>
      <c r="E599" s="207"/>
      <c r="F599" s="205" t="str">
        <f>IF(E599="","",VLOOKUP(E599,'ARAMA LİSTELERİ'!C599:G2638,5,))</f>
        <v/>
      </c>
      <c r="G599" s="207"/>
      <c r="H599" s="210"/>
      <c r="I599" s="79"/>
      <c r="J599" s="210"/>
      <c r="K599" s="210"/>
      <c r="L599" s="210" t="str">
        <f t="shared" si="1"/>
        <v/>
      </c>
      <c r="M599" s="79"/>
      <c r="N599" s="207"/>
      <c r="O599" s="207"/>
      <c r="P599" s="207"/>
      <c r="Q599" s="207"/>
    </row>
    <row r="600" spans="1:17" ht="34.5" customHeight="1">
      <c r="A600" s="82"/>
      <c r="B600" s="205" t="str">
        <f t="shared" si="2"/>
        <v/>
      </c>
      <c r="C600" s="206" t="str">
        <f t="shared" si="3"/>
        <v/>
      </c>
      <c r="D600" s="207" t="str">
        <f t="shared" si="0"/>
        <v/>
      </c>
      <c r="E600" s="207"/>
      <c r="F600" s="205" t="str">
        <f>IF(E600="","",VLOOKUP(E600,'ARAMA LİSTELERİ'!C600:G2639,5,))</f>
        <v/>
      </c>
      <c r="G600" s="207"/>
      <c r="H600" s="210"/>
      <c r="I600" s="79"/>
      <c r="J600" s="210"/>
      <c r="K600" s="210"/>
      <c r="L600" s="210" t="str">
        <f t="shared" si="1"/>
        <v/>
      </c>
      <c r="M600" s="79"/>
      <c r="N600" s="207"/>
      <c r="O600" s="207"/>
      <c r="P600" s="207"/>
      <c r="Q600" s="207"/>
    </row>
    <row r="601" spans="1:17" ht="34.5" customHeight="1">
      <c r="A601" s="82"/>
      <c r="B601" s="205" t="str">
        <f t="shared" si="2"/>
        <v/>
      </c>
      <c r="C601" s="206" t="str">
        <f t="shared" si="3"/>
        <v/>
      </c>
      <c r="D601" s="207" t="str">
        <f t="shared" si="0"/>
        <v/>
      </c>
      <c r="E601" s="207"/>
      <c r="F601" s="205" t="str">
        <f>IF(E601="","",VLOOKUP(E601,'ARAMA LİSTELERİ'!C601:G2640,5,))</f>
        <v/>
      </c>
      <c r="G601" s="207"/>
      <c r="H601" s="210"/>
      <c r="I601" s="79"/>
      <c r="J601" s="210"/>
      <c r="K601" s="210"/>
      <c r="L601" s="210" t="str">
        <f t="shared" si="1"/>
        <v/>
      </c>
      <c r="M601" s="79"/>
      <c r="N601" s="207"/>
      <c r="O601" s="207"/>
      <c r="P601" s="207"/>
      <c r="Q601" s="207"/>
    </row>
    <row r="602" spans="1:17" ht="34.5" customHeight="1">
      <c r="A602" s="82"/>
      <c r="B602" s="205" t="str">
        <f t="shared" si="2"/>
        <v/>
      </c>
      <c r="C602" s="206" t="str">
        <f t="shared" si="3"/>
        <v/>
      </c>
      <c r="D602" s="207" t="str">
        <f t="shared" si="0"/>
        <v/>
      </c>
      <c r="E602" s="207"/>
      <c r="F602" s="205" t="str">
        <f>IF(E602="","",VLOOKUP(E602,'ARAMA LİSTELERİ'!C602:G2641,5,))</f>
        <v/>
      </c>
      <c r="G602" s="207"/>
      <c r="H602" s="210"/>
      <c r="I602" s="79"/>
      <c r="J602" s="210"/>
      <c r="K602" s="210"/>
      <c r="L602" s="210" t="str">
        <f t="shared" si="1"/>
        <v/>
      </c>
      <c r="M602" s="79"/>
      <c r="N602" s="207"/>
      <c r="O602" s="207"/>
      <c r="P602" s="207"/>
      <c r="Q602" s="207"/>
    </row>
    <row r="603" spans="1:17" ht="34.5" customHeight="1">
      <c r="A603" s="82"/>
      <c r="B603" s="205" t="str">
        <f t="shared" si="2"/>
        <v/>
      </c>
      <c r="C603" s="206" t="str">
        <f t="shared" si="3"/>
        <v/>
      </c>
      <c r="D603" s="207" t="str">
        <f t="shared" si="0"/>
        <v/>
      </c>
      <c r="E603" s="207"/>
      <c r="F603" s="205" t="str">
        <f>IF(E603="","",VLOOKUP(E603,'ARAMA LİSTELERİ'!C603:G2642,5,))</f>
        <v/>
      </c>
      <c r="G603" s="207"/>
      <c r="H603" s="210"/>
      <c r="I603" s="79"/>
      <c r="J603" s="210"/>
      <c r="K603" s="210"/>
      <c r="L603" s="210" t="str">
        <f t="shared" si="1"/>
        <v/>
      </c>
      <c r="M603" s="79"/>
      <c r="N603" s="207"/>
      <c r="O603" s="207"/>
      <c r="P603" s="207"/>
      <c r="Q603" s="207"/>
    </row>
    <row r="604" spans="1:17" ht="34.5" customHeight="1">
      <c r="A604" s="82"/>
      <c r="B604" s="205" t="str">
        <f t="shared" si="2"/>
        <v/>
      </c>
      <c r="C604" s="206" t="str">
        <f t="shared" si="3"/>
        <v/>
      </c>
      <c r="D604" s="207" t="str">
        <f t="shared" si="0"/>
        <v/>
      </c>
      <c r="E604" s="207"/>
      <c r="F604" s="205" t="str">
        <f>IF(E604="","",VLOOKUP(E604,'ARAMA LİSTELERİ'!C604:G2643,5,))</f>
        <v/>
      </c>
      <c r="G604" s="207"/>
      <c r="H604" s="210"/>
      <c r="I604" s="79"/>
      <c r="J604" s="210"/>
      <c r="K604" s="210"/>
      <c r="L604" s="210" t="str">
        <f t="shared" si="1"/>
        <v/>
      </c>
      <c r="M604" s="79"/>
      <c r="N604" s="207"/>
      <c r="O604" s="207"/>
      <c r="P604" s="207"/>
      <c r="Q604" s="207"/>
    </row>
    <row r="605" spans="1:17" ht="34.5" customHeight="1">
      <c r="A605" s="82"/>
      <c r="B605" s="205" t="str">
        <f t="shared" si="2"/>
        <v/>
      </c>
      <c r="C605" s="206" t="str">
        <f t="shared" si="3"/>
        <v/>
      </c>
      <c r="D605" s="207" t="str">
        <f t="shared" si="0"/>
        <v/>
      </c>
      <c r="E605" s="207"/>
      <c r="F605" s="205" t="str">
        <f>IF(E605="","",VLOOKUP(E605,'ARAMA LİSTELERİ'!C605:G2644,5,))</f>
        <v/>
      </c>
      <c r="G605" s="207"/>
      <c r="H605" s="210"/>
      <c r="I605" s="79"/>
      <c r="J605" s="210"/>
      <c r="K605" s="210"/>
      <c r="L605" s="210" t="str">
        <f t="shared" si="1"/>
        <v/>
      </c>
      <c r="M605" s="79"/>
      <c r="N605" s="207"/>
      <c r="O605" s="207"/>
      <c r="P605" s="207"/>
      <c r="Q605" s="207"/>
    </row>
    <row r="606" spans="1:17" ht="34.5" customHeight="1">
      <c r="A606" s="82"/>
      <c r="B606" s="205" t="str">
        <f t="shared" si="2"/>
        <v/>
      </c>
      <c r="C606" s="206" t="str">
        <f t="shared" si="3"/>
        <v/>
      </c>
      <c r="D606" s="207" t="str">
        <f t="shared" si="0"/>
        <v/>
      </c>
      <c r="E606" s="207"/>
      <c r="F606" s="205" t="str">
        <f>IF(E606="","",VLOOKUP(E606,'ARAMA LİSTELERİ'!C606:G2645,5,))</f>
        <v/>
      </c>
      <c r="G606" s="207"/>
      <c r="H606" s="210"/>
      <c r="I606" s="79"/>
      <c r="J606" s="210"/>
      <c r="K606" s="210"/>
      <c r="L606" s="210" t="str">
        <f t="shared" si="1"/>
        <v/>
      </c>
      <c r="M606" s="79"/>
      <c r="N606" s="207"/>
      <c r="O606" s="207"/>
      <c r="P606" s="207"/>
      <c r="Q606" s="207"/>
    </row>
    <row r="607" spans="1:17" ht="34.5" customHeight="1">
      <c r="A607" s="82"/>
      <c r="B607" s="205" t="str">
        <f t="shared" si="2"/>
        <v/>
      </c>
      <c r="C607" s="206" t="str">
        <f t="shared" si="3"/>
        <v/>
      </c>
      <c r="D607" s="207" t="str">
        <f t="shared" si="0"/>
        <v/>
      </c>
      <c r="E607" s="207"/>
      <c r="F607" s="205" t="str">
        <f>IF(E607="","",VLOOKUP(E607,'ARAMA LİSTELERİ'!C607:G2646,5,))</f>
        <v/>
      </c>
      <c r="G607" s="207"/>
      <c r="H607" s="210"/>
      <c r="I607" s="79"/>
      <c r="J607" s="210"/>
      <c r="K607" s="210"/>
      <c r="L607" s="210" t="str">
        <f t="shared" si="1"/>
        <v/>
      </c>
      <c r="M607" s="79"/>
      <c r="N607" s="207"/>
      <c r="O607" s="207"/>
      <c r="P607" s="207"/>
      <c r="Q607" s="207"/>
    </row>
    <row r="608" spans="1:17" ht="34.5" customHeight="1">
      <c r="A608" s="82"/>
      <c r="B608" s="205" t="str">
        <f t="shared" si="2"/>
        <v/>
      </c>
      <c r="C608" s="206" t="str">
        <f t="shared" si="3"/>
        <v/>
      </c>
      <c r="D608" s="207" t="str">
        <f t="shared" si="0"/>
        <v/>
      </c>
      <c r="E608" s="207"/>
      <c r="F608" s="205" t="str">
        <f>IF(E608="","",VLOOKUP(E608,'ARAMA LİSTELERİ'!C608:G2647,5,))</f>
        <v/>
      </c>
      <c r="G608" s="207"/>
      <c r="H608" s="210"/>
      <c r="I608" s="79"/>
      <c r="J608" s="210"/>
      <c r="K608" s="210"/>
      <c r="L608" s="210" t="str">
        <f t="shared" si="1"/>
        <v/>
      </c>
      <c r="M608" s="79"/>
      <c r="N608" s="207"/>
      <c r="O608" s="207"/>
      <c r="P608" s="207"/>
      <c r="Q608" s="207"/>
    </row>
    <row r="609" spans="1:17" ht="34.5" customHeight="1">
      <c r="A609" s="82"/>
      <c r="B609" s="205" t="str">
        <f t="shared" si="2"/>
        <v/>
      </c>
      <c r="C609" s="206" t="str">
        <f t="shared" si="3"/>
        <v/>
      </c>
      <c r="D609" s="207" t="str">
        <f t="shared" si="0"/>
        <v/>
      </c>
      <c r="E609" s="207"/>
      <c r="F609" s="205" t="str">
        <f>IF(E609="","",VLOOKUP(E609,'ARAMA LİSTELERİ'!C609:G2648,5,))</f>
        <v/>
      </c>
      <c r="G609" s="207"/>
      <c r="H609" s="210"/>
      <c r="I609" s="79"/>
      <c r="J609" s="210"/>
      <c r="K609" s="210"/>
      <c r="L609" s="210" t="str">
        <f t="shared" si="1"/>
        <v/>
      </c>
      <c r="M609" s="79"/>
      <c r="N609" s="207"/>
      <c r="O609" s="207"/>
      <c r="P609" s="207"/>
      <c r="Q609" s="207"/>
    </row>
    <row r="610" spans="1:17" ht="34.5" customHeight="1">
      <c r="A610" s="82"/>
      <c r="B610" s="205" t="str">
        <f t="shared" si="2"/>
        <v/>
      </c>
      <c r="C610" s="206" t="str">
        <f t="shared" si="3"/>
        <v/>
      </c>
      <c r="D610" s="207" t="str">
        <f t="shared" si="0"/>
        <v/>
      </c>
      <c r="E610" s="207"/>
      <c r="F610" s="205" t="str">
        <f>IF(E610="","",VLOOKUP(E610,'ARAMA LİSTELERİ'!C610:G2649,5,))</f>
        <v/>
      </c>
      <c r="G610" s="207"/>
      <c r="H610" s="210"/>
      <c r="I610" s="79"/>
      <c r="J610" s="210"/>
      <c r="K610" s="210"/>
      <c r="L610" s="210" t="str">
        <f t="shared" si="1"/>
        <v/>
      </c>
      <c r="M610" s="79"/>
      <c r="N610" s="207"/>
      <c r="O610" s="207"/>
      <c r="P610" s="207"/>
      <c r="Q610" s="207"/>
    </row>
    <row r="611" spans="1:17" ht="34.5" customHeight="1">
      <c r="A611" s="82"/>
      <c r="B611" s="205" t="str">
        <f t="shared" si="2"/>
        <v/>
      </c>
      <c r="C611" s="206" t="str">
        <f t="shared" si="3"/>
        <v/>
      </c>
      <c r="D611" s="207" t="str">
        <f t="shared" si="0"/>
        <v/>
      </c>
      <c r="E611" s="207"/>
      <c r="F611" s="205" t="str">
        <f>IF(E611="","",VLOOKUP(E611,'ARAMA LİSTELERİ'!C611:G2650,5,))</f>
        <v/>
      </c>
      <c r="G611" s="207"/>
      <c r="H611" s="210"/>
      <c r="I611" s="79"/>
      <c r="J611" s="210"/>
      <c r="K611" s="210"/>
      <c r="L611" s="210" t="str">
        <f t="shared" si="1"/>
        <v/>
      </c>
      <c r="M611" s="79"/>
      <c r="N611" s="207"/>
      <c r="O611" s="207"/>
      <c r="P611" s="207"/>
      <c r="Q611" s="207"/>
    </row>
    <row r="612" spans="1:17" ht="34.5" customHeight="1">
      <c r="A612" s="82"/>
      <c r="B612" s="205" t="str">
        <f t="shared" si="2"/>
        <v/>
      </c>
      <c r="C612" s="206" t="str">
        <f t="shared" si="3"/>
        <v/>
      </c>
      <c r="D612" s="207" t="str">
        <f t="shared" si="0"/>
        <v/>
      </c>
      <c r="E612" s="207"/>
      <c r="F612" s="205" t="str">
        <f>IF(E612="","",VLOOKUP(E612,'ARAMA LİSTELERİ'!C612:G2651,5,))</f>
        <v/>
      </c>
      <c r="G612" s="207"/>
      <c r="H612" s="210"/>
      <c r="I612" s="79"/>
      <c r="J612" s="210"/>
      <c r="K612" s="210"/>
      <c r="L612" s="210" t="str">
        <f t="shared" si="1"/>
        <v/>
      </c>
      <c r="M612" s="79"/>
      <c r="N612" s="207"/>
      <c r="O612" s="207"/>
      <c r="P612" s="207"/>
      <c r="Q612" s="207"/>
    </row>
    <row r="613" spans="1:17" ht="34.5" customHeight="1">
      <c r="A613" s="82"/>
      <c r="B613" s="205" t="str">
        <f t="shared" si="2"/>
        <v/>
      </c>
      <c r="C613" s="206" t="str">
        <f t="shared" si="3"/>
        <v/>
      </c>
      <c r="D613" s="207" t="str">
        <f t="shared" si="0"/>
        <v/>
      </c>
      <c r="E613" s="207"/>
      <c r="F613" s="205" t="str">
        <f>IF(E613="","",VLOOKUP(E613,'ARAMA LİSTELERİ'!C613:G2652,5,))</f>
        <v/>
      </c>
      <c r="G613" s="207"/>
      <c r="H613" s="210"/>
      <c r="I613" s="79"/>
      <c r="J613" s="210"/>
      <c r="K613" s="210"/>
      <c r="L613" s="210" t="str">
        <f t="shared" si="1"/>
        <v/>
      </c>
      <c r="M613" s="79"/>
      <c r="N613" s="207"/>
      <c r="O613" s="207"/>
      <c r="P613" s="207"/>
      <c r="Q613" s="207"/>
    </row>
    <row r="614" spans="1:17" ht="34.5" customHeight="1">
      <c r="A614" s="82"/>
      <c r="B614" s="205" t="str">
        <f t="shared" si="2"/>
        <v/>
      </c>
      <c r="C614" s="206" t="str">
        <f t="shared" si="3"/>
        <v/>
      </c>
      <c r="D614" s="207" t="str">
        <f t="shared" si="0"/>
        <v/>
      </c>
      <c r="E614" s="207"/>
      <c r="F614" s="205" t="str">
        <f>IF(E614="","",VLOOKUP(E614,'ARAMA LİSTELERİ'!C614:G2653,5,))</f>
        <v/>
      </c>
      <c r="G614" s="207"/>
      <c r="H614" s="210"/>
      <c r="I614" s="79"/>
      <c r="J614" s="210"/>
      <c r="K614" s="210"/>
      <c r="L614" s="210" t="str">
        <f t="shared" si="1"/>
        <v/>
      </c>
      <c r="M614" s="79"/>
      <c r="N614" s="207"/>
      <c r="O614" s="207"/>
      <c r="P614" s="207"/>
      <c r="Q614" s="207"/>
    </row>
    <row r="615" spans="1:17" ht="34.5" customHeight="1">
      <c r="A615" s="82"/>
      <c r="B615" s="205" t="str">
        <f t="shared" si="2"/>
        <v/>
      </c>
      <c r="C615" s="206" t="str">
        <f t="shared" si="3"/>
        <v/>
      </c>
      <c r="D615" s="207" t="str">
        <f t="shared" si="0"/>
        <v/>
      </c>
      <c r="E615" s="207"/>
      <c r="F615" s="205" t="str">
        <f>IF(E615="","",VLOOKUP(E615,'ARAMA LİSTELERİ'!C615:G2654,5,))</f>
        <v/>
      </c>
      <c r="G615" s="207"/>
      <c r="H615" s="210"/>
      <c r="I615" s="79"/>
      <c r="J615" s="210"/>
      <c r="K615" s="210"/>
      <c r="L615" s="210" t="str">
        <f t="shared" si="1"/>
        <v/>
      </c>
      <c r="M615" s="79"/>
      <c r="N615" s="207"/>
      <c r="O615" s="207"/>
      <c r="P615" s="207"/>
      <c r="Q615" s="207"/>
    </row>
    <row r="616" spans="1:17" ht="34.5" customHeight="1">
      <c r="A616" s="82"/>
      <c r="B616" s="205" t="str">
        <f t="shared" si="2"/>
        <v/>
      </c>
      <c r="C616" s="206" t="str">
        <f t="shared" si="3"/>
        <v/>
      </c>
      <c r="D616" s="207" t="str">
        <f t="shared" si="0"/>
        <v/>
      </c>
      <c r="E616" s="207"/>
      <c r="F616" s="205" t="str">
        <f>IF(E616="","",VLOOKUP(E616,'ARAMA LİSTELERİ'!C616:G2655,5,))</f>
        <v/>
      </c>
      <c r="G616" s="207"/>
      <c r="H616" s="210"/>
      <c r="I616" s="79"/>
      <c r="J616" s="210"/>
      <c r="K616" s="210"/>
      <c r="L616" s="210" t="str">
        <f t="shared" si="1"/>
        <v/>
      </c>
      <c r="M616" s="79"/>
      <c r="N616" s="207"/>
      <c r="O616" s="207"/>
      <c r="P616" s="207"/>
      <c r="Q616" s="207"/>
    </row>
    <row r="617" spans="1:17" ht="34.5" customHeight="1">
      <c r="A617" s="82"/>
      <c r="B617" s="205" t="str">
        <f t="shared" si="2"/>
        <v/>
      </c>
      <c r="C617" s="206" t="str">
        <f t="shared" si="3"/>
        <v/>
      </c>
      <c r="D617" s="207" t="str">
        <f t="shared" si="0"/>
        <v/>
      </c>
      <c r="E617" s="207"/>
      <c r="F617" s="205" t="str">
        <f>IF(E617="","",VLOOKUP(E617,'ARAMA LİSTELERİ'!C617:G2656,5,))</f>
        <v/>
      </c>
      <c r="G617" s="207"/>
      <c r="H617" s="210"/>
      <c r="I617" s="79"/>
      <c r="J617" s="210"/>
      <c r="K617" s="210"/>
      <c r="L617" s="210" t="str">
        <f t="shared" si="1"/>
        <v/>
      </c>
      <c r="M617" s="79"/>
      <c r="N617" s="207"/>
      <c r="O617" s="207"/>
      <c r="P617" s="207"/>
      <c r="Q617" s="207"/>
    </row>
    <row r="618" spans="1:17" ht="34.5" customHeight="1">
      <c r="A618" s="82"/>
      <c r="B618" s="205" t="str">
        <f t="shared" si="2"/>
        <v/>
      </c>
      <c r="C618" s="206" t="str">
        <f t="shared" si="3"/>
        <v/>
      </c>
      <c r="D618" s="207" t="str">
        <f t="shared" si="0"/>
        <v/>
      </c>
      <c r="E618" s="207"/>
      <c r="F618" s="205" t="str">
        <f>IF(E618="","",VLOOKUP(E618,'ARAMA LİSTELERİ'!C618:G2657,5,))</f>
        <v/>
      </c>
      <c r="G618" s="207"/>
      <c r="H618" s="210"/>
      <c r="I618" s="79"/>
      <c r="J618" s="210"/>
      <c r="K618" s="210"/>
      <c r="L618" s="210" t="str">
        <f t="shared" si="1"/>
        <v/>
      </c>
      <c r="M618" s="79"/>
      <c r="N618" s="207"/>
      <c r="O618" s="207"/>
      <c r="P618" s="207"/>
      <c r="Q618" s="207"/>
    </row>
    <row r="619" spans="1:17" ht="34.5" customHeight="1">
      <c r="A619" s="82"/>
      <c r="B619" s="205" t="str">
        <f t="shared" si="2"/>
        <v/>
      </c>
      <c r="C619" s="206" t="str">
        <f t="shared" si="3"/>
        <v/>
      </c>
      <c r="D619" s="207" t="str">
        <f t="shared" si="0"/>
        <v/>
      </c>
      <c r="E619" s="207"/>
      <c r="F619" s="205" t="str">
        <f>IF(E619="","",VLOOKUP(E619,'ARAMA LİSTELERİ'!C619:G2658,5,))</f>
        <v/>
      </c>
      <c r="G619" s="207"/>
      <c r="H619" s="210"/>
      <c r="I619" s="79"/>
      <c r="J619" s="210"/>
      <c r="K619" s="210"/>
      <c r="L619" s="210" t="str">
        <f t="shared" si="1"/>
        <v/>
      </c>
      <c r="M619" s="79"/>
      <c r="N619" s="207"/>
      <c r="O619" s="207"/>
      <c r="P619" s="207"/>
      <c r="Q619" s="207"/>
    </row>
    <row r="620" spans="1:17" ht="34.5" customHeight="1">
      <c r="A620" s="82"/>
      <c r="B620" s="205" t="str">
        <f t="shared" si="2"/>
        <v/>
      </c>
      <c r="C620" s="206" t="str">
        <f t="shared" si="3"/>
        <v/>
      </c>
      <c r="D620" s="207" t="str">
        <f t="shared" si="0"/>
        <v/>
      </c>
      <c r="E620" s="207"/>
      <c r="F620" s="205" t="str">
        <f>IF(E620="","",VLOOKUP(E620,'ARAMA LİSTELERİ'!C620:G2659,5,))</f>
        <v/>
      </c>
      <c r="G620" s="207"/>
      <c r="H620" s="210"/>
      <c r="I620" s="79"/>
      <c r="J620" s="210"/>
      <c r="K620" s="210"/>
      <c r="L620" s="210" t="str">
        <f t="shared" si="1"/>
        <v/>
      </c>
      <c r="M620" s="79"/>
      <c r="N620" s="207"/>
      <c r="O620" s="207"/>
      <c r="P620" s="207"/>
      <c r="Q620" s="207"/>
    </row>
    <row r="621" spans="1:17" ht="34.5" customHeight="1">
      <c r="A621" s="82"/>
      <c r="B621" s="205" t="str">
        <f t="shared" si="2"/>
        <v/>
      </c>
      <c r="C621" s="206" t="str">
        <f t="shared" si="3"/>
        <v/>
      </c>
      <c r="D621" s="207" t="str">
        <f t="shared" si="0"/>
        <v/>
      </c>
      <c r="E621" s="207"/>
      <c r="F621" s="205" t="str">
        <f>IF(E621="","",VLOOKUP(E621,'ARAMA LİSTELERİ'!C621:G2660,5,))</f>
        <v/>
      </c>
      <c r="G621" s="207"/>
      <c r="H621" s="210"/>
      <c r="I621" s="79"/>
      <c r="J621" s="210"/>
      <c r="K621" s="210"/>
      <c r="L621" s="210" t="str">
        <f t="shared" si="1"/>
        <v/>
      </c>
      <c r="M621" s="79"/>
      <c r="N621" s="207"/>
      <c r="O621" s="207"/>
      <c r="P621" s="207"/>
      <c r="Q621" s="207"/>
    </row>
    <row r="622" spans="1:17" ht="34.5" customHeight="1">
      <c r="A622" s="82"/>
      <c r="B622" s="205" t="str">
        <f t="shared" si="2"/>
        <v/>
      </c>
      <c r="C622" s="206" t="str">
        <f t="shared" si="3"/>
        <v/>
      </c>
      <c r="D622" s="207" t="str">
        <f t="shared" si="0"/>
        <v/>
      </c>
      <c r="E622" s="207"/>
      <c r="F622" s="205" t="str">
        <f>IF(E622="","",VLOOKUP(E622,'ARAMA LİSTELERİ'!C622:G2661,5,))</f>
        <v/>
      </c>
      <c r="G622" s="207"/>
      <c r="H622" s="210"/>
      <c r="I622" s="79"/>
      <c r="J622" s="210"/>
      <c r="K622" s="210"/>
      <c r="L622" s="210" t="str">
        <f t="shared" si="1"/>
        <v/>
      </c>
      <c r="M622" s="79"/>
      <c r="N622" s="207"/>
      <c r="O622" s="207"/>
      <c r="P622" s="207"/>
      <c r="Q622" s="207"/>
    </row>
    <row r="623" spans="1:17" ht="34.5" customHeight="1">
      <c r="A623" s="82"/>
      <c r="B623" s="205" t="str">
        <f t="shared" si="2"/>
        <v/>
      </c>
      <c r="C623" s="206" t="str">
        <f t="shared" si="3"/>
        <v/>
      </c>
      <c r="D623" s="207" t="str">
        <f t="shared" si="0"/>
        <v/>
      </c>
      <c r="E623" s="207"/>
      <c r="F623" s="205" t="str">
        <f>IF(E623="","",VLOOKUP(E623,'ARAMA LİSTELERİ'!C623:G2662,5,))</f>
        <v/>
      </c>
      <c r="G623" s="207"/>
      <c r="H623" s="210"/>
      <c r="I623" s="79"/>
      <c r="J623" s="210"/>
      <c r="K623" s="210"/>
      <c r="L623" s="210" t="str">
        <f t="shared" si="1"/>
        <v/>
      </c>
      <c r="M623" s="79"/>
      <c r="N623" s="207"/>
      <c r="O623" s="207"/>
      <c r="P623" s="207"/>
      <c r="Q623" s="207"/>
    </row>
    <row r="624" spans="1:17" ht="34.5" customHeight="1">
      <c r="A624" s="82"/>
      <c r="B624" s="205" t="str">
        <f t="shared" si="2"/>
        <v/>
      </c>
      <c r="C624" s="206" t="str">
        <f t="shared" si="3"/>
        <v/>
      </c>
      <c r="D624" s="207" t="str">
        <f t="shared" si="0"/>
        <v/>
      </c>
      <c r="E624" s="207"/>
      <c r="F624" s="205" t="str">
        <f>IF(E624="","",VLOOKUP(E624,'ARAMA LİSTELERİ'!C624:G2663,5,))</f>
        <v/>
      </c>
      <c r="G624" s="207"/>
      <c r="H624" s="210"/>
      <c r="I624" s="79"/>
      <c r="J624" s="210"/>
      <c r="K624" s="210"/>
      <c r="L624" s="210" t="str">
        <f t="shared" si="1"/>
        <v/>
      </c>
      <c r="M624" s="79"/>
      <c r="N624" s="207"/>
      <c r="O624" s="207"/>
      <c r="P624" s="207"/>
      <c r="Q624" s="207"/>
    </row>
    <row r="625" spans="1:17" ht="34.5" customHeight="1">
      <c r="A625" s="82"/>
      <c r="B625" s="205" t="str">
        <f t="shared" si="2"/>
        <v/>
      </c>
      <c r="C625" s="206" t="str">
        <f t="shared" si="3"/>
        <v/>
      </c>
      <c r="D625" s="207" t="str">
        <f t="shared" si="0"/>
        <v/>
      </c>
      <c r="E625" s="207"/>
      <c r="F625" s="205" t="str">
        <f>IF(E625="","",VLOOKUP(E625,'ARAMA LİSTELERİ'!C625:G2664,5,))</f>
        <v/>
      </c>
      <c r="G625" s="207"/>
      <c r="H625" s="210"/>
      <c r="I625" s="79"/>
      <c r="J625" s="210"/>
      <c r="K625" s="210"/>
      <c r="L625" s="210" t="str">
        <f t="shared" si="1"/>
        <v/>
      </c>
      <c r="M625" s="79"/>
      <c r="N625" s="207"/>
      <c r="O625" s="207"/>
      <c r="P625" s="207"/>
      <c r="Q625" s="207"/>
    </row>
    <row r="626" spans="1:17" ht="34.5" customHeight="1">
      <c r="A626" s="82"/>
      <c r="B626" s="205" t="str">
        <f t="shared" si="2"/>
        <v/>
      </c>
      <c r="C626" s="206" t="str">
        <f t="shared" si="3"/>
        <v/>
      </c>
      <c r="D626" s="207" t="str">
        <f t="shared" si="0"/>
        <v/>
      </c>
      <c r="E626" s="207"/>
      <c r="F626" s="205" t="str">
        <f>IF(E626="","",VLOOKUP(E626,'ARAMA LİSTELERİ'!C626:G2665,5,))</f>
        <v/>
      </c>
      <c r="G626" s="207"/>
      <c r="H626" s="210"/>
      <c r="I626" s="79"/>
      <c r="J626" s="210"/>
      <c r="K626" s="210"/>
      <c r="L626" s="210" t="str">
        <f t="shared" si="1"/>
        <v/>
      </c>
      <c r="M626" s="79"/>
      <c r="N626" s="207"/>
      <c r="O626" s="207"/>
      <c r="P626" s="207"/>
      <c r="Q626" s="207"/>
    </row>
    <row r="627" spans="1:17" ht="34.5" customHeight="1">
      <c r="A627" s="82"/>
      <c r="B627" s="205" t="str">
        <f t="shared" si="2"/>
        <v/>
      </c>
      <c r="C627" s="206" t="str">
        <f t="shared" si="3"/>
        <v/>
      </c>
      <c r="D627" s="207" t="str">
        <f t="shared" si="0"/>
        <v/>
      </c>
      <c r="E627" s="207"/>
      <c r="F627" s="205" t="str">
        <f>IF(E627="","",VLOOKUP(E627,'ARAMA LİSTELERİ'!C627:G2666,5,))</f>
        <v/>
      </c>
      <c r="G627" s="207"/>
      <c r="H627" s="210"/>
      <c r="I627" s="79"/>
      <c r="J627" s="210"/>
      <c r="K627" s="210"/>
      <c r="L627" s="210" t="str">
        <f t="shared" si="1"/>
        <v/>
      </c>
      <c r="M627" s="79"/>
      <c r="N627" s="207"/>
      <c r="O627" s="207"/>
      <c r="P627" s="207"/>
      <c r="Q627" s="207"/>
    </row>
    <row r="628" spans="1:17" ht="34.5" customHeight="1">
      <c r="A628" s="82"/>
      <c r="B628" s="205" t="str">
        <f t="shared" si="2"/>
        <v/>
      </c>
      <c r="C628" s="206" t="str">
        <f t="shared" si="3"/>
        <v/>
      </c>
      <c r="D628" s="207" t="str">
        <f t="shared" si="0"/>
        <v/>
      </c>
      <c r="E628" s="207"/>
      <c r="F628" s="205" t="str">
        <f>IF(E628="","",VLOOKUP(E628,'ARAMA LİSTELERİ'!C628:G2667,5,))</f>
        <v/>
      </c>
      <c r="G628" s="207"/>
      <c r="H628" s="210"/>
      <c r="I628" s="79"/>
      <c r="J628" s="210"/>
      <c r="K628" s="210"/>
      <c r="L628" s="210" t="str">
        <f t="shared" si="1"/>
        <v/>
      </c>
      <c r="M628" s="79"/>
      <c r="N628" s="207"/>
      <c r="O628" s="207"/>
      <c r="P628" s="207"/>
      <c r="Q628" s="207"/>
    </row>
    <row r="629" spans="1:17" ht="34.5" customHeight="1">
      <c r="A629" s="82"/>
      <c r="B629" s="205" t="str">
        <f t="shared" si="2"/>
        <v/>
      </c>
      <c r="C629" s="206" t="str">
        <f t="shared" si="3"/>
        <v/>
      </c>
      <c r="D629" s="207" t="str">
        <f t="shared" si="0"/>
        <v/>
      </c>
      <c r="E629" s="207"/>
      <c r="F629" s="205" t="str">
        <f>IF(E629="","",VLOOKUP(E629,'ARAMA LİSTELERİ'!C629:G2668,5,))</f>
        <v/>
      </c>
      <c r="G629" s="207"/>
      <c r="H629" s="210"/>
      <c r="I629" s="79"/>
      <c r="J629" s="210"/>
      <c r="K629" s="210"/>
      <c r="L629" s="210" t="str">
        <f t="shared" si="1"/>
        <v/>
      </c>
      <c r="M629" s="79"/>
      <c r="N629" s="207"/>
      <c r="O629" s="207"/>
      <c r="P629" s="207"/>
      <c r="Q629" s="207"/>
    </row>
    <row r="630" spans="1:17" ht="34.5" customHeight="1">
      <c r="A630" s="82"/>
      <c r="B630" s="205" t="str">
        <f t="shared" si="2"/>
        <v/>
      </c>
      <c r="C630" s="206" t="str">
        <f t="shared" si="3"/>
        <v/>
      </c>
      <c r="D630" s="207" t="str">
        <f t="shared" si="0"/>
        <v/>
      </c>
      <c r="E630" s="207"/>
      <c r="F630" s="205" t="str">
        <f>IF(E630="","",VLOOKUP(E630,'ARAMA LİSTELERİ'!C630:G2669,5,))</f>
        <v/>
      </c>
      <c r="G630" s="207"/>
      <c r="H630" s="210"/>
      <c r="I630" s="79"/>
      <c r="J630" s="210"/>
      <c r="K630" s="210"/>
      <c r="L630" s="210" t="str">
        <f t="shared" si="1"/>
        <v/>
      </c>
      <c r="M630" s="79"/>
      <c r="N630" s="207"/>
      <c r="O630" s="207"/>
      <c r="P630" s="207"/>
      <c r="Q630" s="207"/>
    </row>
    <row r="631" spans="1:17" ht="34.5" customHeight="1">
      <c r="A631" s="82"/>
      <c r="B631" s="205" t="str">
        <f t="shared" si="2"/>
        <v/>
      </c>
      <c r="C631" s="206" t="str">
        <f t="shared" si="3"/>
        <v/>
      </c>
      <c r="D631" s="207" t="str">
        <f t="shared" si="0"/>
        <v/>
      </c>
      <c r="E631" s="207"/>
      <c r="F631" s="205" t="str">
        <f>IF(E631="","",VLOOKUP(E631,'ARAMA LİSTELERİ'!C631:G2670,5,))</f>
        <v/>
      </c>
      <c r="G631" s="207"/>
      <c r="H631" s="210"/>
      <c r="I631" s="79"/>
      <c r="J631" s="210"/>
      <c r="K631" s="210"/>
      <c r="L631" s="210" t="str">
        <f t="shared" si="1"/>
        <v/>
      </c>
      <c r="M631" s="79"/>
      <c r="N631" s="207"/>
      <c r="O631" s="207"/>
      <c r="P631" s="207"/>
      <c r="Q631" s="207"/>
    </row>
    <row r="632" spans="1:17" ht="34.5" customHeight="1">
      <c r="A632" s="82"/>
      <c r="B632" s="205" t="str">
        <f t="shared" si="2"/>
        <v/>
      </c>
      <c r="C632" s="206" t="str">
        <f t="shared" si="3"/>
        <v/>
      </c>
      <c r="D632" s="207" t="str">
        <f t="shared" si="0"/>
        <v/>
      </c>
      <c r="E632" s="207"/>
      <c r="F632" s="205" t="str">
        <f>IF(E632="","",VLOOKUP(E632,'ARAMA LİSTELERİ'!C632:G2671,5,))</f>
        <v/>
      </c>
      <c r="G632" s="207"/>
      <c r="H632" s="210"/>
      <c r="I632" s="79"/>
      <c r="J632" s="210"/>
      <c r="K632" s="210"/>
      <c r="L632" s="210" t="str">
        <f t="shared" si="1"/>
        <v/>
      </c>
      <c r="M632" s="79"/>
      <c r="N632" s="207"/>
      <c r="O632" s="207"/>
      <c r="P632" s="207"/>
      <c r="Q632" s="207"/>
    </row>
    <row r="633" spans="1:17" ht="34.5" customHeight="1">
      <c r="A633" s="82"/>
      <c r="B633" s="205" t="str">
        <f t="shared" si="2"/>
        <v/>
      </c>
      <c r="C633" s="206" t="str">
        <f t="shared" si="3"/>
        <v/>
      </c>
      <c r="D633" s="207" t="str">
        <f t="shared" si="0"/>
        <v/>
      </c>
      <c r="E633" s="207"/>
      <c r="F633" s="205" t="str">
        <f>IF(E633="","",VLOOKUP(E633,'ARAMA LİSTELERİ'!C633:G2672,5,))</f>
        <v/>
      </c>
      <c r="G633" s="207"/>
      <c r="H633" s="210"/>
      <c r="I633" s="79"/>
      <c r="J633" s="210"/>
      <c r="K633" s="210"/>
      <c r="L633" s="210" t="str">
        <f t="shared" si="1"/>
        <v/>
      </c>
      <c r="M633" s="79"/>
      <c r="N633" s="207"/>
      <c r="O633" s="207"/>
      <c r="P633" s="207"/>
      <c r="Q633" s="207"/>
    </row>
    <row r="634" spans="1:17" ht="34.5" customHeight="1">
      <c r="A634" s="82"/>
      <c r="B634" s="205" t="str">
        <f t="shared" si="2"/>
        <v/>
      </c>
      <c r="C634" s="206" t="str">
        <f t="shared" si="3"/>
        <v/>
      </c>
      <c r="D634" s="207" t="str">
        <f t="shared" si="0"/>
        <v/>
      </c>
      <c r="E634" s="207"/>
      <c r="F634" s="205" t="str">
        <f>IF(E634="","",VLOOKUP(E634,'ARAMA LİSTELERİ'!C634:G2673,5,))</f>
        <v/>
      </c>
      <c r="G634" s="207"/>
      <c r="H634" s="210"/>
      <c r="I634" s="79"/>
      <c r="J634" s="210"/>
      <c r="K634" s="210"/>
      <c r="L634" s="210" t="str">
        <f t="shared" si="1"/>
        <v/>
      </c>
      <c r="M634" s="79"/>
      <c r="N634" s="207"/>
      <c r="O634" s="207"/>
      <c r="P634" s="207"/>
      <c r="Q634" s="207"/>
    </row>
    <row r="635" spans="1:17" ht="34.5" customHeight="1">
      <c r="A635" s="82"/>
      <c r="B635" s="205" t="str">
        <f t="shared" si="2"/>
        <v/>
      </c>
      <c r="C635" s="206" t="str">
        <f t="shared" si="3"/>
        <v/>
      </c>
      <c r="D635" s="207" t="str">
        <f t="shared" si="0"/>
        <v/>
      </c>
      <c r="E635" s="207"/>
      <c r="F635" s="205" t="str">
        <f>IF(E635="","",VLOOKUP(E635,'ARAMA LİSTELERİ'!C635:G2674,5,))</f>
        <v/>
      </c>
      <c r="G635" s="207"/>
      <c r="H635" s="210"/>
      <c r="I635" s="79"/>
      <c r="J635" s="210"/>
      <c r="K635" s="210"/>
      <c r="L635" s="210" t="str">
        <f t="shared" si="1"/>
        <v/>
      </c>
      <c r="M635" s="79"/>
      <c r="N635" s="207"/>
      <c r="O635" s="207"/>
      <c r="P635" s="207"/>
      <c r="Q635" s="207"/>
    </row>
    <row r="636" spans="1:17" ht="34.5" customHeight="1">
      <c r="A636" s="82"/>
      <c r="B636" s="205" t="str">
        <f t="shared" si="2"/>
        <v/>
      </c>
      <c r="C636" s="206" t="str">
        <f t="shared" si="3"/>
        <v/>
      </c>
      <c r="D636" s="207" t="str">
        <f t="shared" si="0"/>
        <v/>
      </c>
      <c r="E636" s="207"/>
      <c r="F636" s="205" t="str">
        <f>IF(E636="","",VLOOKUP(E636,'ARAMA LİSTELERİ'!C636:G2675,5,))</f>
        <v/>
      </c>
      <c r="G636" s="207"/>
      <c r="H636" s="210"/>
      <c r="I636" s="79"/>
      <c r="J636" s="210"/>
      <c r="K636" s="210"/>
      <c r="L636" s="210" t="str">
        <f t="shared" si="1"/>
        <v/>
      </c>
      <c r="M636" s="79"/>
      <c r="N636" s="207"/>
      <c r="O636" s="207"/>
      <c r="P636" s="207"/>
      <c r="Q636" s="207"/>
    </row>
    <row r="637" spans="1:17" ht="34.5" customHeight="1">
      <c r="A637" s="82"/>
      <c r="B637" s="205" t="str">
        <f t="shared" si="2"/>
        <v/>
      </c>
      <c r="C637" s="206" t="str">
        <f t="shared" si="3"/>
        <v/>
      </c>
      <c r="D637" s="207" t="str">
        <f t="shared" si="0"/>
        <v/>
      </c>
      <c r="E637" s="207"/>
      <c r="F637" s="205" t="str">
        <f>IF(E637="","",VLOOKUP(E637,'ARAMA LİSTELERİ'!C637:G2676,5,))</f>
        <v/>
      </c>
      <c r="G637" s="207"/>
      <c r="H637" s="210"/>
      <c r="I637" s="79"/>
      <c r="J637" s="210"/>
      <c r="K637" s="210"/>
      <c r="L637" s="210" t="str">
        <f t="shared" si="1"/>
        <v/>
      </c>
      <c r="M637" s="79"/>
      <c r="N637" s="207"/>
      <c r="O637" s="207"/>
      <c r="P637" s="207"/>
      <c r="Q637" s="207"/>
    </row>
    <row r="638" spans="1:17" ht="34.5" customHeight="1">
      <c r="A638" s="82"/>
      <c r="B638" s="205" t="str">
        <f t="shared" si="2"/>
        <v/>
      </c>
      <c r="C638" s="206" t="str">
        <f t="shared" si="3"/>
        <v/>
      </c>
      <c r="D638" s="207" t="str">
        <f t="shared" si="0"/>
        <v/>
      </c>
      <c r="E638" s="207"/>
      <c r="F638" s="205" t="str">
        <f>IF(E638="","",VLOOKUP(E638,'ARAMA LİSTELERİ'!C638:G2677,5,))</f>
        <v/>
      </c>
      <c r="G638" s="207"/>
      <c r="H638" s="210"/>
      <c r="I638" s="79"/>
      <c r="J638" s="210"/>
      <c r="K638" s="210"/>
      <c r="L638" s="210" t="str">
        <f t="shared" si="1"/>
        <v/>
      </c>
      <c r="M638" s="79"/>
      <c r="N638" s="207"/>
      <c r="O638" s="207"/>
      <c r="P638" s="207"/>
      <c r="Q638" s="207"/>
    </row>
    <row r="639" spans="1:17" ht="34.5" customHeight="1">
      <c r="A639" s="82"/>
      <c r="B639" s="205" t="str">
        <f t="shared" si="2"/>
        <v/>
      </c>
      <c r="C639" s="206" t="str">
        <f t="shared" si="3"/>
        <v/>
      </c>
      <c r="D639" s="207" t="str">
        <f t="shared" si="0"/>
        <v/>
      </c>
      <c r="E639" s="207"/>
      <c r="F639" s="205" t="str">
        <f>IF(E639="","",VLOOKUP(E639,'ARAMA LİSTELERİ'!C639:G2678,5,))</f>
        <v/>
      </c>
      <c r="G639" s="207"/>
      <c r="H639" s="210"/>
      <c r="I639" s="79"/>
      <c r="J639" s="210"/>
      <c r="K639" s="210"/>
      <c r="L639" s="210" t="str">
        <f t="shared" si="1"/>
        <v/>
      </c>
      <c r="M639" s="79"/>
      <c r="N639" s="207"/>
      <c r="O639" s="207"/>
      <c r="P639" s="207"/>
      <c r="Q639" s="207"/>
    </row>
    <row r="640" spans="1:17" ht="34.5" customHeight="1">
      <c r="A640" s="82"/>
      <c r="B640" s="205" t="str">
        <f t="shared" si="2"/>
        <v/>
      </c>
      <c r="C640" s="206" t="str">
        <f t="shared" si="3"/>
        <v/>
      </c>
      <c r="D640" s="207" t="str">
        <f t="shared" si="0"/>
        <v/>
      </c>
      <c r="E640" s="207"/>
      <c r="F640" s="205" t="str">
        <f>IF(E640="","",VLOOKUP(E640,'ARAMA LİSTELERİ'!C640:G2679,5,))</f>
        <v/>
      </c>
      <c r="G640" s="207"/>
      <c r="H640" s="210"/>
      <c r="I640" s="79"/>
      <c r="J640" s="210"/>
      <c r="K640" s="210"/>
      <c r="L640" s="210" t="str">
        <f t="shared" si="1"/>
        <v/>
      </c>
      <c r="M640" s="79"/>
      <c r="N640" s="207"/>
      <c r="O640" s="207"/>
      <c r="P640" s="207"/>
      <c r="Q640" s="207"/>
    </row>
    <row r="641" spans="1:17" ht="34.5" customHeight="1">
      <c r="A641" s="82"/>
      <c r="B641" s="205" t="str">
        <f t="shared" si="2"/>
        <v/>
      </c>
      <c r="C641" s="206" t="str">
        <f t="shared" si="3"/>
        <v/>
      </c>
      <c r="D641" s="207" t="str">
        <f t="shared" si="0"/>
        <v/>
      </c>
      <c r="E641" s="207"/>
      <c r="F641" s="205" t="str">
        <f>IF(E641="","",VLOOKUP(E641,'ARAMA LİSTELERİ'!C641:G2680,5,))</f>
        <v/>
      </c>
      <c r="G641" s="207"/>
      <c r="H641" s="210"/>
      <c r="I641" s="79"/>
      <c r="J641" s="210"/>
      <c r="K641" s="210"/>
      <c r="L641" s="210" t="str">
        <f t="shared" si="1"/>
        <v/>
      </c>
      <c r="M641" s="79"/>
      <c r="N641" s="207"/>
      <c r="O641" s="207"/>
      <c r="P641" s="207"/>
      <c r="Q641" s="207"/>
    </row>
    <row r="642" spans="1:17" ht="34.5" customHeight="1">
      <c r="A642" s="82"/>
      <c r="B642" s="205" t="str">
        <f t="shared" si="2"/>
        <v/>
      </c>
      <c r="C642" s="206" t="str">
        <f t="shared" si="3"/>
        <v/>
      </c>
      <c r="D642" s="207" t="str">
        <f t="shared" si="0"/>
        <v/>
      </c>
      <c r="E642" s="207"/>
      <c r="F642" s="205" t="str">
        <f>IF(E642="","",VLOOKUP(E642,'ARAMA LİSTELERİ'!C642:G2681,5,))</f>
        <v/>
      </c>
      <c r="G642" s="207"/>
      <c r="H642" s="210"/>
      <c r="I642" s="79"/>
      <c r="J642" s="210"/>
      <c r="K642" s="210"/>
      <c r="L642" s="210" t="str">
        <f t="shared" si="1"/>
        <v/>
      </c>
      <c r="M642" s="79"/>
      <c r="N642" s="207"/>
      <c r="O642" s="207"/>
      <c r="P642" s="207"/>
      <c r="Q642" s="207"/>
    </row>
    <row r="643" spans="1:17" ht="34.5" customHeight="1">
      <c r="A643" s="82"/>
      <c r="B643" s="205" t="str">
        <f t="shared" si="2"/>
        <v/>
      </c>
      <c r="C643" s="206" t="str">
        <f t="shared" si="3"/>
        <v/>
      </c>
      <c r="D643" s="207" t="str">
        <f t="shared" si="0"/>
        <v/>
      </c>
      <c r="E643" s="207"/>
      <c r="F643" s="205" t="str">
        <f>IF(E643="","",VLOOKUP(E643,'ARAMA LİSTELERİ'!C643:G2682,5,))</f>
        <v/>
      </c>
      <c r="G643" s="207"/>
      <c r="H643" s="210"/>
      <c r="I643" s="79"/>
      <c r="J643" s="210"/>
      <c r="K643" s="210"/>
      <c r="L643" s="210" t="str">
        <f t="shared" si="1"/>
        <v/>
      </c>
      <c r="M643" s="79"/>
      <c r="N643" s="207"/>
      <c r="O643" s="207"/>
      <c r="P643" s="207"/>
      <c r="Q643" s="207"/>
    </row>
    <row r="644" spans="1:17" ht="34.5" customHeight="1">
      <c r="A644" s="82"/>
      <c r="B644" s="205" t="str">
        <f t="shared" si="2"/>
        <v/>
      </c>
      <c r="C644" s="206" t="str">
        <f t="shared" si="3"/>
        <v/>
      </c>
      <c r="D644" s="207" t="str">
        <f t="shared" si="0"/>
        <v/>
      </c>
      <c r="E644" s="207"/>
      <c r="F644" s="205" t="str">
        <f>IF(E644="","",VLOOKUP(E644,'ARAMA LİSTELERİ'!C644:G2683,5,))</f>
        <v/>
      </c>
      <c r="G644" s="207"/>
      <c r="H644" s="210"/>
      <c r="I644" s="79"/>
      <c r="J644" s="210"/>
      <c r="K644" s="210"/>
      <c r="L644" s="210" t="str">
        <f t="shared" si="1"/>
        <v/>
      </c>
      <c r="M644" s="79"/>
      <c r="N644" s="207"/>
      <c r="O644" s="207"/>
      <c r="P644" s="207"/>
      <c r="Q644" s="207"/>
    </row>
    <row r="645" spans="1:17" ht="34.5" customHeight="1">
      <c r="A645" s="82"/>
      <c r="B645" s="205" t="str">
        <f t="shared" si="2"/>
        <v/>
      </c>
      <c r="C645" s="206" t="str">
        <f t="shared" si="3"/>
        <v/>
      </c>
      <c r="D645" s="207" t="str">
        <f t="shared" si="0"/>
        <v/>
      </c>
      <c r="E645" s="207"/>
      <c r="F645" s="205" t="str">
        <f>IF(E645="","",VLOOKUP(E645,'ARAMA LİSTELERİ'!C645:G2684,5,))</f>
        <v/>
      </c>
      <c r="G645" s="207"/>
      <c r="H645" s="210"/>
      <c r="I645" s="79"/>
      <c r="J645" s="210"/>
      <c r="K645" s="210"/>
      <c r="L645" s="210" t="str">
        <f t="shared" si="1"/>
        <v/>
      </c>
      <c r="M645" s="79"/>
      <c r="N645" s="207"/>
      <c r="O645" s="207"/>
      <c r="P645" s="207"/>
      <c r="Q645" s="207"/>
    </row>
    <row r="646" spans="1:17" ht="34.5" customHeight="1">
      <c r="A646" s="82"/>
      <c r="B646" s="205" t="str">
        <f t="shared" si="2"/>
        <v/>
      </c>
      <c r="C646" s="206" t="str">
        <f t="shared" si="3"/>
        <v/>
      </c>
      <c r="D646" s="207" t="str">
        <f t="shared" si="0"/>
        <v/>
      </c>
      <c r="E646" s="207"/>
      <c r="F646" s="205" t="str">
        <f>IF(E646="","",VLOOKUP(E646,'ARAMA LİSTELERİ'!C646:G2685,5,))</f>
        <v/>
      </c>
      <c r="G646" s="207"/>
      <c r="H646" s="210"/>
      <c r="I646" s="79"/>
      <c r="J646" s="210"/>
      <c r="K646" s="210"/>
      <c r="L646" s="210" t="str">
        <f t="shared" si="1"/>
        <v/>
      </c>
      <c r="M646" s="79"/>
      <c r="N646" s="207"/>
      <c r="O646" s="207"/>
      <c r="P646" s="207"/>
      <c r="Q646" s="207"/>
    </row>
    <row r="647" spans="1:17" ht="34.5" customHeight="1">
      <c r="A647" s="82"/>
      <c r="B647" s="205" t="str">
        <f t="shared" si="2"/>
        <v/>
      </c>
      <c r="C647" s="206" t="str">
        <f t="shared" si="3"/>
        <v/>
      </c>
      <c r="D647" s="207" t="str">
        <f t="shared" si="0"/>
        <v/>
      </c>
      <c r="E647" s="207"/>
      <c r="F647" s="205" t="str">
        <f>IF(E647="","",VLOOKUP(E647,'ARAMA LİSTELERİ'!C647:G2686,5,))</f>
        <v/>
      </c>
      <c r="G647" s="207"/>
      <c r="H647" s="210"/>
      <c r="I647" s="79"/>
      <c r="J647" s="210"/>
      <c r="K647" s="210"/>
      <c r="L647" s="210" t="str">
        <f t="shared" si="1"/>
        <v/>
      </c>
      <c r="M647" s="79"/>
      <c r="N647" s="207"/>
      <c r="O647" s="207"/>
      <c r="P647" s="207"/>
      <c r="Q647" s="207"/>
    </row>
    <row r="648" spans="1:17" ht="34.5" customHeight="1">
      <c r="A648" s="82"/>
      <c r="B648" s="205" t="str">
        <f t="shared" si="2"/>
        <v/>
      </c>
      <c r="C648" s="206" t="str">
        <f t="shared" si="3"/>
        <v/>
      </c>
      <c r="D648" s="207" t="str">
        <f t="shared" si="0"/>
        <v/>
      </c>
      <c r="E648" s="207"/>
      <c r="F648" s="205" t="str">
        <f>IF(E648="","",VLOOKUP(E648,'ARAMA LİSTELERİ'!C648:G2687,5,))</f>
        <v/>
      </c>
      <c r="G648" s="207"/>
      <c r="H648" s="210"/>
      <c r="I648" s="79"/>
      <c r="J648" s="210"/>
      <c r="K648" s="210"/>
      <c r="L648" s="210" t="str">
        <f t="shared" si="1"/>
        <v/>
      </c>
      <c r="M648" s="79"/>
      <c r="N648" s="207"/>
      <c r="O648" s="207"/>
      <c r="P648" s="207"/>
      <c r="Q648" s="207"/>
    </row>
    <row r="649" spans="1:17" ht="34.5" customHeight="1">
      <c r="A649" s="82"/>
      <c r="B649" s="205" t="str">
        <f t="shared" si="2"/>
        <v/>
      </c>
      <c r="C649" s="206" t="str">
        <f t="shared" si="3"/>
        <v/>
      </c>
      <c r="D649" s="207" t="str">
        <f t="shared" si="0"/>
        <v/>
      </c>
      <c r="E649" s="207"/>
      <c r="F649" s="205" t="str">
        <f>IF(E649="","",VLOOKUP(E649,'ARAMA LİSTELERİ'!C649:G2688,5,))</f>
        <v/>
      </c>
      <c r="G649" s="207"/>
      <c r="H649" s="210"/>
      <c r="I649" s="79"/>
      <c r="J649" s="210"/>
      <c r="K649" s="210"/>
      <c r="L649" s="210" t="str">
        <f t="shared" si="1"/>
        <v/>
      </c>
      <c r="M649" s="79"/>
      <c r="N649" s="207"/>
      <c r="O649" s="207"/>
      <c r="P649" s="207"/>
      <c r="Q649" s="207"/>
    </row>
    <row r="650" spans="1:17" ht="34.5" customHeight="1">
      <c r="A650" s="82"/>
      <c r="B650" s="205" t="str">
        <f t="shared" si="2"/>
        <v/>
      </c>
      <c r="C650" s="206" t="str">
        <f t="shared" si="3"/>
        <v/>
      </c>
      <c r="D650" s="207" t="str">
        <f t="shared" si="0"/>
        <v/>
      </c>
      <c r="E650" s="207"/>
      <c r="F650" s="205" t="str">
        <f>IF(E650="","",VLOOKUP(E650,'ARAMA LİSTELERİ'!C650:G2689,5,))</f>
        <v/>
      </c>
      <c r="G650" s="207"/>
      <c r="H650" s="210"/>
      <c r="I650" s="79"/>
      <c r="J650" s="210"/>
      <c r="K650" s="210"/>
      <c r="L650" s="210" t="str">
        <f t="shared" si="1"/>
        <v/>
      </c>
      <c r="M650" s="79"/>
      <c r="N650" s="207"/>
      <c r="O650" s="207"/>
      <c r="P650" s="207"/>
      <c r="Q650" s="207"/>
    </row>
    <row r="651" spans="1:17" ht="34.5" customHeight="1">
      <c r="A651" s="82"/>
      <c r="B651" s="205" t="str">
        <f t="shared" si="2"/>
        <v/>
      </c>
      <c r="C651" s="206" t="str">
        <f t="shared" si="3"/>
        <v/>
      </c>
      <c r="D651" s="207" t="str">
        <f t="shared" si="0"/>
        <v/>
      </c>
      <c r="E651" s="207"/>
      <c r="F651" s="205" t="str">
        <f>IF(E651="","",VLOOKUP(E651,'ARAMA LİSTELERİ'!C651:G2690,5,))</f>
        <v/>
      </c>
      <c r="G651" s="207"/>
      <c r="H651" s="210"/>
      <c r="I651" s="79"/>
      <c r="J651" s="210"/>
      <c r="K651" s="210"/>
      <c r="L651" s="210" t="str">
        <f t="shared" si="1"/>
        <v/>
      </c>
      <c r="M651" s="79"/>
      <c r="N651" s="207"/>
      <c r="O651" s="207"/>
      <c r="P651" s="207"/>
      <c r="Q651" s="207"/>
    </row>
    <row r="652" spans="1:17" ht="34.5" customHeight="1">
      <c r="A652" s="82"/>
      <c r="B652" s="205" t="str">
        <f t="shared" si="2"/>
        <v/>
      </c>
      <c r="C652" s="206" t="str">
        <f t="shared" si="3"/>
        <v/>
      </c>
      <c r="D652" s="207" t="str">
        <f t="shared" si="0"/>
        <v/>
      </c>
      <c r="E652" s="207"/>
      <c r="F652" s="205" t="str">
        <f>IF(E652="","",VLOOKUP(E652,'ARAMA LİSTELERİ'!C652:G2691,5,))</f>
        <v/>
      </c>
      <c r="G652" s="207"/>
      <c r="H652" s="210"/>
      <c r="I652" s="79"/>
      <c r="J652" s="210"/>
      <c r="K652" s="210"/>
      <c r="L652" s="210" t="str">
        <f t="shared" si="1"/>
        <v/>
      </c>
      <c r="M652" s="79"/>
      <c r="N652" s="207"/>
      <c r="O652" s="207"/>
      <c r="P652" s="207"/>
      <c r="Q652" s="207"/>
    </row>
    <row r="653" spans="1:17" ht="34.5" customHeight="1">
      <c r="A653" s="82"/>
      <c r="B653" s="205" t="str">
        <f t="shared" si="2"/>
        <v/>
      </c>
      <c r="C653" s="206" t="str">
        <f t="shared" si="3"/>
        <v/>
      </c>
      <c r="D653" s="207" t="str">
        <f t="shared" si="0"/>
        <v/>
      </c>
      <c r="E653" s="207"/>
      <c r="F653" s="205" t="str">
        <f>IF(E653="","",VLOOKUP(E653,'ARAMA LİSTELERİ'!C653:G2692,5,))</f>
        <v/>
      </c>
      <c r="G653" s="207"/>
      <c r="H653" s="210"/>
      <c r="I653" s="79"/>
      <c r="J653" s="210"/>
      <c r="K653" s="210"/>
      <c r="L653" s="210" t="str">
        <f t="shared" si="1"/>
        <v/>
      </c>
      <c r="M653" s="79"/>
      <c r="N653" s="207"/>
      <c r="O653" s="207"/>
      <c r="P653" s="207"/>
      <c r="Q653" s="207"/>
    </row>
    <row r="654" spans="1:17" ht="34.5" customHeight="1">
      <c r="A654" s="82"/>
      <c r="B654" s="205" t="str">
        <f t="shared" si="2"/>
        <v/>
      </c>
      <c r="C654" s="206" t="str">
        <f t="shared" si="3"/>
        <v/>
      </c>
      <c r="D654" s="207" t="str">
        <f t="shared" si="0"/>
        <v/>
      </c>
      <c r="E654" s="207"/>
      <c r="F654" s="205" t="str">
        <f>IF(E654="","",VLOOKUP(E654,'ARAMA LİSTELERİ'!C654:G2693,5,))</f>
        <v/>
      </c>
      <c r="G654" s="207"/>
      <c r="H654" s="210"/>
      <c r="I654" s="79"/>
      <c r="J654" s="210"/>
      <c r="K654" s="210"/>
      <c r="L654" s="210" t="str">
        <f t="shared" si="1"/>
        <v/>
      </c>
      <c r="M654" s="79"/>
      <c r="N654" s="207"/>
      <c r="O654" s="207"/>
      <c r="P654" s="207"/>
      <c r="Q654" s="207"/>
    </row>
    <row r="655" spans="1:17" ht="34.5" customHeight="1">
      <c r="A655" s="82"/>
      <c r="B655" s="205" t="str">
        <f t="shared" si="2"/>
        <v/>
      </c>
      <c r="C655" s="206" t="str">
        <f t="shared" si="3"/>
        <v/>
      </c>
      <c r="D655" s="207" t="str">
        <f t="shared" si="0"/>
        <v/>
      </c>
      <c r="E655" s="207"/>
      <c r="F655" s="205" t="str">
        <f>IF(E655="","",VLOOKUP(E655,'ARAMA LİSTELERİ'!C655:G2694,5,))</f>
        <v/>
      </c>
      <c r="G655" s="207"/>
      <c r="H655" s="210"/>
      <c r="I655" s="79"/>
      <c r="J655" s="210"/>
      <c r="K655" s="210"/>
      <c r="L655" s="210" t="str">
        <f t="shared" si="1"/>
        <v/>
      </c>
      <c r="M655" s="79"/>
      <c r="N655" s="207"/>
      <c r="O655" s="207"/>
      <c r="P655" s="207"/>
      <c r="Q655" s="207"/>
    </row>
    <row r="656" spans="1:17" ht="34.5" customHeight="1">
      <c r="A656" s="82"/>
      <c r="B656" s="205" t="str">
        <f t="shared" si="2"/>
        <v/>
      </c>
      <c r="C656" s="206" t="str">
        <f t="shared" si="3"/>
        <v/>
      </c>
      <c r="D656" s="207" t="str">
        <f t="shared" si="0"/>
        <v/>
      </c>
      <c r="E656" s="207"/>
      <c r="F656" s="205" t="str">
        <f>IF(E656="","",VLOOKUP(E656,'ARAMA LİSTELERİ'!C656:G2695,5,))</f>
        <v/>
      </c>
      <c r="G656" s="207"/>
      <c r="H656" s="210"/>
      <c r="I656" s="79"/>
      <c r="J656" s="210"/>
      <c r="K656" s="210"/>
      <c r="L656" s="210" t="str">
        <f t="shared" si="1"/>
        <v/>
      </c>
      <c r="M656" s="79"/>
      <c r="N656" s="207"/>
      <c r="O656" s="207"/>
      <c r="P656" s="207"/>
      <c r="Q656" s="207"/>
    </row>
    <row r="657" spans="1:17" ht="34.5" customHeight="1">
      <c r="A657" s="82"/>
      <c r="B657" s="205" t="str">
        <f t="shared" si="2"/>
        <v/>
      </c>
      <c r="C657" s="206" t="str">
        <f t="shared" si="3"/>
        <v/>
      </c>
      <c r="D657" s="207" t="str">
        <f t="shared" si="0"/>
        <v/>
      </c>
      <c r="E657" s="207"/>
      <c r="F657" s="205" t="str">
        <f>IF(E657="","",VLOOKUP(E657,'ARAMA LİSTELERİ'!C657:G2696,5,))</f>
        <v/>
      </c>
      <c r="G657" s="207"/>
      <c r="H657" s="210"/>
      <c r="I657" s="79"/>
      <c r="J657" s="210"/>
      <c r="K657" s="210"/>
      <c r="L657" s="210" t="str">
        <f t="shared" si="1"/>
        <v/>
      </c>
      <c r="M657" s="79"/>
      <c r="N657" s="207"/>
      <c r="O657" s="207"/>
      <c r="P657" s="207"/>
      <c r="Q657" s="207"/>
    </row>
    <row r="658" spans="1:17" ht="34.5" customHeight="1">
      <c r="A658" s="82"/>
      <c r="B658" s="205" t="str">
        <f t="shared" si="2"/>
        <v/>
      </c>
      <c r="C658" s="206" t="str">
        <f t="shared" si="3"/>
        <v/>
      </c>
      <c r="D658" s="207" t="str">
        <f t="shared" si="0"/>
        <v/>
      </c>
      <c r="E658" s="207"/>
      <c r="F658" s="205" t="str">
        <f>IF(E658="","",VLOOKUP(E658,'ARAMA LİSTELERİ'!C658:G2697,5,))</f>
        <v/>
      </c>
      <c r="G658" s="207"/>
      <c r="H658" s="210"/>
      <c r="I658" s="79"/>
      <c r="J658" s="210"/>
      <c r="K658" s="210"/>
      <c r="L658" s="210" t="str">
        <f t="shared" si="1"/>
        <v/>
      </c>
      <c r="M658" s="79"/>
      <c r="N658" s="207"/>
      <c r="O658" s="207"/>
      <c r="P658" s="207"/>
      <c r="Q658" s="207"/>
    </row>
    <row r="659" spans="1:17" ht="34.5" customHeight="1">
      <c r="A659" s="82"/>
      <c r="B659" s="205" t="str">
        <f t="shared" si="2"/>
        <v/>
      </c>
      <c r="C659" s="206" t="str">
        <f t="shared" si="3"/>
        <v/>
      </c>
      <c r="D659" s="207" t="str">
        <f t="shared" si="0"/>
        <v/>
      </c>
      <c r="E659" s="207"/>
      <c r="F659" s="205" t="str">
        <f>IF(E659="","",VLOOKUP(E659,'ARAMA LİSTELERİ'!C659:G2698,5,))</f>
        <v/>
      </c>
      <c r="G659" s="207"/>
      <c r="H659" s="210"/>
      <c r="I659" s="79"/>
      <c r="J659" s="210"/>
      <c r="K659" s="210"/>
      <c r="L659" s="210" t="str">
        <f t="shared" si="1"/>
        <v/>
      </c>
      <c r="M659" s="79"/>
      <c r="N659" s="207"/>
      <c r="O659" s="207"/>
      <c r="P659" s="207"/>
      <c r="Q659" s="207"/>
    </row>
    <row r="660" spans="1:17" ht="34.5" customHeight="1">
      <c r="A660" s="82"/>
      <c r="B660" s="205" t="str">
        <f t="shared" si="2"/>
        <v/>
      </c>
      <c r="C660" s="206" t="str">
        <f t="shared" si="3"/>
        <v/>
      </c>
      <c r="D660" s="207" t="str">
        <f t="shared" si="0"/>
        <v/>
      </c>
      <c r="E660" s="207"/>
      <c r="F660" s="205" t="str">
        <f>IF(E660="","",VLOOKUP(E660,'ARAMA LİSTELERİ'!C660:G2699,5,))</f>
        <v/>
      </c>
      <c r="G660" s="207"/>
      <c r="H660" s="210"/>
      <c r="I660" s="79"/>
      <c r="J660" s="210"/>
      <c r="K660" s="210"/>
      <c r="L660" s="210" t="str">
        <f t="shared" si="1"/>
        <v/>
      </c>
      <c r="M660" s="79"/>
      <c r="N660" s="207"/>
      <c r="O660" s="207"/>
      <c r="P660" s="207"/>
      <c r="Q660" s="207"/>
    </row>
    <row r="661" spans="1:17" ht="34.5" customHeight="1">
      <c r="A661" s="82"/>
      <c r="B661" s="205" t="str">
        <f t="shared" si="2"/>
        <v/>
      </c>
      <c r="C661" s="206" t="str">
        <f t="shared" si="3"/>
        <v/>
      </c>
      <c r="D661" s="207" t="str">
        <f t="shared" si="0"/>
        <v/>
      </c>
      <c r="E661" s="207"/>
      <c r="F661" s="205" t="str">
        <f>IF(E661="","",VLOOKUP(E661,'ARAMA LİSTELERİ'!C661:G2700,5,))</f>
        <v/>
      </c>
      <c r="G661" s="207"/>
      <c r="H661" s="210"/>
      <c r="I661" s="79"/>
      <c r="J661" s="210"/>
      <c r="K661" s="210"/>
      <c r="L661" s="210" t="str">
        <f t="shared" si="1"/>
        <v/>
      </c>
      <c r="M661" s="79"/>
      <c r="N661" s="207"/>
      <c r="O661" s="207"/>
      <c r="P661" s="207"/>
      <c r="Q661" s="207"/>
    </row>
    <row r="662" spans="1:17" ht="34.5" customHeight="1">
      <c r="A662" s="82"/>
      <c r="B662" s="205" t="str">
        <f t="shared" si="2"/>
        <v/>
      </c>
      <c r="C662" s="206" t="str">
        <f t="shared" si="3"/>
        <v/>
      </c>
      <c r="D662" s="207" t="str">
        <f t="shared" si="0"/>
        <v/>
      </c>
      <c r="E662" s="207"/>
      <c r="F662" s="205" t="str">
        <f>IF(E662="","",VLOOKUP(E662,'ARAMA LİSTELERİ'!C662:G2701,5,))</f>
        <v/>
      </c>
      <c r="G662" s="207"/>
      <c r="H662" s="210"/>
      <c r="I662" s="79"/>
      <c r="J662" s="210"/>
      <c r="K662" s="210"/>
      <c r="L662" s="210" t="str">
        <f t="shared" si="1"/>
        <v/>
      </c>
      <c r="M662" s="79"/>
      <c r="N662" s="207"/>
      <c r="O662" s="207"/>
      <c r="P662" s="207"/>
      <c r="Q662" s="207"/>
    </row>
    <row r="663" spans="1:17" ht="34.5" customHeight="1">
      <c r="A663" s="82"/>
      <c r="B663" s="205" t="str">
        <f t="shared" si="2"/>
        <v/>
      </c>
      <c r="C663" s="206" t="str">
        <f t="shared" si="3"/>
        <v/>
      </c>
      <c r="D663" s="207" t="str">
        <f t="shared" si="0"/>
        <v/>
      </c>
      <c r="E663" s="207"/>
      <c r="F663" s="205" t="str">
        <f>IF(E663="","",VLOOKUP(E663,'ARAMA LİSTELERİ'!C663:G2702,5,))</f>
        <v/>
      </c>
      <c r="G663" s="207"/>
      <c r="H663" s="210"/>
      <c r="I663" s="79"/>
      <c r="J663" s="210"/>
      <c r="K663" s="210"/>
      <c r="L663" s="210" t="str">
        <f t="shared" si="1"/>
        <v/>
      </c>
      <c r="M663" s="79"/>
      <c r="N663" s="207"/>
      <c r="O663" s="207"/>
      <c r="P663" s="207"/>
      <c r="Q663" s="207"/>
    </row>
    <row r="664" spans="1:17" ht="34.5" customHeight="1">
      <c r="A664" s="82"/>
      <c r="B664" s="205" t="str">
        <f t="shared" si="2"/>
        <v/>
      </c>
      <c r="C664" s="206" t="str">
        <f t="shared" si="3"/>
        <v/>
      </c>
      <c r="D664" s="207" t="str">
        <f t="shared" si="0"/>
        <v/>
      </c>
      <c r="E664" s="207"/>
      <c r="F664" s="205" t="str">
        <f>IF(E664="","",VLOOKUP(E664,'ARAMA LİSTELERİ'!C664:G2703,5,))</f>
        <v/>
      </c>
      <c r="G664" s="207"/>
      <c r="H664" s="210"/>
      <c r="I664" s="79"/>
      <c r="J664" s="210"/>
      <c r="K664" s="210"/>
      <c r="L664" s="210" t="str">
        <f t="shared" si="1"/>
        <v/>
      </c>
      <c r="M664" s="79"/>
      <c r="N664" s="207"/>
      <c r="O664" s="207"/>
      <c r="P664" s="207"/>
      <c r="Q664" s="207"/>
    </row>
    <row r="665" spans="1:17" ht="34.5" customHeight="1">
      <c r="A665" s="82"/>
      <c r="B665" s="205" t="str">
        <f t="shared" si="2"/>
        <v/>
      </c>
      <c r="C665" s="206" t="str">
        <f t="shared" si="3"/>
        <v/>
      </c>
      <c r="D665" s="207" t="str">
        <f t="shared" si="0"/>
        <v/>
      </c>
      <c r="E665" s="207"/>
      <c r="F665" s="205" t="str">
        <f>IF(E665="","",VLOOKUP(E665,'ARAMA LİSTELERİ'!C665:G2704,5,))</f>
        <v/>
      </c>
      <c r="G665" s="207"/>
      <c r="H665" s="210"/>
      <c r="I665" s="79"/>
      <c r="J665" s="210"/>
      <c r="K665" s="210"/>
      <c r="L665" s="210" t="str">
        <f t="shared" si="1"/>
        <v/>
      </c>
      <c r="M665" s="79"/>
      <c r="N665" s="207"/>
      <c r="O665" s="207"/>
      <c r="P665" s="207"/>
      <c r="Q665" s="207"/>
    </row>
    <row r="666" spans="1:17" ht="34.5" customHeight="1">
      <c r="A666" s="82"/>
      <c r="B666" s="205" t="str">
        <f t="shared" si="2"/>
        <v/>
      </c>
      <c r="C666" s="206" t="str">
        <f t="shared" si="3"/>
        <v/>
      </c>
      <c r="D666" s="207" t="str">
        <f t="shared" si="0"/>
        <v/>
      </c>
      <c r="E666" s="207"/>
      <c r="F666" s="205" t="str">
        <f>IF(E666="","",VLOOKUP(E666,'ARAMA LİSTELERİ'!C666:G2705,5,))</f>
        <v/>
      </c>
      <c r="G666" s="207"/>
      <c r="H666" s="210"/>
      <c r="I666" s="79"/>
      <c r="J666" s="210"/>
      <c r="K666" s="210"/>
      <c r="L666" s="210" t="str">
        <f t="shared" si="1"/>
        <v/>
      </c>
      <c r="M666" s="79"/>
      <c r="N666" s="207"/>
      <c r="O666" s="207"/>
      <c r="P666" s="207"/>
      <c r="Q666" s="207"/>
    </row>
    <row r="667" spans="1:17" ht="34.5" customHeight="1">
      <c r="A667" s="82"/>
      <c r="B667" s="205" t="str">
        <f t="shared" si="2"/>
        <v/>
      </c>
      <c r="C667" s="206" t="str">
        <f t="shared" si="3"/>
        <v/>
      </c>
      <c r="D667" s="207" t="str">
        <f t="shared" si="0"/>
        <v/>
      </c>
      <c r="E667" s="207"/>
      <c r="F667" s="205" t="str">
        <f>IF(E667="","",VLOOKUP(E667,'ARAMA LİSTELERİ'!C667:G2706,5,))</f>
        <v/>
      </c>
      <c r="G667" s="207"/>
      <c r="H667" s="210"/>
      <c r="I667" s="79"/>
      <c r="J667" s="210"/>
      <c r="K667" s="210"/>
      <c r="L667" s="210" t="str">
        <f t="shared" si="1"/>
        <v/>
      </c>
      <c r="M667" s="79"/>
      <c r="N667" s="207"/>
      <c r="O667" s="207"/>
      <c r="P667" s="207"/>
      <c r="Q667" s="207"/>
    </row>
    <row r="668" spans="1:17" ht="34.5" customHeight="1">
      <c r="A668" s="82"/>
      <c r="B668" s="205" t="str">
        <f t="shared" si="2"/>
        <v/>
      </c>
      <c r="C668" s="206" t="str">
        <f t="shared" si="3"/>
        <v/>
      </c>
      <c r="D668" s="207" t="str">
        <f t="shared" si="0"/>
        <v/>
      </c>
      <c r="E668" s="207"/>
      <c r="F668" s="205" t="str">
        <f>IF(E668="","",VLOOKUP(E668,'ARAMA LİSTELERİ'!C668:G2707,5,))</f>
        <v/>
      </c>
      <c r="G668" s="207"/>
      <c r="H668" s="210"/>
      <c r="I668" s="79"/>
      <c r="J668" s="210"/>
      <c r="K668" s="210"/>
      <c r="L668" s="210" t="str">
        <f t="shared" si="1"/>
        <v/>
      </c>
      <c r="M668" s="79"/>
      <c r="N668" s="207"/>
      <c r="O668" s="207"/>
      <c r="P668" s="207"/>
      <c r="Q668" s="207"/>
    </row>
    <row r="669" spans="1:17" ht="34.5" customHeight="1">
      <c r="A669" s="82"/>
      <c r="B669" s="205" t="str">
        <f t="shared" si="2"/>
        <v/>
      </c>
      <c r="C669" s="206" t="str">
        <f t="shared" si="3"/>
        <v/>
      </c>
      <c r="D669" s="207" t="str">
        <f t="shared" si="0"/>
        <v/>
      </c>
      <c r="E669" s="207"/>
      <c r="F669" s="205" t="str">
        <f>IF(E669="","",VLOOKUP(E669,'ARAMA LİSTELERİ'!C669:G2708,5,))</f>
        <v/>
      </c>
      <c r="G669" s="207"/>
      <c r="H669" s="210"/>
      <c r="I669" s="79"/>
      <c r="J669" s="210"/>
      <c r="K669" s="210"/>
      <c r="L669" s="210" t="str">
        <f t="shared" si="1"/>
        <v/>
      </c>
      <c r="M669" s="79"/>
      <c r="N669" s="207"/>
      <c r="O669" s="207"/>
      <c r="P669" s="207"/>
      <c r="Q669" s="207"/>
    </row>
    <row r="670" spans="1:17" ht="34.5" customHeight="1">
      <c r="A670" s="82"/>
      <c r="B670" s="205" t="str">
        <f t="shared" si="2"/>
        <v/>
      </c>
      <c r="C670" s="206" t="str">
        <f t="shared" si="3"/>
        <v/>
      </c>
      <c r="D670" s="207" t="str">
        <f t="shared" si="0"/>
        <v/>
      </c>
      <c r="E670" s="207"/>
      <c r="F670" s="205" t="str">
        <f>IF(E670="","",VLOOKUP(E670,'ARAMA LİSTELERİ'!C670:G2709,5,))</f>
        <v/>
      </c>
      <c r="G670" s="207"/>
      <c r="H670" s="210"/>
      <c r="I670" s="79"/>
      <c r="J670" s="210"/>
      <c r="K670" s="210"/>
      <c r="L670" s="210" t="str">
        <f t="shared" si="1"/>
        <v/>
      </c>
      <c r="M670" s="79"/>
      <c r="N670" s="207"/>
      <c r="O670" s="207"/>
      <c r="P670" s="207"/>
      <c r="Q670" s="207"/>
    </row>
    <row r="671" spans="1:17" ht="34.5" customHeight="1">
      <c r="A671" s="82"/>
      <c r="B671" s="205" t="str">
        <f t="shared" si="2"/>
        <v/>
      </c>
      <c r="C671" s="206" t="str">
        <f t="shared" si="3"/>
        <v/>
      </c>
      <c r="D671" s="207" t="str">
        <f t="shared" si="0"/>
        <v/>
      </c>
      <c r="E671" s="207"/>
      <c r="F671" s="205" t="str">
        <f>IF(E671="","",VLOOKUP(E671,'ARAMA LİSTELERİ'!C671:G2710,5,))</f>
        <v/>
      </c>
      <c r="G671" s="207"/>
      <c r="H671" s="210"/>
      <c r="I671" s="79"/>
      <c r="J671" s="210"/>
      <c r="K671" s="210"/>
      <c r="L671" s="210" t="str">
        <f t="shared" si="1"/>
        <v/>
      </c>
      <c r="M671" s="79"/>
      <c r="N671" s="207"/>
      <c r="O671" s="207"/>
      <c r="P671" s="207"/>
      <c r="Q671" s="207"/>
    </row>
    <row r="672" spans="1:17" ht="34.5" customHeight="1">
      <c r="A672" s="82"/>
      <c r="B672" s="205" t="str">
        <f t="shared" si="2"/>
        <v/>
      </c>
      <c r="C672" s="206" t="str">
        <f t="shared" si="3"/>
        <v/>
      </c>
      <c r="D672" s="207" t="str">
        <f t="shared" si="0"/>
        <v/>
      </c>
      <c r="E672" s="207"/>
      <c r="F672" s="205" t="str">
        <f>IF(E672="","",VLOOKUP(E672,'ARAMA LİSTELERİ'!C672:G2711,5,))</f>
        <v/>
      </c>
      <c r="G672" s="207"/>
      <c r="H672" s="210"/>
      <c r="I672" s="79"/>
      <c r="J672" s="210"/>
      <c r="K672" s="210"/>
      <c r="L672" s="210" t="str">
        <f t="shared" si="1"/>
        <v/>
      </c>
      <c r="M672" s="79"/>
      <c r="N672" s="207"/>
      <c r="O672" s="207"/>
      <c r="P672" s="207"/>
      <c r="Q672" s="207"/>
    </row>
    <row r="673" spans="1:17" ht="34.5" customHeight="1">
      <c r="A673" s="82"/>
      <c r="B673" s="205" t="str">
        <f t="shared" si="2"/>
        <v/>
      </c>
      <c r="C673" s="206" t="str">
        <f t="shared" si="3"/>
        <v/>
      </c>
      <c r="D673" s="207" t="str">
        <f t="shared" si="0"/>
        <v/>
      </c>
      <c r="E673" s="207"/>
      <c r="F673" s="205" t="str">
        <f>IF(E673="","",VLOOKUP(E673,'ARAMA LİSTELERİ'!C673:G2712,5,))</f>
        <v/>
      </c>
      <c r="G673" s="207"/>
      <c r="H673" s="210"/>
      <c r="I673" s="79"/>
      <c r="J673" s="210"/>
      <c r="K673" s="210"/>
      <c r="L673" s="210" t="str">
        <f t="shared" si="1"/>
        <v/>
      </c>
      <c r="M673" s="79"/>
      <c r="N673" s="207"/>
      <c r="O673" s="207"/>
      <c r="P673" s="207"/>
      <c r="Q673" s="207"/>
    </row>
    <row r="674" spans="1:17" ht="34.5" customHeight="1">
      <c r="A674" s="82"/>
      <c r="B674" s="205" t="str">
        <f t="shared" si="2"/>
        <v/>
      </c>
      <c r="C674" s="206" t="str">
        <f t="shared" si="3"/>
        <v/>
      </c>
      <c r="D674" s="207" t="str">
        <f t="shared" si="0"/>
        <v/>
      </c>
      <c r="E674" s="207"/>
      <c r="F674" s="205" t="str">
        <f>IF(E674="","",VLOOKUP(E674,'ARAMA LİSTELERİ'!C674:G2713,5,))</f>
        <v/>
      </c>
      <c r="G674" s="207"/>
      <c r="H674" s="210"/>
      <c r="I674" s="79"/>
      <c r="J674" s="210"/>
      <c r="K674" s="210"/>
      <c r="L674" s="210" t="str">
        <f t="shared" si="1"/>
        <v/>
      </c>
      <c r="M674" s="79"/>
      <c r="N674" s="207"/>
      <c r="O674" s="207"/>
      <c r="P674" s="207"/>
      <c r="Q674" s="207"/>
    </row>
    <row r="675" spans="1:17" ht="34.5" customHeight="1">
      <c r="A675" s="82"/>
      <c r="B675" s="205" t="str">
        <f t="shared" si="2"/>
        <v/>
      </c>
      <c r="C675" s="206" t="str">
        <f t="shared" si="3"/>
        <v/>
      </c>
      <c r="D675" s="207" t="str">
        <f t="shared" si="0"/>
        <v/>
      </c>
      <c r="E675" s="207"/>
      <c r="F675" s="205" t="str">
        <f>IF(E675="","",VLOOKUP(E675,'ARAMA LİSTELERİ'!C675:G2714,5,))</f>
        <v/>
      </c>
      <c r="G675" s="207"/>
      <c r="H675" s="210"/>
      <c r="I675" s="79"/>
      <c r="J675" s="210"/>
      <c r="K675" s="210"/>
      <c r="L675" s="210" t="str">
        <f t="shared" si="1"/>
        <v/>
      </c>
      <c r="M675" s="79"/>
      <c r="N675" s="207"/>
      <c r="O675" s="207"/>
      <c r="P675" s="207"/>
      <c r="Q675" s="207"/>
    </row>
    <row r="676" spans="1:17" ht="34.5" customHeight="1">
      <c r="A676" s="82"/>
      <c r="B676" s="205" t="str">
        <f t="shared" si="2"/>
        <v/>
      </c>
      <c r="C676" s="206" t="str">
        <f t="shared" si="3"/>
        <v/>
      </c>
      <c r="D676" s="207" t="str">
        <f t="shared" si="0"/>
        <v/>
      </c>
      <c r="E676" s="207"/>
      <c r="F676" s="205" t="str">
        <f>IF(E676="","",VLOOKUP(E676,'ARAMA LİSTELERİ'!C676:G2715,5,))</f>
        <v/>
      </c>
      <c r="G676" s="207"/>
      <c r="H676" s="210"/>
      <c r="I676" s="79"/>
      <c r="J676" s="210"/>
      <c r="K676" s="210"/>
      <c r="L676" s="210" t="str">
        <f t="shared" si="1"/>
        <v/>
      </c>
      <c r="M676" s="79"/>
      <c r="N676" s="207"/>
      <c r="O676" s="207"/>
      <c r="P676" s="207"/>
      <c r="Q676" s="207"/>
    </row>
    <row r="677" spans="1:17" ht="34.5" customHeight="1">
      <c r="A677" s="82"/>
      <c r="B677" s="205" t="str">
        <f t="shared" si="2"/>
        <v/>
      </c>
      <c r="C677" s="206" t="str">
        <f t="shared" si="3"/>
        <v/>
      </c>
      <c r="D677" s="207" t="str">
        <f t="shared" si="0"/>
        <v/>
      </c>
      <c r="E677" s="207"/>
      <c r="F677" s="205" t="str">
        <f>IF(E677="","",VLOOKUP(E677,'ARAMA LİSTELERİ'!C677:G2716,5,))</f>
        <v/>
      </c>
      <c r="G677" s="207"/>
      <c r="H677" s="210"/>
      <c r="I677" s="79"/>
      <c r="J677" s="210"/>
      <c r="K677" s="210"/>
      <c r="L677" s="210" t="str">
        <f t="shared" si="1"/>
        <v/>
      </c>
      <c r="M677" s="79"/>
      <c r="N677" s="207"/>
      <c r="O677" s="207"/>
      <c r="P677" s="207"/>
      <c r="Q677" s="207"/>
    </row>
    <row r="678" spans="1:17" ht="34.5" customHeight="1">
      <c r="A678" s="82"/>
      <c r="B678" s="205" t="str">
        <f t="shared" si="2"/>
        <v/>
      </c>
      <c r="C678" s="206" t="str">
        <f t="shared" si="3"/>
        <v/>
      </c>
      <c r="D678" s="207" t="str">
        <f t="shared" si="0"/>
        <v/>
      </c>
      <c r="E678" s="207"/>
      <c r="F678" s="205" t="str">
        <f>IF(E678="","",VLOOKUP(E678,'ARAMA LİSTELERİ'!C678:G2717,5,))</f>
        <v/>
      </c>
      <c r="G678" s="207"/>
      <c r="H678" s="210"/>
      <c r="I678" s="79"/>
      <c r="J678" s="210"/>
      <c r="K678" s="210"/>
      <c r="L678" s="210" t="str">
        <f t="shared" si="1"/>
        <v/>
      </c>
      <c r="M678" s="79"/>
      <c r="N678" s="207"/>
      <c r="O678" s="207"/>
      <c r="P678" s="207"/>
      <c r="Q678" s="207"/>
    </row>
    <row r="679" spans="1:17" ht="34.5" customHeight="1">
      <c r="A679" s="82"/>
      <c r="B679" s="205" t="str">
        <f t="shared" si="2"/>
        <v/>
      </c>
      <c r="C679" s="206" t="str">
        <f t="shared" si="3"/>
        <v/>
      </c>
      <c r="D679" s="207" t="str">
        <f t="shared" si="0"/>
        <v/>
      </c>
      <c r="E679" s="207"/>
      <c r="F679" s="205" t="str">
        <f>IF(E679="","",VLOOKUP(E679,'ARAMA LİSTELERİ'!C679:G2718,5,))</f>
        <v/>
      </c>
      <c r="G679" s="207"/>
      <c r="H679" s="210"/>
      <c r="I679" s="79"/>
      <c r="J679" s="210"/>
      <c r="K679" s="210"/>
      <c r="L679" s="210" t="str">
        <f t="shared" si="1"/>
        <v/>
      </c>
      <c r="M679" s="79"/>
      <c r="N679" s="207"/>
      <c r="O679" s="207"/>
      <c r="P679" s="207"/>
      <c r="Q679" s="207"/>
    </row>
    <row r="680" spans="1:17" ht="34.5" customHeight="1">
      <c r="A680" s="82"/>
      <c r="B680" s="205" t="str">
        <f t="shared" si="2"/>
        <v/>
      </c>
      <c r="C680" s="206" t="str">
        <f t="shared" si="3"/>
        <v/>
      </c>
      <c r="D680" s="207" t="str">
        <f t="shared" si="0"/>
        <v/>
      </c>
      <c r="E680" s="207"/>
      <c r="F680" s="205" t="str">
        <f>IF(E680="","",VLOOKUP(E680,'ARAMA LİSTELERİ'!C680:G2719,5,))</f>
        <v/>
      </c>
      <c r="G680" s="207"/>
      <c r="H680" s="210"/>
      <c r="I680" s="79"/>
      <c r="J680" s="210"/>
      <c r="K680" s="210"/>
      <c r="L680" s="210" t="str">
        <f t="shared" si="1"/>
        <v/>
      </c>
      <c r="M680" s="79"/>
      <c r="N680" s="207"/>
      <c r="O680" s="207"/>
      <c r="P680" s="207"/>
      <c r="Q680" s="207"/>
    </row>
    <row r="681" spans="1:17" ht="34.5" customHeight="1">
      <c r="A681" s="82"/>
      <c r="B681" s="205" t="str">
        <f t="shared" si="2"/>
        <v/>
      </c>
      <c r="C681" s="206" t="str">
        <f t="shared" si="3"/>
        <v/>
      </c>
      <c r="D681" s="207" t="str">
        <f t="shared" si="0"/>
        <v/>
      </c>
      <c r="E681" s="207"/>
      <c r="F681" s="205" t="str">
        <f>IF(E681="","",VLOOKUP(E681,'ARAMA LİSTELERİ'!C681:G2720,5,))</f>
        <v/>
      </c>
      <c r="G681" s="207"/>
      <c r="H681" s="210"/>
      <c r="I681" s="79"/>
      <c r="J681" s="210"/>
      <c r="K681" s="210"/>
      <c r="L681" s="210" t="str">
        <f t="shared" si="1"/>
        <v/>
      </c>
      <c r="M681" s="79"/>
      <c r="N681" s="207"/>
      <c r="O681" s="207"/>
      <c r="P681" s="207"/>
      <c r="Q681" s="207"/>
    </row>
    <row r="682" spans="1:17" ht="34.5" customHeight="1">
      <c r="A682" s="82"/>
      <c r="B682" s="205" t="str">
        <f t="shared" si="2"/>
        <v/>
      </c>
      <c r="C682" s="206" t="str">
        <f t="shared" si="3"/>
        <v/>
      </c>
      <c r="D682" s="207" t="str">
        <f t="shared" si="0"/>
        <v/>
      </c>
      <c r="E682" s="207"/>
      <c r="F682" s="205" t="str">
        <f>IF(E682="","",VLOOKUP(E682,'ARAMA LİSTELERİ'!C682:G2721,5,))</f>
        <v/>
      </c>
      <c r="G682" s="207"/>
      <c r="H682" s="210"/>
      <c r="I682" s="79"/>
      <c r="J682" s="210"/>
      <c r="K682" s="210"/>
      <c r="L682" s="210" t="str">
        <f t="shared" si="1"/>
        <v/>
      </c>
      <c r="M682" s="79"/>
      <c r="N682" s="207"/>
      <c r="O682" s="207"/>
      <c r="P682" s="207"/>
      <c r="Q682" s="207"/>
    </row>
    <row r="683" spans="1:17" ht="34.5" customHeight="1">
      <c r="A683" s="82"/>
      <c r="B683" s="205" t="str">
        <f t="shared" si="2"/>
        <v/>
      </c>
      <c r="C683" s="206" t="str">
        <f t="shared" si="3"/>
        <v/>
      </c>
      <c r="D683" s="207" t="str">
        <f t="shared" si="0"/>
        <v/>
      </c>
      <c r="E683" s="207"/>
      <c r="F683" s="205" t="str">
        <f>IF(E683="","",VLOOKUP(E683,'ARAMA LİSTELERİ'!C683:G2722,5,))</f>
        <v/>
      </c>
      <c r="G683" s="207"/>
      <c r="H683" s="210"/>
      <c r="I683" s="79"/>
      <c r="J683" s="210"/>
      <c r="K683" s="210"/>
      <c r="L683" s="210" t="str">
        <f t="shared" si="1"/>
        <v/>
      </c>
      <c r="M683" s="79"/>
      <c r="N683" s="207"/>
      <c r="O683" s="207"/>
      <c r="P683" s="207"/>
      <c r="Q683" s="207"/>
    </row>
    <row r="684" spans="1:17" ht="34.5" customHeight="1">
      <c r="A684" s="82"/>
      <c r="B684" s="205" t="str">
        <f t="shared" si="2"/>
        <v/>
      </c>
      <c r="C684" s="206" t="str">
        <f t="shared" si="3"/>
        <v/>
      </c>
      <c r="D684" s="207" t="str">
        <f t="shared" si="0"/>
        <v/>
      </c>
      <c r="E684" s="207"/>
      <c r="F684" s="205" t="str">
        <f>IF(E684="","",VLOOKUP(E684,'ARAMA LİSTELERİ'!C684:G2723,5,))</f>
        <v/>
      </c>
      <c r="G684" s="207"/>
      <c r="H684" s="210"/>
      <c r="I684" s="79"/>
      <c r="J684" s="210"/>
      <c r="K684" s="210"/>
      <c r="L684" s="210" t="str">
        <f t="shared" si="1"/>
        <v/>
      </c>
      <c r="M684" s="79"/>
      <c r="N684" s="207"/>
      <c r="O684" s="207"/>
      <c r="P684" s="207"/>
      <c r="Q684" s="207"/>
    </row>
    <row r="685" spans="1:17" ht="34.5" customHeight="1">
      <c r="A685" s="82"/>
      <c r="B685" s="205" t="str">
        <f t="shared" si="2"/>
        <v/>
      </c>
      <c r="C685" s="206" t="str">
        <f t="shared" si="3"/>
        <v/>
      </c>
      <c r="D685" s="207" t="str">
        <f t="shared" si="0"/>
        <v/>
      </c>
      <c r="E685" s="207"/>
      <c r="F685" s="205" t="str">
        <f>IF(E685="","",VLOOKUP(E685,'ARAMA LİSTELERİ'!C685:G2724,5,))</f>
        <v/>
      </c>
      <c r="G685" s="207"/>
      <c r="H685" s="210"/>
      <c r="I685" s="79"/>
      <c r="J685" s="210"/>
      <c r="K685" s="210"/>
      <c r="L685" s="210" t="str">
        <f t="shared" si="1"/>
        <v/>
      </c>
      <c r="M685" s="79"/>
      <c r="N685" s="207"/>
      <c r="O685" s="207"/>
      <c r="P685" s="207"/>
      <c r="Q685" s="207"/>
    </row>
    <row r="686" spans="1:17" ht="34.5" customHeight="1">
      <c r="A686" s="82"/>
      <c r="B686" s="205" t="str">
        <f t="shared" si="2"/>
        <v/>
      </c>
      <c r="C686" s="206" t="str">
        <f t="shared" si="3"/>
        <v/>
      </c>
      <c r="D686" s="207" t="str">
        <f t="shared" si="0"/>
        <v/>
      </c>
      <c r="E686" s="207"/>
      <c r="F686" s="205" t="str">
        <f>IF(E686="","",VLOOKUP(E686,'ARAMA LİSTELERİ'!C686:G2725,5,))</f>
        <v/>
      </c>
      <c r="G686" s="207"/>
      <c r="H686" s="210"/>
      <c r="I686" s="79"/>
      <c r="J686" s="210"/>
      <c r="K686" s="210"/>
      <c r="L686" s="210" t="str">
        <f t="shared" si="1"/>
        <v/>
      </c>
      <c r="M686" s="79"/>
      <c r="N686" s="207"/>
      <c r="O686" s="207"/>
      <c r="P686" s="207"/>
      <c r="Q686" s="207"/>
    </row>
    <row r="687" spans="1:17" ht="34.5" customHeight="1">
      <c r="A687" s="82"/>
      <c r="B687" s="205" t="str">
        <f t="shared" si="2"/>
        <v/>
      </c>
      <c r="C687" s="206" t="str">
        <f t="shared" si="3"/>
        <v/>
      </c>
      <c r="D687" s="207" t="str">
        <f t="shared" si="0"/>
        <v/>
      </c>
      <c r="E687" s="207"/>
      <c r="F687" s="205" t="str">
        <f>IF(E687="","",VLOOKUP(E687,'ARAMA LİSTELERİ'!C687:G2726,5,))</f>
        <v/>
      </c>
      <c r="G687" s="207"/>
      <c r="H687" s="210"/>
      <c r="I687" s="79"/>
      <c r="J687" s="210"/>
      <c r="K687" s="210"/>
      <c r="L687" s="210" t="str">
        <f t="shared" si="1"/>
        <v/>
      </c>
      <c r="M687" s="79"/>
      <c r="N687" s="207"/>
      <c r="O687" s="207"/>
      <c r="P687" s="207"/>
      <c r="Q687" s="207"/>
    </row>
    <row r="688" spans="1:17" ht="34.5" customHeight="1">
      <c r="A688" s="82"/>
      <c r="B688" s="205" t="str">
        <f t="shared" si="2"/>
        <v/>
      </c>
      <c r="C688" s="206" t="str">
        <f t="shared" si="3"/>
        <v/>
      </c>
      <c r="D688" s="207" t="str">
        <f t="shared" si="0"/>
        <v/>
      </c>
      <c r="E688" s="207"/>
      <c r="F688" s="205" t="str">
        <f>IF(E688="","",VLOOKUP(E688,'ARAMA LİSTELERİ'!C688:G2727,5,))</f>
        <v/>
      </c>
      <c r="G688" s="207"/>
      <c r="H688" s="210"/>
      <c r="I688" s="79"/>
      <c r="J688" s="210"/>
      <c r="K688" s="210"/>
      <c r="L688" s="210" t="str">
        <f t="shared" si="1"/>
        <v/>
      </c>
      <c r="M688" s="79"/>
      <c r="N688" s="207"/>
      <c r="O688" s="207"/>
      <c r="P688" s="207"/>
      <c r="Q688" s="207"/>
    </row>
    <row r="689" spans="1:17" ht="34.5" customHeight="1">
      <c r="A689" s="82"/>
      <c r="B689" s="205" t="str">
        <f t="shared" si="2"/>
        <v/>
      </c>
      <c r="C689" s="206" t="str">
        <f t="shared" si="3"/>
        <v/>
      </c>
      <c r="D689" s="207" t="str">
        <f t="shared" si="0"/>
        <v/>
      </c>
      <c r="E689" s="207"/>
      <c r="F689" s="205" t="str">
        <f>IF(E689="","",VLOOKUP(E689,'ARAMA LİSTELERİ'!C689:G2728,5,))</f>
        <v/>
      </c>
      <c r="G689" s="207"/>
      <c r="H689" s="210"/>
      <c r="I689" s="79"/>
      <c r="J689" s="210"/>
      <c r="K689" s="210"/>
      <c r="L689" s="210" t="str">
        <f t="shared" si="1"/>
        <v/>
      </c>
      <c r="M689" s="79"/>
      <c r="N689" s="207"/>
      <c r="O689" s="207"/>
      <c r="P689" s="207"/>
      <c r="Q689" s="207"/>
    </row>
    <row r="690" spans="1:17" ht="34.5" customHeight="1">
      <c r="A690" s="82"/>
      <c r="B690" s="205" t="str">
        <f t="shared" si="2"/>
        <v/>
      </c>
      <c r="C690" s="206" t="str">
        <f t="shared" si="3"/>
        <v/>
      </c>
      <c r="D690" s="207" t="str">
        <f t="shared" si="0"/>
        <v/>
      </c>
      <c r="E690" s="207"/>
      <c r="F690" s="205" t="str">
        <f>IF(E690="","",VLOOKUP(E690,'ARAMA LİSTELERİ'!C690:G2729,5,))</f>
        <v/>
      </c>
      <c r="G690" s="207"/>
      <c r="H690" s="210"/>
      <c r="I690" s="79"/>
      <c r="J690" s="210"/>
      <c r="K690" s="210"/>
      <c r="L690" s="210" t="str">
        <f t="shared" si="1"/>
        <v/>
      </c>
      <c r="M690" s="79"/>
      <c r="N690" s="207"/>
      <c r="O690" s="207"/>
      <c r="P690" s="207"/>
      <c r="Q690" s="207"/>
    </row>
    <row r="691" spans="1:17" ht="34.5" customHeight="1">
      <c r="A691" s="82"/>
      <c r="B691" s="205" t="str">
        <f t="shared" si="2"/>
        <v/>
      </c>
      <c r="C691" s="206" t="str">
        <f t="shared" si="3"/>
        <v/>
      </c>
      <c r="D691" s="207" t="str">
        <f t="shared" si="0"/>
        <v/>
      </c>
      <c r="E691" s="207"/>
      <c r="F691" s="205" t="str">
        <f>IF(E691="","",VLOOKUP(E691,'ARAMA LİSTELERİ'!C691:G2730,5,))</f>
        <v/>
      </c>
      <c r="G691" s="207"/>
      <c r="H691" s="210"/>
      <c r="I691" s="79"/>
      <c r="J691" s="210"/>
      <c r="K691" s="210"/>
      <c r="L691" s="210" t="str">
        <f t="shared" si="1"/>
        <v/>
      </c>
      <c r="M691" s="79"/>
      <c r="N691" s="207"/>
      <c r="O691" s="207"/>
      <c r="P691" s="207"/>
      <c r="Q691" s="207"/>
    </row>
    <row r="692" spans="1:17" ht="34.5" customHeight="1">
      <c r="A692" s="82"/>
      <c r="B692" s="205" t="str">
        <f t="shared" si="2"/>
        <v/>
      </c>
      <c r="C692" s="206" t="str">
        <f t="shared" si="3"/>
        <v/>
      </c>
      <c r="D692" s="207" t="str">
        <f t="shared" si="0"/>
        <v/>
      </c>
      <c r="E692" s="207"/>
      <c r="F692" s="205" t="str">
        <f>IF(E692="","",VLOOKUP(E692,'ARAMA LİSTELERİ'!C692:G2731,5,))</f>
        <v/>
      </c>
      <c r="G692" s="207"/>
      <c r="H692" s="210"/>
      <c r="I692" s="79"/>
      <c r="J692" s="210"/>
      <c r="K692" s="210"/>
      <c r="L692" s="210" t="str">
        <f t="shared" si="1"/>
        <v/>
      </c>
      <c r="M692" s="79"/>
      <c r="N692" s="207"/>
      <c r="O692" s="207"/>
      <c r="P692" s="207"/>
      <c r="Q692" s="207"/>
    </row>
    <row r="693" spans="1:17" ht="34.5" customHeight="1">
      <c r="A693" s="82"/>
      <c r="B693" s="205" t="str">
        <f t="shared" si="2"/>
        <v/>
      </c>
      <c r="C693" s="206" t="str">
        <f t="shared" si="3"/>
        <v/>
      </c>
      <c r="D693" s="207" t="str">
        <f t="shared" si="0"/>
        <v/>
      </c>
      <c r="E693" s="207"/>
      <c r="F693" s="205" t="str">
        <f>IF(E693="","",VLOOKUP(E693,'ARAMA LİSTELERİ'!C693:G2732,5,))</f>
        <v/>
      </c>
      <c r="G693" s="207"/>
      <c r="H693" s="210"/>
      <c r="I693" s="79"/>
      <c r="J693" s="210"/>
      <c r="K693" s="210"/>
      <c r="L693" s="210" t="str">
        <f t="shared" si="1"/>
        <v/>
      </c>
      <c r="M693" s="79"/>
      <c r="N693" s="207"/>
      <c r="O693" s="207"/>
      <c r="P693" s="207"/>
      <c r="Q693" s="207"/>
    </row>
    <row r="694" spans="1:17" ht="34.5" customHeight="1">
      <c r="A694" s="82"/>
      <c r="B694" s="205" t="str">
        <f t="shared" si="2"/>
        <v/>
      </c>
      <c r="C694" s="206" t="str">
        <f t="shared" si="3"/>
        <v/>
      </c>
      <c r="D694" s="207" t="str">
        <f t="shared" si="0"/>
        <v/>
      </c>
      <c r="E694" s="207"/>
      <c r="F694" s="205" t="str">
        <f>IF(E694="","",VLOOKUP(E694,'ARAMA LİSTELERİ'!C694:G2733,5,))</f>
        <v/>
      </c>
      <c r="G694" s="207"/>
      <c r="H694" s="210"/>
      <c r="I694" s="79"/>
      <c r="J694" s="210"/>
      <c r="K694" s="210"/>
      <c r="L694" s="210" t="str">
        <f t="shared" si="1"/>
        <v/>
      </c>
      <c r="M694" s="79"/>
      <c r="N694" s="207"/>
      <c r="O694" s="207"/>
      <c r="P694" s="207"/>
      <c r="Q694" s="207"/>
    </row>
    <row r="695" spans="1:17" ht="34.5" customHeight="1">
      <c r="A695" s="82"/>
      <c r="B695" s="205" t="str">
        <f t="shared" si="2"/>
        <v/>
      </c>
      <c r="C695" s="206" t="str">
        <f t="shared" si="3"/>
        <v/>
      </c>
      <c r="D695" s="207" t="str">
        <f t="shared" si="0"/>
        <v/>
      </c>
      <c r="E695" s="207"/>
      <c r="F695" s="205" t="str">
        <f>IF(E695="","",VLOOKUP(E695,'ARAMA LİSTELERİ'!C695:G2734,5,))</f>
        <v/>
      </c>
      <c r="G695" s="207"/>
      <c r="H695" s="210"/>
      <c r="I695" s="79"/>
      <c r="J695" s="210"/>
      <c r="K695" s="210"/>
      <c r="L695" s="210" t="str">
        <f t="shared" si="1"/>
        <v/>
      </c>
      <c r="M695" s="79"/>
      <c r="N695" s="207"/>
      <c r="O695" s="207"/>
      <c r="P695" s="207"/>
      <c r="Q695" s="207"/>
    </row>
    <row r="696" spans="1:17" ht="34.5" customHeight="1">
      <c r="A696" s="82"/>
      <c r="B696" s="205" t="str">
        <f t="shared" si="2"/>
        <v/>
      </c>
      <c r="C696" s="206" t="str">
        <f t="shared" si="3"/>
        <v/>
      </c>
      <c r="D696" s="207" t="str">
        <f t="shared" si="0"/>
        <v/>
      </c>
      <c r="E696" s="207"/>
      <c r="F696" s="205" t="str">
        <f>IF(E696="","",VLOOKUP(E696,'ARAMA LİSTELERİ'!C696:G2735,5,))</f>
        <v/>
      </c>
      <c r="G696" s="207"/>
      <c r="H696" s="210"/>
      <c r="I696" s="79"/>
      <c r="J696" s="210"/>
      <c r="K696" s="210"/>
      <c r="L696" s="210" t="str">
        <f t="shared" si="1"/>
        <v/>
      </c>
      <c r="M696" s="79"/>
      <c r="N696" s="207"/>
      <c r="O696" s="207"/>
      <c r="P696" s="207"/>
      <c r="Q696" s="207"/>
    </row>
    <row r="697" spans="1:17" ht="34.5" customHeight="1">
      <c r="A697" s="82"/>
      <c r="B697" s="205" t="str">
        <f t="shared" si="2"/>
        <v/>
      </c>
      <c r="C697" s="206" t="str">
        <f t="shared" si="3"/>
        <v/>
      </c>
      <c r="D697" s="207" t="str">
        <f t="shared" si="0"/>
        <v/>
      </c>
      <c r="E697" s="207"/>
      <c r="F697" s="205" t="str">
        <f>IF(E697="","",VLOOKUP(E697,'ARAMA LİSTELERİ'!C697:G2736,5,))</f>
        <v/>
      </c>
      <c r="G697" s="207"/>
      <c r="H697" s="210"/>
      <c r="I697" s="79"/>
      <c r="J697" s="210"/>
      <c r="K697" s="210"/>
      <c r="L697" s="210" t="str">
        <f t="shared" si="1"/>
        <v/>
      </c>
      <c r="M697" s="79"/>
      <c r="N697" s="207"/>
      <c r="O697" s="207"/>
      <c r="P697" s="207"/>
      <c r="Q697" s="207"/>
    </row>
    <row r="698" spans="1:17" ht="34.5" customHeight="1">
      <c r="A698" s="82"/>
      <c r="B698" s="205" t="str">
        <f t="shared" si="2"/>
        <v/>
      </c>
      <c r="C698" s="206" t="str">
        <f t="shared" si="3"/>
        <v/>
      </c>
      <c r="D698" s="207" t="str">
        <f t="shared" si="0"/>
        <v/>
      </c>
      <c r="E698" s="207"/>
      <c r="F698" s="205" t="str">
        <f>IF(E698="","",VLOOKUP(E698,'ARAMA LİSTELERİ'!C698:G2737,5,))</f>
        <v/>
      </c>
      <c r="G698" s="207"/>
      <c r="H698" s="210"/>
      <c r="I698" s="79"/>
      <c r="J698" s="210"/>
      <c r="K698" s="210"/>
      <c r="L698" s="210" t="str">
        <f t="shared" si="1"/>
        <v/>
      </c>
      <c r="M698" s="79"/>
      <c r="N698" s="207"/>
      <c r="O698" s="207"/>
      <c r="P698" s="207"/>
      <c r="Q698" s="207"/>
    </row>
    <row r="699" spans="1:17" ht="34.5" customHeight="1">
      <c r="A699" s="82"/>
      <c r="B699" s="205" t="str">
        <f t="shared" si="2"/>
        <v/>
      </c>
      <c r="C699" s="206" t="str">
        <f t="shared" si="3"/>
        <v/>
      </c>
      <c r="D699" s="207" t="str">
        <f t="shared" si="0"/>
        <v/>
      </c>
      <c r="E699" s="207"/>
      <c r="F699" s="205" t="str">
        <f>IF(E699="","",VLOOKUP(E699,'ARAMA LİSTELERİ'!C699:G2738,5,))</f>
        <v/>
      </c>
      <c r="G699" s="207"/>
      <c r="H699" s="210"/>
      <c r="I699" s="79"/>
      <c r="J699" s="210"/>
      <c r="K699" s="210"/>
      <c r="L699" s="210" t="str">
        <f t="shared" si="1"/>
        <v/>
      </c>
      <c r="M699" s="79"/>
      <c r="N699" s="207"/>
      <c r="O699" s="207"/>
      <c r="P699" s="207"/>
      <c r="Q699" s="207"/>
    </row>
    <row r="700" spans="1:17" ht="34.5" customHeight="1">
      <c r="A700" s="82"/>
      <c r="B700" s="205" t="str">
        <f t="shared" si="2"/>
        <v/>
      </c>
      <c r="C700" s="206" t="str">
        <f t="shared" si="3"/>
        <v/>
      </c>
      <c r="D700" s="207" t="str">
        <f t="shared" si="0"/>
        <v/>
      </c>
      <c r="E700" s="207"/>
      <c r="F700" s="205" t="str">
        <f>IF(E700="","",VLOOKUP(E700,'ARAMA LİSTELERİ'!C700:G2739,5,))</f>
        <v/>
      </c>
      <c r="G700" s="207"/>
      <c r="H700" s="210"/>
      <c r="I700" s="79"/>
      <c r="J700" s="210"/>
      <c r="K700" s="210"/>
      <c r="L700" s="210" t="str">
        <f t="shared" si="1"/>
        <v/>
      </c>
      <c r="M700" s="79"/>
      <c r="N700" s="207"/>
      <c r="O700" s="207"/>
      <c r="P700" s="207"/>
      <c r="Q700" s="207"/>
    </row>
    <row r="701" spans="1:17" ht="34.5" customHeight="1">
      <c r="A701" s="82"/>
      <c r="B701" s="205" t="str">
        <f t="shared" si="2"/>
        <v/>
      </c>
      <c r="C701" s="206" t="str">
        <f t="shared" si="3"/>
        <v/>
      </c>
      <c r="D701" s="207" t="str">
        <f t="shared" si="0"/>
        <v/>
      </c>
      <c r="E701" s="207"/>
      <c r="F701" s="205" t="str">
        <f>IF(E701="","",VLOOKUP(E701,'ARAMA LİSTELERİ'!C701:G2740,5,))</f>
        <v/>
      </c>
      <c r="G701" s="207"/>
      <c r="H701" s="210"/>
      <c r="I701" s="79"/>
      <c r="J701" s="210"/>
      <c r="K701" s="210"/>
      <c r="L701" s="210" t="str">
        <f t="shared" si="1"/>
        <v/>
      </c>
      <c r="M701" s="79"/>
      <c r="N701" s="207"/>
      <c r="O701" s="207"/>
      <c r="P701" s="207"/>
      <c r="Q701" s="207"/>
    </row>
    <row r="702" spans="1:17" ht="34.5" customHeight="1">
      <c r="A702" s="82"/>
      <c r="B702" s="205" t="str">
        <f t="shared" si="2"/>
        <v/>
      </c>
      <c r="C702" s="206" t="str">
        <f t="shared" si="3"/>
        <v/>
      </c>
      <c r="D702" s="207" t="str">
        <f t="shared" si="0"/>
        <v/>
      </c>
      <c r="E702" s="207"/>
      <c r="F702" s="205" t="str">
        <f>IF(E702="","",VLOOKUP(E702,'ARAMA LİSTELERİ'!C702:G2741,5,))</f>
        <v/>
      </c>
      <c r="G702" s="207"/>
      <c r="H702" s="210"/>
      <c r="I702" s="79"/>
      <c r="J702" s="210"/>
      <c r="K702" s="210"/>
      <c r="L702" s="210" t="str">
        <f t="shared" si="1"/>
        <v/>
      </c>
      <c r="M702" s="79"/>
      <c r="N702" s="207"/>
      <c r="O702" s="207"/>
      <c r="P702" s="207"/>
      <c r="Q702" s="207"/>
    </row>
    <row r="703" spans="1:17" ht="34.5" customHeight="1">
      <c r="A703" s="82"/>
      <c r="B703" s="205" t="str">
        <f t="shared" si="2"/>
        <v/>
      </c>
      <c r="C703" s="206" t="str">
        <f t="shared" si="3"/>
        <v/>
      </c>
      <c r="D703" s="207" t="str">
        <f t="shared" si="0"/>
        <v/>
      </c>
      <c r="E703" s="207"/>
      <c r="F703" s="205" t="str">
        <f>IF(E703="","",VLOOKUP(E703,'ARAMA LİSTELERİ'!C703:G2742,5,))</f>
        <v/>
      </c>
      <c r="G703" s="207"/>
      <c r="H703" s="210"/>
      <c r="I703" s="79"/>
      <c r="J703" s="210"/>
      <c r="K703" s="210"/>
      <c r="L703" s="210" t="str">
        <f t="shared" si="1"/>
        <v/>
      </c>
      <c r="M703" s="79"/>
      <c r="N703" s="207"/>
      <c r="O703" s="207"/>
      <c r="P703" s="207"/>
      <c r="Q703" s="207"/>
    </row>
    <row r="704" spans="1:17" ht="34.5" customHeight="1">
      <c r="A704" s="82"/>
      <c r="B704" s="205" t="str">
        <f t="shared" si="2"/>
        <v/>
      </c>
      <c r="C704" s="206" t="str">
        <f t="shared" si="3"/>
        <v/>
      </c>
      <c r="D704" s="207" t="str">
        <f t="shared" si="0"/>
        <v/>
      </c>
      <c r="E704" s="207"/>
      <c r="F704" s="205" t="str">
        <f>IF(E704="","",VLOOKUP(E704,'ARAMA LİSTELERİ'!C704:G2743,5,))</f>
        <v/>
      </c>
      <c r="G704" s="207"/>
      <c r="H704" s="210"/>
      <c r="I704" s="79"/>
      <c r="J704" s="210"/>
      <c r="K704" s="210"/>
      <c r="L704" s="210" t="str">
        <f t="shared" si="1"/>
        <v/>
      </c>
      <c r="M704" s="79"/>
      <c r="N704" s="207"/>
      <c r="O704" s="207"/>
      <c r="P704" s="207"/>
      <c r="Q704" s="207"/>
    </row>
    <row r="705" spans="1:17" ht="34.5" customHeight="1">
      <c r="A705" s="82"/>
      <c r="B705" s="205" t="str">
        <f t="shared" si="2"/>
        <v/>
      </c>
      <c r="C705" s="206" t="str">
        <f t="shared" si="3"/>
        <v/>
      </c>
      <c r="D705" s="207" t="str">
        <f t="shared" si="0"/>
        <v/>
      </c>
      <c r="E705" s="207"/>
      <c r="F705" s="205" t="str">
        <f>IF(E705="","",VLOOKUP(E705,'ARAMA LİSTELERİ'!C705:G2744,5,))</f>
        <v/>
      </c>
      <c r="G705" s="207"/>
      <c r="H705" s="210"/>
      <c r="I705" s="79"/>
      <c r="J705" s="210"/>
      <c r="K705" s="210"/>
      <c r="L705" s="210" t="str">
        <f t="shared" si="1"/>
        <v/>
      </c>
      <c r="M705" s="79"/>
      <c r="N705" s="207"/>
      <c r="O705" s="207"/>
      <c r="P705" s="207"/>
      <c r="Q705" s="207"/>
    </row>
    <row r="706" spans="1:17" ht="34.5" customHeight="1">
      <c r="A706" s="82"/>
      <c r="B706" s="205" t="str">
        <f t="shared" si="2"/>
        <v/>
      </c>
      <c r="C706" s="206" t="str">
        <f t="shared" si="3"/>
        <v/>
      </c>
      <c r="D706" s="207" t="str">
        <f t="shared" si="0"/>
        <v/>
      </c>
      <c r="E706" s="207"/>
      <c r="F706" s="205" t="str">
        <f>IF(E706="","",VLOOKUP(E706,'ARAMA LİSTELERİ'!C706:G2745,5,))</f>
        <v/>
      </c>
      <c r="G706" s="207"/>
      <c r="H706" s="210"/>
      <c r="I706" s="79"/>
      <c r="J706" s="210"/>
      <c r="K706" s="210"/>
      <c r="L706" s="210" t="str">
        <f t="shared" si="1"/>
        <v/>
      </c>
      <c r="M706" s="79"/>
      <c r="N706" s="207"/>
      <c r="O706" s="207"/>
      <c r="P706" s="207"/>
      <c r="Q706" s="207"/>
    </row>
    <row r="707" spans="1:17" ht="34.5" customHeight="1">
      <c r="A707" s="82"/>
      <c r="B707" s="205" t="str">
        <f t="shared" si="2"/>
        <v/>
      </c>
      <c r="C707" s="206" t="str">
        <f t="shared" si="3"/>
        <v/>
      </c>
      <c r="D707" s="207" t="str">
        <f t="shared" si="0"/>
        <v/>
      </c>
      <c r="E707" s="207"/>
      <c r="F707" s="205" t="str">
        <f>IF(E707="","",VLOOKUP(E707,'ARAMA LİSTELERİ'!C707:G2746,5,))</f>
        <v/>
      </c>
      <c r="G707" s="207"/>
      <c r="H707" s="210"/>
      <c r="I707" s="79"/>
      <c r="J707" s="210"/>
      <c r="K707" s="210"/>
      <c r="L707" s="210" t="str">
        <f t="shared" si="1"/>
        <v/>
      </c>
      <c r="M707" s="79"/>
      <c r="N707" s="207"/>
      <c r="O707" s="207"/>
      <c r="P707" s="207"/>
      <c r="Q707" s="207"/>
    </row>
    <row r="708" spans="1:17" ht="34.5" customHeight="1">
      <c r="A708" s="82"/>
      <c r="B708" s="205" t="str">
        <f t="shared" si="2"/>
        <v/>
      </c>
      <c r="C708" s="206" t="str">
        <f t="shared" si="3"/>
        <v/>
      </c>
      <c r="D708" s="207" t="str">
        <f t="shared" si="0"/>
        <v/>
      </c>
      <c r="E708" s="207"/>
      <c r="F708" s="205" t="str">
        <f>IF(E708="","",VLOOKUP(E708,'ARAMA LİSTELERİ'!C708:G2747,5,))</f>
        <v/>
      </c>
      <c r="G708" s="207"/>
      <c r="H708" s="210"/>
      <c r="I708" s="79"/>
      <c r="J708" s="210"/>
      <c r="K708" s="210"/>
      <c r="L708" s="210" t="str">
        <f t="shared" si="1"/>
        <v/>
      </c>
      <c r="M708" s="79"/>
      <c r="N708" s="207"/>
      <c r="O708" s="207"/>
      <c r="P708" s="207"/>
      <c r="Q708" s="207"/>
    </row>
    <row r="709" spans="1:17" ht="34.5" customHeight="1">
      <c r="A709" s="82"/>
      <c r="B709" s="205" t="str">
        <f t="shared" si="2"/>
        <v/>
      </c>
      <c r="C709" s="206" t="str">
        <f t="shared" si="3"/>
        <v/>
      </c>
      <c r="D709" s="207" t="str">
        <f t="shared" si="0"/>
        <v/>
      </c>
      <c r="E709" s="207"/>
      <c r="F709" s="205" t="str">
        <f>IF(E709="","",VLOOKUP(E709,'ARAMA LİSTELERİ'!C709:G2748,5,))</f>
        <v/>
      </c>
      <c r="G709" s="207"/>
      <c r="H709" s="210"/>
      <c r="I709" s="79"/>
      <c r="J709" s="210"/>
      <c r="K709" s="210"/>
      <c r="L709" s="210" t="str">
        <f t="shared" si="1"/>
        <v/>
      </c>
      <c r="M709" s="79"/>
      <c r="N709" s="207"/>
      <c r="O709" s="207"/>
      <c r="P709" s="207"/>
      <c r="Q709" s="207"/>
    </row>
    <row r="710" spans="1:17" ht="34.5" customHeight="1">
      <c r="A710" s="82"/>
      <c r="B710" s="205" t="str">
        <f t="shared" si="2"/>
        <v/>
      </c>
      <c r="C710" s="206" t="str">
        <f t="shared" si="3"/>
        <v/>
      </c>
      <c r="D710" s="207" t="str">
        <f t="shared" si="0"/>
        <v/>
      </c>
      <c r="E710" s="207"/>
      <c r="F710" s="205" t="str">
        <f>IF(E710="","",VLOOKUP(E710,'ARAMA LİSTELERİ'!C710:G2749,5,))</f>
        <v/>
      </c>
      <c r="G710" s="207"/>
      <c r="H710" s="210"/>
      <c r="I710" s="79"/>
      <c r="J710" s="210"/>
      <c r="K710" s="210"/>
      <c r="L710" s="210" t="str">
        <f t="shared" si="1"/>
        <v/>
      </c>
      <c r="M710" s="79"/>
      <c r="N710" s="207"/>
      <c r="O710" s="207"/>
      <c r="P710" s="207"/>
      <c r="Q710" s="207"/>
    </row>
    <row r="711" spans="1:17" ht="34.5" customHeight="1">
      <c r="A711" s="82"/>
      <c r="B711" s="205" t="str">
        <f t="shared" si="2"/>
        <v/>
      </c>
      <c r="C711" s="206" t="str">
        <f t="shared" si="3"/>
        <v/>
      </c>
      <c r="D711" s="207" t="str">
        <f t="shared" si="0"/>
        <v/>
      </c>
      <c r="E711" s="207"/>
      <c r="F711" s="205" t="str">
        <f>IF(E711="","",VLOOKUP(E711,'ARAMA LİSTELERİ'!C711:G2750,5,))</f>
        <v/>
      </c>
      <c r="G711" s="207"/>
      <c r="H711" s="210"/>
      <c r="I711" s="79"/>
      <c r="J711" s="210"/>
      <c r="K711" s="210"/>
      <c r="L711" s="210" t="str">
        <f t="shared" si="1"/>
        <v/>
      </c>
      <c r="M711" s="79"/>
      <c r="N711" s="207"/>
      <c r="O711" s="207"/>
      <c r="P711" s="207"/>
      <c r="Q711" s="207"/>
    </row>
    <row r="712" spans="1:17" ht="34.5" customHeight="1">
      <c r="A712" s="82"/>
      <c r="B712" s="205" t="str">
        <f t="shared" si="2"/>
        <v/>
      </c>
      <c r="C712" s="206" t="str">
        <f t="shared" si="3"/>
        <v/>
      </c>
      <c r="D712" s="207" t="str">
        <f t="shared" si="0"/>
        <v/>
      </c>
      <c r="E712" s="207"/>
      <c r="F712" s="205" t="str">
        <f>IF(E712="","",VLOOKUP(E712,'ARAMA LİSTELERİ'!C712:G2751,5,))</f>
        <v/>
      </c>
      <c r="G712" s="207"/>
      <c r="H712" s="210"/>
      <c r="I712" s="79"/>
      <c r="J712" s="210"/>
      <c r="K712" s="210"/>
      <c r="L712" s="210" t="str">
        <f t="shared" si="1"/>
        <v/>
      </c>
      <c r="M712" s="79"/>
      <c r="N712" s="207"/>
      <c r="O712" s="207"/>
      <c r="P712" s="207"/>
      <c r="Q712" s="207"/>
    </row>
    <row r="713" spans="1:17" ht="34.5" customHeight="1">
      <c r="A713" s="82"/>
      <c r="B713" s="205" t="str">
        <f t="shared" si="2"/>
        <v/>
      </c>
      <c r="C713" s="206" t="str">
        <f t="shared" si="3"/>
        <v/>
      </c>
      <c r="D713" s="207" t="str">
        <f t="shared" si="0"/>
        <v/>
      </c>
      <c r="E713" s="207"/>
      <c r="F713" s="205" t="str">
        <f>IF(E713="","",VLOOKUP(E713,'ARAMA LİSTELERİ'!C713:G2752,5,))</f>
        <v/>
      </c>
      <c r="G713" s="207"/>
      <c r="H713" s="210"/>
      <c r="I713" s="79"/>
      <c r="J713" s="210"/>
      <c r="K713" s="210"/>
      <c r="L713" s="210" t="str">
        <f t="shared" si="1"/>
        <v/>
      </c>
      <c r="M713" s="79"/>
      <c r="N713" s="207"/>
      <c r="O713" s="207"/>
      <c r="P713" s="207"/>
      <c r="Q713" s="207"/>
    </row>
    <row r="714" spans="1:17" ht="34.5" customHeight="1">
      <c r="A714" s="82"/>
      <c r="B714" s="205" t="str">
        <f t="shared" si="2"/>
        <v/>
      </c>
      <c r="C714" s="206" t="str">
        <f t="shared" si="3"/>
        <v/>
      </c>
      <c r="D714" s="207" t="str">
        <f t="shared" si="0"/>
        <v/>
      </c>
      <c r="E714" s="207"/>
      <c r="F714" s="205" t="str">
        <f>IF(E714="","",VLOOKUP(E714,'ARAMA LİSTELERİ'!C714:G2753,5,))</f>
        <v/>
      </c>
      <c r="G714" s="207"/>
      <c r="H714" s="210"/>
      <c r="I714" s="79"/>
      <c r="J714" s="210"/>
      <c r="K714" s="210"/>
      <c r="L714" s="210" t="str">
        <f t="shared" si="1"/>
        <v/>
      </c>
      <c r="M714" s="79"/>
      <c r="N714" s="207"/>
      <c r="O714" s="207"/>
      <c r="P714" s="207"/>
      <c r="Q714" s="207"/>
    </row>
    <row r="715" spans="1:17" ht="34.5" customHeight="1">
      <c r="A715" s="82"/>
      <c r="B715" s="205" t="str">
        <f t="shared" si="2"/>
        <v/>
      </c>
      <c r="C715" s="206" t="str">
        <f t="shared" si="3"/>
        <v/>
      </c>
      <c r="D715" s="207" t="str">
        <f t="shared" si="0"/>
        <v/>
      </c>
      <c r="E715" s="207"/>
      <c r="F715" s="205" t="str">
        <f>IF(E715="","",VLOOKUP(E715,'ARAMA LİSTELERİ'!C715:G2754,5,))</f>
        <v/>
      </c>
      <c r="G715" s="207"/>
      <c r="H715" s="210"/>
      <c r="I715" s="79"/>
      <c r="J715" s="210"/>
      <c r="K715" s="210"/>
      <c r="L715" s="210" t="str">
        <f t="shared" si="1"/>
        <v/>
      </c>
      <c r="M715" s="79"/>
      <c r="N715" s="207"/>
      <c r="O715" s="207"/>
      <c r="P715" s="207"/>
      <c r="Q715" s="207"/>
    </row>
    <row r="716" spans="1:17" ht="34.5" customHeight="1">
      <c r="A716" s="82"/>
      <c r="B716" s="205" t="str">
        <f t="shared" si="2"/>
        <v/>
      </c>
      <c r="C716" s="206" t="str">
        <f t="shared" si="3"/>
        <v/>
      </c>
      <c r="D716" s="207" t="str">
        <f t="shared" si="0"/>
        <v/>
      </c>
      <c r="E716" s="207"/>
      <c r="F716" s="205" t="str">
        <f>IF(E716="","",VLOOKUP(E716,'ARAMA LİSTELERİ'!C716:G2755,5,))</f>
        <v/>
      </c>
      <c r="G716" s="207"/>
      <c r="H716" s="210"/>
      <c r="I716" s="79"/>
      <c r="J716" s="210"/>
      <c r="K716" s="210"/>
      <c r="L716" s="210" t="str">
        <f t="shared" si="1"/>
        <v/>
      </c>
      <c r="M716" s="79"/>
      <c r="N716" s="207"/>
      <c r="O716" s="207"/>
      <c r="P716" s="207"/>
      <c r="Q716" s="207"/>
    </row>
    <row r="717" spans="1:17" ht="34.5" customHeight="1">
      <c r="A717" s="82"/>
      <c r="B717" s="205" t="str">
        <f t="shared" si="2"/>
        <v/>
      </c>
      <c r="C717" s="206" t="str">
        <f t="shared" si="3"/>
        <v/>
      </c>
      <c r="D717" s="207" t="str">
        <f t="shared" si="0"/>
        <v/>
      </c>
      <c r="E717" s="207"/>
      <c r="F717" s="205" t="str">
        <f>IF(E717="","",VLOOKUP(E717,'ARAMA LİSTELERİ'!C717:G2756,5,))</f>
        <v/>
      </c>
      <c r="G717" s="207"/>
      <c r="H717" s="210"/>
      <c r="I717" s="79"/>
      <c r="J717" s="210"/>
      <c r="K717" s="210"/>
      <c r="L717" s="210" t="str">
        <f t="shared" si="1"/>
        <v/>
      </c>
      <c r="M717" s="79"/>
      <c r="N717" s="207"/>
      <c r="O717" s="207"/>
      <c r="P717" s="207"/>
      <c r="Q717" s="207"/>
    </row>
    <row r="718" spans="1:17" ht="34.5" customHeight="1">
      <c r="A718" s="82"/>
      <c r="B718" s="205" t="str">
        <f t="shared" si="2"/>
        <v/>
      </c>
      <c r="C718" s="206" t="str">
        <f t="shared" si="3"/>
        <v/>
      </c>
      <c r="D718" s="207" t="str">
        <f t="shared" si="0"/>
        <v/>
      </c>
      <c r="E718" s="207"/>
      <c r="F718" s="205" t="str">
        <f>IF(E718="","",VLOOKUP(E718,'ARAMA LİSTELERİ'!C718:G2757,5,))</f>
        <v/>
      </c>
      <c r="G718" s="207"/>
      <c r="H718" s="210"/>
      <c r="I718" s="79"/>
      <c r="J718" s="210"/>
      <c r="K718" s="210"/>
      <c r="L718" s="210" t="str">
        <f t="shared" si="1"/>
        <v/>
      </c>
      <c r="M718" s="79"/>
      <c r="N718" s="207"/>
      <c r="O718" s="207"/>
      <c r="P718" s="207"/>
      <c r="Q718" s="207"/>
    </row>
    <row r="719" spans="1:17" ht="34.5" customHeight="1">
      <c r="A719" s="82"/>
      <c r="B719" s="205" t="str">
        <f t="shared" si="2"/>
        <v/>
      </c>
      <c r="C719" s="206" t="str">
        <f t="shared" si="3"/>
        <v/>
      </c>
      <c r="D719" s="207" t="str">
        <f t="shared" si="0"/>
        <v/>
      </c>
      <c r="E719" s="207"/>
      <c r="F719" s="205" t="str">
        <f>IF(E719="","",VLOOKUP(E719,'ARAMA LİSTELERİ'!C719:G2758,5,))</f>
        <v/>
      </c>
      <c r="G719" s="207"/>
      <c r="H719" s="210"/>
      <c r="I719" s="79"/>
      <c r="J719" s="210"/>
      <c r="K719" s="210"/>
      <c r="L719" s="210" t="str">
        <f t="shared" si="1"/>
        <v/>
      </c>
      <c r="M719" s="79"/>
      <c r="N719" s="207"/>
      <c r="O719" s="207"/>
      <c r="P719" s="207"/>
      <c r="Q719" s="207"/>
    </row>
    <row r="720" spans="1:17" ht="34.5" customHeight="1">
      <c r="A720" s="82"/>
      <c r="B720" s="205" t="str">
        <f t="shared" si="2"/>
        <v/>
      </c>
      <c r="C720" s="206" t="str">
        <f t="shared" si="3"/>
        <v/>
      </c>
      <c r="D720" s="207" t="str">
        <f t="shared" si="0"/>
        <v/>
      </c>
      <c r="E720" s="207"/>
      <c r="F720" s="205" t="str">
        <f>IF(E720="","",VLOOKUP(E720,'ARAMA LİSTELERİ'!C720:G2759,5,))</f>
        <v/>
      </c>
      <c r="G720" s="207"/>
      <c r="H720" s="210"/>
      <c r="I720" s="79"/>
      <c r="J720" s="210"/>
      <c r="K720" s="210"/>
      <c r="L720" s="210" t="str">
        <f t="shared" si="1"/>
        <v/>
      </c>
      <c r="M720" s="79"/>
      <c r="N720" s="207"/>
      <c r="O720" s="207"/>
      <c r="P720" s="207"/>
      <c r="Q720" s="207"/>
    </row>
    <row r="721" spans="1:17" ht="34.5" customHeight="1">
      <c r="A721" s="82"/>
      <c r="B721" s="205" t="str">
        <f t="shared" si="2"/>
        <v/>
      </c>
      <c r="C721" s="206" t="str">
        <f t="shared" si="3"/>
        <v/>
      </c>
      <c r="D721" s="207" t="str">
        <f t="shared" si="0"/>
        <v/>
      </c>
      <c r="E721" s="207"/>
      <c r="F721" s="205" t="str">
        <f>IF(E721="","",VLOOKUP(E721,'ARAMA LİSTELERİ'!C721:G2760,5,))</f>
        <v/>
      </c>
      <c r="G721" s="207"/>
      <c r="H721" s="210"/>
      <c r="I721" s="79"/>
      <c r="J721" s="210"/>
      <c r="K721" s="210"/>
      <c r="L721" s="210" t="str">
        <f t="shared" si="1"/>
        <v/>
      </c>
      <c r="M721" s="79"/>
      <c r="N721" s="207"/>
      <c r="O721" s="207"/>
      <c r="P721" s="207"/>
      <c r="Q721" s="207"/>
    </row>
    <row r="722" spans="1:17" ht="34.5" customHeight="1">
      <c r="A722" s="82"/>
      <c r="B722" s="205" t="str">
        <f t="shared" si="2"/>
        <v/>
      </c>
      <c r="C722" s="206" t="str">
        <f t="shared" si="3"/>
        <v/>
      </c>
      <c r="D722" s="207" t="str">
        <f t="shared" si="0"/>
        <v/>
      </c>
      <c r="E722" s="207"/>
      <c r="F722" s="205" t="str">
        <f>IF(E722="","",VLOOKUP(E722,'ARAMA LİSTELERİ'!C722:G2761,5,))</f>
        <v/>
      </c>
      <c r="G722" s="207"/>
      <c r="H722" s="210"/>
      <c r="I722" s="79"/>
      <c r="J722" s="210"/>
      <c r="K722" s="210"/>
      <c r="L722" s="210" t="str">
        <f t="shared" si="1"/>
        <v/>
      </c>
      <c r="M722" s="79"/>
      <c r="N722" s="207"/>
      <c r="O722" s="207"/>
      <c r="P722" s="207"/>
      <c r="Q722" s="207"/>
    </row>
    <row r="723" spans="1:17" ht="34.5" customHeight="1">
      <c r="A723" s="82"/>
      <c r="B723" s="205" t="str">
        <f t="shared" si="2"/>
        <v/>
      </c>
      <c r="C723" s="206" t="str">
        <f t="shared" si="3"/>
        <v/>
      </c>
      <c r="D723" s="207" t="str">
        <f t="shared" si="0"/>
        <v/>
      </c>
      <c r="E723" s="207"/>
      <c r="F723" s="205" t="str">
        <f>IF(E723="","",VLOOKUP(E723,'ARAMA LİSTELERİ'!C723:G2762,5,))</f>
        <v/>
      </c>
      <c r="G723" s="207"/>
      <c r="H723" s="210"/>
      <c r="I723" s="79"/>
      <c r="J723" s="210"/>
      <c r="K723" s="210"/>
      <c r="L723" s="210" t="str">
        <f t="shared" si="1"/>
        <v/>
      </c>
      <c r="M723" s="79"/>
      <c r="N723" s="207"/>
      <c r="O723" s="207"/>
      <c r="P723" s="207"/>
      <c r="Q723" s="207"/>
    </row>
    <row r="724" spans="1:17" ht="34.5" customHeight="1">
      <c r="A724" s="82"/>
      <c r="B724" s="205" t="str">
        <f t="shared" si="2"/>
        <v/>
      </c>
      <c r="C724" s="206" t="str">
        <f t="shared" si="3"/>
        <v/>
      </c>
      <c r="D724" s="207" t="str">
        <f t="shared" si="0"/>
        <v/>
      </c>
      <c r="E724" s="207"/>
      <c r="F724" s="205" t="str">
        <f>IF(E724="","",VLOOKUP(E724,'ARAMA LİSTELERİ'!C724:G2763,5,))</f>
        <v/>
      </c>
      <c r="G724" s="207"/>
      <c r="H724" s="210"/>
      <c r="I724" s="79"/>
      <c r="J724" s="210"/>
      <c r="K724" s="210"/>
      <c r="L724" s="210" t="str">
        <f t="shared" si="1"/>
        <v/>
      </c>
      <c r="M724" s="79"/>
      <c r="N724" s="207"/>
      <c r="O724" s="207"/>
      <c r="P724" s="207"/>
      <c r="Q724" s="207"/>
    </row>
    <row r="725" spans="1:17" ht="34.5" customHeight="1">
      <c r="A725" s="82"/>
      <c r="B725" s="205" t="str">
        <f t="shared" si="2"/>
        <v/>
      </c>
      <c r="C725" s="206" t="str">
        <f t="shared" si="3"/>
        <v/>
      </c>
      <c r="D725" s="207" t="str">
        <f t="shared" si="0"/>
        <v/>
      </c>
      <c r="E725" s="207"/>
      <c r="F725" s="205" t="str">
        <f>IF(E725="","",VLOOKUP(E725,'ARAMA LİSTELERİ'!C725:G2764,5,))</f>
        <v/>
      </c>
      <c r="G725" s="207"/>
      <c r="H725" s="210"/>
      <c r="I725" s="79"/>
      <c r="J725" s="210"/>
      <c r="K725" s="210"/>
      <c r="L725" s="210" t="str">
        <f t="shared" si="1"/>
        <v/>
      </c>
      <c r="M725" s="79"/>
      <c r="N725" s="207"/>
      <c r="O725" s="207"/>
      <c r="P725" s="207"/>
      <c r="Q725" s="207"/>
    </row>
    <row r="726" spans="1:17" ht="34.5" customHeight="1">
      <c r="A726" s="82"/>
      <c r="B726" s="205" t="str">
        <f t="shared" si="2"/>
        <v/>
      </c>
      <c r="C726" s="206" t="str">
        <f t="shared" si="3"/>
        <v/>
      </c>
      <c r="D726" s="207" t="str">
        <f t="shared" si="0"/>
        <v/>
      </c>
      <c r="E726" s="207"/>
      <c r="F726" s="205" t="str">
        <f>IF(E726="","",VLOOKUP(E726,'ARAMA LİSTELERİ'!C726:G2765,5,))</f>
        <v/>
      </c>
      <c r="G726" s="207"/>
      <c r="H726" s="210"/>
      <c r="I726" s="79"/>
      <c r="J726" s="210"/>
      <c r="K726" s="210"/>
      <c r="L726" s="210" t="str">
        <f t="shared" si="1"/>
        <v/>
      </c>
      <c r="M726" s="79"/>
      <c r="N726" s="207"/>
      <c r="O726" s="207"/>
      <c r="P726" s="207"/>
      <c r="Q726" s="207"/>
    </row>
    <row r="727" spans="1:17" ht="34.5" customHeight="1">
      <c r="A727" s="82"/>
      <c r="B727" s="205" t="str">
        <f t="shared" si="2"/>
        <v/>
      </c>
      <c r="C727" s="206" t="str">
        <f t="shared" si="3"/>
        <v/>
      </c>
      <c r="D727" s="207" t="str">
        <f t="shared" si="0"/>
        <v/>
      </c>
      <c r="E727" s="207"/>
      <c r="F727" s="205" t="str">
        <f>IF(E727="","",VLOOKUP(E727,'ARAMA LİSTELERİ'!C727:G2766,5,))</f>
        <v/>
      </c>
      <c r="G727" s="207"/>
      <c r="H727" s="210"/>
      <c r="I727" s="79"/>
      <c r="J727" s="210"/>
      <c r="K727" s="210"/>
      <c r="L727" s="210" t="str">
        <f t="shared" si="1"/>
        <v/>
      </c>
      <c r="M727" s="79"/>
      <c r="N727" s="207"/>
      <c r="O727" s="207"/>
      <c r="P727" s="207"/>
      <c r="Q727" s="207"/>
    </row>
    <row r="728" spans="1:17" ht="34.5" customHeight="1">
      <c r="A728" s="82"/>
      <c r="B728" s="205" t="str">
        <f t="shared" si="2"/>
        <v/>
      </c>
      <c r="C728" s="206" t="str">
        <f t="shared" si="3"/>
        <v/>
      </c>
      <c r="D728" s="207" t="str">
        <f t="shared" si="0"/>
        <v/>
      </c>
      <c r="E728" s="207"/>
      <c r="F728" s="205" t="str">
        <f>IF(E728="","",VLOOKUP(E728,'ARAMA LİSTELERİ'!C728:G2767,5,))</f>
        <v/>
      </c>
      <c r="G728" s="207"/>
      <c r="H728" s="210"/>
      <c r="I728" s="79"/>
      <c r="J728" s="210"/>
      <c r="K728" s="210"/>
      <c r="L728" s="210" t="str">
        <f t="shared" si="1"/>
        <v/>
      </c>
      <c r="M728" s="79"/>
      <c r="N728" s="207"/>
      <c r="O728" s="207"/>
      <c r="P728" s="207"/>
      <c r="Q728" s="207"/>
    </row>
    <row r="729" spans="1:17" ht="34.5" customHeight="1">
      <c r="A729" s="82"/>
      <c r="B729" s="205" t="str">
        <f t="shared" si="2"/>
        <v/>
      </c>
      <c r="C729" s="206" t="str">
        <f t="shared" si="3"/>
        <v/>
      </c>
      <c r="D729" s="207" t="str">
        <f t="shared" si="0"/>
        <v/>
      </c>
      <c r="E729" s="207"/>
      <c r="F729" s="205" t="str">
        <f>IF(E729="","",VLOOKUP(E729,'ARAMA LİSTELERİ'!C729:G2768,5,))</f>
        <v/>
      </c>
      <c r="G729" s="207"/>
      <c r="H729" s="210"/>
      <c r="I729" s="79"/>
      <c r="J729" s="210"/>
      <c r="K729" s="210"/>
      <c r="L729" s="210" t="str">
        <f t="shared" si="1"/>
        <v/>
      </c>
      <c r="M729" s="79"/>
      <c r="N729" s="207"/>
      <c r="O729" s="207"/>
      <c r="P729" s="207"/>
      <c r="Q729" s="207"/>
    </row>
    <row r="730" spans="1:17" ht="34.5" customHeight="1">
      <c r="A730" s="82"/>
      <c r="B730" s="205" t="str">
        <f t="shared" si="2"/>
        <v/>
      </c>
      <c r="C730" s="206" t="str">
        <f t="shared" si="3"/>
        <v/>
      </c>
      <c r="D730" s="207" t="str">
        <f t="shared" si="0"/>
        <v/>
      </c>
      <c r="E730" s="207"/>
      <c r="F730" s="205" t="str">
        <f>IF(E730="","",VLOOKUP(E730,'ARAMA LİSTELERİ'!C730:G2769,5,))</f>
        <v/>
      </c>
      <c r="G730" s="207"/>
      <c r="H730" s="210"/>
      <c r="I730" s="79"/>
      <c r="J730" s="210"/>
      <c r="K730" s="210"/>
      <c r="L730" s="210" t="str">
        <f t="shared" si="1"/>
        <v/>
      </c>
      <c r="M730" s="79"/>
      <c r="N730" s="207"/>
      <c r="O730" s="207"/>
      <c r="P730" s="207"/>
      <c r="Q730" s="207"/>
    </row>
    <row r="731" spans="1:17" ht="34.5" customHeight="1">
      <c r="A731" s="82"/>
      <c r="B731" s="205" t="str">
        <f t="shared" si="2"/>
        <v/>
      </c>
      <c r="C731" s="206" t="str">
        <f t="shared" si="3"/>
        <v/>
      </c>
      <c r="D731" s="207" t="str">
        <f t="shared" si="0"/>
        <v/>
      </c>
      <c r="E731" s="207"/>
      <c r="F731" s="205" t="str">
        <f>IF(E731="","",VLOOKUP(E731,'ARAMA LİSTELERİ'!C731:G2770,5,))</f>
        <v/>
      </c>
      <c r="G731" s="207"/>
      <c r="H731" s="210"/>
      <c r="I731" s="79"/>
      <c r="J731" s="210"/>
      <c r="K731" s="210"/>
      <c r="L731" s="210" t="str">
        <f t="shared" si="1"/>
        <v/>
      </c>
      <c r="M731" s="79"/>
      <c r="N731" s="207"/>
      <c r="O731" s="207"/>
      <c r="P731" s="207"/>
      <c r="Q731" s="207"/>
    </row>
    <row r="732" spans="1:17" ht="34.5" customHeight="1">
      <c r="A732" s="82"/>
      <c r="B732" s="205" t="str">
        <f t="shared" si="2"/>
        <v/>
      </c>
      <c r="C732" s="206" t="str">
        <f t="shared" si="3"/>
        <v/>
      </c>
      <c r="D732" s="207" t="str">
        <f t="shared" si="0"/>
        <v/>
      </c>
      <c r="E732" s="207"/>
      <c r="F732" s="205" t="str">
        <f>IF(E732="","",VLOOKUP(E732,'ARAMA LİSTELERİ'!C732:G2771,5,))</f>
        <v/>
      </c>
      <c r="G732" s="207"/>
      <c r="H732" s="210"/>
      <c r="I732" s="79"/>
      <c r="J732" s="210"/>
      <c r="K732" s="210"/>
      <c r="L732" s="210" t="str">
        <f t="shared" si="1"/>
        <v/>
      </c>
      <c r="M732" s="79"/>
      <c r="N732" s="207"/>
      <c r="O732" s="207"/>
      <c r="P732" s="207"/>
      <c r="Q732" s="207"/>
    </row>
    <row r="733" spans="1:17" ht="34.5" customHeight="1">
      <c r="A733" s="82"/>
      <c r="B733" s="205" t="str">
        <f t="shared" si="2"/>
        <v/>
      </c>
      <c r="C733" s="206" t="str">
        <f t="shared" si="3"/>
        <v/>
      </c>
      <c r="D733" s="207" t="str">
        <f t="shared" si="0"/>
        <v/>
      </c>
      <c r="E733" s="207"/>
      <c r="F733" s="205" t="str">
        <f>IF(E733="","",VLOOKUP(E733,'ARAMA LİSTELERİ'!C733:G2772,5,))</f>
        <v/>
      </c>
      <c r="G733" s="207"/>
      <c r="H733" s="210"/>
      <c r="I733" s="79"/>
      <c r="J733" s="210"/>
      <c r="K733" s="210"/>
      <c r="L733" s="210" t="str">
        <f t="shared" si="1"/>
        <v/>
      </c>
      <c r="M733" s="79"/>
      <c r="N733" s="207"/>
      <c r="O733" s="207"/>
      <c r="P733" s="207"/>
      <c r="Q733" s="207"/>
    </row>
    <row r="734" spans="1:17" ht="34.5" customHeight="1">
      <c r="A734" s="82"/>
      <c r="B734" s="205" t="str">
        <f t="shared" si="2"/>
        <v/>
      </c>
      <c r="C734" s="206" t="str">
        <f t="shared" si="3"/>
        <v/>
      </c>
      <c r="D734" s="207" t="str">
        <f t="shared" si="0"/>
        <v/>
      </c>
      <c r="E734" s="207"/>
      <c r="F734" s="205" t="str">
        <f>IF(E734="","",VLOOKUP(E734,'ARAMA LİSTELERİ'!C734:G2773,5,))</f>
        <v/>
      </c>
      <c r="G734" s="207"/>
      <c r="H734" s="210"/>
      <c r="I734" s="79"/>
      <c r="J734" s="210"/>
      <c r="K734" s="210"/>
      <c r="L734" s="210" t="str">
        <f t="shared" si="1"/>
        <v/>
      </c>
      <c r="M734" s="79"/>
      <c r="N734" s="207"/>
      <c r="O734" s="207"/>
      <c r="P734" s="207"/>
      <c r="Q734" s="207"/>
    </row>
    <row r="735" spans="1:17" ht="34.5" customHeight="1">
      <c r="A735" s="82"/>
      <c r="B735" s="205" t="str">
        <f t="shared" si="2"/>
        <v/>
      </c>
      <c r="C735" s="206" t="str">
        <f t="shared" si="3"/>
        <v/>
      </c>
      <c r="D735" s="207" t="str">
        <f t="shared" si="0"/>
        <v/>
      </c>
      <c r="E735" s="207"/>
      <c r="F735" s="205" t="str">
        <f>IF(E735="","",VLOOKUP(E735,'ARAMA LİSTELERİ'!C735:G2774,5,))</f>
        <v/>
      </c>
      <c r="G735" s="207"/>
      <c r="H735" s="210"/>
      <c r="I735" s="79"/>
      <c r="J735" s="210"/>
      <c r="K735" s="210"/>
      <c r="L735" s="210" t="str">
        <f t="shared" si="1"/>
        <v/>
      </c>
      <c r="M735" s="79"/>
      <c r="N735" s="207"/>
      <c r="O735" s="207"/>
      <c r="P735" s="207"/>
      <c r="Q735" s="207"/>
    </row>
    <row r="736" spans="1:17" ht="34.5" customHeight="1">
      <c r="A736" s="82"/>
      <c r="B736" s="205" t="str">
        <f t="shared" si="2"/>
        <v/>
      </c>
      <c r="C736" s="206" t="str">
        <f t="shared" si="3"/>
        <v/>
      </c>
      <c r="D736" s="207" t="str">
        <f t="shared" si="0"/>
        <v/>
      </c>
      <c r="E736" s="207"/>
      <c r="F736" s="205" t="str">
        <f>IF(E736="","",VLOOKUP(E736,'ARAMA LİSTELERİ'!C736:G2775,5,))</f>
        <v/>
      </c>
      <c r="G736" s="207"/>
      <c r="H736" s="210"/>
      <c r="I736" s="79"/>
      <c r="J736" s="210"/>
      <c r="K736" s="210"/>
      <c r="L736" s="210" t="str">
        <f t="shared" si="1"/>
        <v/>
      </c>
      <c r="M736" s="79"/>
      <c r="N736" s="207"/>
      <c r="O736" s="207"/>
      <c r="P736" s="207"/>
      <c r="Q736" s="207"/>
    </row>
    <row r="737" spans="1:17" ht="34.5" customHeight="1">
      <c r="A737" s="82"/>
      <c r="B737" s="205" t="str">
        <f t="shared" si="2"/>
        <v/>
      </c>
      <c r="C737" s="206" t="str">
        <f t="shared" si="3"/>
        <v/>
      </c>
      <c r="D737" s="207" t="str">
        <f t="shared" si="0"/>
        <v/>
      </c>
      <c r="E737" s="207"/>
      <c r="F737" s="205" t="str">
        <f>IF(E737="","",VLOOKUP(E737,'ARAMA LİSTELERİ'!C737:G2776,5,))</f>
        <v/>
      </c>
      <c r="G737" s="207"/>
      <c r="H737" s="210"/>
      <c r="I737" s="79"/>
      <c r="J737" s="210"/>
      <c r="K737" s="210"/>
      <c r="L737" s="210" t="str">
        <f t="shared" si="1"/>
        <v/>
      </c>
      <c r="M737" s="79"/>
      <c r="N737" s="207"/>
      <c r="O737" s="207"/>
      <c r="P737" s="207"/>
      <c r="Q737" s="207"/>
    </row>
    <row r="738" spans="1:17" ht="34.5" customHeight="1">
      <c r="A738" s="82"/>
      <c r="B738" s="205" t="str">
        <f t="shared" si="2"/>
        <v/>
      </c>
      <c r="C738" s="206" t="str">
        <f t="shared" si="3"/>
        <v/>
      </c>
      <c r="D738" s="207" t="str">
        <f t="shared" si="0"/>
        <v/>
      </c>
      <c r="E738" s="207"/>
      <c r="F738" s="205" t="str">
        <f>IF(E738="","",VLOOKUP(E738,'ARAMA LİSTELERİ'!C738:G2777,5,))</f>
        <v/>
      </c>
      <c r="G738" s="207"/>
      <c r="H738" s="210"/>
      <c r="I738" s="79"/>
      <c r="J738" s="210"/>
      <c r="K738" s="210"/>
      <c r="L738" s="210" t="str">
        <f t="shared" si="1"/>
        <v/>
      </c>
      <c r="M738" s="79"/>
      <c r="N738" s="207"/>
      <c r="O738" s="207"/>
      <c r="P738" s="207"/>
      <c r="Q738" s="207"/>
    </row>
    <row r="739" spans="1:17" ht="34.5" customHeight="1">
      <c r="A739" s="82"/>
      <c r="B739" s="205" t="str">
        <f t="shared" si="2"/>
        <v/>
      </c>
      <c r="C739" s="206" t="str">
        <f t="shared" si="3"/>
        <v/>
      </c>
      <c r="D739" s="207" t="str">
        <f t="shared" si="0"/>
        <v/>
      </c>
      <c r="E739" s="207"/>
      <c r="F739" s="205" t="str">
        <f>IF(E739="","",VLOOKUP(E739,'ARAMA LİSTELERİ'!C739:G2778,5,))</f>
        <v/>
      </c>
      <c r="G739" s="207"/>
      <c r="H739" s="210"/>
      <c r="I739" s="79"/>
      <c r="J739" s="210"/>
      <c r="K739" s="210"/>
      <c r="L739" s="210" t="str">
        <f t="shared" si="1"/>
        <v/>
      </c>
      <c r="M739" s="79"/>
      <c r="N739" s="207"/>
      <c r="O739" s="207"/>
      <c r="P739" s="207"/>
      <c r="Q739" s="207"/>
    </row>
    <row r="740" spans="1:17" ht="34.5" customHeight="1">
      <c r="A740" s="82"/>
      <c r="B740" s="205" t="str">
        <f t="shared" si="2"/>
        <v/>
      </c>
      <c r="C740" s="206" t="str">
        <f t="shared" si="3"/>
        <v/>
      </c>
      <c r="D740" s="207" t="str">
        <f t="shared" si="0"/>
        <v/>
      </c>
      <c r="E740" s="207"/>
      <c r="F740" s="205" t="str">
        <f>IF(E740="","",VLOOKUP(E740,'ARAMA LİSTELERİ'!C740:G2779,5,))</f>
        <v/>
      </c>
      <c r="G740" s="207"/>
      <c r="H740" s="210"/>
      <c r="I740" s="79"/>
      <c r="J740" s="210"/>
      <c r="K740" s="210"/>
      <c r="L740" s="210" t="str">
        <f t="shared" si="1"/>
        <v/>
      </c>
      <c r="M740" s="79"/>
      <c r="N740" s="207"/>
      <c r="O740" s="207"/>
      <c r="P740" s="207"/>
      <c r="Q740" s="207"/>
    </row>
    <row r="741" spans="1:17" ht="34.5" customHeight="1">
      <c r="A741" s="82"/>
      <c r="B741" s="205" t="str">
        <f t="shared" si="2"/>
        <v/>
      </c>
      <c r="C741" s="206" t="str">
        <f t="shared" si="3"/>
        <v/>
      </c>
      <c r="D741" s="207" t="str">
        <f t="shared" si="0"/>
        <v/>
      </c>
      <c r="E741" s="207"/>
      <c r="F741" s="205" t="str">
        <f>IF(E741="","",VLOOKUP(E741,'ARAMA LİSTELERİ'!C741:G2780,5,))</f>
        <v/>
      </c>
      <c r="G741" s="207"/>
      <c r="H741" s="210"/>
      <c r="I741" s="79"/>
      <c r="J741" s="210"/>
      <c r="K741" s="210"/>
      <c r="L741" s="210" t="str">
        <f t="shared" si="1"/>
        <v/>
      </c>
      <c r="M741" s="79"/>
      <c r="N741" s="207"/>
      <c r="O741" s="207"/>
      <c r="P741" s="207"/>
      <c r="Q741" s="207"/>
    </row>
    <row r="742" spans="1:17" ht="34.5" customHeight="1">
      <c r="A742" s="82"/>
      <c r="B742" s="205" t="str">
        <f t="shared" si="2"/>
        <v/>
      </c>
      <c r="C742" s="206" t="str">
        <f t="shared" si="3"/>
        <v/>
      </c>
      <c r="D742" s="207" t="str">
        <f t="shared" si="0"/>
        <v/>
      </c>
      <c r="E742" s="207"/>
      <c r="F742" s="205" t="str">
        <f>IF(E742="","",VLOOKUP(E742,'ARAMA LİSTELERİ'!C742:G2781,5,))</f>
        <v/>
      </c>
      <c r="G742" s="207"/>
      <c r="H742" s="210"/>
      <c r="I742" s="79"/>
      <c r="J742" s="210"/>
      <c r="K742" s="210"/>
      <c r="L742" s="210" t="str">
        <f t="shared" si="1"/>
        <v/>
      </c>
      <c r="M742" s="79"/>
      <c r="N742" s="207"/>
      <c r="O742" s="207"/>
      <c r="P742" s="207"/>
      <c r="Q742" s="207"/>
    </row>
    <row r="743" spans="1:17" ht="34.5" customHeight="1">
      <c r="A743" s="82"/>
      <c r="B743" s="205" t="str">
        <f t="shared" si="2"/>
        <v/>
      </c>
      <c r="C743" s="206" t="str">
        <f t="shared" si="3"/>
        <v/>
      </c>
      <c r="D743" s="207" t="str">
        <f t="shared" si="0"/>
        <v/>
      </c>
      <c r="E743" s="207"/>
      <c r="F743" s="205" t="str">
        <f>IF(E743="","",VLOOKUP(E743,'ARAMA LİSTELERİ'!C743:G2782,5,))</f>
        <v/>
      </c>
      <c r="G743" s="207"/>
      <c r="H743" s="210"/>
      <c r="I743" s="79"/>
      <c r="J743" s="210"/>
      <c r="K743" s="210"/>
      <c r="L743" s="210" t="str">
        <f t="shared" si="1"/>
        <v/>
      </c>
      <c r="M743" s="79"/>
      <c r="N743" s="207"/>
      <c r="O743" s="207"/>
      <c r="P743" s="207"/>
      <c r="Q743" s="207"/>
    </row>
    <row r="744" spans="1:17" ht="34.5" customHeight="1">
      <c r="A744" s="82"/>
      <c r="B744" s="205" t="str">
        <f t="shared" si="2"/>
        <v/>
      </c>
      <c r="C744" s="206" t="str">
        <f t="shared" si="3"/>
        <v/>
      </c>
      <c r="D744" s="207" t="str">
        <f t="shared" si="0"/>
        <v/>
      </c>
      <c r="E744" s="207"/>
      <c r="F744" s="205" t="str">
        <f>IF(E744="","",VLOOKUP(E744,'ARAMA LİSTELERİ'!C744:G2783,5,))</f>
        <v/>
      </c>
      <c r="G744" s="207"/>
      <c r="H744" s="210"/>
      <c r="I744" s="79"/>
      <c r="J744" s="210"/>
      <c r="K744" s="210"/>
      <c r="L744" s="210" t="str">
        <f t="shared" si="1"/>
        <v/>
      </c>
      <c r="M744" s="79"/>
      <c r="N744" s="207"/>
      <c r="O744" s="207"/>
      <c r="P744" s="207"/>
      <c r="Q744" s="207"/>
    </row>
    <row r="745" spans="1:17" ht="34.5" customHeight="1">
      <c r="A745" s="82"/>
      <c r="B745" s="205" t="str">
        <f t="shared" si="2"/>
        <v/>
      </c>
      <c r="C745" s="206" t="str">
        <f t="shared" si="3"/>
        <v/>
      </c>
      <c r="D745" s="207" t="str">
        <f t="shared" si="0"/>
        <v/>
      </c>
      <c r="E745" s="207"/>
      <c r="F745" s="205" t="str">
        <f>IF(E745="","",VLOOKUP(E745,'ARAMA LİSTELERİ'!C745:G2784,5,))</f>
        <v/>
      </c>
      <c r="G745" s="207"/>
      <c r="H745" s="210"/>
      <c r="I745" s="79"/>
      <c r="J745" s="210"/>
      <c r="K745" s="210"/>
      <c r="L745" s="210" t="str">
        <f t="shared" si="1"/>
        <v/>
      </c>
      <c r="M745" s="79"/>
      <c r="N745" s="207"/>
      <c r="O745" s="207"/>
      <c r="P745" s="207"/>
      <c r="Q745" s="207"/>
    </row>
    <row r="746" spans="1:17" ht="34.5" customHeight="1">
      <c r="A746" s="82"/>
      <c r="B746" s="205" t="str">
        <f t="shared" si="2"/>
        <v/>
      </c>
      <c r="C746" s="206" t="str">
        <f t="shared" si="3"/>
        <v/>
      </c>
      <c r="D746" s="207" t="str">
        <f t="shared" si="0"/>
        <v/>
      </c>
      <c r="E746" s="207"/>
      <c r="F746" s="205" t="str">
        <f>IF(E746="","",VLOOKUP(E746,'ARAMA LİSTELERİ'!C746:G2785,5,))</f>
        <v/>
      </c>
      <c r="G746" s="207"/>
      <c r="H746" s="210"/>
      <c r="I746" s="79"/>
      <c r="J746" s="210"/>
      <c r="K746" s="210"/>
      <c r="L746" s="210" t="str">
        <f t="shared" si="1"/>
        <v/>
      </c>
      <c r="M746" s="79"/>
      <c r="N746" s="207"/>
      <c r="O746" s="207"/>
      <c r="P746" s="207"/>
      <c r="Q746" s="207"/>
    </row>
    <row r="747" spans="1:17" ht="34.5" customHeight="1">
      <c r="A747" s="82"/>
      <c r="B747" s="205" t="str">
        <f t="shared" si="2"/>
        <v/>
      </c>
      <c r="C747" s="206" t="str">
        <f t="shared" si="3"/>
        <v/>
      </c>
      <c r="D747" s="207" t="str">
        <f t="shared" si="0"/>
        <v/>
      </c>
      <c r="E747" s="207"/>
      <c r="F747" s="205" t="str">
        <f>IF(E747="","",VLOOKUP(E747,'ARAMA LİSTELERİ'!C747:G2786,5,))</f>
        <v/>
      </c>
      <c r="G747" s="207"/>
      <c r="H747" s="210"/>
      <c r="I747" s="79"/>
      <c r="J747" s="210"/>
      <c r="K747" s="210"/>
      <c r="L747" s="210" t="str">
        <f t="shared" si="1"/>
        <v/>
      </c>
      <c r="M747" s="79"/>
      <c r="N747" s="207"/>
      <c r="O747" s="207"/>
      <c r="P747" s="207"/>
      <c r="Q747" s="207"/>
    </row>
    <row r="748" spans="1:17" ht="34.5" customHeight="1">
      <c r="A748" s="82"/>
      <c r="B748" s="205" t="str">
        <f t="shared" si="2"/>
        <v/>
      </c>
      <c r="C748" s="206" t="str">
        <f t="shared" si="3"/>
        <v/>
      </c>
      <c r="D748" s="207" t="str">
        <f t="shared" si="0"/>
        <v/>
      </c>
      <c r="E748" s="207"/>
      <c r="F748" s="205" t="str">
        <f>IF(E748="","",VLOOKUP(E748,'ARAMA LİSTELERİ'!C748:G2787,5,))</f>
        <v/>
      </c>
      <c r="G748" s="207"/>
      <c r="H748" s="210"/>
      <c r="I748" s="79"/>
      <c r="J748" s="210"/>
      <c r="K748" s="210"/>
      <c r="L748" s="210" t="str">
        <f t="shared" si="1"/>
        <v/>
      </c>
      <c r="M748" s="79"/>
      <c r="N748" s="207"/>
      <c r="O748" s="207"/>
      <c r="P748" s="207"/>
      <c r="Q748" s="207"/>
    </row>
    <row r="749" spans="1:17" ht="34.5" customHeight="1">
      <c r="A749" s="82"/>
      <c r="B749" s="205" t="str">
        <f t="shared" si="2"/>
        <v/>
      </c>
      <c r="C749" s="206" t="str">
        <f t="shared" si="3"/>
        <v/>
      </c>
      <c r="D749" s="207" t="str">
        <f t="shared" si="0"/>
        <v/>
      </c>
      <c r="E749" s="207"/>
      <c r="F749" s="205" t="str">
        <f>IF(E749="","",VLOOKUP(E749,'ARAMA LİSTELERİ'!C749:G2788,5,))</f>
        <v/>
      </c>
      <c r="G749" s="207"/>
      <c r="H749" s="210"/>
      <c r="I749" s="79"/>
      <c r="J749" s="210"/>
      <c r="K749" s="210"/>
      <c r="L749" s="210" t="str">
        <f t="shared" si="1"/>
        <v/>
      </c>
      <c r="M749" s="79"/>
      <c r="N749" s="207"/>
      <c r="O749" s="207"/>
      <c r="P749" s="207"/>
      <c r="Q749" s="207"/>
    </row>
    <row r="750" spans="1:17" ht="34.5" customHeight="1">
      <c r="A750" s="82"/>
      <c r="B750" s="205" t="str">
        <f t="shared" si="2"/>
        <v/>
      </c>
      <c r="C750" s="206" t="str">
        <f t="shared" si="3"/>
        <v/>
      </c>
      <c r="D750" s="207" t="str">
        <f t="shared" si="0"/>
        <v/>
      </c>
      <c r="E750" s="207"/>
      <c r="F750" s="205" t="str">
        <f>IF(E750="","",VLOOKUP(E750,'ARAMA LİSTELERİ'!C750:G2789,5,))</f>
        <v/>
      </c>
      <c r="G750" s="207"/>
      <c r="H750" s="210"/>
      <c r="I750" s="79"/>
      <c r="J750" s="210"/>
      <c r="K750" s="210"/>
      <c r="L750" s="210" t="str">
        <f t="shared" si="1"/>
        <v/>
      </c>
      <c r="M750" s="79"/>
      <c r="N750" s="207"/>
      <c r="O750" s="207"/>
      <c r="P750" s="207"/>
      <c r="Q750" s="207"/>
    </row>
    <row r="751" spans="1:17" ht="34.5" customHeight="1">
      <c r="A751" s="82"/>
      <c r="B751" s="205" t="str">
        <f t="shared" si="2"/>
        <v/>
      </c>
      <c r="C751" s="206" t="str">
        <f t="shared" si="3"/>
        <v/>
      </c>
      <c r="D751" s="207" t="str">
        <f t="shared" si="0"/>
        <v/>
      </c>
      <c r="E751" s="207"/>
      <c r="F751" s="205" t="str">
        <f>IF(E751="","",VLOOKUP(E751,'ARAMA LİSTELERİ'!C751:G2790,5,))</f>
        <v/>
      </c>
      <c r="G751" s="207"/>
      <c r="H751" s="210"/>
      <c r="I751" s="79"/>
      <c r="J751" s="210"/>
      <c r="K751" s="210"/>
      <c r="L751" s="210" t="str">
        <f t="shared" si="1"/>
        <v/>
      </c>
      <c r="M751" s="79"/>
      <c r="N751" s="207"/>
      <c r="O751" s="207"/>
      <c r="P751" s="207"/>
      <c r="Q751" s="207"/>
    </row>
    <row r="752" spans="1:17" ht="34.5" customHeight="1">
      <c r="A752" s="82"/>
      <c r="B752" s="205" t="str">
        <f t="shared" si="2"/>
        <v/>
      </c>
      <c r="C752" s="206" t="str">
        <f t="shared" si="3"/>
        <v/>
      </c>
      <c r="D752" s="207" t="str">
        <f t="shared" si="0"/>
        <v/>
      </c>
      <c r="E752" s="207"/>
      <c r="F752" s="205" t="str">
        <f>IF(E752="","",VLOOKUP(E752,'ARAMA LİSTELERİ'!C752:G2791,5,))</f>
        <v/>
      </c>
      <c r="G752" s="207"/>
      <c r="H752" s="210"/>
      <c r="I752" s="79"/>
      <c r="J752" s="210"/>
      <c r="K752" s="210"/>
      <c r="L752" s="210" t="str">
        <f t="shared" si="1"/>
        <v/>
      </c>
      <c r="M752" s="79"/>
      <c r="N752" s="207"/>
      <c r="O752" s="207"/>
      <c r="P752" s="207"/>
      <c r="Q752" s="207"/>
    </row>
    <row r="753" spans="1:17" ht="34.5" customHeight="1">
      <c r="A753" s="82"/>
      <c r="B753" s="205" t="str">
        <f t="shared" si="2"/>
        <v/>
      </c>
      <c r="C753" s="206" t="str">
        <f t="shared" si="3"/>
        <v/>
      </c>
      <c r="D753" s="207" t="str">
        <f t="shared" si="0"/>
        <v/>
      </c>
      <c r="E753" s="207"/>
      <c r="F753" s="205" t="str">
        <f>IF(E753="","",VLOOKUP(E753,'ARAMA LİSTELERİ'!C753:G2792,5,))</f>
        <v/>
      </c>
      <c r="G753" s="207"/>
      <c r="H753" s="210"/>
      <c r="I753" s="79"/>
      <c r="J753" s="210"/>
      <c r="K753" s="210"/>
      <c r="L753" s="210" t="str">
        <f t="shared" si="1"/>
        <v/>
      </c>
      <c r="M753" s="79"/>
      <c r="N753" s="207"/>
      <c r="O753" s="207"/>
      <c r="P753" s="207"/>
      <c r="Q753" s="207"/>
    </row>
    <row r="754" spans="1:17" ht="34.5" customHeight="1">
      <c r="A754" s="82"/>
      <c r="B754" s="205" t="str">
        <f t="shared" si="2"/>
        <v/>
      </c>
      <c r="C754" s="206" t="str">
        <f t="shared" si="3"/>
        <v/>
      </c>
      <c r="D754" s="207" t="str">
        <f t="shared" si="0"/>
        <v/>
      </c>
      <c r="E754" s="207"/>
      <c r="F754" s="205" t="str">
        <f>IF(E754="","",VLOOKUP(E754,'ARAMA LİSTELERİ'!C754:G2793,5,))</f>
        <v/>
      </c>
      <c r="G754" s="207"/>
      <c r="H754" s="210"/>
      <c r="I754" s="79"/>
      <c r="J754" s="210"/>
      <c r="K754" s="210"/>
      <c r="L754" s="210" t="str">
        <f t="shared" si="1"/>
        <v/>
      </c>
      <c r="M754" s="79"/>
      <c r="N754" s="207"/>
      <c r="O754" s="207"/>
      <c r="P754" s="207"/>
      <c r="Q754" s="207"/>
    </row>
    <row r="755" spans="1:17" ht="34.5" customHeight="1">
      <c r="A755" s="82"/>
      <c r="B755" s="205" t="str">
        <f t="shared" si="2"/>
        <v/>
      </c>
      <c r="C755" s="206" t="str">
        <f t="shared" si="3"/>
        <v/>
      </c>
      <c r="D755" s="207" t="str">
        <f t="shared" si="0"/>
        <v/>
      </c>
      <c r="E755" s="207"/>
      <c r="F755" s="205" t="str">
        <f>IF(E755="","",VLOOKUP(E755,'ARAMA LİSTELERİ'!C755:G2794,5,))</f>
        <v/>
      </c>
      <c r="G755" s="207"/>
      <c r="H755" s="210"/>
      <c r="I755" s="79"/>
      <c r="J755" s="210"/>
      <c r="K755" s="210"/>
      <c r="L755" s="210" t="str">
        <f t="shared" si="1"/>
        <v/>
      </c>
      <c r="M755" s="79"/>
      <c r="N755" s="207"/>
      <c r="O755" s="207"/>
      <c r="P755" s="207"/>
      <c r="Q755" s="207"/>
    </row>
    <row r="756" spans="1:17" ht="34.5" customHeight="1">
      <c r="A756" s="82"/>
      <c r="B756" s="205" t="str">
        <f t="shared" si="2"/>
        <v/>
      </c>
      <c r="C756" s="206" t="str">
        <f t="shared" si="3"/>
        <v/>
      </c>
      <c r="D756" s="207" t="str">
        <f t="shared" si="0"/>
        <v/>
      </c>
      <c r="E756" s="207"/>
      <c r="F756" s="205" t="str">
        <f>IF(E756="","",VLOOKUP(E756,'ARAMA LİSTELERİ'!C756:G2795,5,))</f>
        <v/>
      </c>
      <c r="G756" s="207"/>
      <c r="H756" s="210"/>
      <c r="I756" s="79"/>
      <c r="J756" s="210"/>
      <c r="K756" s="210"/>
      <c r="L756" s="210" t="str">
        <f t="shared" si="1"/>
        <v/>
      </c>
      <c r="M756" s="79"/>
      <c r="N756" s="207"/>
      <c r="O756" s="207"/>
      <c r="P756" s="207"/>
      <c r="Q756" s="207"/>
    </row>
    <row r="757" spans="1:17" ht="34.5" customHeight="1">
      <c r="A757" s="82"/>
      <c r="B757" s="205" t="str">
        <f t="shared" si="2"/>
        <v/>
      </c>
      <c r="C757" s="206" t="str">
        <f t="shared" si="3"/>
        <v/>
      </c>
      <c r="D757" s="207" t="str">
        <f t="shared" si="0"/>
        <v/>
      </c>
      <c r="E757" s="207"/>
      <c r="F757" s="205" t="str">
        <f>IF(E757="","",VLOOKUP(E757,'ARAMA LİSTELERİ'!C757:G2796,5,))</f>
        <v/>
      </c>
      <c r="G757" s="207"/>
      <c r="H757" s="210"/>
      <c r="I757" s="79"/>
      <c r="J757" s="210"/>
      <c r="K757" s="210"/>
      <c r="L757" s="210" t="str">
        <f t="shared" si="1"/>
        <v/>
      </c>
      <c r="M757" s="79"/>
      <c r="N757" s="207"/>
      <c r="O757" s="207"/>
      <c r="P757" s="207"/>
      <c r="Q757" s="207"/>
    </row>
    <row r="758" spans="1:17" ht="34.5" customHeight="1">
      <c r="A758" s="82"/>
      <c r="B758" s="205" t="str">
        <f t="shared" si="2"/>
        <v/>
      </c>
      <c r="C758" s="206" t="str">
        <f t="shared" si="3"/>
        <v/>
      </c>
      <c r="D758" s="207" t="str">
        <f t="shared" si="0"/>
        <v/>
      </c>
      <c r="E758" s="207"/>
      <c r="F758" s="205" t="str">
        <f>IF(E758="","",VLOOKUP(E758,'ARAMA LİSTELERİ'!C758:G2797,5,))</f>
        <v/>
      </c>
      <c r="G758" s="207"/>
      <c r="H758" s="210"/>
      <c r="I758" s="79"/>
      <c r="J758" s="210"/>
      <c r="K758" s="210"/>
      <c r="L758" s="210" t="str">
        <f t="shared" si="1"/>
        <v/>
      </c>
      <c r="M758" s="79"/>
      <c r="N758" s="207"/>
      <c r="O758" s="207"/>
      <c r="P758" s="207"/>
      <c r="Q758" s="207"/>
    </row>
    <row r="759" spans="1:17" ht="34.5" customHeight="1">
      <c r="A759" s="82"/>
      <c r="B759" s="205" t="str">
        <f t="shared" si="2"/>
        <v/>
      </c>
      <c r="C759" s="206" t="str">
        <f t="shared" si="3"/>
        <v/>
      </c>
      <c r="D759" s="207" t="str">
        <f t="shared" si="0"/>
        <v/>
      </c>
      <c r="E759" s="207"/>
      <c r="F759" s="205" t="str">
        <f>IF(E759="","",VLOOKUP(E759,'ARAMA LİSTELERİ'!C759:G2798,5,))</f>
        <v/>
      </c>
      <c r="G759" s="207"/>
      <c r="H759" s="210"/>
      <c r="I759" s="79"/>
      <c r="J759" s="210"/>
      <c r="K759" s="210"/>
      <c r="L759" s="210" t="str">
        <f t="shared" si="1"/>
        <v/>
      </c>
      <c r="M759" s="79"/>
      <c r="N759" s="207"/>
      <c r="O759" s="207"/>
      <c r="P759" s="207"/>
      <c r="Q759" s="207"/>
    </row>
    <row r="760" spans="1:17" ht="34.5" customHeight="1">
      <c r="A760" s="82"/>
      <c r="B760" s="205" t="str">
        <f t="shared" si="2"/>
        <v/>
      </c>
      <c r="C760" s="206" t="str">
        <f t="shared" si="3"/>
        <v/>
      </c>
      <c r="D760" s="207" t="str">
        <f t="shared" si="0"/>
        <v/>
      </c>
      <c r="E760" s="207"/>
      <c r="F760" s="205" t="str">
        <f>IF(E760="","",VLOOKUP(E760,'ARAMA LİSTELERİ'!C760:G2799,5,))</f>
        <v/>
      </c>
      <c r="G760" s="207"/>
      <c r="H760" s="210"/>
      <c r="I760" s="79"/>
      <c r="J760" s="210"/>
      <c r="K760" s="210"/>
      <c r="L760" s="210" t="str">
        <f t="shared" si="1"/>
        <v/>
      </c>
      <c r="M760" s="79"/>
      <c r="N760" s="207"/>
      <c r="O760" s="207"/>
      <c r="P760" s="207"/>
      <c r="Q760" s="207"/>
    </row>
    <row r="761" spans="1:17" ht="34.5" customHeight="1">
      <c r="A761" s="82"/>
      <c r="B761" s="205" t="str">
        <f t="shared" si="2"/>
        <v/>
      </c>
      <c r="C761" s="206" t="str">
        <f t="shared" si="3"/>
        <v/>
      </c>
      <c r="D761" s="207" t="str">
        <f t="shared" si="0"/>
        <v/>
      </c>
      <c r="E761" s="207"/>
      <c r="F761" s="205" t="str">
        <f>IF(E761="","",VLOOKUP(E761,'ARAMA LİSTELERİ'!C761:G2800,5,))</f>
        <v/>
      </c>
      <c r="G761" s="207"/>
      <c r="H761" s="210"/>
      <c r="I761" s="79"/>
      <c r="J761" s="210"/>
      <c r="K761" s="210"/>
      <c r="L761" s="210" t="str">
        <f t="shared" si="1"/>
        <v/>
      </c>
      <c r="M761" s="79"/>
      <c r="N761" s="207"/>
      <c r="O761" s="207"/>
      <c r="P761" s="207"/>
      <c r="Q761" s="207"/>
    </row>
    <row r="762" spans="1:17" ht="34.5" customHeight="1">
      <c r="A762" s="82"/>
      <c r="B762" s="205" t="str">
        <f t="shared" si="2"/>
        <v/>
      </c>
      <c r="C762" s="206" t="str">
        <f t="shared" si="3"/>
        <v/>
      </c>
      <c r="D762" s="207" t="str">
        <f t="shared" si="0"/>
        <v/>
      </c>
      <c r="E762" s="207"/>
      <c r="F762" s="205" t="str">
        <f>IF(E762="","",VLOOKUP(E762,'ARAMA LİSTELERİ'!C762:G2801,5,))</f>
        <v/>
      </c>
      <c r="G762" s="207"/>
      <c r="H762" s="210"/>
      <c r="I762" s="79"/>
      <c r="J762" s="210"/>
      <c r="K762" s="210"/>
      <c r="L762" s="210" t="str">
        <f t="shared" si="1"/>
        <v/>
      </c>
      <c r="M762" s="79"/>
      <c r="N762" s="207"/>
      <c r="O762" s="207"/>
      <c r="P762" s="207"/>
      <c r="Q762" s="207"/>
    </row>
    <row r="763" spans="1:17" ht="34.5" customHeight="1">
      <c r="A763" s="82"/>
      <c r="B763" s="205" t="str">
        <f t="shared" si="2"/>
        <v/>
      </c>
      <c r="C763" s="206" t="str">
        <f t="shared" si="3"/>
        <v/>
      </c>
      <c r="D763" s="207" t="str">
        <f t="shared" si="0"/>
        <v/>
      </c>
      <c r="E763" s="207"/>
      <c r="F763" s="205" t="str">
        <f>IF(E763="","",VLOOKUP(E763,'ARAMA LİSTELERİ'!C763:G2802,5,))</f>
        <v/>
      </c>
      <c r="G763" s="207"/>
      <c r="H763" s="210"/>
      <c r="I763" s="79"/>
      <c r="J763" s="210"/>
      <c r="K763" s="210"/>
      <c r="L763" s="210" t="str">
        <f t="shared" si="1"/>
        <v/>
      </c>
      <c r="M763" s="79"/>
      <c r="N763" s="207"/>
      <c r="O763" s="207"/>
      <c r="P763" s="207"/>
      <c r="Q763" s="207"/>
    </row>
    <row r="764" spans="1:17" ht="34.5" customHeight="1">
      <c r="A764" s="82"/>
      <c r="B764" s="205" t="str">
        <f t="shared" si="2"/>
        <v/>
      </c>
      <c r="C764" s="206" t="str">
        <f t="shared" si="3"/>
        <v/>
      </c>
      <c r="D764" s="207" t="str">
        <f t="shared" si="0"/>
        <v/>
      </c>
      <c r="E764" s="207"/>
      <c r="F764" s="205" t="str">
        <f>IF(E764="","",VLOOKUP(E764,'ARAMA LİSTELERİ'!C764:G2803,5,))</f>
        <v/>
      </c>
      <c r="G764" s="207"/>
      <c r="H764" s="210"/>
      <c r="I764" s="79"/>
      <c r="J764" s="210"/>
      <c r="K764" s="210"/>
      <c r="L764" s="210" t="str">
        <f t="shared" si="1"/>
        <v/>
      </c>
      <c r="M764" s="79"/>
      <c r="N764" s="207"/>
      <c r="O764" s="207"/>
      <c r="P764" s="207"/>
      <c r="Q764" s="207"/>
    </row>
    <row r="765" spans="1:17" ht="34.5" customHeight="1">
      <c r="A765" s="82"/>
      <c r="B765" s="205" t="str">
        <f t="shared" si="2"/>
        <v/>
      </c>
      <c r="C765" s="206" t="str">
        <f t="shared" si="3"/>
        <v/>
      </c>
      <c r="D765" s="207" t="str">
        <f t="shared" si="0"/>
        <v/>
      </c>
      <c r="E765" s="207"/>
      <c r="F765" s="205" t="str">
        <f>IF(E765="","",VLOOKUP(E765,'ARAMA LİSTELERİ'!C765:G2804,5,))</f>
        <v/>
      </c>
      <c r="G765" s="207"/>
      <c r="H765" s="210"/>
      <c r="I765" s="79"/>
      <c r="J765" s="210"/>
      <c r="K765" s="210"/>
      <c r="L765" s="210" t="str">
        <f t="shared" si="1"/>
        <v/>
      </c>
      <c r="M765" s="79"/>
      <c r="N765" s="207"/>
      <c r="O765" s="207"/>
      <c r="P765" s="207"/>
      <c r="Q765" s="207"/>
    </row>
    <row r="766" spans="1:17" ht="34.5" customHeight="1">
      <c r="A766" s="82"/>
      <c r="B766" s="205" t="str">
        <f t="shared" si="2"/>
        <v/>
      </c>
      <c r="C766" s="206" t="str">
        <f t="shared" si="3"/>
        <v/>
      </c>
      <c r="D766" s="207" t="str">
        <f t="shared" si="0"/>
        <v/>
      </c>
      <c r="E766" s="207"/>
      <c r="F766" s="205" t="str">
        <f>IF(E766="","",VLOOKUP(E766,'ARAMA LİSTELERİ'!C766:G2805,5,))</f>
        <v/>
      </c>
      <c r="G766" s="207"/>
      <c r="H766" s="210"/>
      <c r="I766" s="79"/>
      <c r="J766" s="210"/>
      <c r="K766" s="210"/>
      <c r="L766" s="210" t="str">
        <f t="shared" si="1"/>
        <v/>
      </c>
      <c r="M766" s="79"/>
      <c r="N766" s="207"/>
      <c r="O766" s="207"/>
      <c r="P766" s="207"/>
      <c r="Q766" s="207"/>
    </row>
    <row r="767" spans="1:17" ht="34.5" customHeight="1">
      <c r="A767" s="82"/>
      <c r="B767" s="205" t="str">
        <f t="shared" si="2"/>
        <v/>
      </c>
      <c r="C767" s="206" t="str">
        <f t="shared" si="3"/>
        <v/>
      </c>
      <c r="D767" s="207" t="str">
        <f t="shared" si="0"/>
        <v/>
      </c>
      <c r="E767" s="207"/>
      <c r="F767" s="205" t="str">
        <f>IF(E767="","",VLOOKUP(E767,'ARAMA LİSTELERİ'!C767:G2806,5,))</f>
        <v/>
      </c>
      <c r="G767" s="207"/>
      <c r="H767" s="210"/>
      <c r="I767" s="79"/>
      <c r="J767" s="210"/>
      <c r="K767" s="210"/>
      <c r="L767" s="210" t="str">
        <f t="shared" si="1"/>
        <v/>
      </c>
      <c r="M767" s="79"/>
      <c r="N767" s="207"/>
      <c r="O767" s="207"/>
      <c r="P767" s="207"/>
      <c r="Q767" s="207"/>
    </row>
    <row r="768" spans="1:17" ht="34.5" customHeight="1">
      <c r="A768" s="82"/>
      <c r="B768" s="205" t="str">
        <f t="shared" si="2"/>
        <v/>
      </c>
      <c r="C768" s="206" t="str">
        <f t="shared" si="3"/>
        <v/>
      </c>
      <c r="D768" s="207" t="str">
        <f t="shared" si="0"/>
        <v/>
      </c>
      <c r="E768" s="207"/>
      <c r="F768" s="205" t="str">
        <f>IF(E768="","",VLOOKUP(E768,'ARAMA LİSTELERİ'!C768:G2807,5,))</f>
        <v/>
      </c>
      <c r="G768" s="207"/>
      <c r="H768" s="210"/>
      <c r="I768" s="79"/>
      <c r="J768" s="210"/>
      <c r="K768" s="210"/>
      <c r="L768" s="210" t="str">
        <f t="shared" si="1"/>
        <v/>
      </c>
      <c r="M768" s="79"/>
      <c r="N768" s="207"/>
      <c r="O768" s="207"/>
      <c r="P768" s="207"/>
      <c r="Q768" s="207"/>
    </row>
    <row r="769" spans="1:17" ht="34.5" customHeight="1">
      <c r="A769" s="82"/>
      <c r="B769" s="205" t="str">
        <f t="shared" si="2"/>
        <v/>
      </c>
      <c r="C769" s="206" t="str">
        <f t="shared" si="3"/>
        <v/>
      </c>
      <c r="D769" s="207" t="str">
        <f t="shared" si="0"/>
        <v/>
      </c>
      <c r="E769" s="207"/>
      <c r="F769" s="205" t="str">
        <f>IF(E769="","",VLOOKUP(E769,'ARAMA LİSTELERİ'!C769:G2808,5,))</f>
        <v/>
      </c>
      <c r="G769" s="207"/>
      <c r="H769" s="210"/>
      <c r="I769" s="79"/>
      <c r="J769" s="210"/>
      <c r="K769" s="210"/>
      <c r="L769" s="210" t="str">
        <f t="shared" si="1"/>
        <v/>
      </c>
      <c r="M769" s="79"/>
      <c r="N769" s="207"/>
      <c r="O769" s="207"/>
      <c r="P769" s="207"/>
      <c r="Q769" s="207"/>
    </row>
    <row r="770" spans="1:17" ht="34.5" customHeight="1">
      <c r="A770" s="82"/>
      <c r="B770" s="205" t="str">
        <f t="shared" si="2"/>
        <v/>
      </c>
      <c r="C770" s="206" t="str">
        <f t="shared" si="3"/>
        <v/>
      </c>
      <c r="D770" s="207" t="str">
        <f t="shared" si="0"/>
        <v/>
      </c>
      <c r="E770" s="207"/>
      <c r="F770" s="205" t="str">
        <f>IF(E770="","",VLOOKUP(E770,'ARAMA LİSTELERİ'!C770:G2809,5,))</f>
        <v/>
      </c>
      <c r="G770" s="207"/>
      <c r="H770" s="210"/>
      <c r="I770" s="79"/>
      <c r="J770" s="210"/>
      <c r="K770" s="210"/>
      <c r="L770" s="210" t="str">
        <f t="shared" si="1"/>
        <v/>
      </c>
      <c r="M770" s="79"/>
      <c r="N770" s="207"/>
      <c r="O770" s="207"/>
      <c r="P770" s="207"/>
      <c r="Q770" s="207"/>
    </row>
    <row r="771" spans="1:17" ht="34.5" customHeight="1">
      <c r="A771" s="82"/>
      <c r="B771" s="205" t="str">
        <f t="shared" si="2"/>
        <v/>
      </c>
      <c r="C771" s="206" t="str">
        <f t="shared" si="3"/>
        <v/>
      </c>
      <c r="D771" s="207" t="str">
        <f t="shared" si="0"/>
        <v/>
      </c>
      <c r="E771" s="207"/>
      <c r="F771" s="205" t="str">
        <f>IF(E771="","",VLOOKUP(E771,'ARAMA LİSTELERİ'!C771:G2810,5,))</f>
        <v/>
      </c>
      <c r="G771" s="207"/>
      <c r="H771" s="210"/>
      <c r="I771" s="79"/>
      <c r="J771" s="210"/>
      <c r="K771" s="210"/>
      <c r="L771" s="210" t="str">
        <f t="shared" si="1"/>
        <v/>
      </c>
      <c r="M771" s="79"/>
      <c r="N771" s="207"/>
      <c r="O771" s="207"/>
      <c r="P771" s="207"/>
      <c r="Q771" s="207"/>
    </row>
    <row r="772" spans="1:17" ht="34.5" customHeight="1">
      <c r="A772" s="82"/>
      <c r="B772" s="205" t="str">
        <f t="shared" si="2"/>
        <v/>
      </c>
      <c r="C772" s="206" t="str">
        <f t="shared" si="3"/>
        <v/>
      </c>
      <c r="D772" s="207" t="str">
        <f t="shared" si="0"/>
        <v/>
      </c>
      <c r="E772" s="207"/>
      <c r="F772" s="205" t="str">
        <f>IF(E772="","",VLOOKUP(E772,'ARAMA LİSTELERİ'!C772:G2811,5,))</f>
        <v/>
      </c>
      <c r="G772" s="207"/>
      <c r="H772" s="210"/>
      <c r="I772" s="79"/>
      <c r="J772" s="210"/>
      <c r="K772" s="210"/>
      <c r="L772" s="210" t="str">
        <f t="shared" si="1"/>
        <v/>
      </c>
      <c r="M772" s="79"/>
      <c r="N772" s="207"/>
      <c r="O772" s="207"/>
      <c r="P772" s="207"/>
      <c r="Q772" s="207"/>
    </row>
    <row r="773" spans="1:17" ht="34.5" customHeight="1">
      <c r="A773" s="82"/>
      <c r="B773" s="205" t="str">
        <f t="shared" si="2"/>
        <v/>
      </c>
      <c r="C773" s="206" t="str">
        <f t="shared" si="3"/>
        <v/>
      </c>
      <c r="D773" s="207" t="str">
        <f t="shared" si="0"/>
        <v/>
      </c>
      <c r="E773" s="207"/>
      <c r="F773" s="205" t="str">
        <f>IF(E773="","",VLOOKUP(E773,'ARAMA LİSTELERİ'!C773:G2812,5,))</f>
        <v/>
      </c>
      <c r="G773" s="207"/>
      <c r="H773" s="210"/>
      <c r="I773" s="79"/>
      <c r="J773" s="210"/>
      <c r="K773" s="210"/>
      <c r="L773" s="210" t="str">
        <f t="shared" si="1"/>
        <v/>
      </c>
      <c r="M773" s="79"/>
      <c r="N773" s="207"/>
      <c r="O773" s="207"/>
      <c r="P773" s="207"/>
      <c r="Q773" s="207"/>
    </row>
    <row r="774" spans="1:17" ht="34.5" customHeight="1">
      <c r="A774" s="82"/>
      <c r="B774" s="205" t="str">
        <f t="shared" si="2"/>
        <v/>
      </c>
      <c r="C774" s="206" t="str">
        <f t="shared" si="3"/>
        <v/>
      </c>
      <c r="D774" s="207" t="str">
        <f t="shared" si="0"/>
        <v/>
      </c>
      <c r="E774" s="207"/>
      <c r="F774" s="205" t="str">
        <f>IF(E774="","",VLOOKUP(E774,'ARAMA LİSTELERİ'!C774:G2813,5,))</f>
        <v/>
      </c>
      <c r="G774" s="207"/>
      <c r="H774" s="210"/>
      <c r="I774" s="79"/>
      <c r="J774" s="210"/>
      <c r="K774" s="210"/>
      <c r="L774" s="210" t="str">
        <f t="shared" si="1"/>
        <v/>
      </c>
      <c r="M774" s="79"/>
      <c r="N774" s="207"/>
      <c r="O774" s="207"/>
      <c r="P774" s="207"/>
      <c r="Q774" s="207"/>
    </row>
    <row r="775" spans="1:17" ht="34.5" customHeight="1">
      <c r="A775" s="82"/>
      <c r="B775" s="205" t="str">
        <f t="shared" si="2"/>
        <v/>
      </c>
      <c r="C775" s="206" t="str">
        <f t="shared" si="3"/>
        <v/>
      </c>
      <c r="D775" s="207" t="str">
        <f t="shared" si="0"/>
        <v/>
      </c>
      <c r="E775" s="207"/>
      <c r="F775" s="205" t="str">
        <f>IF(E775="","",VLOOKUP(E775,'ARAMA LİSTELERİ'!C775:G2814,5,))</f>
        <v/>
      </c>
      <c r="G775" s="207"/>
      <c r="H775" s="210"/>
      <c r="I775" s="79"/>
      <c r="J775" s="210"/>
      <c r="K775" s="210"/>
      <c r="L775" s="210" t="str">
        <f t="shared" si="1"/>
        <v/>
      </c>
      <c r="M775" s="79"/>
      <c r="N775" s="207"/>
      <c r="O775" s="207"/>
      <c r="P775" s="207"/>
      <c r="Q775" s="207"/>
    </row>
    <row r="776" spans="1:17" ht="34.5" customHeight="1">
      <c r="A776" s="82"/>
      <c r="B776" s="205" t="str">
        <f t="shared" si="2"/>
        <v/>
      </c>
      <c r="C776" s="206" t="str">
        <f t="shared" si="3"/>
        <v/>
      </c>
      <c r="D776" s="207" t="str">
        <f t="shared" si="0"/>
        <v/>
      </c>
      <c r="E776" s="207"/>
      <c r="F776" s="205" t="str">
        <f>IF(E776="","",VLOOKUP(E776,'ARAMA LİSTELERİ'!C776:G2815,5,))</f>
        <v/>
      </c>
      <c r="G776" s="207"/>
      <c r="H776" s="210"/>
      <c r="I776" s="79"/>
      <c r="J776" s="210"/>
      <c r="K776" s="210"/>
      <c r="L776" s="210" t="str">
        <f t="shared" si="1"/>
        <v/>
      </c>
      <c r="M776" s="79"/>
      <c r="N776" s="207"/>
      <c r="O776" s="207"/>
      <c r="P776" s="207"/>
      <c r="Q776" s="207"/>
    </row>
    <row r="777" spans="1:17" ht="34.5" customHeight="1">
      <c r="A777" s="82"/>
      <c r="B777" s="205" t="str">
        <f t="shared" si="2"/>
        <v/>
      </c>
      <c r="C777" s="206" t="str">
        <f t="shared" si="3"/>
        <v/>
      </c>
      <c r="D777" s="207" t="str">
        <f t="shared" si="0"/>
        <v/>
      </c>
      <c r="E777" s="207"/>
      <c r="F777" s="205" t="str">
        <f>IF(E777="","",VLOOKUP(E777,'ARAMA LİSTELERİ'!C777:G2816,5,))</f>
        <v/>
      </c>
      <c r="G777" s="207"/>
      <c r="H777" s="210"/>
      <c r="I777" s="79"/>
      <c r="J777" s="210"/>
      <c r="K777" s="210"/>
      <c r="L777" s="210" t="str">
        <f t="shared" si="1"/>
        <v/>
      </c>
      <c r="M777" s="79"/>
      <c r="N777" s="207"/>
      <c r="O777" s="207"/>
      <c r="P777" s="207"/>
      <c r="Q777" s="207"/>
    </row>
    <row r="778" spans="1:17" ht="34.5" customHeight="1">
      <c r="A778" s="82"/>
      <c r="B778" s="205" t="str">
        <f t="shared" si="2"/>
        <v/>
      </c>
      <c r="C778" s="206" t="str">
        <f t="shared" si="3"/>
        <v/>
      </c>
      <c r="D778" s="207" t="str">
        <f t="shared" si="0"/>
        <v/>
      </c>
      <c r="E778" s="207"/>
      <c r="F778" s="205" t="str">
        <f>IF(E778="","",VLOOKUP(E778,'ARAMA LİSTELERİ'!C778:G2817,5,))</f>
        <v/>
      </c>
      <c r="G778" s="207"/>
      <c r="H778" s="210"/>
      <c r="I778" s="79"/>
      <c r="J778" s="210"/>
      <c r="K778" s="210"/>
      <c r="L778" s="210" t="str">
        <f t="shared" si="1"/>
        <v/>
      </c>
      <c r="M778" s="79"/>
      <c r="N778" s="207"/>
      <c r="O778" s="207"/>
      <c r="P778" s="207"/>
      <c r="Q778" s="207"/>
    </row>
    <row r="779" spans="1:17" ht="34.5" customHeight="1">
      <c r="A779" s="82"/>
      <c r="B779" s="205" t="str">
        <f t="shared" si="2"/>
        <v/>
      </c>
      <c r="C779" s="206" t="str">
        <f t="shared" si="3"/>
        <v/>
      </c>
      <c r="D779" s="207" t="str">
        <f t="shared" si="0"/>
        <v/>
      </c>
      <c r="E779" s="207"/>
      <c r="F779" s="205" t="str">
        <f>IF(E779="","",VLOOKUP(E779,'ARAMA LİSTELERİ'!C779:G2818,5,))</f>
        <v/>
      </c>
      <c r="G779" s="207"/>
      <c r="H779" s="210"/>
      <c r="I779" s="79"/>
      <c r="J779" s="210"/>
      <c r="K779" s="210"/>
      <c r="L779" s="210" t="str">
        <f t="shared" si="1"/>
        <v/>
      </c>
      <c r="M779" s="79"/>
      <c r="N779" s="207"/>
      <c r="O779" s="207"/>
      <c r="P779" s="207"/>
      <c r="Q779" s="207"/>
    </row>
    <row r="780" spans="1:17" ht="34.5" customHeight="1">
      <c r="A780" s="82"/>
      <c r="B780" s="205" t="str">
        <f t="shared" si="2"/>
        <v/>
      </c>
      <c r="C780" s="206" t="str">
        <f t="shared" si="3"/>
        <v/>
      </c>
      <c r="D780" s="207" t="str">
        <f t="shared" si="0"/>
        <v/>
      </c>
      <c r="E780" s="207"/>
      <c r="F780" s="205" t="str">
        <f>IF(E780="","",VLOOKUP(E780,'ARAMA LİSTELERİ'!C780:G2819,5,))</f>
        <v/>
      </c>
      <c r="G780" s="207"/>
      <c r="H780" s="210"/>
      <c r="I780" s="79"/>
      <c r="J780" s="210"/>
      <c r="K780" s="210"/>
      <c r="L780" s="210" t="str">
        <f t="shared" si="1"/>
        <v/>
      </c>
      <c r="M780" s="79"/>
      <c r="N780" s="207"/>
      <c r="O780" s="207"/>
      <c r="P780" s="207"/>
      <c r="Q780" s="207"/>
    </row>
    <row r="781" spans="1:17" ht="34.5" customHeight="1">
      <c r="A781" s="82"/>
      <c r="B781" s="205" t="str">
        <f t="shared" si="2"/>
        <v/>
      </c>
      <c r="C781" s="206" t="str">
        <f t="shared" si="3"/>
        <v/>
      </c>
      <c r="D781" s="207" t="str">
        <f t="shared" si="0"/>
        <v/>
      </c>
      <c r="E781" s="207"/>
      <c r="F781" s="205" t="str">
        <f>IF(E781="","",VLOOKUP(E781,'ARAMA LİSTELERİ'!C781:G2820,5,))</f>
        <v/>
      </c>
      <c r="G781" s="207"/>
      <c r="H781" s="210"/>
      <c r="I781" s="79"/>
      <c r="J781" s="210"/>
      <c r="K781" s="210"/>
      <c r="L781" s="210" t="str">
        <f t="shared" si="1"/>
        <v/>
      </c>
      <c r="M781" s="79"/>
      <c r="N781" s="207"/>
      <c r="O781" s="207"/>
      <c r="P781" s="207"/>
      <c r="Q781" s="207"/>
    </row>
    <row r="782" spans="1:17" ht="34.5" customHeight="1">
      <c r="A782" s="82"/>
      <c r="B782" s="205" t="str">
        <f t="shared" si="2"/>
        <v/>
      </c>
      <c r="C782" s="206" t="str">
        <f t="shared" si="3"/>
        <v/>
      </c>
      <c r="D782" s="207" t="str">
        <f t="shared" si="0"/>
        <v/>
      </c>
      <c r="E782" s="207"/>
      <c r="F782" s="205" t="str">
        <f>IF(E782="","",VLOOKUP(E782,'ARAMA LİSTELERİ'!C782:G2821,5,))</f>
        <v/>
      </c>
      <c r="G782" s="207"/>
      <c r="H782" s="210"/>
      <c r="I782" s="79"/>
      <c r="J782" s="210"/>
      <c r="K782" s="210"/>
      <c r="L782" s="210" t="str">
        <f t="shared" si="1"/>
        <v/>
      </c>
      <c r="M782" s="79"/>
      <c r="N782" s="207"/>
      <c r="O782" s="207"/>
      <c r="P782" s="207"/>
      <c r="Q782" s="207"/>
    </row>
    <row r="783" spans="1:17" ht="34.5" customHeight="1">
      <c r="A783" s="82"/>
      <c r="B783" s="205" t="str">
        <f t="shared" si="2"/>
        <v/>
      </c>
      <c r="C783" s="206" t="str">
        <f t="shared" si="3"/>
        <v/>
      </c>
      <c r="D783" s="207" t="str">
        <f t="shared" si="0"/>
        <v/>
      </c>
      <c r="E783" s="207"/>
      <c r="F783" s="205" t="str">
        <f>IF(E783="","",VLOOKUP(E783,'ARAMA LİSTELERİ'!C783:G2822,5,))</f>
        <v/>
      </c>
      <c r="G783" s="207"/>
      <c r="H783" s="210"/>
      <c r="I783" s="79"/>
      <c r="J783" s="210"/>
      <c r="K783" s="210"/>
      <c r="L783" s="210" t="str">
        <f t="shared" si="1"/>
        <v/>
      </c>
      <c r="M783" s="79"/>
      <c r="N783" s="207"/>
      <c r="O783" s="207"/>
      <c r="P783" s="207"/>
      <c r="Q783" s="207"/>
    </row>
    <row r="784" spans="1:17" ht="34.5" customHeight="1">
      <c r="A784" s="82"/>
      <c r="B784" s="205" t="str">
        <f t="shared" si="2"/>
        <v/>
      </c>
      <c r="C784" s="206" t="str">
        <f t="shared" si="3"/>
        <v/>
      </c>
      <c r="D784" s="207" t="str">
        <f t="shared" si="0"/>
        <v/>
      </c>
      <c r="E784" s="207"/>
      <c r="F784" s="205" t="str">
        <f>IF(E784="","",VLOOKUP(E784,'ARAMA LİSTELERİ'!C784:G2823,5,))</f>
        <v/>
      </c>
      <c r="G784" s="207"/>
      <c r="H784" s="210"/>
      <c r="I784" s="79"/>
      <c r="J784" s="210"/>
      <c r="K784" s="210"/>
      <c r="L784" s="210" t="str">
        <f t="shared" si="1"/>
        <v/>
      </c>
      <c r="M784" s="79"/>
      <c r="N784" s="207"/>
      <c r="O784" s="207"/>
      <c r="P784" s="207"/>
      <c r="Q784" s="207"/>
    </row>
    <row r="785" spans="1:17" ht="34.5" customHeight="1">
      <c r="A785" s="82"/>
      <c r="B785" s="205" t="str">
        <f t="shared" si="2"/>
        <v/>
      </c>
      <c r="C785" s="206" t="str">
        <f t="shared" si="3"/>
        <v/>
      </c>
      <c r="D785" s="207" t="str">
        <f t="shared" si="0"/>
        <v/>
      </c>
      <c r="E785" s="207"/>
      <c r="F785" s="205" t="str">
        <f>IF(E785="","",VLOOKUP(E785,'ARAMA LİSTELERİ'!C785:G2824,5,))</f>
        <v/>
      </c>
      <c r="G785" s="207"/>
      <c r="H785" s="210"/>
      <c r="I785" s="79"/>
      <c r="J785" s="210"/>
      <c r="K785" s="210"/>
      <c r="L785" s="210" t="str">
        <f t="shared" si="1"/>
        <v/>
      </c>
      <c r="M785" s="79"/>
      <c r="N785" s="207"/>
      <c r="O785" s="207"/>
      <c r="P785" s="207"/>
      <c r="Q785" s="207"/>
    </row>
    <row r="786" spans="1:17" ht="34.5" customHeight="1">
      <c r="A786" s="82"/>
      <c r="B786" s="205" t="str">
        <f t="shared" si="2"/>
        <v/>
      </c>
      <c r="C786" s="206" t="str">
        <f t="shared" si="3"/>
        <v/>
      </c>
      <c r="D786" s="207" t="str">
        <f t="shared" si="0"/>
        <v/>
      </c>
      <c r="E786" s="207"/>
      <c r="F786" s="205" t="str">
        <f>IF(E786="","",VLOOKUP(E786,'ARAMA LİSTELERİ'!C786:G2825,5,))</f>
        <v/>
      </c>
      <c r="G786" s="207"/>
      <c r="H786" s="210"/>
      <c r="I786" s="79"/>
      <c r="J786" s="210"/>
      <c r="K786" s="210"/>
      <c r="L786" s="210" t="str">
        <f t="shared" si="1"/>
        <v/>
      </c>
      <c r="M786" s="79"/>
      <c r="N786" s="207"/>
      <c r="O786" s="207"/>
      <c r="P786" s="207"/>
      <c r="Q786" s="207"/>
    </row>
    <row r="787" spans="1:17" ht="34.5" customHeight="1">
      <c r="A787" s="82"/>
      <c r="B787" s="205" t="str">
        <f t="shared" si="2"/>
        <v/>
      </c>
      <c r="C787" s="206" t="str">
        <f t="shared" si="3"/>
        <v/>
      </c>
      <c r="D787" s="207" t="str">
        <f t="shared" si="0"/>
        <v/>
      </c>
      <c r="E787" s="207"/>
      <c r="F787" s="205" t="str">
        <f>IF(E787="","",VLOOKUP(E787,'ARAMA LİSTELERİ'!C787:G2826,5,))</f>
        <v/>
      </c>
      <c r="G787" s="207"/>
      <c r="H787" s="210"/>
      <c r="I787" s="79"/>
      <c r="J787" s="210"/>
      <c r="K787" s="210"/>
      <c r="L787" s="210" t="str">
        <f t="shared" si="1"/>
        <v/>
      </c>
      <c r="M787" s="79"/>
      <c r="N787" s="207"/>
      <c r="O787" s="207"/>
      <c r="P787" s="207"/>
      <c r="Q787" s="207"/>
    </row>
    <row r="788" spans="1:17" ht="34.5" customHeight="1">
      <c r="A788" s="82"/>
      <c r="B788" s="205" t="str">
        <f t="shared" si="2"/>
        <v/>
      </c>
      <c r="C788" s="206" t="str">
        <f t="shared" si="3"/>
        <v/>
      </c>
      <c r="D788" s="207" t="str">
        <f t="shared" si="0"/>
        <v/>
      </c>
      <c r="E788" s="207"/>
      <c r="F788" s="205" t="str">
        <f>IF(E788="","",VLOOKUP(E788,'ARAMA LİSTELERİ'!C788:G2827,5,))</f>
        <v/>
      </c>
      <c r="G788" s="207"/>
      <c r="H788" s="210"/>
      <c r="I788" s="79"/>
      <c r="J788" s="210"/>
      <c r="K788" s="210"/>
      <c r="L788" s="210" t="str">
        <f t="shared" si="1"/>
        <v/>
      </c>
      <c r="M788" s="79"/>
      <c r="N788" s="207"/>
      <c r="O788" s="207"/>
      <c r="P788" s="207"/>
      <c r="Q788" s="207"/>
    </row>
    <row r="789" spans="1:17" ht="34.5" customHeight="1">
      <c r="A789" s="82"/>
      <c r="B789" s="205" t="str">
        <f t="shared" si="2"/>
        <v/>
      </c>
      <c r="C789" s="206" t="str">
        <f t="shared" si="3"/>
        <v/>
      </c>
      <c r="D789" s="207" t="str">
        <f t="shared" si="0"/>
        <v/>
      </c>
      <c r="E789" s="207"/>
      <c r="F789" s="205" t="str">
        <f>IF(E789="","",VLOOKUP(E789,'ARAMA LİSTELERİ'!C789:G2828,5,))</f>
        <v/>
      </c>
      <c r="G789" s="207"/>
      <c r="H789" s="210"/>
      <c r="I789" s="79"/>
      <c r="J789" s="210"/>
      <c r="K789" s="210"/>
      <c r="L789" s="210" t="str">
        <f t="shared" si="1"/>
        <v/>
      </c>
      <c r="M789" s="79"/>
      <c r="N789" s="207"/>
      <c r="O789" s="207"/>
      <c r="P789" s="207"/>
      <c r="Q789" s="207"/>
    </row>
    <row r="790" spans="1:17" ht="34.5" customHeight="1">
      <c r="A790" s="82"/>
      <c r="B790" s="205" t="str">
        <f t="shared" si="2"/>
        <v/>
      </c>
      <c r="C790" s="206" t="str">
        <f t="shared" si="3"/>
        <v/>
      </c>
      <c r="D790" s="207" t="str">
        <f t="shared" si="0"/>
        <v/>
      </c>
      <c r="E790" s="207"/>
      <c r="F790" s="205" t="str">
        <f>IF(E790="","",VLOOKUP(E790,'ARAMA LİSTELERİ'!C790:G2829,5,))</f>
        <v/>
      </c>
      <c r="G790" s="207"/>
      <c r="H790" s="210"/>
      <c r="I790" s="79"/>
      <c r="J790" s="210"/>
      <c r="K790" s="210"/>
      <c r="L790" s="210" t="str">
        <f t="shared" si="1"/>
        <v/>
      </c>
      <c r="M790" s="79"/>
      <c r="N790" s="207"/>
      <c r="O790" s="207"/>
      <c r="P790" s="207"/>
      <c r="Q790" s="207"/>
    </row>
    <row r="791" spans="1:17" ht="34.5" customHeight="1">
      <c r="A791" s="82"/>
      <c r="B791" s="205" t="str">
        <f t="shared" si="2"/>
        <v/>
      </c>
      <c r="C791" s="206" t="str">
        <f t="shared" si="3"/>
        <v/>
      </c>
      <c r="D791" s="207" t="str">
        <f t="shared" si="0"/>
        <v/>
      </c>
      <c r="E791" s="207"/>
      <c r="F791" s="205" t="str">
        <f>IF(E791="","",VLOOKUP(E791,'ARAMA LİSTELERİ'!C791:G2830,5,))</f>
        <v/>
      </c>
      <c r="G791" s="207"/>
      <c r="H791" s="210"/>
      <c r="I791" s="79"/>
      <c r="J791" s="210"/>
      <c r="K791" s="210"/>
      <c r="L791" s="210" t="str">
        <f t="shared" si="1"/>
        <v/>
      </c>
      <c r="M791" s="79"/>
      <c r="N791" s="207"/>
      <c r="O791" s="207"/>
      <c r="P791" s="207"/>
      <c r="Q791" s="207"/>
    </row>
    <row r="792" spans="1:17" ht="34.5" customHeight="1">
      <c r="A792" s="82"/>
      <c r="B792" s="205" t="str">
        <f t="shared" si="2"/>
        <v/>
      </c>
      <c r="C792" s="206" t="str">
        <f t="shared" si="3"/>
        <v/>
      </c>
      <c r="D792" s="207" t="str">
        <f t="shared" si="0"/>
        <v/>
      </c>
      <c r="E792" s="207"/>
      <c r="F792" s="205" t="str">
        <f>IF(E792="","",VLOOKUP(E792,'ARAMA LİSTELERİ'!C792:G2831,5,))</f>
        <v/>
      </c>
      <c r="G792" s="207"/>
      <c r="H792" s="210"/>
      <c r="I792" s="79"/>
      <c r="J792" s="210"/>
      <c r="K792" s="210"/>
      <c r="L792" s="210" t="str">
        <f t="shared" si="1"/>
        <v/>
      </c>
      <c r="M792" s="79"/>
      <c r="N792" s="207"/>
      <c r="O792" s="207"/>
      <c r="P792" s="207"/>
      <c r="Q792" s="207"/>
    </row>
    <row r="793" spans="1:17" ht="34.5" customHeight="1">
      <c r="A793" s="82"/>
      <c r="B793" s="205" t="str">
        <f t="shared" si="2"/>
        <v/>
      </c>
      <c r="C793" s="206" t="str">
        <f t="shared" si="3"/>
        <v/>
      </c>
      <c r="D793" s="207" t="str">
        <f t="shared" si="0"/>
        <v/>
      </c>
      <c r="E793" s="207"/>
      <c r="F793" s="205" t="str">
        <f>IF(E793="","",VLOOKUP(E793,'ARAMA LİSTELERİ'!C793:G2832,5,))</f>
        <v/>
      </c>
      <c r="G793" s="207"/>
      <c r="H793" s="210"/>
      <c r="I793" s="79"/>
      <c r="J793" s="210"/>
      <c r="K793" s="210"/>
      <c r="L793" s="210" t="str">
        <f t="shared" si="1"/>
        <v/>
      </c>
      <c r="M793" s="79"/>
      <c r="N793" s="207"/>
      <c r="O793" s="207"/>
      <c r="P793" s="207"/>
      <c r="Q793" s="207"/>
    </row>
    <row r="794" spans="1:17" ht="34.5" customHeight="1">
      <c r="A794" s="82"/>
      <c r="B794" s="205" t="str">
        <f t="shared" si="2"/>
        <v/>
      </c>
      <c r="C794" s="206" t="str">
        <f t="shared" si="3"/>
        <v/>
      </c>
      <c r="D794" s="207" t="str">
        <f t="shared" si="0"/>
        <v/>
      </c>
      <c r="E794" s="207"/>
      <c r="F794" s="205" t="str">
        <f>IF(E794="","",VLOOKUP(E794,'ARAMA LİSTELERİ'!C794:G2833,5,))</f>
        <v/>
      </c>
      <c r="G794" s="207"/>
      <c r="H794" s="210"/>
      <c r="I794" s="79"/>
      <c r="J794" s="210"/>
      <c r="K794" s="210"/>
      <c r="L794" s="210" t="str">
        <f t="shared" si="1"/>
        <v/>
      </c>
      <c r="M794" s="79"/>
      <c r="N794" s="207"/>
      <c r="O794" s="207"/>
      <c r="P794" s="207"/>
      <c r="Q794" s="207"/>
    </row>
    <row r="795" spans="1:17" ht="34.5" customHeight="1">
      <c r="A795" s="82"/>
      <c r="B795" s="205" t="str">
        <f t="shared" si="2"/>
        <v/>
      </c>
      <c r="C795" s="206" t="str">
        <f t="shared" si="3"/>
        <v/>
      </c>
      <c r="D795" s="207" t="str">
        <f t="shared" si="0"/>
        <v/>
      </c>
      <c r="E795" s="207"/>
      <c r="F795" s="205" t="str">
        <f>IF(E795="","",VLOOKUP(E795,'ARAMA LİSTELERİ'!C795:G2834,5,))</f>
        <v/>
      </c>
      <c r="G795" s="207"/>
      <c r="H795" s="210"/>
      <c r="I795" s="79"/>
      <c r="J795" s="210"/>
      <c r="K795" s="210"/>
      <c r="L795" s="210" t="str">
        <f t="shared" si="1"/>
        <v/>
      </c>
      <c r="M795" s="79"/>
      <c r="N795" s="207"/>
      <c r="O795" s="207"/>
      <c r="P795" s="207"/>
      <c r="Q795" s="207"/>
    </row>
    <row r="796" spans="1:17" ht="34.5" customHeight="1">
      <c r="A796" s="82"/>
      <c r="B796" s="205" t="str">
        <f t="shared" si="2"/>
        <v/>
      </c>
      <c r="C796" s="206" t="str">
        <f t="shared" si="3"/>
        <v/>
      </c>
      <c r="D796" s="207" t="str">
        <f t="shared" si="0"/>
        <v/>
      </c>
      <c r="E796" s="207"/>
      <c r="F796" s="205" t="str">
        <f>IF(E796="","",VLOOKUP(E796,'ARAMA LİSTELERİ'!C796:G2835,5,))</f>
        <v/>
      </c>
      <c r="G796" s="207"/>
      <c r="H796" s="210"/>
      <c r="I796" s="79"/>
      <c r="J796" s="210"/>
      <c r="K796" s="210"/>
      <c r="L796" s="210" t="str">
        <f t="shared" si="1"/>
        <v/>
      </c>
      <c r="M796" s="79"/>
      <c r="N796" s="207"/>
      <c r="O796" s="207"/>
      <c r="P796" s="207"/>
      <c r="Q796" s="207"/>
    </row>
    <row r="797" spans="1:17" ht="34.5" customHeight="1">
      <c r="A797" s="82"/>
      <c r="B797" s="205" t="str">
        <f t="shared" si="2"/>
        <v/>
      </c>
      <c r="C797" s="206" t="str">
        <f t="shared" si="3"/>
        <v/>
      </c>
      <c r="D797" s="207" t="str">
        <f t="shared" si="0"/>
        <v/>
      </c>
      <c r="E797" s="207"/>
      <c r="F797" s="205" t="str">
        <f>IF(E797="","",VLOOKUP(E797,'ARAMA LİSTELERİ'!C797:G2836,5,))</f>
        <v/>
      </c>
      <c r="G797" s="207"/>
      <c r="H797" s="210"/>
      <c r="I797" s="79"/>
      <c r="J797" s="210"/>
      <c r="K797" s="210"/>
      <c r="L797" s="210" t="str">
        <f t="shared" si="1"/>
        <v/>
      </c>
      <c r="M797" s="79"/>
      <c r="N797" s="207"/>
      <c r="O797" s="207"/>
      <c r="P797" s="207"/>
      <c r="Q797" s="207"/>
    </row>
    <row r="798" spans="1:17" ht="34.5" customHeight="1">
      <c r="A798" s="82"/>
      <c r="B798" s="205" t="str">
        <f t="shared" si="2"/>
        <v/>
      </c>
      <c r="C798" s="206" t="str">
        <f t="shared" si="3"/>
        <v/>
      </c>
      <c r="D798" s="207" t="str">
        <f t="shared" si="0"/>
        <v/>
      </c>
      <c r="E798" s="207"/>
      <c r="F798" s="205" t="str">
        <f>IF(E798="","",VLOOKUP(E798,'ARAMA LİSTELERİ'!C798:G2837,5,))</f>
        <v/>
      </c>
      <c r="G798" s="207"/>
      <c r="H798" s="210"/>
      <c r="I798" s="79"/>
      <c r="J798" s="210"/>
      <c r="K798" s="210"/>
      <c r="L798" s="210" t="str">
        <f t="shared" si="1"/>
        <v/>
      </c>
      <c r="M798" s="79"/>
      <c r="N798" s="207"/>
      <c r="O798" s="207"/>
      <c r="P798" s="207"/>
      <c r="Q798" s="207"/>
    </row>
    <row r="799" spans="1:17" ht="34.5" customHeight="1">
      <c r="A799" s="82"/>
      <c r="B799" s="205" t="str">
        <f t="shared" si="2"/>
        <v/>
      </c>
      <c r="C799" s="206" t="str">
        <f t="shared" si="3"/>
        <v/>
      </c>
      <c r="D799" s="207" t="str">
        <f t="shared" si="0"/>
        <v/>
      </c>
      <c r="E799" s="207"/>
      <c r="F799" s="205" t="str">
        <f>IF(E799="","",VLOOKUP(E799,'ARAMA LİSTELERİ'!C799:G2838,5,))</f>
        <v/>
      </c>
      <c r="G799" s="207"/>
      <c r="H799" s="210"/>
      <c r="I799" s="79"/>
      <c r="J799" s="210"/>
      <c r="K799" s="210"/>
      <c r="L799" s="210" t="str">
        <f t="shared" si="1"/>
        <v/>
      </c>
      <c r="M799" s="79"/>
      <c r="N799" s="207"/>
      <c r="O799" s="207"/>
      <c r="P799" s="207"/>
      <c r="Q799" s="207"/>
    </row>
    <row r="800" spans="1:17" ht="34.5" customHeight="1">
      <c r="A800" s="82"/>
      <c r="B800" s="205" t="str">
        <f t="shared" si="2"/>
        <v/>
      </c>
      <c r="C800" s="206" t="str">
        <f t="shared" si="3"/>
        <v/>
      </c>
      <c r="D800" s="207" t="str">
        <f t="shared" si="0"/>
        <v/>
      </c>
      <c r="E800" s="207"/>
      <c r="F800" s="205" t="str">
        <f>IF(E800="","",VLOOKUP(E800,'ARAMA LİSTELERİ'!C800:G2839,5,))</f>
        <v/>
      </c>
      <c r="G800" s="207"/>
      <c r="H800" s="210"/>
      <c r="I800" s="79"/>
      <c r="J800" s="210"/>
      <c r="K800" s="210"/>
      <c r="L800" s="210" t="str">
        <f t="shared" si="1"/>
        <v/>
      </c>
      <c r="M800" s="79"/>
      <c r="N800" s="207"/>
      <c r="O800" s="207"/>
      <c r="P800" s="207"/>
      <c r="Q800" s="207"/>
    </row>
    <row r="801" spans="1:17" ht="34.5" customHeight="1">
      <c r="A801" s="82"/>
      <c r="B801" s="205" t="str">
        <f t="shared" si="2"/>
        <v/>
      </c>
      <c r="C801" s="206" t="str">
        <f t="shared" si="3"/>
        <v/>
      </c>
      <c r="D801" s="207" t="str">
        <f t="shared" si="0"/>
        <v/>
      </c>
      <c r="E801" s="207"/>
      <c r="F801" s="205" t="str">
        <f>IF(E801="","",VLOOKUP(E801,'ARAMA LİSTELERİ'!C801:G2840,5,))</f>
        <v/>
      </c>
      <c r="G801" s="207"/>
      <c r="H801" s="210"/>
      <c r="I801" s="79"/>
      <c r="J801" s="210"/>
      <c r="K801" s="210"/>
      <c r="L801" s="210" t="str">
        <f t="shared" si="1"/>
        <v/>
      </c>
      <c r="M801" s="79"/>
      <c r="N801" s="207"/>
      <c r="O801" s="207"/>
      <c r="P801" s="207"/>
      <c r="Q801" s="207"/>
    </row>
    <row r="802" spans="1:17" ht="34.5" customHeight="1">
      <c r="A802" s="82"/>
      <c r="B802" s="205" t="str">
        <f t="shared" si="2"/>
        <v/>
      </c>
      <c r="C802" s="206" t="str">
        <f t="shared" si="3"/>
        <v/>
      </c>
      <c r="D802" s="207" t="str">
        <f t="shared" si="0"/>
        <v/>
      </c>
      <c r="E802" s="207"/>
      <c r="F802" s="205" t="str">
        <f>IF(E802="","",VLOOKUP(E802,'ARAMA LİSTELERİ'!C802:G2841,5,))</f>
        <v/>
      </c>
      <c r="G802" s="207"/>
      <c r="H802" s="210"/>
      <c r="I802" s="79"/>
      <c r="J802" s="210"/>
      <c r="K802" s="210"/>
      <c r="L802" s="210" t="str">
        <f t="shared" si="1"/>
        <v/>
      </c>
      <c r="M802" s="79"/>
      <c r="N802" s="207"/>
      <c r="O802" s="207"/>
      <c r="P802" s="207"/>
      <c r="Q802" s="207"/>
    </row>
    <row r="803" spans="1:17" ht="34.5" customHeight="1">
      <c r="A803" s="82"/>
      <c r="B803" s="205" t="str">
        <f t="shared" si="2"/>
        <v/>
      </c>
      <c r="C803" s="206" t="str">
        <f t="shared" si="3"/>
        <v/>
      </c>
      <c r="D803" s="207" t="str">
        <f t="shared" si="0"/>
        <v/>
      </c>
      <c r="E803" s="207"/>
      <c r="F803" s="205" t="str">
        <f>IF(E803="","",VLOOKUP(E803,'ARAMA LİSTELERİ'!C803:G2842,5,))</f>
        <v/>
      </c>
      <c r="G803" s="207"/>
      <c r="H803" s="210"/>
      <c r="I803" s="79"/>
      <c r="J803" s="210"/>
      <c r="K803" s="210"/>
      <c r="L803" s="210" t="str">
        <f t="shared" si="1"/>
        <v/>
      </c>
      <c r="M803" s="79"/>
      <c r="N803" s="207"/>
      <c r="O803" s="207"/>
      <c r="P803" s="207"/>
      <c r="Q803" s="207"/>
    </row>
    <row r="804" spans="1:17" ht="34.5" customHeight="1">
      <c r="A804" s="82"/>
      <c r="B804" s="205" t="str">
        <f t="shared" si="2"/>
        <v/>
      </c>
      <c r="C804" s="206" t="str">
        <f t="shared" si="3"/>
        <v/>
      </c>
      <c r="D804" s="207" t="str">
        <f t="shared" si="0"/>
        <v/>
      </c>
      <c r="E804" s="207"/>
      <c r="F804" s="205" t="str">
        <f>IF(E804="","",VLOOKUP(E804,'ARAMA LİSTELERİ'!C804:G2843,5,))</f>
        <v/>
      </c>
      <c r="G804" s="207"/>
      <c r="H804" s="210"/>
      <c r="I804" s="79"/>
      <c r="J804" s="210"/>
      <c r="K804" s="210"/>
      <c r="L804" s="210" t="str">
        <f t="shared" si="1"/>
        <v/>
      </c>
      <c r="M804" s="79"/>
      <c r="N804" s="207"/>
      <c r="O804" s="207"/>
      <c r="P804" s="207"/>
      <c r="Q804" s="207"/>
    </row>
    <row r="805" spans="1:17" ht="34.5" customHeight="1">
      <c r="A805" s="82"/>
      <c r="B805" s="205" t="str">
        <f t="shared" si="2"/>
        <v/>
      </c>
      <c r="C805" s="206" t="str">
        <f t="shared" si="3"/>
        <v/>
      </c>
      <c r="D805" s="207" t="str">
        <f t="shared" si="0"/>
        <v/>
      </c>
      <c r="E805" s="207"/>
      <c r="F805" s="205" t="str">
        <f>IF(E805="","",VLOOKUP(E805,'ARAMA LİSTELERİ'!C805:G2844,5,))</f>
        <v/>
      </c>
      <c r="G805" s="207"/>
      <c r="H805" s="210"/>
      <c r="I805" s="79"/>
      <c r="J805" s="210"/>
      <c r="K805" s="210"/>
      <c r="L805" s="210" t="str">
        <f t="shared" si="1"/>
        <v/>
      </c>
      <c r="M805" s="79"/>
      <c r="N805" s="207"/>
      <c r="O805" s="207"/>
      <c r="P805" s="207"/>
      <c r="Q805" s="207"/>
    </row>
    <row r="806" spans="1:17" ht="34.5" customHeight="1">
      <c r="A806" s="82"/>
      <c r="B806" s="205" t="str">
        <f t="shared" si="2"/>
        <v/>
      </c>
      <c r="C806" s="206" t="str">
        <f t="shared" si="3"/>
        <v/>
      </c>
      <c r="D806" s="207" t="str">
        <f t="shared" si="0"/>
        <v/>
      </c>
      <c r="E806" s="207"/>
      <c r="F806" s="205" t="str">
        <f>IF(E806="","",VLOOKUP(E806,'ARAMA LİSTELERİ'!C806:G2845,5,))</f>
        <v/>
      </c>
      <c r="G806" s="207"/>
      <c r="H806" s="210"/>
      <c r="I806" s="79"/>
      <c r="J806" s="210"/>
      <c r="K806" s="210"/>
      <c r="L806" s="210" t="str">
        <f t="shared" si="1"/>
        <v/>
      </c>
      <c r="M806" s="79"/>
      <c r="N806" s="207"/>
      <c r="O806" s="207"/>
      <c r="P806" s="207"/>
      <c r="Q806" s="207"/>
    </row>
    <row r="807" spans="1:17" ht="34.5" customHeight="1">
      <c r="A807" s="82"/>
      <c r="B807" s="205" t="str">
        <f t="shared" si="2"/>
        <v/>
      </c>
      <c r="C807" s="206" t="str">
        <f t="shared" si="3"/>
        <v/>
      </c>
      <c r="D807" s="207" t="str">
        <f t="shared" si="0"/>
        <v/>
      </c>
      <c r="E807" s="207"/>
      <c r="F807" s="205" t="str">
        <f>IF(E807="","",VLOOKUP(E807,'ARAMA LİSTELERİ'!C807:G2846,5,))</f>
        <v/>
      </c>
      <c r="G807" s="207"/>
      <c r="H807" s="210"/>
      <c r="I807" s="79"/>
      <c r="J807" s="210"/>
      <c r="K807" s="210"/>
      <c r="L807" s="210" t="str">
        <f t="shared" si="1"/>
        <v/>
      </c>
      <c r="M807" s="79"/>
      <c r="N807" s="207"/>
      <c r="O807" s="207"/>
      <c r="P807" s="207"/>
      <c r="Q807" s="207"/>
    </row>
    <row r="808" spans="1:17" ht="34.5" customHeight="1">
      <c r="A808" s="82"/>
      <c r="B808" s="205" t="str">
        <f t="shared" si="2"/>
        <v/>
      </c>
      <c r="C808" s="206" t="str">
        <f t="shared" si="3"/>
        <v/>
      </c>
      <c r="D808" s="207" t="str">
        <f t="shared" si="0"/>
        <v/>
      </c>
      <c r="E808" s="207"/>
      <c r="F808" s="205" t="str">
        <f>IF(E808="","",VLOOKUP(E808,'ARAMA LİSTELERİ'!C808:G2847,5,))</f>
        <v/>
      </c>
      <c r="G808" s="207"/>
      <c r="H808" s="210"/>
      <c r="I808" s="79"/>
      <c r="J808" s="210"/>
      <c r="K808" s="210"/>
      <c r="L808" s="210" t="str">
        <f t="shared" si="1"/>
        <v/>
      </c>
      <c r="M808" s="79"/>
      <c r="N808" s="207"/>
      <c r="O808" s="207"/>
      <c r="P808" s="207"/>
      <c r="Q808" s="207"/>
    </row>
    <row r="809" spans="1:17" ht="34.5" customHeight="1">
      <c r="A809" s="82"/>
      <c r="B809" s="205" t="str">
        <f t="shared" si="2"/>
        <v/>
      </c>
      <c r="C809" s="206" t="str">
        <f t="shared" si="3"/>
        <v/>
      </c>
      <c r="D809" s="207" t="str">
        <f t="shared" si="0"/>
        <v/>
      </c>
      <c r="E809" s="207"/>
      <c r="F809" s="205" t="str">
        <f>IF(E809="","",VLOOKUP(E809,'ARAMA LİSTELERİ'!C809:G2848,5,))</f>
        <v/>
      </c>
      <c r="G809" s="207"/>
      <c r="H809" s="210"/>
      <c r="I809" s="79"/>
      <c r="J809" s="210"/>
      <c r="K809" s="210"/>
      <c r="L809" s="210" t="str">
        <f t="shared" si="1"/>
        <v/>
      </c>
      <c r="M809" s="79"/>
      <c r="N809" s="207"/>
      <c r="O809" s="207"/>
      <c r="P809" s="207"/>
      <c r="Q809" s="207"/>
    </row>
    <row r="810" spans="1:17" ht="34.5" customHeight="1">
      <c r="A810" s="82"/>
      <c r="B810" s="205" t="str">
        <f t="shared" si="2"/>
        <v/>
      </c>
      <c r="C810" s="206" t="str">
        <f t="shared" si="3"/>
        <v/>
      </c>
      <c r="D810" s="207" t="str">
        <f t="shared" si="0"/>
        <v/>
      </c>
      <c r="E810" s="207"/>
      <c r="F810" s="205" t="str">
        <f>IF(E810="","",VLOOKUP(E810,'ARAMA LİSTELERİ'!C810:G2849,5,))</f>
        <v/>
      </c>
      <c r="G810" s="207"/>
      <c r="H810" s="210"/>
      <c r="I810" s="79"/>
      <c r="J810" s="210"/>
      <c r="K810" s="210"/>
      <c r="L810" s="210" t="str">
        <f t="shared" si="1"/>
        <v/>
      </c>
      <c r="M810" s="79"/>
      <c r="N810" s="207"/>
      <c r="O810" s="207"/>
      <c r="P810" s="207"/>
      <c r="Q810" s="207"/>
    </row>
    <row r="811" spans="1:17" ht="34.5" customHeight="1">
      <c r="A811" s="82"/>
      <c r="B811" s="205" t="str">
        <f t="shared" si="2"/>
        <v/>
      </c>
      <c r="C811" s="206" t="str">
        <f t="shared" si="3"/>
        <v/>
      </c>
      <c r="D811" s="207" t="str">
        <f t="shared" si="0"/>
        <v/>
      </c>
      <c r="E811" s="207"/>
      <c r="F811" s="205" t="str">
        <f>IF(E811="","",VLOOKUP(E811,'ARAMA LİSTELERİ'!C811:G2850,5,))</f>
        <v/>
      </c>
      <c r="G811" s="207"/>
      <c r="H811" s="210"/>
      <c r="I811" s="79"/>
      <c r="J811" s="210"/>
      <c r="K811" s="210"/>
      <c r="L811" s="210" t="str">
        <f t="shared" si="1"/>
        <v/>
      </c>
      <c r="M811" s="79"/>
      <c r="N811" s="207"/>
      <c r="O811" s="207"/>
      <c r="P811" s="207"/>
      <c r="Q811" s="207"/>
    </row>
    <row r="812" spans="1:17" ht="34.5" customHeight="1">
      <c r="A812" s="82"/>
      <c r="B812" s="205" t="str">
        <f t="shared" si="2"/>
        <v/>
      </c>
      <c r="C812" s="206" t="str">
        <f t="shared" si="3"/>
        <v/>
      </c>
      <c r="D812" s="207" t="str">
        <f t="shared" si="0"/>
        <v/>
      </c>
      <c r="E812" s="207"/>
      <c r="F812" s="205" t="str">
        <f>IF(E812="","",VLOOKUP(E812,'ARAMA LİSTELERİ'!C812:G2851,5,))</f>
        <v/>
      </c>
      <c r="G812" s="207"/>
      <c r="H812" s="210"/>
      <c r="I812" s="79"/>
      <c r="J812" s="210"/>
      <c r="K812" s="210"/>
      <c r="L812" s="210" t="str">
        <f t="shared" si="1"/>
        <v/>
      </c>
      <c r="M812" s="79"/>
      <c r="N812" s="207"/>
      <c r="O812" s="207"/>
      <c r="P812" s="207"/>
      <c r="Q812" s="207"/>
    </row>
    <row r="813" spans="1:17" ht="34.5" customHeight="1">
      <c r="A813" s="82"/>
      <c r="B813" s="205" t="str">
        <f t="shared" si="2"/>
        <v/>
      </c>
      <c r="C813" s="206" t="str">
        <f t="shared" si="3"/>
        <v/>
      </c>
      <c r="D813" s="207" t="str">
        <f t="shared" si="0"/>
        <v/>
      </c>
      <c r="E813" s="207"/>
      <c r="F813" s="205" t="str">
        <f>IF(E813="","",VLOOKUP(E813,'ARAMA LİSTELERİ'!C813:G2852,5,))</f>
        <v/>
      </c>
      <c r="G813" s="207"/>
      <c r="H813" s="210"/>
      <c r="I813" s="79"/>
      <c r="J813" s="210"/>
      <c r="K813" s="210"/>
      <c r="L813" s="210" t="str">
        <f t="shared" si="1"/>
        <v/>
      </c>
      <c r="M813" s="79"/>
      <c r="N813" s="207"/>
      <c r="O813" s="207"/>
      <c r="P813" s="207"/>
      <c r="Q813" s="207"/>
    </row>
    <row r="814" spans="1:17" ht="34.5" customHeight="1">
      <c r="A814" s="82"/>
      <c r="B814" s="205" t="str">
        <f t="shared" si="2"/>
        <v/>
      </c>
      <c r="C814" s="206" t="str">
        <f t="shared" si="3"/>
        <v/>
      </c>
      <c r="D814" s="207" t="str">
        <f t="shared" si="0"/>
        <v/>
      </c>
      <c r="E814" s="207"/>
      <c r="F814" s="205" t="str">
        <f>IF(E814="","",VLOOKUP(E814,'ARAMA LİSTELERİ'!C814:G2853,5,))</f>
        <v/>
      </c>
      <c r="G814" s="207"/>
      <c r="H814" s="210"/>
      <c r="I814" s="79"/>
      <c r="J814" s="210"/>
      <c r="K814" s="210"/>
      <c r="L814" s="210" t="str">
        <f t="shared" si="1"/>
        <v/>
      </c>
      <c r="M814" s="79"/>
      <c r="N814" s="207"/>
      <c r="O814" s="207"/>
      <c r="P814" s="207"/>
      <c r="Q814" s="207"/>
    </row>
    <row r="815" spans="1:17" ht="34.5" customHeight="1">
      <c r="A815" s="82"/>
      <c r="B815" s="205" t="str">
        <f t="shared" si="2"/>
        <v/>
      </c>
      <c r="C815" s="206" t="str">
        <f t="shared" si="3"/>
        <v/>
      </c>
      <c r="D815" s="207" t="str">
        <f t="shared" si="0"/>
        <v/>
      </c>
      <c r="E815" s="207"/>
      <c r="F815" s="205" t="str">
        <f>IF(E815="","",VLOOKUP(E815,'ARAMA LİSTELERİ'!C815:G2854,5,))</f>
        <v/>
      </c>
      <c r="G815" s="207"/>
      <c r="H815" s="210"/>
      <c r="I815" s="79"/>
      <c r="J815" s="210"/>
      <c r="K815" s="210"/>
      <c r="L815" s="210" t="str">
        <f t="shared" si="1"/>
        <v/>
      </c>
      <c r="M815" s="79"/>
      <c r="N815" s="207"/>
      <c r="O815" s="207"/>
      <c r="P815" s="207"/>
      <c r="Q815" s="207"/>
    </row>
    <row r="816" spans="1:17" ht="34.5" customHeight="1">
      <c r="A816" s="82"/>
      <c r="B816" s="205" t="str">
        <f t="shared" si="2"/>
        <v/>
      </c>
      <c r="C816" s="206" t="str">
        <f t="shared" si="3"/>
        <v/>
      </c>
      <c r="D816" s="207" t="str">
        <f t="shared" si="0"/>
        <v/>
      </c>
      <c r="E816" s="207"/>
      <c r="F816" s="205" t="str">
        <f>IF(E816="","",VLOOKUP(E816,'ARAMA LİSTELERİ'!C816:G2855,5,))</f>
        <v/>
      </c>
      <c r="G816" s="207"/>
      <c r="H816" s="210"/>
      <c r="I816" s="79"/>
      <c r="J816" s="210"/>
      <c r="K816" s="210"/>
      <c r="L816" s="210" t="str">
        <f t="shared" si="1"/>
        <v/>
      </c>
      <c r="M816" s="79"/>
      <c r="N816" s="207"/>
      <c r="O816" s="207"/>
      <c r="P816" s="207"/>
      <c r="Q816" s="207"/>
    </row>
    <row r="817" spans="1:17" ht="34.5" customHeight="1">
      <c r="A817" s="82"/>
      <c r="B817" s="205" t="str">
        <f t="shared" si="2"/>
        <v/>
      </c>
      <c r="C817" s="206" t="str">
        <f t="shared" si="3"/>
        <v/>
      </c>
      <c r="D817" s="207" t="str">
        <f t="shared" si="0"/>
        <v/>
      </c>
      <c r="E817" s="207"/>
      <c r="F817" s="205" t="str">
        <f>IF(E817="","",VLOOKUP(E817,'ARAMA LİSTELERİ'!C817:G2856,5,))</f>
        <v/>
      </c>
      <c r="G817" s="207"/>
      <c r="H817" s="210"/>
      <c r="I817" s="79"/>
      <c r="J817" s="210"/>
      <c r="K817" s="210"/>
      <c r="L817" s="210" t="str">
        <f t="shared" si="1"/>
        <v/>
      </c>
      <c r="M817" s="79"/>
      <c r="N817" s="207"/>
      <c r="O817" s="207"/>
      <c r="P817" s="207"/>
      <c r="Q817" s="207"/>
    </row>
    <row r="818" spans="1:17" ht="34.5" customHeight="1">
      <c r="A818" s="82"/>
      <c r="B818" s="205" t="str">
        <f t="shared" si="2"/>
        <v/>
      </c>
      <c r="C818" s="206" t="str">
        <f t="shared" si="3"/>
        <v/>
      </c>
      <c r="D818" s="207" t="str">
        <f t="shared" si="0"/>
        <v/>
      </c>
      <c r="E818" s="207"/>
      <c r="F818" s="205" t="str">
        <f>IF(E818="","",VLOOKUP(E818,'ARAMA LİSTELERİ'!C818:G2857,5,))</f>
        <v/>
      </c>
      <c r="G818" s="207"/>
      <c r="H818" s="210"/>
      <c r="I818" s="79"/>
      <c r="J818" s="210"/>
      <c r="K818" s="210"/>
      <c r="L818" s="210" t="str">
        <f t="shared" si="1"/>
        <v/>
      </c>
      <c r="M818" s="79"/>
      <c r="N818" s="207"/>
      <c r="O818" s="207"/>
      <c r="P818" s="207"/>
      <c r="Q818" s="207"/>
    </row>
    <row r="819" spans="1:17" ht="34.5" customHeight="1">
      <c r="A819" s="82"/>
      <c r="B819" s="205" t="str">
        <f t="shared" si="2"/>
        <v/>
      </c>
      <c r="C819" s="206" t="str">
        <f t="shared" si="3"/>
        <v/>
      </c>
      <c r="D819" s="207" t="str">
        <f t="shared" si="0"/>
        <v/>
      </c>
      <c r="E819" s="207"/>
      <c r="F819" s="205" t="str">
        <f>IF(E819="","",VLOOKUP(E819,'ARAMA LİSTELERİ'!C819:G2858,5,))</f>
        <v/>
      </c>
      <c r="G819" s="207"/>
      <c r="H819" s="210"/>
      <c r="I819" s="79"/>
      <c r="J819" s="210"/>
      <c r="K819" s="210"/>
      <c r="L819" s="210" t="str">
        <f t="shared" si="1"/>
        <v/>
      </c>
      <c r="M819" s="79"/>
      <c r="N819" s="207"/>
      <c r="O819" s="207"/>
      <c r="P819" s="207"/>
      <c r="Q819" s="207"/>
    </row>
    <row r="820" spans="1:17" ht="34.5" customHeight="1">
      <c r="A820" s="82"/>
      <c r="B820" s="205" t="str">
        <f t="shared" si="2"/>
        <v/>
      </c>
      <c r="C820" s="206" t="str">
        <f t="shared" si="3"/>
        <v/>
      </c>
      <c r="D820" s="207" t="str">
        <f t="shared" si="0"/>
        <v/>
      </c>
      <c r="E820" s="207"/>
      <c r="F820" s="205" t="str">
        <f>IF(E820="","",VLOOKUP(E820,'ARAMA LİSTELERİ'!C820:G2859,5,))</f>
        <v/>
      </c>
      <c r="G820" s="207"/>
      <c r="H820" s="210"/>
      <c r="I820" s="79"/>
      <c r="J820" s="210"/>
      <c r="K820" s="210"/>
      <c r="L820" s="210" t="str">
        <f t="shared" si="1"/>
        <v/>
      </c>
      <c r="M820" s="79"/>
      <c r="N820" s="207"/>
      <c r="O820" s="207"/>
      <c r="P820" s="207"/>
      <c r="Q820" s="207"/>
    </row>
    <row r="821" spans="1:17" ht="34.5" customHeight="1">
      <c r="A821" s="82"/>
      <c r="B821" s="205" t="str">
        <f t="shared" si="2"/>
        <v/>
      </c>
      <c r="C821" s="206" t="str">
        <f t="shared" si="3"/>
        <v/>
      </c>
      <c r="D821" s="207" t="str">
        <f t="shared" si="0"/>
        <v/>
      </c>
      <c r="E821" s="207"/>
      <c r="F821" s="205" t="str">
        <f>IF(E821="","",VLOOKUP(E821,'ARAMA LİSTELERİ'!C821:G2860,5,))</f>
        <v/>
      </c>
      <c r="G821" s="207"/>
      <c r="H821" s="210"/>
      <c r="I821" s="79"/>
      <c r="J821" s="210"/>
      <c r="K821" s="210"/>
      <c r="L821" s="210" t="str">
        <f t="shared" si="1"/>
        <v/>
      </c>
      <c r="M821" s="79"/>
      <c r="N821" s="207"/>
      <c r="O821" s="207"/>
      <c r="P821" s="207"/>
      <c r="Q821" s="207"/>
    </row>
    <row r="822" spans="1:17" ht="34.5" customHeight="1">
      <c r="A822" s="82"/>
      <c r="B822" s="205" t="str">
        <f t="shared" si="2"/>
        <v/>
      </c>
      <c r="C822" s="206" t="str">
        <f t="shared" si="3"/>
        <v/>
      </c>
      <c r="D822" s="207" t="str">
        <f t="shared" si="0"/>
        <v/>
      </c>
      <c r="E822" s="207"/>
      <c r="F822" s="205" t="str">
        <f>IF(E822="","",VLOOKUP(E822,'ARAMA LİSTELERİ'!C822:G2861,5,))</f>
        <v/>
      </c>
      <c r="G822" s="207"/>
      <c r="H822" s="210"/>
      <c r="I822" s="79"/>
      <c r="J822" s="210"/>
      <c r="K822" s="210"/>
      <c r="L822" s="210" t="str">
        <f t="shared" si="1"/>
        <v/>
      </c>
      <c r="M822" s="79"/>
      <c r="N822" s="207"/>
      <c r="O822" s="207"/>
      <c r="P822" s="207"/>
      <c r="Q822" s="207"/>
    </row>
    <row r="823" spans="1:17" ht="34.5" customHeight="1">
      <c r="A823" s="82"/>
      <c r="B823" s="205" t="str">
        <f t="shared" si="2"/>
        <v/>
      </c>
      <c r="C823" s="206" t="str">
        <f t="shared" si="3"/>
        <v/>
      </c>
      <c r="D823" s="207" t="str">
        <f t="shared" si="0"/>
        <v/>
      </c>
      <c r="E823" s="207"/>
      <c r="F823" s="205" t="str">
        <f>IF(E823="","",VLOOKUP(E823,'ARAMA LİSTELERİ'!C823:G2862,5,))</f>
        <v/>
      </c>
      <c r="G823" s="207"/>
      <c r="H823" s="210"/>
      <c r="I823" s="79"/>
      <c r="J823" s="210"/>
      <c r="K823" s="210"/>
      <c r="L823" s="210" t="str">
        <f t="shared" si="1"/>
        <v/>
      </c>
      <c r="M823" s="79"/>
      <c r="N823" s="207"/>
      <c r="O823" s="207"/>
      <c r="P823" s="207"/>
      <c r="Q823" s="207"/>
    </row>
    <row r="824" spans="1:17" ht="34.5" customHeight="1">
      <c r="A824" s="82"/>
      <c r="B824" s="205" t="str">
        <f t="shared" si="2"/>
        <v/>
      </c>
      <c r="C824" s="206" t="str">
        <f t="shared" si="3"/>
        <v/>
      </c>
      <c r="D824" s="207" t="str">
        <f t="shared" si="0"/>
        <v/>
      </c>
      <c r="E824" s="207"/>
      <c r="F824" s="205" t="str">
        <f>IF(E824="","",VLOOKUP(E824,'ARAMA LİSTELERİ'!C824:G2863,5,))</f>
        <v/>
      </c>
      <c r="G824" s="207"/>
      <c r="H824" s="210"/>
      <c r="I824" s="79"/>
      <c r="J824" s="210"/>
      <c r="K824" s="210"/>
      <c r="L824" s="210" t="str">
        <f t="shared" si="1"/>
        <v/>
      </c>
      <c r="M824" s="79"/>
      <c r="N824" s="207"/>
      <c r="O824" s="207"/>
      <c r="P824" s="207"/>
      <c r="Q824" s="207"/>
    </row>
    <row r="825" spans="1:17" ht="34.5" customHeight="1">
      <c r="A825" s="82"/>
      <c r="B825" s="205" t="str">
        <f t="shared" si="2"/>
        <v/>
      </c>
      <c r="C825" s="206" t="str">
        <f t="shared" si="3"/>
        <v/>
      </c>
      <c r="D825" s="207" t="str">
        <f t="shared" si="0"/>
        <v/>
      </c>
      <c r="E825" s="207"/>
      <c r="F825" s="205" t="str">
        <f>IF(E825="","",VLOOKUP(E825,'ARAMA LİSTELERİ'!C825:G2864,5,))</f>
        <v/>
      </c>
      <c r="G825" s="207"/>
      <c r="H825" s="210"/>
      <c r="I825" s="79"/>
      <c r="J825" s="210"/>
      <c r="K825" s="210"/>
      <c r="L825" s="210" t="str">
        <f t="shared" si="1"/>
        <v/>
      </c>
      <c r="M825" s="79"/>
      <c r="N825" s="207"/>
      <c r="O825" s="207"/>
      <c r="P825" s="207"/>
      <c r="Q825" s="207"/>
    </row>
    <row r="826" spans="1:17" ht="34.5" customHeight="1">
      <c r="A826" s="82"/>
      <c r="B826" s="205" t="str">
        <f t="shared" si="2"/>
        <v/>
      </c>
      <c r="C826" s="206" t="str">
        <f t="shared" si="3"/>
        <v/>
      </c>
      <c r="D826" s="207" t="str">
        <f t="shared" si="0"/>
        <v/>
      </c>
      <c r="E826" s="207"/>
      <c r="F826" s="205" t="str">
        <f>IF(E826="","",VLOOKUP(E826,'ARAMA LİSTELERİ'!C826:G2865,5,))</f>
        <v/>
      </c>
      <c r="G826" s="207"/>
      <c r="H826" s="210"/>
      <c r="I826" s="79"/>
      <c r="J826" s="210"/>
      <c r="K826" s="210"/>
      <c r="L826" s="210" t="str">
        <f t="shared" si="1"/>
        <v/>
      </c>
      <c r="M826" s="79"/>
      <c r="N826" s="207"/>
      <c r="O826" s="207"/>
      <c r="P826" s="207"/>
      <c r="Q826" s="207"/>
    </row>
    <row r="827" spans="1:17" ht="34.5" customHeight="1">
      <c r="A827" s="82"/>
      <c r="B827" s="205" t="str">
        <f t="shared" si="2"/>
        <v/>
      </c>
      <c r="C827" s="206" t="str">
        <f t="shared" si="3"/>
        <v/>
      </c>
      <c r="D827" s="207" t="str">
        <f t="shared" si="0"/>
        <v/>
      </c>
      <c r="E827" s="207"/>
      <c r="F827" s="205" t="str">
        <f>IF(E827="","",VLOOKUP(E827,'ARAMA LİSTELERİ'!C827:G2866,5,))</f>
        <v/>
      </c>
      <c r="G827" s="207"/>
      <c r="H827" s="210"/>
      <c r="I827" s="79"/>
      <c r="J827" s="210"/>
      <c r="K827" s="210"/>
      <c r="L827" s="210" t="str">
        <f t="shared" si="1"/>
        <v/>
      </c>
      <c r="M827" s="79"/>
      <c r="N827" s="207"/>
      <c r="O827" s="207"/>
      <c r="P827" s="207"/>
      <c r="Q827" s="207"/>
    </row>
    <row r="828" spans="1:17" ht="34.5" customHeight="1">
      <c r="A828" s="82"/>
      <c r="B828" s="205" t="str">
        <f t="shared" si="2"/>
        <v/>
      </c>
      <c r="C828" s="206" t="str">
        <f t="shared" si="3"/>
        <v/>
      </c>
      <c r="D828" s="207" t="str">
        <f t="shared" si="0"/>
        <v/>
      </c>
      <c r="E828" s="207"/>
      <c r="F828" s="205" t="str">
        <f>IF(E828="","",VLOOKUP(E828,'ARAMA LİSTELERİ'!C828:G2867,5,))</f>
        <v/>
      </c>
      <c r="G828" s="207"/>
      <c r="H828" s="210"/>
      <c r="I828" s="79"/>
      <c r="J828" s="210"/>
      <c r="K828" s="210"/>
      <c r="L828" s="210" t="str">
        <f t="shared" si="1"/>
        <v/>
      </c>
      <c r="M828" s="79"/>
      <c r="N828" s="207"/>
      <c r="O828" s="207"/>
      <c r="P828" s="207"/>
      <c r="Q828" s="207"/>
    </row>
    <row r="829" spans="1:17" ht="34.5" customHeight="1">
      <c r="A829" s="82"/>
      <c r="B829" s="205" t="str">
        <f t="shared" si="2"/>
        <v/>
      </c>
      <c r="C829" s="206" t="str">
        <f t="shared" si="3"/>
        <v/>
      </c>
      <c r="D829" s="207" t="str">
        <f t="shared" si="0"/>
        <v/>
      </c>
      <c r="E829" s="207"/>
      <c r="F829" s="205" t="str">
        <f>IF(E829="","",VLOOKUP(E829,'ARAMA LİSTELERİ'!C829:G2868,5,))</f>
        <v/>
      </c>
      <c r="G829" s="207"/>
      <c r="H829" s="210"/>
      <c r="I829" s="79"/>
      <c r="J829" s="210"/>
      <c r="K829" s="210"/>
      <c r="L829" s="210" t="str">
        <f t="shared" si="1"/>
        <v/>
      </c>
      <c r="M829" s="79"/>
      <c r="N829" s="207"/>
      <c r="O829" s="207"/>
      <c r="P829" s="207"/>
      <c r="Q829" s="207"/>
    </row>
    <row r="830" spans="1:17" ht="34.5" customHeight="1">
      <c r="A830" s="82"/>
      <c r="B830" s="205" t="str">
        <f t="shared" si="2"/>
        <v/>
      </c>
      <c r="C830" s="206" t="str">
        <f t="shared" si="3"/>
        <v/>
      </c>
      <c r="D830" s="207" t="str">
        <f t="shared" si="0"/>
        <v/>
      </c>
      <c r="E830" s="207"/>
      <c r="F830" s="205" t="str">
        <f>IF(E830="","",VLOOKUP(E830,'ARAMA LİSTELERİ'!C830:G2869,5,))</f>
        <v/>
      </c>
      <c r="G830" s="207"/>
      <c r="H830" s="210"/>
      <c r="I830" s="79"/>
      <c r="J830" s="210"/>
      <c r="K830" s="210"/>
      <c r="L830" s="210" t="str">
        <f t="shared" si="1"/>
        <v/>
      </c>
      <c r="M830" s="79"/>
      <c r="N830" s="207"/>
      <c r="O830" s="207"/>
      <c r="P830" s="207"/>
      <c r="Q830" s="207"/>
    </row>
    <row r="831" spans="1:17" ht="34.5" customHeight="1">
      <c r="A831" s="82"/>
      <c r="B831" s="205" t="str">
        <f t="shared" si="2"/>
        <v/>
      </c>
      <c r="C831" s="206" t="str">
        <f t="shared" si="3"/>
        <v/>
      </c>
      <c r="D831" s="207" t="str">
        <f t="shared" si="0"/>
        <v/>
      </c>
      <c r="E831" s="207"/>
      <c r="F831" s="205" t="str">
        <f>IF(E831="","",VLOOKUP(E831,'ARAMA LİSTELERİ'!C831:G2870,5,))</f>
        <v/>
      </c>
      <c r="G831" s="207"/>
      <c r="H831" s="210"/>
      <c r="I831" s="79"/>
      <c r="J831" s="210"/>
      <c r="K831" s="210"/>
      <c r="L831" s="210" t="str">
        <f t="shared" si="1"/>
        <v/>
      </c>
      <c r="M831" s="79"/>
      <c r="N831" s="207"/>
      <c r="O831" s="207"/>
      <c r="P831" s="207"/>
      <c r="Q831" s="207"/>
    </row>
    <row r="832" spans="1:17" ht="34.5" customHeight="1">
      <c r="A832" s="82"/>
      <c r="B832" s="205" t="str">
        <f t="shared" si="2"/>
        <v/>
      </c>
      <c r="C832" s="206" t="str">
        <f t="shared" si="3"/>
        <v/>
      </c>
      <c r="D832" s="207" t="str">
        <f t="shared" si="0"/>
        <v/>
      </c>
      <c r="E832" s="207"/>
      <c r="F832" s="205" t="str">
        <f>IF(E832="","",VLOOKUP(E832,'ARAMA LİSTELERİ'!C832:G2871,5,))</f>
        <v/>
      </c>
      <c r="G832" s="207"/>
      <c r="H832" s="210"/>
      <c r="I832" s="79"/>
      <c r="J832" s="210"/>
      <c r="K832" s="210"/>
      <c r="L832" s="210" t="str">
        <f t="shared" si="1"/>
        <v/>
      </c>
      <c r="M832" s="79"/>
      <c r="N832" s="207"/>
      <c r="O832" s="207"/>
      <c r="P832" s="207"/>
      <c r="Q832" s="207"/>
    </row>
    <row r="833" spans="1:17" ht="34.5" customHeight="1">
      <c r="A833" s="82"/>
      <c r="B833" s="205" t="str">
        <f t="shared" si="2"/>
        <v/>
      </c>
      <c r="C833" s="206" t="str">
        <f t="shared" si="3"/>
        <v/>
      </c>
      <c r="D833" s="207" t="str">
        <f t="shared" si="0"/>
        <v/>
      </c>
      <c r="E833" s="207"/>
      <c r="F833" s="205" t="str">
        <f>IF(E833="","",VLOOKUP(E833,'ARAMA LİSTELERİ'!C833:G2872,5,))</f>
        <v/>
      </c>
      <c r="G833" s="207"/>
      <c r="H833" s="210"/>
      <c r="I833" s="79"/>
      <c r="J833" s="210"/>
      <c r="K833" s="210"/>
      <c r="L833" s="210" t="str">
        <f t="shared" si="1"/>
        <v/>
      </c>
      <c r="M833" s="79"/>
      <c r="N833" s="207"/>
      <c r="O833" s="207"/>
      <c r="P833" s="207"/>
      <c r="Q833" s="207"/>
    </row>
    <row r="834" spans="1:17" ht="34.5" customHeight="1">
      <c r="A834" s="82"/>
      <c r="B834" s="205" t="str">
        <f t="shared" si="2"/>
        <v/>
      </c>
      <c r="C834" s="206" t="str">
        <f t="shared" si="3"/>
        <v/>
      </c>
      <c r="D834" s="207" t="str">
        <f t="shared" si="0"/>
        <v/>
      </c>
      <c r="E834" s="207"/>
      <c r="F834" s="205" t="str">
        <f>IF(E834="","",VLOOKUP(E834,'ARAMA LİSTELERİ'!C834:G2873,5,))</f>
        <v/>
      </c>
      <c r="G834" s="207"/>
      <c r="H834" s="210"/>
      <c r="I834" s="79"/>
      <c r="J834" s="210"/>
      <c r="K834" s="210"/>
      <c r="L834" s="210" t="str">
        <f t="shared" si="1"/>
        <v/>
      </c>
      <c r="M834" s="79"/>
      <c r="N834" s="207"/>
      <c r="O834" s="207"/>
      <c r="P834" s="207"/>
      <c r="Q834" s="207"/>
    </row>
    <row r="835" spans="1:17" ht="34.5" customHeight="1">
      <c r="A835" s="82"/>
      <c r="B835" s="205" t="str">
        <f t="shared" si="2"/>
        <v/>
      </c>
      <c r="C835" s="206" t="str">
        <f t="shared" si="3"/>
        <v/>
      </c>
      <c r="D835" s="207" t="str">
        <f t="shared" si="0"/>
        <v/>
      </c>
      <c r="E835" s="207"/>
      <c r="F835" s="205" t="str">
        <f>IF(E835="","",VLOOKUP(E835,'ARAMA LİSTELERİ'!C835:G2874,5,))</f>
        <v/>
      </c>
      <c r="G835" s="207"/>
      <c r="H835" s="210"/>
      <c r="I835" s="79"/>
      <c r="J835" s="210"/>
      <c r="K835" s="210"/>
      <c r="L835" s="210" t="str">
        <f t="shared" si="1"/>
        <v/>
      </c>
      <c r="M835" s="79"/>
      <c r="N835" s="207"/>
      <c r="O835" s="207"/>
      <c r="P835" s="207"/>
      <c r="Q835" s="207"/>
    </row>
    <row r="836" spans="1:17" ht="34.5" customHeight="1">
      <c r="A836" s="82"/>
      <c r="B836" s="205" t="str">
        <f t="shared" si="2"/>
        <v/>
      </c>
      <c r="C836" s="206" t="str">
        <f t="shared" si="3"/>
        <v/>
      </c>
      <c r="D836" s="207" t="str">
        <f t="shared" si="0"/>
        <v/>
      </c>
      <c r="E836" s="207"/>
      <c r="F836" s="205" t="str">
        <f>IF(E836="","",VLOOKUP(E836,'ARAMA LİSTELERİ'!C836:G2875,5,))</f>
        <v/>
      </c>
      <c r="G836" s="207"/>
      <c r="H836" s="210"/>
      <c r="I836" s="79"/>
      <c r="J836" s="210"/>
      <c r="K836" s="210"/>
      <c r="L836" s="210" t="str">
        <f t="shared" si="1"/>
        <v/>
      </c>
      <c r="M836" s="79"/>
      <c r="N836" s="207"/>
      <c r="O836" s="207"/>
      <c r="P836" s="207"/>
      <c r="Q836" s="207"/>
    </row>
    <row r="837" spans="1:17" ht="34.5" customHeight="1">
      <c r="A837" s="82"/>
      <c r="B837" s="205" t="str">
        <f t="shared" si="2"/>
        <v/>
      </c>
      <c r="C837" s="206" t="str">
        <f t="shared" si="3"/>
        <v/>
      </c>
      <c r="D837" s="207" t="str">
        <f t="shared" si="0"/>
        <v/>
      </c>
      <c r="E837" s="207"/>
      <c r="F837" s="205" t="str">
        <f>IF(E837="","",VLOOKUP(E837,'ARAMA LİSTELERİ'!C837:G2876,5,))</f>
        <v/>
      </c>
      <c r="G837" s="207"/>
      <c r="H837" s="210"/>
      <c r="I837" s="79"/>
      <c r="J837" s="210"/>
      <c r="K837" s="210"/>
      <c r="L837" s="210" t="str">
        <f t="shared" si="1"/>
        <v/>
      </c>
      <c r="M837" s="79"/>
      <c r="N837" s="207"/>
      <c r="O837" s="207"/>
      <c r="P837" s="207"/>
      <c r="Q837" s="207"/>
    </row>
    <row r="838" spans="1:17" ht="34.5" customHeight="1">
      <c r="A838" s="82"/>
      <c r="B838" s="205" t="str">
        <f t="shared" si="2"/>
        <v/>
      </c>
      <c r="C838" s="206" t="str">
        <f t="shared" si="3"/>
        <v/>
      </c>
      <c r="D838" s="207" t="str">
        <f t="shared" si="0"/>
        <v/>
      </c>
      <c r="E838" s="207"/>
      <c r="F838" s="205" t="str">
        <f>IF(E838="","",VLOOKUP(E838,'ARAMA LİSTELERİ'!C838:G2877,5,))</f>
        <v/>
      </c>
      <c r="G838" s="207"/>
      <c r="H838" s="210"/>
      <c r="I838" s="79"/>
      <c r="J838" s="210"/>
      <c r="K838" s="210"/>
      <c r="L838" s="210" t="str">
        <f t="shared" si="1"/>
        <v/>
      </c>
      <c r="M838" s="79"/>
      <c r="N838" s="207"/>
      <c r="O838" s="207"/>
      <c r="P838" s="207"/>
      <c r="Q838" s="207"/>
    </row>
    <row r="839" spans="1:17" ht="34.5" customHeight="1">
      <c r="A839" s="82"/>
      <c r="B839" s="205" t="str">
        <f t="shared" si="2"/>
        <v/>
      </c>
      <c r="C839" s="206" t="str">
        <f t="shared" si="3"/>
        <v/>
      </c>
      <c r="D839" s="207" t="str">
        <f t="shared" si="0"/>
        <v/>
      </c>
      <c r="E839" s="207"/>
      <c r="F839" s="205" t="str">
        <f>IF(E839="","",VLOOKUP(E839,'ARAMA LİSTELERİ'!C839:G2878,5,))</f>
        <v/>
      </c>
      <c r="G839" s="207"/>
      <c r="H839" s="210"/>
      <c r="I839" s="79"/>
      <c r="J839" s="210"/>
      <c r="K839" s="210"/>
      <c r="L839" s="210" t="str">
        <f t="shared" si="1"/>
        <v/>
      </c>
      <c r="M839" s="79"/>
      <c r="N839" s="207"/>
      <c r="O839" s="207"/>
      <c r="P839" s="207"/>
      <c r="Q839" s="207"/>
    </row>
    <row r="840" spans="1:17" ht="34.5" customHeight="1">
      <c r="A840" s="82"/>
      <c r="B840" s="205" t="str">
        <f t="shared" si="2"/>
        <v/>
      </c>
      <c r="C840" s="206" t="str">
        <f t="shared" si="3"/>
        <v/>
      </c>
      <c r="D840" s="207" t="str">
        <f t="shared" si="0"/>
        <v/>
      </c>
      <c r="E840" s="207"/>
      <c r="F840" s="205" t="str">
        <f>IF(E840="","",VLOOKUP(E840,'ARAMA LİSTELERİ'!C840:G2879,5,))</f>
        <v/>
      </c>
      <c r="G840" s="207"/>
      <c r="H840" s="210"/>
      <c r="I840" s="79"/>
      <c r="J840" s="210"/>
      <c r="K840" s="210"/>
      <c r="L840" s="210" t="str">
        <f t="shared" si="1"/>
        <v/>
      </c>
      <c r="M840" s="79"/>
      <c r="N840" s="207"/>
      <c r="O840" s="207"/>
      <c r="P840" s="207"/>
      <c r="Q840" s="207"/>
    </row>
    <row r="841" spans="1:17" ht="34.5" customHeight="1">
      <c r="A841" s="82"/>
      <c r="B841" s="205" t="str">
        <f t="shared" si="2"/>
        <v/>
      </c>
      <c r="C841" s="206" t="str">
        <f t="shared" si="3"/>
        <v/>
      </c>
      <c r="D841" s="207" t="str">
        <f t="shared" si="0"/>
        <v/>
      </c>
      <c r="E841" s="207"/>
      <c r="F841" s="205" t="str">
        <f>IF(E841="","",VLOOKUP(E841,'ARAMA LİSTELERİ'!C841:G2880,5,))</f>
        <v/>
      </c>
      <c r="G841" s="207"/>
      <c r="H841" s="210"/>
      <c r="I841" s="79"/>
      <c r="J841" s="210"/>
      <c r="K841" s="210"/>
      <c r="L841" s="210" t="str">
        <f t="shared" si="1"/>
        <v/>
      </c>
      <c r="M841" s="79"/>
      <c r="N841" s="207"/>
      <c r="O841" s="207"/>
      <c r="P841" s="207"/>
      <c r="Q841" s="207"/>
    </row>
    <row r="842" spans="1:17" ht="34.5" customHeight="1">
      <c r="A842" s="82"/>
      <c r="B842" s="205" t="str">
        <f t="shared" si="2"/>
        <v/>
      </c>
      <c r="C842" s="206" t="str">
        <f t="shared" si="3"/>
        <v/>
      </c>
      <c r="D842" s="207" t="str">
        <f t="shared" si="0"/>
        <v/>
      </c>
      <c r="E842" s="207"/>
      <c r="F842" s="205" t="str">
        <f>IF(E842="","",VLOOKUP(E842,'ARAMA LİSTELERİ'!C842:G2881,5,))</f>
        <v/>
      </c>
      <c r="G842" s="207"/>
      <c r="H842" s="210"/>
      <c r="I842" s="79"/>
      <c r="J842" s="210"/>
      <c r="K842" s="210"/>
      <c r="L842" s="210" t="str">
        <f t="shared" si="1"/>
        <v/>
      </c>
      <c r="M842" s="79"/>
      <c r="N842" s="207"/>
      <c r="O842" s="207"/>
      <c r="P842" s="207"/>
      <c r="Q842" s="207"/>
    </row>
    <row r="843" spans="1:17" ht="34.5" customHeight="1">
      <c r="A843" s="82"/>
      <c r="B843" s="205" t="str">
        <f t="shared" si="2"/>
        <v/>
      </c>
      <c r="C843" s="206" t="str">
        <f t="shared" si="3"/>
        <v/>
      </c>
      <c r="D843" s="207" t="str">
        <f t="shared" si="0"/>
        <v/>
      </c>
      <c r="E843" s="207"/>
      <c r="F843" s="205" t="str">
        <f>IF(E843="","",VLOOKUP(E843,'ARAMA LİSTELERİ'!C843:G2882,5,))</f>
        <v/>
      </c>
      <c r="G843" s="207"/>
      <c r="H843" s="210"/>
      <c r="I843" s="79"/>
      <c r="J843" s="210"/>
      <c r="K843" s="210"/>
      <c r="L843" s="210" t="str">
        <f t="shared" si="1"/>
        <v/>
      </c>
      <c r="M843" s="79"/>
      <c r="N843" s="207"/>
      <c r="O843" s="207"/>
      <c r="P843" s="207"/>
      <c r="Q843" s="207"/>
    </row>
    <row r="844" spans="1:17" ht="34.5" customHeight="1">
      <c r="A844" s="82"/>
      <c r="B844" s="205" t="str">
        <f t="shared" si="2"/>
        <v/>
      </c>
      <c r="C844" s="206" t="str">
        <f t="shared" si="3"/>
        <v/>
      </c>
      <c r="D844" s="207" t="str">
        <f t="shared" si="0"/>
        <v/>
      </c>
      <c r="E844" s="207"/>
      <c r="F844" s="205" t="str">
        <f>IF(E844="","",VLOOKUP(E844,'ARAMA LİSTELERİ'!C844:G2883,5,))</f>
        <v/>
      </c>
      <c r="G844" s="207"/>
      <c r="H844" s="210"/>
      <c r="I844" s="79"/>
      <c r="J844" s="210"/>
      <c r="K844" s="210"/>
      <c r="L844" s="210" t="str">
        <f t="shared" si="1"/>
        <v/>
      </c>
      <c r="M844" s="79"/>
      <c r="N844" s="207"/>
      <c r="O844" s="207"/>
      <c r="P844" s="207"/>
      <c r="Q844" s="207"/>
    </row>
    <row r="845" spans="1:17" ht="34.5" customHeight="1">
      <c r="A845" s="82"/>
      <c r="B845" s="205" t="str">
        <f t="shared" si="2"/>
        <v/>
      </c>
      <c r="C845" s="206" t="str">
        <f t="shared" si="3"/>
        <v/>
      </c>
      <c r="D845" s="207" t="str">
        <f t="shared" si="0"/>
        <v/>
      </c>
      <c r="E845" s="207"/>
      <c r="F845" s="205" t="str">
        <f>IF(E845="","",VLOOKUP(E845,'ARAMA LİSTELERİ'!C845:G2884,5,))</f>
        <v/>
      </c>
      <c r="G845" s="207"/>
      <c r="H845" s="210"/>
      <c r="I845" s="79"/>
      <c r="J845" s="210"/>
      <c r="K845" s="210"/>
      <c r="L845" s="210" t="str">
        <f t="shared" si="1"/>
        <v/>
      </c>
      <c r="M845" s="79"/>
      <c r="N845" s="207"/>
      <c r="O845" s="207"/>
      <c r="P845" s="207"/>
      <c r="Q845" s="207"/>
    </row>
    <row r="846" spans="1:17" ht="34.5" customHeight="1">
      <c r="A846" s="82"/>
      <c r="B846" s="205" t="str">
        <f t="shared" si="2"/>
        <v/>
      </c>
      <c r="C846" s="206" t="str">
        <f t="shared" si="3"/>
        <v/>
      </c>
      <c r="D846" s="207" t="str">
        <f t="shared" si="0"/>
        <v/>
      </c>
      <c r="E846" s="207"/>
      <c r="F846" s="205" t="str">
        <f>IF(E846="","",VLOOKUP(E846,'ARAMA LİSTELERİ'!C846:G2885,5,))</f>
        <v/>
      </c>
      <c r="G846" s="207"/>
      <c r="H846" s="210"/>
      <c r="I846" s="79"/>
      <c r="J846" s="210"/>
      <c r="K846" s="210"/>
      <c r="L846" s="210" t="str">
        <f t="shared" si="1"/>
        <v/>
      </c>
      <c r="M846" s="79"/>
      <c r="N846" s="207"/>
      <c r="O846" s="207"/>
      <c r="P846" s="207"/>
      <c r="Q846" s="207"/>
    </row>
    <row r="847" spans="1:17" ht="34.5" customHeight="1">
      <c r="A847" s="82"/>
      <c r="B847" s="205" t="str">
        <f t="shared" si="2"/>
        <v/>
      </c>
      <c r="C847" s="206" t="str">
        <f t="shared" si="3"/>
        <v/>
      </c>
      <c r="D847" s="207" t="str">
        <f t="shared" si="0"/>
        <v/>
      </c>
      <c r="E847" s="207"/>
      <c r="F847" s="205" t="str">
        <f>IF(E847="","",VLOOKUP(E847,'ARAMA LİSTELERİ'!C847:G2886,5,))</f>
        <v/>
      </c>
      <c r="G847" s="207"/>
      <c r="H847" s="210"/>
      <c r="I847" s="79"/>
      <c r="J847" s="210"/>
      <c r="K847" s="210"/>
      <c r="L847" s="210" t="str">
        <f t="shared" si="1"/>
        <v/>
      </c>
      <c r="M847" s="79"/>
      <c r="N847" s="207"/>
      <c r="O847" s="207"/>
      <c r="P847" s="207"/>
      <c r="Q847" s="207"/>
    </row>
    <row r="848" spans="1:17" ht="34.5" customHeight="1">
      <c r="A848" s="82"/>
      <c r="B848" s="205" t="str">
        <f t="shared" si="2"/>
        <v/>
      </c>
      <c r="C848" s="206" t="str">
        <f t="shared" si="3"/>
        <v/>
      </c>
      <c r="D848" s="207" t="str">
        <f t="shared" si="0"/>
        <v/>
      </c>
      <c r="E848" s="207"/>
      <c r="F848" s="205" t="str">
        <f>IF(E848="","",VLOOKUP(E848,'ARAMA LİSTELERİ'!C848:G2887,5,))</f>
        <v/>
      </c>
      <c r="G848" s="207"/>
      <c r="H848" s="210"/>
      <c r="I848" s="79"/>
      <c r="J848" s="210"/>
      <c r="K848" s="210"/>
      <c r="L848" s="210" t="str">
        <f t="shared" si="1"/>
        <v/>
      </c>
      <c r="M848" s="79"/>
      <c r="N848" s="207"/>
      <c r="O848" s="207"/>
      <c r="P848" s="207"/>
      <c r="Q848" s="207"/>
    </row>
    <row r="849" spans="1:17" ht="34.5" customHeight="1">
      <c r="A849" s="82"/>
      <c r="B849" s="205" t="str">
        <f t="shared" si="2"/>
        <v/>
      </c>
      <c r="C849" s="206" t="str">
        <f t="shared" si="3"/>
        <v/>
      </c>
      <c r="D849" s="207" t="str">
        <f t="shared" si="0"/>
        <v/>
      </c>
      <c r="E849" s="207"/>
      <c r="F849" s="205" t="str">
        <f>IF(E849="","",VLOOKUP(E849,'ARAMA LİSTELERİ'!C849:G2888,5,))</f>
        <v/>
      </c>
      <c r="G849" s="207"/>
      <c r="H849" s="210"/>
      <c r="I849" s="79"/>
      <c r="J849" s="210"/>
      <c r="K849" s="210"/>
      <c r="L849" s="210" t="str">
        <f t="shared" si="1"/>
        <v/>
      </c>
      <c r="M849" s="79"/>
      <c r="N849" s="207"/>
      <c r="O849" s="207"/>
      <c r="P849" s="207"/>
      <c r="Q849" s="207"/>
    </row>
    <row r="850" spans="1:17" ht="34.5" customHeight="1">
      <c r="A850" s="82"/>
      <c r="B850" s="205" t="str">
        <f t="shared" si="2"/>
        <v/>
      </c>
      <c r="C850" s="206" t="str">
        <f t="shared" si="3"/>
        <v/>
      </c>
      <c r="D850" s="207" t="str">
        <f t="shared" si="0"/>
        <v/>
      </c>
      <c r="E850" s="207"/>
      <c r="F850" s="205" t="str">
        <f>IF(E850="","",VLOOKUP(E850,'ARAMA LİSTELERİ'!C850:G2889,5,))</f>
        <v/>
      </c>
      <c r="G850" s="207"/>
      <c r="H850" s="210"/>
      <c r="I850" s="79"/>
      <c r="J850" s="210"/>
      <c r="K850" s="210"/>
      <c r="L850" s="210" t="str">
        <f t="shared" si="1"/>
        <v/>
      </c>
      <c r="M850" s="79"/>
      <c r="N850" s="207"/>
      <c r="O850" s="207"/>
      <c r="P850" s="207"/>
      <c r="Q850" s="207"/>
    </row>
    <row r="851" spans="1:17" ht="34.5" customHeight="1">
      <c r="A851" s="82"/>
      <c r="B851" s="205" t="str">
        <f t="shared" si="2"/>
        <v/>
      </c>
      <c r="C851" s="206" t="str">
        <f t="shared" si="3"/>
        <v/>
      </c>
      <c r="D851" s="207" t="str">
        <f t="shared" si="0"/>
        <v/>
      </c>
      <c r="E851" s="207"/>
      <c r="F851" s="205" t="str">
        <f>IF(E851="","",VLOOKUP(E851,'ARAMA LİSTELERİ'!C851:G2890,5,))</f>
        <v/>
      </c>
      <c r="G851" s="207"/>
      <c r="H851" s="210"/>
      <c r="I851" s="79"/>
      <c r="J851" s="210"/>
      <c r="K851" s="210"/>
      <c r="L851" s="210" t="str">
        <f t="shared" si="1"/>
        <v/>
      </c>
      <c r="M851" s="79"/>
      <c r="N851" s="207"/>
      <c r="O851" s="207"/>
      <c r="P851" s="207"/>
      <c r="Q851" s="207"/>
    </row>
    <row r="852" spans="1:17" ht="34.5" customHeight="1">
      <c r="A852" s="82"/>
      <c r="B852" s="205" t="str">
        <f t="shared" si="2"/>
        <v/>
      </c>
      <c r="C852" s="206" t="str">
        <f t="shared" si="3"/>
        <v/>
      </c>
      <c r="D852" s="207" t="str">
        <f t="shared" si="0"/>
        <v/>
      </c>
      <c r="E852" s="207"/>
      <c r="F852" s="205" t="str">
        <f>IF(E852="","",VLOOKUP(E852,'ARAMA LİSTELERİ'!C852:G2891,5,))</f>
        <v/>
      </c>
      <c r="G852" s="207"/>
      <c r="H852" s="210"/>
      <c r="I852" s="79"/>
      <c r="J852" s="210"/>
      <c r="K852" s="210"/>
      <c r="L852" s="210" t="str">
        <f t="shared" si="1"/>
        <v/>
      </c>
      <c r="M852" s="79"/>
      <c r="N852" s="207"/>
      <c r="O852" s="207"/>
      <c r="P852" s="207"/>
      <c r="Q852" s="207"/>
    </row>
    <row r="853" spans="1:17" ht="34.5" customHeight="1">
      <c r="A853" s="82"/>
      <c r="B853" s="205" t="str">
        <f t="shared" si="2"/>
        <v/>
      </c>
      <c r="C853" s="206" t="str">
        <f t="shared" si="3"/>
        <v/>
      </c>
      <c r="D853" s="207" t="str">
        <f t="shared" si="0"/>
        <v/>
      </c>
      <c r="E853" s="207"/>
      <c r="F853" s="205" t="str">
        <f>IF(E853="","",VLOOKUP(E853,'ARAMA LİSTELERİ'!C853:G2892,5,))</f>
        <v/>
      </c>
      <c r="G853" s="207"/>
      <c r="H853" s="210"/>
      <c r="I853" s="79"/>
      <c r="J853" s="210"/>
      <c r="K853" s="210"/>
      <c r="L853" s="210" t="str">
        <f t="shared" si="1"/>
        <v/>
      </c>
      <c r="M853" s="79"/>
      <c r="N853" s="207"/>
      <c r="O853" s="207"/>
      <c r="P853" s="207"/>
      <c r="Q853" s="207"/>
    </row>
    <row r="854" spans="1:17" ht="34.5" customHeight="1">
      <c r="A854" s="82"/>
      <c r="B854" s="205" t="str">
        <f t="shared" si="2"/>
        <v/>
      </c>
      <c r="C854" s="206" t="str">
        <f t="shared" si="3"/>
        <v/>
      </c>
      <c r="D854" s="207" t="str">
        <f t="shared" si="0"/>
        <v/>
      </c>
      <c r="E854" s="207"/>
      <c r="F854" s="205" t="str">
        <f>IF(E854="","",VLOOKUP(E854,'ARAMA LİSTELERİ'!C854:G2893,5,))</f>
        <v/>
      </c>
      <c r="G854" s="207"/>
      <c r="H854" s="210"/>
      <c r="I854" s="79"/>
      <c r="J854" s="210"/>
      <c r="K854" s="210"/>
      <c r="L854" s="210" t="str">
        <f t="shared" si="1"/>
        <v/>
      </c>
      <c r="M854" s="79"/>
      <c r="N854" s="207"/>
      <c r="O854" s="207"/>
      <c r="P854" s="207"/>
      <c r="Q854" s="207"/>
    </row>
    <row r="855" spans="1:17" ht="34.5" customHeight="1">
      <c r="A855" s="82"/>
      <c r="B855" s="205" t="str">
        <f t="shared" si="2"/>
        <v/>
      </c>
      <c r="C855" s="206" t="str">
        <f t="shared" si="3"/>
        <v/>
      </c>
      <c r="D855" s="207" t="str">
        <f t="shared" si="0"/>
        <v/>
      </c>
      <c r="E855" s="207"/>
      <c r="F855" s="205" t="str">
        <f>IF(E855="","",VLOOKUP(E855,'ARAMA LİSTELERİ'!C855:G2894,5,))</f>
        <v/>
      </c>
      <c r="G855" s="207"/>
      <c r="H855" s="210"/>
      <c r="I855" s="79"/>
      <c r="J855" s="210"/>
      <c r="K855" s="210"/>
      <c r="L855" s="210" t="str">
        <f t="shared" si="1"/>
        <v/>
      </c>
      <c r="M855" s="79"/>
      <c r="N855" s="207"/>
      <c r="O855" s="207"/>
      <c r="P855" s="207"/>
      <c r="Q855" s="207"/>
    </row>
    <row r="856" spans="1:17" ht="34.5" customHeight="1">
      <c r="A856" s="82"/>
      <c r="B856" s="205" t="str">
        <f t="shared" si="2"/>
        <v/>
      </c>
      <c r="C856" s="206" t="str">
        <f t="shared" si="3"/>
        <v/>
      </c>
      <c r="D856" s="207" t="str">
        <f t="shared" si="0"/>
        <v/>
      </c>
      <c r="E856" s="207"/>
      <c r="F856" s="205" t="str">
        <f>IF(E856="","",VLOOKUP(E856,'ARAMA LİSTELERİ'!C856:G2895,5,))</f>
        <v/>
      </c>
      <c r="G856" s="207"/>
      <c r="H856" s="210"/>
      <c r="I856" s="79"/>
      <c r="J856" s="210"/>
      <c r="K856" s="210"/>
      <c r="L856" s="210" t="str">
        <f t="shared" si="1"/>
        <v/>
      </c>
      <c r="M856" s="79"/>
      <c r="N856" s="207"/>
      <c r="O856" s="207"/>
      <c r="P856" s="207"/>
      <c r="Q856" s="207"/>
    </row>
    <row r="857" spans="1:17" ht="34.5" customHeight="1">
      <c r="A857" s="82"/>
      <c r="B857" s="205" t="str">
        <f t="shared" si="2"/>
        <v/>
      </c>
      <c r="C857" s="206" t="str">
        <f t="shared" si="3"/>
        <v/>
      </c>
      <c r="D857" s="207" t="str">
        <f t="shared" si="0"/>
        <v/>
      </c>
      <c r="E857" s="207"/>
      <c r="F857" s="205" t="str">
        <f>IF(E857="","",VLOOKUP(E857,'ARAMA LİSTELERİ'!C857:G2896,5,))</f>
        <v/>
      </c>
      <c r="G857" s="207"/>
      <c r="H857" s="210"/>
      <c r="I857" s="79"/>
      <c r="J857" s="210"/>
      <c r="K857" s="210"/>
      <c r="L857" s="210" t="str">
        <f t="shared" si="1"/>
        <v/>
      </c>
      <c r="M857" s="79"/>
      <c r="N857" s="207"/>
      <c r="O857" s="207"/>
      <c r="P857" s="207"/>
      <c r="Q857" s="207"/>
    </row>
    <row r="858" spans="1:17" ht="34.5" customHeight="1">
      <c r="A858" s="82"/>
      <c r="B858" s="205" t="str">
        <f t="shared" si="2"/>
        <v/>
      </c>
      <c r="C858" s="206" t="str">
        <f t="shared" si="3"/>
        <v/>
      </c>
      <c r="D858" s="207" t="str">
        <f t="shared" si="0"/>
        <v/>
      </c>
      <c r="E858" s="207"/>
      <c r="F858" s="205" t="str">
        <f>IF(E858="","",VLOOKUP(E858,'ARAMA LİSTELERİ'!C858:G2897,5,))</f>
        <v/>
      </c>
      <c r="G858" s="207"/>
      <c r="H858" s="210"/>
      <c r="I858" s="79"/>
      <c r="J858" s="210"/>
      <c r="K858" s="210"/>
      <c r="L858" s="210" t="str">
        <f t="shared" si="1"/>
        <v/>
      </c>
      <c r="M858" s="79"/>
      <c r="N858" s="207"/>
      <c r="O858" s="207"/>
      <c r="P858" s="207"/>
      <c r="Q858" s="207"/>
    </row>
    <row r="859" spans="1:17" ht="34.5" customHeight="1">
      <c r="A859" s="82"/>
      <c r="B859" s="205" t="str">
        <f t="shared" si="2"/>
        <v/>
      </c>
      <c r="C859" s="206" t="str">
        <f t="shared" si="3"/>
        <v/>
      </c>
      <c r="D859" s="207" t="str">
        <f t="shared" si="0"/>
        <v/>
      </c>
      <c r="E859" s="207"/>
      <c r="F859" s="205" t="str">
        <f>IF(E859="","",VLOOKUP(E859,'ARAMA LİSTELERİ'!C859:G2898,5,))</f>
        <v/>
      </c>
      <c r="G859" s="207"/>
      <c r="H859" s="210"/>
      <c r="I859" s="79"/>
      <c r="J859" s="210"/>
      <c r="K859" s="210"/>
      <c r="L859" s="210" t="str">
        <f t="shared" si="1"/>
        <v/>
      </c>
      <c r="M859" s="79"/>
      <c r="N859" s="207"/>
      <c r="O859" s="207"/>
      <c r="P859" s="207"/>
      <c r="Q859" s="207"/>
    </row>
    <row r="860" spans="1:17" ht="34.5" customHeight="1">
      <c r="A860" s="82"/>
      <c r="B860" s="205" t="str">
        <f t="shared" si="2"/>
        <v/>
      </c>
      <c r="C860" s="206" t="str">
        <f t="shared" si="3"/>
        <v/>
      </c>
      <c r="D860" s="207" t="str">
        <f t="shared" si="0"/>
        <v/>
      </c>
      <c r="E860" s="207"/>
      <c r="F860" s="205" t="str">
        <f>IF(E860="","",VLOOKUP(E860,'ARAMA LİSTELERİ'!C860:G2899,5,))</f>
        <v/>
      </c>
      <c r="G860" s="207"/>
      <c r="H860" s="210"/>
      <c r="I860" s="79"/>
      <c r="J860" s="210"/>
      <c r="K860" s="210"/>
      <c r="L860" s="210" t="str">
        <f t="shared" si="1"/>
        <v/>
      </c>
      <c r="M860" s="79"/>
      <c r="N860" s="207"/>
      <c r="O860" s="207"/>
      <c r="P860" s="207"/>
      <c r="Q860" s="207"/>
    </row>
    <row r="861" spans="1:17" ht="34.5" customHeight="1">
      <c r="A861" s="82"/>
      <c r="B861" s="205" t="str">
        <f t="shared" si="2"/>
        <v/>
      </c>
      <c r="C861" s="206" t="str">
        <f t="shared" si="3"/>
        <v/>
      </c>
      <c r="D861" s="207" t="str">
        <f t="shared" si="0"/>
        <v/>
      </c>
      <c r="E861" s="207"/>
      <c r="F861" s="205" t="str">
        <f>IF(E861="","",VLOOKUP(E861,'ARAMA LİSTELERİ'!C861:G2900,5,))</f>
        <v/>
      </c>
      <c r="G861" s="207"/>
      <c r="H861" s="210"/>
      <c r="I861" s="79"/>
      <c r="J861" s="210"/>
      <c r="K861" s="210"/>
      <c r="L861" s="210" t="str">
        <f t="shared" si="1"/>
        <v/>
      </c>
      <c r="M861" s="79"/>
      <c r="N861" s="207"/>
      <c r="O861" s="207"/>
      <c r="P861" s="207"/>
      <c r="Q861" s="207"/>
    </row>
    <row r="862" spans="1:17" ht="34.5" customHeight="1">
      <c r="A862" s="82"/>
      <c r="B862" s="205" t="str">
        <f t="shared" si="2"/>
        <v/>
      </c>
      <c r="C862" s="206" t="str">
        <f t="shared" si="3"/>
        <v/>
      </c>
      <c r="D862" s="207" t="str">
        <f t="shared" si="0"/>
        <v/>
      </c>
      <c r="E862" s="207"/>
      <c r="F862" s="205" t="str">
        <f>IF(E862="","",VLOOKUP(E862,'ARAMA LİSTELERİ'!C862:G2901,5,))</f>
        <v/>
      </c>
      <c r="G862" s="207"/>
      <c r="H862" s="210"/>
      <c r="I862" s="79"/>
      <c r="J862" s="210"/>
      <c r="K862" s="210"/>
      <c r="L862" s="210" t="str">
        <f t="shared" si="1"/>
        <v/>
      </c>
      <c r="M862" s="79"/>
      <c r="N862" s="207"/>
      <c r="O862" s="207"/>
      <c r="P862" s="207"/>
      <c r="Q862" s="207"/>
    </row>
    <row r="863" spans="1:17" ht="34.5" customHeight="1">
      <c r="A863" s="82"/>
      <c r="B863" s="205" t="str">
        <f t="shared" si="2"/>
        <v/>
      </c>
      <c r="C863" s="206" t="str">
        <f t="shared" si="3"/>
        <v/>
      </c>
      <c r="D863" s="207" t="str">
        <f t="shared" si="0"/>
        <v/>
      </c>
      <c r="E863" s="207"/>
      <c r="F863" s="205" t="str">
        <f>IF(E863="","",VLOOKUP(E863,'ARAMA LİSTELERİ'!C863:G2902,5,))</f>
        <v/>
      </c>
      <c r="G863" s="207"/>
      <c r="H863" s="210"/>
      <c r="I863" s="79"/>
      <c r="J863" s="210"/>
      <c r="K863" s="210"/>
      <c r="L863" s="210" t="str">
        <f t="shared" si="1"/>
        <v/>
      </c>
      <c r="M863" s="79"/>
      <c r="N863" s="207"/>
      <c r="O863" s="207"/>
      <c r="P863" s="207"/>
      <c r="Q863" s="207"/>
    </row>
    <row r="864" spans="1:17" ht="34.5" customHeight="1">
      <c r="A864" s="82"/>
      <c r="B864" s="205" t="str">
        <f t="shared" si="2"/>
        <v/>
      </c>
      <c r="C864" s="206" t="str">
        <f t="shared" si="3"/>
        <v/>
      </c>
      <c r="D864" s="207" t="str">
        <f t="shared" si="0"/>
        <v/>
      </c>
      <c r="E864" s="207"/>
      <c r="F864" s="205" t="str">
        <f>IF(E864="","",VLOOKUP(E864,'ARAMA LİSTELERİ'!C864:G2903,5,))</f>
        <v/>
      </c>
      <c r="G864" s="207"/>
      <c r="H864" s="210"/>
      <c r="I864" s="79"/>
      <c r="J864" s="210"/>
      <c r="K864" s="210"/>
      <c r="L864" s="210" t="str">
        <f t="shared" si="1"/>
        <v/>
      </c>
      <c r="M864" s="79"/>
      <c r="N864" s="207"/>
      <c r="O864" s="207"/>
      <c r="P864" s="207"/>
      <c r="Q864" s="207"/>
    </row>
    <row r="865" spans="1:17" ht="34.5" customHeight="1">
      <c r="A865" s="82"/>
      <c r="B865" s="205" t="str">
        <f t="shared" si="2"/>
        <v/>
      </c>
      <c r="C865" s="206" t="str">
        <f t="shared" si="3"/>
        <v/>
      </c>
      <c r="D865" s="207" t="str">
        <f t="shared" si="0"/>
        <v/>
      </c>
      <c r="E865" s="207"/>
      <c r="F865" s="205" t="str">
        <f>IF(E865="","",VLOOKUP(E865,'ARAMA LİSTELERİ'!C865:G2904,5,))</f>
        <v/>
      </c>
      <c r="G865" s="207"/>
      <c r="H865" s="210"/>
      <c r="I865" s="79"/>
      <c r="J865" s="210"/>
      <c r="K865" s="210"/>
      <c r="L865" s="210" t="str">
        <f t="shared" si="1"/>
        <v/>
      </c>
      <c r="M865" s="79"/>
      <c r="N865" s="207"/>
      <c r="O865" s="207"/>
      <c r="P865" s="207"/>
      <c r="Q865" s="207"/>
    </row>
    <row r="866" spans="1:17" ht="34.5" customHeight="1">
      <c r="A866" s="82"/>
      <c r="B866" s="205" t="str">
        <f t="shared" si="2"/>
        <v/>
      </c>
      <c r="C866" s="206" t="str">
        <f t="shared" si="3"/>
        <v/>
      </c>
      <c r="D866" s="207" t="str">
        <f t="shared" si="0"/>
        <v/>
      </c>
      <c r="E866" s="207"/>
      <c r="F866" s="205" t="str">
        <f>IF(E866="","",VLOOKUP(E866,'ARAMA LİSTELERİ'!C866:G2905,5,))</f>
        <v/>
      </c>
      <c r="G866" s="207"/>
      <c r="H866" s="210"/>
      <c r="I866" s="79"/>
      <c r="J866" s="210"/>
      <c r="K866" s="210"/>
      <c r="L866" s="210" t="str">
        <f t="shared" si="1"/>
        <v/>
      </c>
      <c r="M866" s="79"/>
      <c r="N866" s="207"/>
      <c r="O866" s="207"/>
      <c r="P866" s="207"/>
      <c r="Q866" s="207"/>
    </row>
    <row r="867" spans="1:17" ht="34.5" customHeight="1">
      <c r="A867" s="82"/>
      <c r="B867" s="205" t="str">
        <f t="shared" si="2"/>
        <v/>
      </c>
      <c r="C867" s="206" t="str">
        <f t="shared" si="3"/>
        <v/>
      </c>
      <c r="D867" s="207" t="str">
        <f t="shared" si="0"/>
        <v/>
      </c>
      <c r="E867" s="207"/>
      <c r="F867" s="205" t="str">
        <f>IF(E867="","",VLOOKUP(E867,'ARAMA LİSTELERİ'!C867:G2906,5,))</f>
        <v/>
      </c>
      <c r="G867" s="207"/>
      <c r="H867" s="210"/>
      <c r="I867" s="79"/>
      <c r="J867" s="210"/>
      <c r="K867" s="210"/>
      <c r="L867" s="210" t="str">
        <f t="shared" si="1"/>
        <v/>
      </c>
      <c r="M867" s="79"/>
      <c r="N867" s="207"/>
      <c r="O867" s="207"/>
      <c r="P867" s="207"/>
      <c r="Q867" s="207"/>
    </row>
    <row r="868" spans="1:17" ht="34.5" customHeight="1">
      <c r="A868" s="82"/>
      <c r="B868" s="205" t="str">
        <f t="shared" si="2"/>
        <v/>
      </c>
      <c r="C868" s="206" t="str">
        <f t="shared" si="3"/>
        <v/>
      </c>
      <c r="D868" s="207" t="str">
        <f t="shared" si="0"/>
        <v/>
      </c>
      <c r="E868" s="207"/>
      <c r="F868" s="205" t="str">
        <f>IF(E868="","",VLOOKUP(E868,'ARAMA LİSTELERİ'!C868:G2907,5,))</f>
        <v/>
      </c>
      <c r="G868" s="207"/>
      <c r="H868" s="210"/>
      <c r="I868" s="79"/>
      <c r="J868" s="210"/>
      <c r="K868" s="210"/>
      <c r="L868" s="210" t="str">
        <f t="shared" si="1"/>
        <v/>
      </c>
      <c r="M868" s="79"/>
      <c r="N868" s="207"/>
      <c r="O868" s="207"/>
      <c r="P868" s="207"/>
      <c r="Q868" s="207"/>
    </row>
    <row r="869" spans="1:17" ht="34.5" customHeight="1">
      <c r="A869" s="82"/>
      <c r="B869" s="205" t="str">
        <f t="shared" si="2"/>
        <v/>
      </c>
      <c r="C869" s="206" t="str">
        <f t="shared" si="3"/>
        <v/>
      </c>
      <c r="D869" s="207" t="str">
        <f t="shared" si="0"/>
        <v/>
      </c>
      <c r="E869" s="207"/>
      <c r="F869" s="205" t="str">
        <f>IF(E869="","",VLOOKUP(E869,'ARAMA LİSTELERİ'!C869:G2908,5,))</f>
        <v/>
      </c>
      <c r="G869" s="207"/>
      <c r="H869" s="210"/>
      <c r="I869" s="79"/>
      <c r="J869" s="210"/>
      <c r="K869" s="210"/>
      <c r="L869" s="210" t="str">
        <f t="shared" si="1"/>
        <v/>
      </c>
      <c r="M869" s="79"/>
      <c r="N869" s="207"/>
      <c r="O869" s="207"/>
      <c r="P869" s="207"/>
      <c r="Q869" s="207"/>
    </row>
    <row r="870" spans="1:17" ht="34.5" customHeight="1">
      <c r="A870" s="82"/>
      <c r="B870" s="205" t="str">
        <f t="shared" si="2"/>
        <v/>
      </c>
      <c r="C870" s="206" t="str">
        <f t="shared" si="3"/>
        <v/>
      </c>
      <c r="D870" s="207" t="str">
        <f t="shared" si="0"/>
        <v/>
      </c>
      <c r="E870" s="207"/>
      <c r="F870" s="205" t="str">
        <f>IF(E870="","",VLOOKUP(E870,'ARAMA LİSTELERİ'!C870:G2909,5,))</f>
        <v/>
      </c>
      <c r="G870" s="207"/>
      <c r="H870" s="210"/>
      <c r="I870" s="79"/>
      <c r="J870" s="210"/>
      <c r="K870" s="210"/>
      <c r="L870" s="210" t="str">
        <f t="shared" si="1"/>
        <v/>
      </c>
      <c r="M870" s="79"/>
      <c r="N870" s="207"/>
      <c r="O870" s="207"/>
      <c r="P870" s="207"/>
      <c r="Q870" s="207"/>
    </row>
    <row r="871" spans="1:17" ht="34.5" customHeight="1">
      <c r="A871" s="82"/>
      <c r="B871" s="205" t="str">
        <f t="shared" si="2"/>
        <v/>
      </c>
      <c r="C871" s="206" t="str">
        <f t="shared" si="3"/>
        <v/>
      </c>
      <c r="D871" s="207" t="str">
        <f t="shared" si="0"/>
        <v/>
      </c>
      <c r="E871" s="207"/>
      <c r="F871" s="205" t="str">
        <f>IF(E871="","",VLOOKUP(E871,'ARAMA LİSTELERİ'!C871:G2910,5,))</f>
        <v/>
      </c>
      <c r="G871" s="207"/>
      <c r="H871" s="210"/>
      <c r="I871" s="79"/>
      <c r="J871" s="210"/>
      <c r="K871" s="210"/>
      <c r="L871" s="210" t="str">
        <f t="shared" si="1"/>
        <v/>
      </c>
      <c r="M871" s="79"/>
      <c r="N871" s="207"/>
      <c r="O871" s="207"/>
      <c r="P871" s="207"/>
      <c r="Q871" s="207"/>
    </row>
    <row r="872" spans="1:17" ht="34.5" customHeight="1">
      <c r="A872" s="82"/>
      <c r="B872" s="205" t="str">
        <f t="shared" si="2"/>
        <v/>
      </c>
      <c r="C872" s="206" t="str">
        <f t="shared" si="3"/>
        <v/>
      </c>
      <c r="D872" s="207" t="str">
        <f t="shared" si="0"/>
        <v/>
      </c>
      <c r="E872" s="207"/>
      <c r="F872" s="205" t="str">
        <f>IF(E872="","",VLOOKUP(E872,'ARAMA LİSTELERİ'!C872:G2911,5,))</f>
        <v/>
      </c>
      <c r="G872" s="207"/>
      <c r="H872" s="210"/>
      <c r="I872" s="79"/>
      <c r="J872" s="210"/>
      <c r="K872" s="210"/>
      <c r="L872" s="210" t="str">
        <f t="shared" si="1"/>
        <v/>
      </c>
      <c r="M872" s="79"/>
      <c r="N872" s="207"/>
      <c r="O872" s="207"/>
      <c r="P872" s="207"/>
      <c r="Q872" s="207"/>
    </row>
    <row r="873" spans="1:17" ht="34.5" customHeight="1">
      <c r="A873" s="82"/>
      <c r="B873" s="205" t="str">
        <f t="shared" si="2"/>
        <v/>
      </c>
      <c r="C873" s="206" t="str">
        <f t="shared" si="3"/>
        <v/>
      </c>
      <c r="D873" s="207" t="str">
        <f t="shared" si="0"/>
        <v/>
      </c>
      <c r="E873" s="207"/>
      <c r="F873" s="205" t="str">
        <f>IF(E873="","",VLOOKUP(E873,'ARAMA LİSTELERİ'!C873:G2912,5,))</f>
        <v/>
      </c>
      <c r="G873" s="207"/>
      <c r="H873" s="210"/>
      <c r="I873" s="79"/>
      <c r="J873" s="210"/>
      <c r="K873" s="210"/>
      <c r="L873" s="210" t="str">
        <f t="shared" si="1"/>
        <v/>
      </c>
      <c r="M873" s="79"/>
      <c r="N873" s="207"/>
      <c r="O873" s="207"/>
      <c r="P873" s="207"/>
      <c r="Q873" s="207"/>
    </row>
    <row r="874" spans="1:17" ht="34.5" customHeight="1">
      <c r="A874" s="82"/>
      <c r="B874" s="205" t="str">
        <f t="shared" si="2"/>
        <v/>
      </c>
      <c r="C874" s="206" t="str">
        <f t="shared" si="3"/>
        <v/>
      </c>
      <c r="D874" s="207" t="str">
        <f t="shared" si="0"/>
        <v/>
      </c>
      <c r="E874" s="207"/>
      <c r="F874" s="205" t="str">
        <f>IF(E874="","",VLOOKUP(E874,'ARAMA LİSTELERİ'!C874:G2913,5,))</f>
        <v/>
      </c>
      <c r="G874" s="207"/>
      <c r="H874" s="210"/>
      <c r="I874" s="79"/>
      <c r="J874" s="210"/>
      <c r="K874" s="210"/>
      <c r="L874" s="210" t="str">
        <f t="shared" si="1"/>
        <v/>
      </c>
      <c r="M874" s="79"/>
      <c r="N874" s="207"/>
      <c r="O874" s="207"/>
      <c r="P874" s="207"/>
      <c r="Q874" s="207"/>
    </row>
    <row r="875" spans="1:17" ht="34.5" customHeight="1">
      <c r="A875" s="82"/>
      <c r="B875" s="205" t="str">
        <f t="shared" si="2"/>
        <v/>
      </c>
      <c r="C875" s="206" t="str">
        <f t="shared" si="3"/>
        <v/>
      </c>
      <c r="D875" s="207" t="str">
        <f t="shared" si="0"/>
        <v/>
      </c>
      <c r="E875" s="207"/>
      <c r="F875" s="205" t="str">
        <f>IF(E875="","",VLOOKUP(E875,'ARAMA LİSTELERİ'!C875:G2914,5,))</f>
        <v/>
      </c>
      <c r="G875" s="207"/>
      <c r="H875" s="210"/>
      <c r="I875" s="79"/>
      <c r="J875" s="210"/>
      <c r="K875" s="210"/>
      <c r="L875" s="210" t="str">
        <f t="shared" si="1"/>
        <v/>
      </c>
      <c r="M875" s="79"/>
      <c r="N875" s="207"/>
      <c r="O875" s="207"/>
      <c r="P875" s="207"/>
      <c r="Q875" s="207"/>
    </row>
    <row r="876" spans="1:17" ht="34.5" customHeight="1">
      <c r="A876" s="82"/>
      <c r="B876" s="205" t="str">
        <f t="shared" si="2"/>
        <v/>
      </c>
      <c r="C876" s="206" t="str">
        <f t="shared" si="3"/>
        <v/>
      </c>
      <c r="D876" s="207" t="str">
        <f t="shared" si="0"/>
        <v/>
      </c>
      <c r="E876" s="207"/>
      <c r="F876" s="205" t="str">
        <f>IF(E876="","",VLOOKUP(E876,'ARAMA LİSTELERİ'!C876:G2915,5,))</f>
        <v/>
      </c>
      <c r="G876" s="207"/>
      <c r="H876" s="210"/>
      <c r="I876" s="79"/>
      <c r="J876" s="210"/>
      <c r="K876" s="210"/>
      <c r="L876" s="210" t="str">
        <f t="shared" si="1"/>
        <v/>
      </c>
      <c r="M876" s="79"/>
      <c r="N876" s="207"/>
      <c r="O876" s="207"/>
      <c r="P876" s="207"/>
      <c r="Q876" s="207"/>
    </row>
    <row r="877" spans="1:17" ht="34.5" customHeight="1">
      <c r="A877" s="82"/>
      <c r="B877" s="205" t="str">
        <f t="shared" si="2"/>
        <v/>
      </c>
      <c r="C877" s="206" t="str">
        <f t="shared" si="3"/>
        <v/>
      </c>
      <c r="D877" s="207" t="str">
        <f t="shared" si="0"/>
        <v/>
      </c>
      <c r="E877" s="207"/>
      <c r="F877" s="205" t="str">
        <f>IF(E877="","",VLOOKUP(E877,'ARAMA LİSTELERİ'!C877:G2916,5,))</f>
        <v/>
      </c>
      <c r="G877" s="207"/>
      <c r="H877" s="210"/>
      <c r="I877" s="79"/>
      <c r="J877" s="210"/>
      <c r="K877" s="210"/>
      <c r="L877" s="210" t="str">
        <f t="shared" si="1"/>
        <v/>
      </c>
      <c r="M877" s="79"/>
      <c r="N877" s="207"/>
      <c r="O877" s="207"/>
      <c r="P877" s="207"/>
      <c r="Q877" s="207"/>
    </row>
    <row r="878" spans="1:17" ht="34.5" customHeight="1">
      <c r="A878" s="82"/>
      <c r="B878" s="205" t="str">
        <f t="shared" si="2"/>
        <v/>
      </c>
      <c r="C878" s="206" t="str">
        <f t="shared" si="3"/>
        <v/>
      </c>
      <c r="D878" s="207" t="str">
        <f t="shared" si="0"/>
        <v/>
      </c>
      <c r="E878" s="207"/>
      <c r="F878" s="205" t="str">
        <f>IF(E878="","",VLOOKUP(E878,'ARAMA LİSTELERİ'!C878:G2917,5,))</f>
        <v/>
      </c>
      <c r="G878" s="207"/>
      <c r="H878" s="210"/>
      <c r="I878" s="79"/>
      <c r="J878" s="210"/>
      <c r="K878" s="210"/>
      <c r="L878" s="210" t="str">
        <f t="shared" si="1"/>
        <v/>
      </c>
      <c r="M878" s="79"/>
      <c r="N878" s="207"/>
      <c r="O878" s="207"/>
      <c r="P878" s="207"/>
      <c r="Q878" s="207"/>
    </row>
    <row r="879" spans="1:17" ht="34.5" customHeight="1">
      <c r="A879" s="82"/>
      <c r="B879" s="205" t="str">
        <f t="shared" si="2"/>
        <v/>
      </c>
      <c r="C879" s="206" t="str">
        <f t="shared" si="3"/>
        <v/>
      </c>
      <c r="D879" s="207" t="str">
        <f t="shared" si="0"/>
        <v/>
      </c>
      <c r="E879" s="207"/>
      <c r="F879" s="205" t="str">
        <f>IF(E879="","",VLOOKUP(E879,'ARAMA LİSTELERİ'!C879:G2918,5,))</f>
        <v/>
      </c>
      <c r="G879" s="207"/>
      <c r="H879" s="210"/>
      <c r="I879" s="79"/>
      <c r="J879" s="210"/>
      <c r="K879" s="210"/>
      <c r="L879" s="210" t="str">
        <f t="shared" si="1"/>
        <v/>
      </c>
      <c r="M879" s="79"/>
      <c r="N879" s="207"/>
      <c r="O879" s="207"/>
      <c r="P879" s="207"/>
      <c r="Q879" s="207"/>
    </row>
    <row r="880" spans="1:17" ht="34.5" customHeight="1">
      <c r="A880" s="82"/>
      <c r="B880" s="205" t="str">
        <f t="shared" si="2"/>
        <v/>
      </c>
      <c r="C880" s="206" t="str">
        <f t="shared" si="3"/>
        <v/>
      </c>
      <c r="D880" s="207" t="str">
        <f t="shared" si="0"/>
        <v/>
      </c>
      <c r="E880" s="207"/>
      <c r="F880" s="205" t="str">
        <f>IF(E880="","",VLOOKUP(E880,'ARAMA LİSTELERİ'!C880:G2919,5,))</f>
        <v/>
      </c>
      <c r="G880" s="207"/>
      <c r="H880" s="210"/>
      <c r="I880" s="79"/>
      <c r="J880" s="210"/>
      <c r="K880" s="210"/>
      <c r="L880" s="210" t="str">
        <f t="shared" si="1"/>
        <v/>
      </c>
      <c r="M880" s="79"/>
      <c r="N880" s="207"/>
      <c r="O880" s="207"/>
      <c r="P880" s="207"/>
      <c r="Q880" s="207"/>
    </row>
    <row r="881" spans="1:17" ht="34.5" customHeight="1">
      <c r="A881" s="82"/>
      <c r="B881" s="205" t="str">
        <f t="shared" si="2"/>
        <v/>
      </c>
      <c r="C881" s="206" t="str">
        <f t="shared" si="3"/>
        <v/>
      </c>
      <c r="D881" s="207" t="str">
        <f t="shared" si="0"/>
        <v/>
      </c>
      <c r="E881" s="207"/>
      <c r="F881" s="205" t="str">
        <f>IF(E881="","",VLOOKUP(E881,'ARAMA LİSTELERİ'!C881:G2920,5,))</f>
        <v/>
      </c>
      <c r="G881" s="207"/>
      <c r="H881" s="210"/>
      <c r="I881" s="79"/>
      <c r="J881" s="210"/>
      <c r="K881" s="210"/>
      <c r="L881" s="210" t="str">
        <f t="shared" si="1"/>
        <v/>
      </c>
      <c r="M881" s="79"/>
      <c r="N881" s="207"/>
      <c r="O881" s="207"/>
      <c r="P881" s="207"/>
      <c r="Q881" s="207"/>
    </row>
    <row r="882" spans="1:17" ht="34.5" customHeight="1">
      <c r="A882" s="82"/>
      <c r="B882" s="205" t="str">
        <f t="shared" si="2"/>
        <v/>
      </c>
      <c r="C882" s="206" t="str">
        <f t="shared" si="3"/>
        <v/>
      </c>
      <c r="D882" s="207" t="str">
        <f t="shared" si="0"/>
        <v/>
      </c>
      <c r="E882" s="207"/>
      <c r="F882" s="205" t="str">
        <f>IF(E882="","",VLOOKUP(E882,'ARAMA LİSTELERİ'!C882:G2921,5,))</f>
        <v/>
      </c>
      <c r="G882" s="207"/>
      <c r="H882" s="210"/>
      <c r="I882" s="79"/>
      <c r="J882" s="210"/>
      <c r="K882" s="210"/>
      <c r="L882" s="210" t="str">
        <f t="shared" si="1"/>
        <v/>
      </c>
      <c r="M882" s="79"/>
      <c r="N882" s="207"/>
      <c r="O882" s="207"/>
      <c r="P882" s="207"/>
      <c r="Q882" s="207"/>
    </row>
    <row r="883" spans="1:17" ht="34.5" customHeight="1">
      <c r="A883" s="82"/>
      <c r="B883" s="205" t="str">
        <f t="shared" si="2"/>
        <v/>
      </c>
      <c r="C883" s="206" t="str">
        <f t="shared" si="3"/>
        <v/>
      </c>
      <c r="D883" s="207" t="str">
        <f t="shared" si="0"/>
        <v/>
      </c>
      <c r="E883" s="207"/>
      <c r="F883" s="205" t="str">
        <f>IF(E883="","",VLOOKUP(E883,'ARAMA LİSTELERİ'!C883:G2922,5,))</f>
        <v/>
      </c>
      <c r="G883" s="207"/>
      <c r="H883" s="210"/>
      <c r="I883" s="79"/>
      <c r="J883" s="210"/>
      <c r="K883" s="210"/>
      <c r="L883" s="210" t="str">
        <f t="shared" si="1"/>
        <v/>
      </c>
      <c r="M883" s="79"/>
      <c r="N883" s="207"/>
      <c r="O883" s="207"/>
      <c r="P883" s="207"/>
      <c r="Q883" s="207"/>
    </row>
    <row r="884" spans="1:17" ht="34.5" customHeight="1">
      <c r="A884" s="82"/>
      <c r="B884" s="205" t="str">
        <f t="shared" si="2"/>
        <v/>
      </c>
      <c r="C884" s="206" t="str">
        <f t="shared" si="3"/>
        <v/>
      </c>
      <c r="D884" s="207" t="str">
        <f t="shared" si="0"/>
        <v/>
      </c>
      <c r="E884" s="207"/>
      <c r="F884" s="205" t="str">
        <f>IF(E884="","",VLOOKUP(E884,'ARAMA LİSTELERİ'!C884:G2923,5,))</f>
        <v/>
      </c>
      <c r="G884" s="207"/>
      <c r="H884" s="210"/>
      <c r="I884" s="79"/>
      <c r="J884" s="210"/>
      <c r="K884" s="210"/>
      <c r="L884" s="210" t="str">
        <f t="shared" si="1"/>
        <v/>
      </c>
      <c r="M884" s="79"/>
      <c r="N884" s="207"/>
      <c r="O884" s="207"/>
      <c r="P884" s="207"/>
      <c r="Q884" s="207"/>
    </row>
    <row r="885" spans="1:17" ht="34.5" customHeight="1">
      <c r="A885" s="82"/>
      <c r="B885" s="205" t="str">
        <f t="shared" si="2"/>
        <v/>
      </c>
      <c r="C885" s="206" t="str">
        <f t="shared" si="3"/>
        <v/>
      </c>
      <c r="D885" s="207" t="str">
        <f t="shared" si="0"/>
        <v/>
      </c>
      <c r="E885" s="207"/>
      <c r="F885" s="205" t="str">
        <f>IF(E885="","",VLOOKUP(E885,'ARAMA LİSTELERİ'!C885:G2924,5,))</f>
        <v/>
      </c>
      <c r="G885" s="207"/>
      <c r="H885" s="210"/>
      <c r="I885" s="79"/>
      <c r="J885" s="210"/>
      <c r="K885" s="210"/>
      <c r="L885" s="210" t="str">
        <f t="shared" si="1"/>
        <v/>
      </c>
      <c r="M885" s="79"/>
      <c r="N885" s="207"/>
      <c r="O885" s="207"/>
      <c r="P885" s="207"/>
      <c r="Q885" s="207"/>
    </row>
    <row r="886" spans="1:17" ht="34.5" customHeight="1">
      <c r="A886" s="82"/>
      <c r="B886" s="205" t="str">
        <f t="shared" si="2"/>
        <v/>
      </c>
      <c r="C886" s="206" t="str">
        <f t="shared" si="3"/>
        <v/>
      </c>
      <c r="D886" s="207" t="str">
        <f t="shared" si="0"/>
        <v/>
      </c>
      <c r="E886" s="207"/>
      <c r="F886" s="205" t="str">
        <f>IF(E886="","",VLOOKUP(E886,'ARAMA LİSTELERİ'!C886:G2925,5,))</f>
        <v/>
      </c>
      <c r="G886" s="207"/>
      <c r="H886" s="210"/>
      <c r="I886" s="79"/>
      <c r="J886" s="210"/>
      <c r="K886" s="210"/>
      <c r="L886" s="210" t="str">
        <f t="shared" si="1"/>
        <v/>
      </c>
      <c r="M886" s="79"/>
      <c r="N886" s="207"/>
      <c r="O886" s="207"/>
      <c r="P886" s="207"/>
      <c r="Q886" s="207"/>
    </row>
    <row r="887" spans="1:17" ht="34.5" customHeight="1">
      <c r="A887" s="82"/>
      <c r="B887" s="205" t="str">
        <f t="shared" si="2"/>
        <v/>
      </c>
      <c r="C887" s="206" t="str">
        <f t="shared" si="3"/>
        <v/>
      </c>
      <c r="D887" s="207" t="str">
        <f t="shared" si="0"/>
        <v/>
      </c>
      <c r="E887" s="207"/>
      <c r="F887" s="205" t="str">
        <f>IF(E887="","",VLOOKUP(E887,'ARAMA LİSTELERİ'!C887:G2926,5,))</f>
        <v/>
      </c>
      <c r="G887" s="207"/>
      <c r="H887" s="210"/>
      <c r="I887" s="79"/>
      <c r="J887" s="210"/>
      <c r="K887" s="210"/>
      <c r="L887" s="210" t="str">
        <f t="shared" si="1"/>
        <v/>
      </c>
      <c r="M887" s="79"/>
      <c r="N887" s="207"/>
      <c r="O887" s="207"/>
      <c r="P887" s="207"/>
      <c r="Q887" s="207"/>
    </row>
    <row r="888" spans="1:17" ht="34.5" customHeight="1">
      <c r="A888" s="82"/>
      <c r="B888" s="205" t="str">
        <f t="shared" si="2"/>
        <v/>
      </c>
      <c r="C888" s="206" t="str">
        <f t="shared" si="3"/>
        <v/>
      </c>
      <c r="D888" s="207" t="str">
        <f t="shared" si="0"/>
        <v/>
      </c>
      <c r="E888" s="207"/>
      <c r="F888" s="205" t="str">
        <f>IF(E888="","",VLOOKUP(E888,'ARAMA LİSTELERİ'!C888:G2927,5,))</f>
        <v/>
      </c>
      <c r="G888" s="207"/>
      <c r="H888" s="210"/>
      <c r="I888" s="79"/>
      <c r="J888" s="210"/>
      <c r="K888" s="210"/>
      <c r="L888" s="210" t="str">
        <f t="shared" si="1"/>
        <v/>
      </c>
      <c r="M888" s="79"/>
      <c r="N888" s="207"/>
      <c r="O888" s="207"/>
      <c r="P888" s="207"/>
      <c r="Q888" s="207"/>
    </row>
    <row r="889" spans="1:17" ht="34.5" customHeight="1">
      <c r="A889" s="82"/>
      <c r="B889" s="205" t="str">
        <f t="shared" si="2"/>
        <v/>
      </c>
      <c r="C889" s="206" t="str">
        <f t="shared" si="3"/>
        <v/>
      </c>
      <c r="D889" s="207" t="str">
        <f t="shared" si="0"/>
        <v/>
      </c>
      <c r="E889" s="207"/>
      <c r="F889" s="205" t="str">
        <f>IF(E889="","",VLOOKUP(E889,'ARAMA LİSTELERİ'!C889:G2928,5,))</f>
        <v/>
      </c>
      <c r="G889" s="207"/>
      <c r="H889" s="210"/>
      <c r="I889" s="79"/>
      <c r="J889" s="210"/>
      <c r="K889" s="210"/>
      <c r="L889" s="210" t="str">
        <f t="shared" si="1"/>
        <v/>
      </c>
      <c r="M889" s="79"/>
      <c r="N889" s="207"/>
      <c r="O889" s="207"/>
      <c r="P889" s="207"/>
      <c r="Q889" s="207"/>
    </row>
    <row r="890" spans="1:17" ht="34.5" customHeight="1">
      <c r="A890" s="82"/>
      <c r="B890" s="205" t="str">
        <f t="shared" si="2"/>
        <v/>
      </c>
      <c r="C890" s="206" t="str">
        <f t="shared" si="3"/>
        <v/>
      </c>
      <c r="D890" s="207" t="str">
        <f t="shared" si="0"/>
        <v/>
      </c>
      <c r="E890" s="207"/>
      <c r="F890" s="205" t="str">
        <f>IF(E890="","",VLOOKUP(E890,'ARAMA LİSTELERİ'!C890:G2929,5,))</f>
        <v/>
      </c>
      <c r="G890" s="207"/>
      <c r="H890" s="210"/>
      <c r="I890" s="79"/>
      <c r="J890" s="210"/>
      <c r="K890" s="210"/>
      <c r="L890" s="210" t="str">
        <f t="shared" si="1"/>
        <v/>
      </c>
      <c r="M890" s="79"/>
      <c r="N890" s="207"/>
      <c r="O890" s="207"/>
      <c r="P890" s="207"/>
      <c r="Q890" s="207"/>
    </row>
    <row r="891" spans="1:17" ht="34.5" customHeight="1">
      <c r="A891" s="82"/>
      <c r="B891" s="205" t="str">
        <f t="shared" si="2"/>
        <v/>
      </c>
      <c r="C891" s="206" t="str">
        <f t="shared" si="3"/>
        <v/>
      </c>
      <c r="D891" s="207" t="str">
        <f t="shared" si="0"/>
        <v/>
      </c>
      <c r="E891" s="207"/>
      <c r="F891" s="205" t="str">
        <f>IF(E891="","",VLOOKUP(E891,'ARAMA LİSTELERİ'!C891:G2930,5,))</f>
        <v/>
      </c>
      <c r="G891" s="207"/>
      <c r="H891" s="210"/>
      <c r="I891" s="79"/>
      <c r="J891" s="210"/>
      <c r="K891" s="210"/>
      <c r="L891" s="210" t="str">
        <f t="shared" si="1"/>
        <v/>
      </c>
      <c r="M891" s="79"/>
      <c r="N891" s="207"/>
      <c r="O891" s="207"/>
      <c r="P891" s="207"/>
      <c r="Q891" s="207"/>
    </row>
    <row r="892" spans="1:17" ht="34.5" customHeight="1">
      <c r="A892" s="82"/>
      <c r="B892" s="205" t="str">
        <f t="shared" si="2"/>
        <v/>
      </c>
      <c r="C892" s="206" t="str">
        <f t="shared" si="3"/>
        <v/>
      </c>
      <c r="D892" s="207" t="str">
        <f t="shared" si="0"/>
        <v/>
      </c>
      <c r="E892" s="207"/>
      <c r="F892" s="205" t="str">
        <f>IF(E892="","",VLOOKUP(E892,'ARAMA LİSTELERİ'!C892:G2931,5,))</f>
        <v/>
      </c>
      <c r="G892" s="207"/>
      <c r="H892" s="210"/>
      <c r="I892" s="79"/>
      <c r="J892" s="210"/>
      <c r="K892" s="210"/>
      <c r="L892" s="210" t="str">
        <f t="shared" si="1"/>
        <v/>
      </c>
      <c r="M892" s="79"/>
      <c r="N892" s="207"/>
      <c r="O892" s="207"/>
      <c r="P892" s="207"/>
      <c r="Q892" s="207"/>
    </row>
    <row r="893" spans="1:17" ht="34.5" customHeight="1">
      <c r="A893" s="82"/>
      <c r="B893" s="205" t="str">
        <f t="shared" si="2"/>
        <v/>
      </c>
      <c r="C893" s="206" t="str">
        <f t="shared" si="3"/>
        <v/>
      </c>
      <c r="D893" s="207" t="str">
        <f t="shared" si="0"/>
        <v/>
      </c>
      <c r="E893" s="207"/>
      <c r="F893" s="205" t="str">
        <f>IF(E893="","",VLOOKUP(E893,'ARAMA LİSTELERİ'!C893:G2932,5,))</f>
        <v/>
      </c>
      <c r="G893" s="207"/>
      <c r="H893" s="210"/>
      <c r="I893" s="79"/>
      <c r="J893" s="210"/>
      <c r="K893" s="210"/>
      <c r="L893" s="210" t="str">
        <f t="shared" si="1"/>
        <v/>
      </c>
      <c r="M893" s="79"/>
      <c r="N893" s="207"/>
      <c r="O893" s="207"/>
      <c r="P893" s="207"/>
      <c r="Q893" s="207"/>
    </row>
    <row r="894" spans="1:17" ht="34.5" customHeight="1">
      <c r="A894" s="82"/>
      <c r="B894" s="205" t="str">
        <f t="shared" si="2"/>
        <v/>
      </c>
      <c r="C894" s="206" t="str">
        <f t="shared" si="3"/>
        <v/>
      </c>
      <c r="D894" s="207" t="str">
        <f t="shared" si="0"/>
        <v/>
      </c>
      <c r="E894" s="207"/>
      <c r="F894" s="205" t="str">
        <f>IF(E894="","",VLOOKUP(E894,'ARAMA LİSTELERİ'!C894:G2933,5,))</f>
        <v/>
      </c>
      <c r="G894" s="207"/>
      <c r="H894" s="210"/>
      <c r="I894" s="79"/>
      <c r="J894" s="210"/>
      <c r="K894" s="210"/>
      <c r="L894" s="210" t="str">
        <f t="shared" si="1"/>
        <v/>
      </c>
      <c r="M894" s="79"/>
      <c r="N894" s="207"/>
      <c r="O894" s="207"/>
      <c r="P894" s="207"/>
      <c r="Q894" s="207"/>
    </row>
    <row r="895" spans="1:17" ht="34.5" customHeight="1">
      <c r="A895" s="82"/>
      <c r="B895" s="205" t="str">
        <f t="shared" si="2"/>
        <v/>
      </c>
      <c r="C895" s="206" t="str">
        <f t="shared" si="3"/>
        <v/>
      </c>
      <c r="D895" s="207" t="str">
        <f t="shared" si="0"/>
        <v/>
      </c>
      <c r="E895" s="207"/>
      <c r="F895" s="205" t="str">
        <f>IF(E895="","",VLOOKUP(E895,'ARAMA LİSTELERİ'!C895:G2934,5,))</f>
        <v/>
      </c>
      <c r="G895" s="207"/>
      <c r="H895" s="210"/>
      <c r="I895" s="79"/>
      <c r="J895" s="210"/>
      <c r="K895" s="210"/>
      <c r="L895" s="210" t="str">
        <f t="shared" si="1"/>
        <v/>
      </c>
      <c r="M895" s="79"/>
      <c r="N895" s="207"/>
      <c r="O895" s="207"/>
      <c r="P895" s="207"/>
      <c r="Q895" s="207"/>
    </row>
    <row r="896" spans="1:17" ht="34.5" customHeight="1">
      <c r="A896" s="82"/>
      <c r="B896" s="205" t="str">
        <f t="shared" si="2"/>
        <v/>
      </c>
      <c r="C896" s="206" t="str">
        <f t="shared" si="3"/>
        <v/>
      </c>
      <c r="D896" s="207" t="str">
        <f t="shared" si="0"/>
        <v/>
      </c>
      <c r="E896" s="207"/>
      <c r="F896" s="205" t="str">
        <f>IF(E896="","",VLOOKUP(E896,'ARAMA LİSTELERİ'!C896:G2935,5,))</f>
        <v/>
      </c>
      <c r="G896" s="207"/>
      <c r="H896" s="210"/>
      <c r="I896" s="79"/>
      <c r="J896" s="210"/>
      <c r="K896" s="210"/>
      <c r="L896" s="210" t="str">
        <f t="shared" si="1"/>
        <v/>
      </c>
      <c r="M896" s="79"/>
      <c r="N896" s="207"/>
      <c r="O896" s="207"/>
      <c r="P896" s="207"/>
      <c r="Q896" s="207"/>
    </row>
    <row r="897" spans="1:17" ht="34.5" customHeight="1">
      <c r="A897" s="82"/>
      <c r="B897" s="205" t="str">
        <f t="shared" si="2"/>
        <v/>
      </c>
      <c r="C897" s="206" t="str">
        <f t="shared" si="3"/>
        <v/>
      </c>
      <c r="D897" s="207" t="str">
        <f t="shared" si="0"/>
        <v/>
      </c>
      <c r="E897" s="207"/>
      <c r="F897" s="205" t="str">
        <f>IF(E897="","",VLOOKUP(E897,'ARAMA LİSTELERİ'!C897:G2936,5,))</f>
        <v/>
      </c>
      <c r="G897" s="207"/>
      <c r="H897" s="210"/>
      <c r="I897" s="79"/>
      <c r="J897" s="210"/>
      <c r="K897" s="210"/>
      <c r="L897" s="210" t="str">
        <f t="shared" si="1"/>
        <v/>
      </c>
      <c r="M897" s="79"/>
      <c r="N897" s="207"/>
      <c r="O897" s="207"/>
      <c r="P897" s="207"/>
      <c r="Q897" s="207"/>
    </row>
    <row r="898" spans="1:17" ht="34.5" customHeight="1">
      <c r="A898" s="82"/>
      <c r="B898" s="205" t="str">
        <f t="shared" si="2"/>
        <v/>
      </c>
      <c r="C898" s="206" t="str">
        <f t="shared" si="3"/>
        <v/>
      </c>
      <c r="D898" s="207" t="str">
        <f t="shared" si="0"/>
        <v/>
      </c>
      <c r="E898" s="207"/>
      <c r="F898" s="205" t="str">
        <f>IF(E898="","",VLOOKUP(E898,'ARAMA LİSTELERİ'!C898:G2937,5,))</f>
        <v/>
      </c>
      <c r="G898" s="207"/>
      <c r="H898" s="210"/>
      <c r="I898" s="79"/>
      <c r="J898" s="210"/>
      <c r="K898" s="210"/>
      <c r="L898" s="210" t="str">
        <f t="shared" si="1"/>
        <v/>
      </c>
      <c r="M898" s="79"/>
      <c r="N898" s="207"/>
      <c r="O898" s="207"/>
      <c r="P898" s="207"/>
      <c r="Q898" s="207"/>
    </row>
    <row r="899" spans="1:17" ht="34.5" customHeight="1">
      <c r="A899" s="82"/>
      <c r="B899" s="205" t="str">
        <f t="shared" si="2"/>
        <v/>
      </c>
      <c r="C899" s="206" t="str">
        <f t="shared" si="3"/>
        <v/>
      </c>
      <c r="D899" s="207" t="str">
        <f t="shared" si="0"/>
        <v/>
      </c>
      <c r="E899" s="207"/>
      <c r="F899" s="205" t="str">
        <f>IF(E899="","",VLOOKUP(E899,'ARAMA LİSTELERİ'!C899:G2938,5,))</f>
        <v/>
      </c>
      <c r="G899" s="207"/>
      <c r="H899" s="210"/>
      <c r="I899" s="79"/>
      <c r="J899" s="210"/>
      <c r="K899" s="210"/>
      <c r="L899" s="210" t="str">
        <f t="shared" si="1"/>
        <v/>
      </c>
      <c r="M899" s="79"/>
      <c r="N899" s="207"/>
      <c r="O899" s="207"/>
      <c r="P899" s="207"/>
      <c r="Q899" s="207"/>
    </row>
    <row r="900" spans="1:17" ht="34.5" customHeight="1">
      <c r="A900" s="82"/>
      <c r="B900" s="205" t="str">
        <f t="shared" si="2"/>
        <v/>
      </c>
      <c r="C900" s="206" t="str">
        <f t="shared" si="3"/>
        <v/>
      </c>
      <c r="D900" s="207" t="str">
        <f t="shared" si="0"/>
        <v/>
      </c>
      <c r="E900" s="207"/>
      <c r="F900" s="205" t="str">
        <f>IF(E900="","",VLOOKUP(E900,'ARAMA LİSTELERİ'!C900:G2939,5,))</f>
        <v/>
      </c>
      <c r="G900" s="207"/>
      <c r="H900" s="210"/>
      <c r="I900" s="79"/>
      <c r="J900" s="210"/>
      <c r="K900" s="210"/>
      <c r="L900" s="210" t="str">
        <f t="shared" si="1"/>
        <v/>
      </c>
      <c r="M900" s="79"/>
      <c r="N900" s="207"/>
      <c r="O900" s="207"/>
      <c r="P900" s="207"/>
      <c r="Q900" s="207"/>
    </row>
    <row r="901" spans="1:17" ht="34.5" customHeight="1">
      <c r="A901" s="82"/>
      <c r="B901" s="205" t="str">
        <f t="shared" si="2"/>
        <v/>
      </c>
      <c r="C901" s="206" t="str">
        <f t="shared" si="3"/>
        <v/>
      </c>
      <c r="D901" s="207" t="str">
        <f t="shared" si="0"/>
        <v/>
      </c>
      <c r="E901" s="207"/>
      <c r="F901" s="205" t="str">
        <f>IF(E901="","",VLOOKUP(E901,'ARAMA LİSTELERİ'!C901:G2940,5,))</f>
        <v/>
      </c>
      <c r="G901" s="207"/>
      <c r="H901" s="210"/>
      <c r="I901" s="79"/>
      <c r="J901" s="210"/>
      <c r="K901" s="210"/>
      <c r="L901" s="210" t="str">
        <f t="shared" si="1"/>
        <v/>
      </c>
      <c r="M901" s="79"/>
      <c r="N901" s="207"/>
      <c r="O901" s="207"/>
      <c r="P901" s="207"/>
      <c r="Q901" s="207"/>
    </row>
    <row r="902" spans="1:17" ht="34.5" customHeight="1">
      <c r="A902" s="82"/>
      <c r="B902" s="205" t="str">
        <f t="shared" si="2"/>
        <v/>
      </c>
      <c r="C902" s="206" t="str">
        <f t="shared" si="3"/>
        <v/>
      </c>
      <c r="D902" s="207" t="str">
        <f t="shared" si="0"/>
        <v/>
      </c>
      <c r="E902" s="207"/>
      <c r="F902" s="205" t="str">
        <f>IF(E902="","",VLOOKUP(E902,'ARAMA LİSTELERİ'!C902:G2941,5,))</f>
        <v/>
      </c>
      <c r="G902" s="207"/>
      <c r="H902" s="210"/>
      <c r="I902" s="79"/>
      <c r="J902" s="210"/>
      <c r="K902" s="210"/>
      <c r="L902" s="210" t="str">
        <f t="shared" si="1"/>
        <v/>
      </c>
      <c r="M902" s="79"/>
      <c r="N902" s="207"/>
      <c r="O902" s="207"/>
      <c r="P902" s="207"/>
      <c r="Q902" s="207"/>
    </row>
    <row r="903" spans="1:17" ht="34.5" customHeight="1">
      <c r="A903" s="82"/>
      <c r="B903" s="205" t="str">
        <f t="shared" si="2"/>
        <v/>
      </c>
      <c r="C903" s="206" t="str">
        <f t="shared" si="3"/>
        <v/>
      </c>
      <c r="D903" s="207" t="str">
        <f t="shared" si="0"/>
        <v/>
      </c>
      <c r="E903" s="207"/>
      <c r="F903" s="205" t="str">
        <f>IF(E903="","",VLOOKUP(E903,'ARAMA LİSTELERİ'!C903:G2942,5,))</f>
        <v/>
      </c>
      <c r="G903" s="207"/>
      <c r="H903" s="210"/>
      <c r="I903" s="79"/>
      <c r="J903" s="210"/>
      <c r="K903" s="210"/>
      <c r="L903" s="210" t="str">
        <f t="shared" si="1"/>
        <v/>
      </c>
      <c r="M903" s="79"/>
      <c r="N903" s="207"/>
      <c r="O903" s="207"/>
      <c r="P903" s="207"/>
      <c r="Q903" s="207"/>
    </row>
    <row r="904" spans="1:17" ht="34.5" customHeight="1">
      <c r="A904" s="82"/>
      <c r="B904" s="205" t="str">
        <f t="shared" si="2"/>
        <v/>
      </c>
      <c r="C904" s="206" t="str">
        <f t="shared" si="3"/>
        <v/>
      </c>
      <c r="D904" s="207" t="str">
        <f t="shared" si="0"/>
        <v/>
      </c>
      <c r="E904" s="207"/>
      <c r="F904" s="205" t="str">
        <f>IF(E904="","",VLOOKUP(E904,'ARAMA LİSTELERİ'!C904:G2943,5,))</f>
        <v/>
      </c>
      <c r="G904" s="207"/>
      <c r="H904" s="210"/>
      <c r="I904" s="79"/>
      <c r="J904" s="210"/>
      <c r="K904" s="210"/>
      <c r="L904" s="210" t="str">
        <f t="shared" si="1"/>
        <v/>
      </c>
      <c r="M904" s="79"/>
      <c r="N904" s="207"/>
      <c r="O904" s="207"/>
      <c r="P904" s="207"/>
      <c r="Q904" s="207"/>
    </row>
    <row r="905" spans="1:17" ht="34.5" customHeight="1">
      <c r="A905" s="82"/>
      <c r="B905" s="205" t="str">
        <f t="shared" si="2"/>
        <v/>
      </c>
      <c r="C905" s="206" t="str">
        <f t="shared" si="3"/>
        <v/>
      </c>
      <c r="D905" s="207" t="str">
        <f t="shared" si="0"/>
        <v/>
      </c>
      <c r="E905" s="207"/>
      <c r="F905" s="205" t="str">
        <f>IF(E905="","",VLOOKUP(E905,'ARAMA LİSTELERİ'!C905:G2944,5,))</f>
        <v/>
      </c>
      <c r="G905" s="207"/>
      <c r="H905" s="210"/>
      <c r="I905" s="79"/>
      <c r="J905" s="210"/>
      <c r="K905" s="210"/>
      <c r="L905" s="210" t="str">
        <f t="shared" si="1"/>
        <v/>
      </c>
      <c r="M905" s="79"/>
      <c r="N905" s="207"/>
      <c r="O905" s="207"/>
      <c r="P905" s="207"/>
      <c r="Q905" s="207"/>
    </row>
    <row r="906" spans="1:17" ht="34.5" customHeight="1">
      <c r="A906" s="82"/>
      <c r="B906" s="205" t="str">
        <f t="shared" si="2"/>
        <v/>
      </c>
      <c r="C906" s="206" t="str">
        <f t="shared" si="3"/>
        <v/>
      </c>
      <c r="D906" s="207" t="str">
        <f t="shared" si="0"/>
        <v/>
      </c>
      <c r="E906" s="207"/>
      <c r="F906" s="205" t="str">
        <f>IF(E906="","",VLOOKUP(E906,'ARAMA LİSTELERİ'!C906:G2945,5,))</f>
        <v/>
      </c>
      <c r="G906" s="207"/>
      <c r="H906" s="210"/>
      <c r="I906" s="79"/>
      <c r="J906" s="210"/>
      <c r="K906" s="210"/>
      <c r="L906" s="210" t="str">
        <f t="shared" si="1"/>
        <v/>
      </c>
      <c r="M906" s="79"/>
      <c r="N906" s="207"/>
      <c r="O906" s="207"/>
      <c r="P906" s="207"/>
      <c r="Q906" s="207"/>
    </row>
    <row r="907" spans="1:17" ht="34.5" customHeight="1">
      <c r="A907" s="82"/>
      <c r="B907" s="205" t="str">
        <f t="shared" si="2"/>
        <v/>
      </c>
      <c r="C907" s="206" t="str">
        <f t="shared" si="3"/>
        <v/>
      </c>
      <c r="D907" s="207" t="str">
        <f t="shared" si="0"/>
        <v/>
      </c>
      <c r="E907" s="207"/>
      <c r="F907" s="205" t="str">
        <f>IF(E907="","",VLOOKUP(E907,'ARAMA LİSTELERİ'!C907:G2946,5,))</f>
        <v/>
      </c>
      <c r="G907" s="207"/>
      <c r="H907" s="210"/>
      <c r="I907" s="79"/>
      <c r="J907" s="210"/>
      <c r="K907" s="210"/>
      <c r="L907" s="210" t="str">
        <f t="shared" si="1"/>
        <v/>
      </c>
      <c r="M907" s="79"/>
      <c r="N907" s="207"/>
      <c r="O907" s="207"/>
      <c r="P907" s="207"/>
      <c r="Q907" s="207"/>
    </row>
    <row r="908" spans="1:17" ht="34.5" customHeight="1">
      <c r="A908" s="82"/>
      <c r="B908" s="205" t="str">
        <f t="shared" si="2"/>
        <v/>
      </c>
      <c r="C908" s="206" t="str">
        <f t="shared" si="3"/>
        <v/>
      </c>
      <c r="D908" s="207" t="str">
        <f t="shared" si="0"/>
        <v/>
      </c>
      <c r="E908" s="207"/>
      <c r="F908" s="205" t="str">
        <f>IF(E908="","",VLOOKUP(E908,'ARAMA LİSTELERİ'!C908:G2947,5,))</f>
        <v/>
      </c>
      <c r="G908" s="207"/>
      <c r="H908" s="210"/>
      <c r="I908" s="79"/>
      <c r="J908" s="210"/>
      <c r="K908" s="210"/>
      <c r="L908" s="210" t="str">
        <f t="shared" si="1"/>
        <v/>
      </c>
      <c r="M908" s="79"/>
      <c r="N908" s="207"/>
      <c r="O908" s="207"/>
      <c r="P908" s="207"/>
      <c r="Q908" s="207"/>
    </row>
    <row r="909" spans="1:17" ht="34.5" customHeight="1">
      <c r="A909" s="82"/>
      <c r="B909" s="205" t="str">
        <f t="shared" si="2"/>
        <v/>
      </c>
      <c r="C909" s="206" t="str">
        <f t="shared" si="3"/>
        <v/>
      </c>
      <c r="D909" s="207" t="str">
        <f t="shared" si="0"/>
        <v/>
      </c>
      <c r="E909" s="207"/>
      <c r="F909" s="205" t="str">
        <f>IF(E909="","",VLOOKUP(E909,'ARAMA LİSTELERİ'!C909:G2948,5,))</f>
        <v/>
      </c>
      <c r="G909" s="207"/>
      <c r="H909" s="210"/>
      <c r="I909" s="79"/>
      <c r="J909" s="210"/>
      <c r="K909" s="210"/>
      <c r="L909" s="210" t="str">
        <f t="shared" si="1"/>
        <v/>
      </c>
      <c r="M909" s="79"/>
      <c r="N909" s="207"/>
      <c r="O909" s="207"/>
      <c r="P909" s="207"/>
      <c r="Q909" s="207"/>
    </row>
    <row r="910" spans="1:17" ht="34.5" customHeight="1">
      <c r="A910" s="82"/>
      <c r="B910" s="205" t="str">
        <f t="shared" si="2"/>
        <v/>
      </c>
      <c r="C910" s="206" t="str">
        <f t="shared" si="3"/>
        <v/>
      </c>
      <c r="D910" s="207" t="str">
        <f t="shared" si="0"/>
        <v/>
      </c>
      <c r="E910" s="207"/>
      <c r="F910" s="205" t="str">
        <f>IF(E910="","",VLOOKUP(E910,'ARAMA LİSTELERİ'!C910:G2949,5,))</f>
        <v/>
      </c>
      <c r="G910" s="207"/>
      <c r="H910" s="210"/>
      <c r="I910" s="79"/>
      <c r="J910" s="210"/>
      <c r="K910" s="210"/>
      <c r="L910" s="210" t="str">
        <f t="shared" si="1"/>
        <v/>
      </c>
      <c r="M910" s="79"/>
      <c r="N910" s="207"/>
      <c r="O910" s="207"/>
      <c r="P910" s="207"/>
      <c r="Q910" s="207"/>
    </row>
    <row r="911" spans="1:17" ht="34.5" customHeight="1">
      <c r="A911" s="82"/>
      <c r="B911" s="205" t="str">
        <f t="shared" si="2"/>
        <v/>
      </c>
      <c r="C911" s="206" t="str">
        <f t="shared" si="3"/>
        <v/>
      </c>
      <c r="D911" s="207" t="str">
        <f t="shared" si="0"/>
        <v/>
      </c>
      <c r="E911" s="207"/>
      <c r="F911" s="205" t="str">
        <f>IF(E911="","",VLOOKUP(E911,'ARAMA LİSTELERİ'!C911:G2950,5,))</f>
        <v/>
      </c>
      <c r="G911" s="207"/>
      <c r="H911" s="210"/>
      <c r="I911" s="79"/>
      <c r="J911" s="210"/>
      <c r="K911" s="210"/>
      <c r="L911" s="210" t="str">
        <f t="shared" si="1"/>
        <v/>
      </c>
      <c r="M911" s="79"/>
      <c r="N911" s="207"/>
      <c r="O911" s="207"/>
      <c r="P911" s="207"/>
      <c r="Q911" s="207"/>
    </row>
    <row r="912" spans="1:17" ht="34.5" customHeight="1">
      <c r="A912" s="82"/>
      <c r="B912" s="205" t="str">
        <f t="shared" si="2"/>
        <v/>
      </c>
      <c r="C912" s="206" t="str">
        <f t="shared" si="3"/>
        <v/>
      </c>
      <c r="D912" s="207" t="str">
        <f t="shared" si="0"/>
        <v/>
      </c>
      <c r="E912" s="207"/>
      <c r="F912" s="205" t="str">
        <f>IF(E912="","",VLOOKUP(E912,'ARAMA LİSTELERİ'!C912:G2951,5,))</f>
        <v/>
      </c>
      <c r="G912" s="207"/>
      <c r="H912" s="210"/>
      <c r="I912" s="79"/>
      <c r="J912" s="210"/>
      <c r="K912" s="210"/>
      <c r="L912" s="210" t="str">
        <f t="shared" si="1"/>
        <v/>
      </c>
      <c r="M912" s="79"/>
      <c r="N912" s="207"/>
      <c r="O912" s="207"/>
      <c r="P912" s="207"/>
      <c r="Q912" s="207"/>
    </row>
    <row r="913" spans="1:17" ht="34.5" customHeight="1">
      <c r="A913" s="82"/>
      <c r="B913" s="205" t="str">
        <f t="shared" si="2"/>
        <v/>
      </c>
      <c r="C913" s="206" t="str">
        <f t="shared" si="3"/>
        <v/>
      </c>
      <c r="D913" s="207" t="str">
        <f t="shared" si="0"/>
        <v/>
      </c>
      <c r="E913" s="207"/>
      <c r="F913" s="205" t="str">
        <f>IF(E913="","",VLOOKUP(E913,'ARAMA LİSTELERİ'!C913:G2952,5,))</f>
        <v/>
      </c>
      <c r="G913" s="207"/>
      <c r="H913" s="210"/>
      <c r="I913" s="79"/>
      <c r="J913" s="210"/>
      <c r="K913" s="210"/>
      <c r="L913" s="210" t="str">
        <f t="shared" si="1"/>
        <v/>
      </c>
      <c r="M913" s="79"/>
      <c r="N913" s="207"/>
      <c r="O913" s="207"/>
      <c r="P913" s="207"/>
      <c r="Q913" s="207"/>
    </row>
    <row r="914" spans="1:17" ht="34.5" customHeight="1">
      <c r="A914" s="82"/>
      <c r="B914" s="205" t="str">
        <f t="shared" si="2"/>
        <v/>
      </c>
      <c r="C914" s="206" t="str">
        <f t="shared" si="3"/>
        <v/>
      </c>
      <c r="D914" s="207" t="str">
        <f t="shared" si="0"/>
        <v/>
      </c>
      <c r="E914" s="207"/>
      <c r="F914" s="205" t="str">
        <f>IF(E914="","",VLOOKUP(E914,'ARAMA LİSTELERİ'!C914:G2953,5,))</f>
        <v/>
      </c>
      <c r="G914" s="207"/>
      <c r="H914" s="210"/>
      <c r="I914" s="79"/>
      <c r="J914" s="210"/>
      <c r="K914" s="210"/>
      <c r="L914" s="210" t="str">
        <f t="shared" si="1"/>
        <v/>
      </c>
      <c r="M914" s="79"/>
      <c r="N914" s="207"/>
      <c r="O914" s="207"/>
      <c r="P914" s="207"/>
      <c r="Q914" s="207"/>
    </row>
    <row r="915" spans="1:17" ht="34.5" customHeight="1">
      <c r="A915" s="82"/>
      <c r="B915" s="205" t="str">
        <f t="shared" si="2"/>
        <v/>
      </c>
      <c r="C915" s="206" t="str">
        <f t="shared" si="3"/>
        <v/>
      </c>
      <c r="D915" s="207" t="str">
        <f t="shared" si="0"/>
        <v/>
      </c>
      <c r="E915" s="207"/>
      <c r="F915" s="205" t="str">
        <f>IF(E915="","",VLOOKUP(E915,'ARAMA LİSTELERİ'!C915:G2954,5,))</f>
        <v/>
      </c>
      <c r="G915" s="207"/>
      <c r="H915" s="210"/>
      <c r="I915" s="79"/>
      <c r="J915" s="210"/>
      <c r="K915" s="210"/>
      <c r="L915" s="210" t="str">
        <f t="shared" si="1"/>
        <v/>
      </c>
      <c r="M915" s="79"/>
      <c r="N915" s="207"/>
      <c r="O915" s="207"/>
      <c r="P915" s="207"/>
      <c r="Q915" s="207"/>
    </row>
    <row r="916" spans="1:17" ht="34.5" customHeight="1">
      <c r="A916" s="82"/>
      <c r="B916" s="205" t="str">
        <f t="shared" si="2"/>
        <v/>
      </c>
      <c r="C916" s="206" t="str">
        <f t="shared" si="3"/>
        <v/>
      </c>
      <c r="D916" s="207" t="str">
        <f t="shared" si="0"/>
        <v/>
      </c>
      <c r="E916" s="207"/>
      <c r="F916" s="205" t="str">
        <f>IF(E916="","",VLOOKUP(E916,'ARAMA LİSTELERİ'!C916:G2955,5,))</f>
        <v/>
      </c>
      <c r="G916" s="207"/>
      <c r="H916" s="210"/>
      <c r="I916" s="79"/>
      <c r="J916" s="210"/>
      <c r="K916" s="210"/>
      <c r="L916" s="210" t="str">
        <f t="shared" si="1"/>
        <v/>
      </c>
      <c r="M916" s="79"/>
      <c r="N916" s="207"/>
      <c r="O916" s="207"/>
      <c r="P916" s="207"/>
      <c r="Q916" s="207"/>
    </row>
    <row r="917" spans="1:17" ht="34.5" customHeight="1">
      <c r="A917" s="82"/>
      <c r="B917" s="205" t="str">
        <f t="shared" si="2"/>
        <v/>
      </c>
      <c r="C917" s="206" t="str">
        <f t="shared" si="3"/>
        <v/>
      </c>
      <c r="D917" s="207" t="str">
        <f t="shared" si="0"/>
        <v/>
      </c>
      <c r="E917" s="207"/>
      <c r="F917" s="205" t="str">
        <f>IF(E917="","",VLOOKUP(E917,'ARAMA LİSTELERİ'!C917:G2956,5,))</f>
        <v/>
      </c>
      <c r="G917" s="207"/>
      <c r="H917" s="210"/>
      <c r="I917" s="79"/>
      <c r="J917" s="210"/>
      <c r="K917" s="210"/>
      <c r="L917" s="210" t="str">
        <f t="shared" si="1"/>
        <v/>
      </c>
      <c r="M917" s="79"/>
      <c r="N917" s="207"/>
      <c r="O917" s="207"/>
      <c r="P917" s="207"/>
      <c r="Q917" s="207"/>
    </row>
    <row r="918" spans="1:17" ht="34.5" customHeight="1">
      <c r="A918" s="82"/>
      <c r="B918" s="205" t="str">
        <f t="shared" si="2"/>
        <v/>
      </c>
      <c r="C918" s="206" t="str">
        <f t="shared" si="3"/>
        <v/>
      </c>
      <c r="D918" s="207" t="str">
        <f t="shared" si="0"/>
        <v/>
      </c>
      <c r="E918" s="207"/>
      <c r="F918" s="205" t="str">
        <f>IF(E918="","",VLOOKUP(E918,'ARAMA LİSTELERİ'!C918:G2957,5,))</f>
        <v/>
      </c>
      <c r="G918" s="207"/>
      <c r="H918" s="210"/>
      <c r="I918" s="79"/>
      <c r="J918" s="210"/>
      <c r="K918" s="210"/>
      <c r="L918" s="210" t="str">
        <f t="shared" si="1"/>
        <v/>
      </c>
      <c r="M918" s="79"/>
      <c r="N918" s="207"/>
      <c r="O918" s="207"/>
      <c r="P918" s="207"/>
      <c r="Q918" s="207"/>
    </row>
    <row r="919" spans="1:17" ht="34.5" customHeight="1">
      <c r="A919" s="82"/>
      <c r="B919" s="205" t="str">
        <f t="shared" si="2"/>
        <v/>
      </c>
      <c r="C919" s="206" t="str">
        <f t="shared" si="3"/>
        <v/>
      </c>
      <c r="D919" s="207" t="str">
        <f t="shared" si="0"/>
        <v/>
      </c>
      <c r="E919" s="207"/>
      <c r="F919" s="205" t="str">
        <f>IF(E919="","",VLOOKUP(E919,'ARAMA LİSTELERİ'!C919:G2958,5,))</f>
        <v/>
      </c>
      <c r="G919" s="207"/>
      <c r="H919" s="210"/>
      <c r="I919" s="79"/>
      <c r="J919" s="210"/>
      <c r="K919" s="210"/>
      <c r="L919" s="210" t="str">
        <f t="shared" si="1"/>
        <v/>
      </c>
      <c r="M919" s="79"/>
      <c r="N919" s="207"/>
      <c r="O919" s="207"/>
      <c r="P919" s="207"/>
      <c r="Q919" s="207"/>
    </row>
    <row r="920" spans="1:17" ht="34.5" customHeight="1">
      <c r="A920" s="82"/>
      <c r="B920" s="205" t="str">
        <f t="shared" si="2"/>
        <v/>
      </c>
      <c r="C920" s="206" t="str">
        <f t="shared" si="3"/>
        <v/>
      </c>
      <c r="D920" s="207" t="str">
        <f t="shared" si="0"/>
        <v/>
      </c>
      <c r="E920" s="207"/>
      <c r="F920" s="205" t="str">
        <f>IF(E920="","",VLOOKUP(E920,'ARAMA LİSTELERİ'!C920:G2959,5,))</f>
        <v/>
      </c>
      <c r="G920" s="207"/>
      <c r="H920" s="210"/>
      <c r="I920" s="79"/>
      <c r="J920" s="210"/>
      <c r="K920" s="210"/>
      <c r="L920" s="210" t="str">
        <f t="shared" si="1"/>
        <v/>
      </c>
      <c r="M920" s="79"/>
      <c r="N920" s="207"/>
      <c r="O920" s="207"/>
      <c r="P920" s="207"/>
      <c r="Q920" s="207"/>
    </row>
    <row r="921" spans="1:17" ht="34.5" customHeight="1">
      <c r="A921" s="82"/>
      <c r="B921" s="205" t="str">
        <f t="shared" si="2"/>
        <v/>
      </c>
      <c r="C921" s="206" t="str">
        <f t="shared" si="3"/>
        <v/>
      </c>
      <c r="D921" s="207" t="str">
        <f t="shared" si="0"/>
        <v/>
      </c>
      <c r="E921" s="207"/>
      <c r="F921" s="205" t="str">
        <f>IF(E921="","",VLOOKUP(E921,'ARAMA LİSTELERİ'!C921:G2960,5,))</f>
        <v/>
      </c>
      <c r="G921" s="207"/>
      <c r="H921" s="210"/>
      <c r="I921" s="79"/>
      <c r="J921" s="210"/>
      <c r="K921" s="210"/>
      <c r="L921" s="210" t="str">
        <f t="shared" si="1"/>
        <v/>
      </c>
      <c r="M921" s="79"/>
      <c r="N921" s="207"/>
      <c r="O921" s="207"/>
      <c r="P921" s="207"/>
      <c r="Q921" s="207"/>
    </row>
    <row r="922" spans="1:17" ht="34.5" customHeight="1">
      <c r="A922" s="82"/>
      <c r="B922" s="205" t="str">
        <f t="shared" si="2"/>
        <v/>
      </c>
      <c r="C922" s="206" t="str">
        <f t="shared" si="3"/>
        <v/>
      </c>
      <c r="D922" s="207" t="str">
        <f t="shared" si="0"/>
        <v/>
      </c>
      <c r="E922" s="207"/>
      <c r="F922" s="205" t="str">
        <f>IF(E922="","",VLOOKUP(E922,'ARAMA LİSTELERİ'!C922:G2961,5,))</f>
        <v/>
      </c>
      <c r="G922" s="207"/>
      <c r="H922" s="210"/>
      <c r="I922" s="79"/>
      <c r="J922" s="210"/>
      <c r="K922" s="210"/>
      <c r="L922" s="210" t="str">
        <f t="shared" si="1"/>
        <v/>
      </c>
      <c r="M922" s="79"/>
      <c r="N922" s="207"/>
      <c r="O922" s="207"/>
      <c r="P922" s="207"/>
      <c r="Q922" s="207"/>
    </row>
    <row r="923" spans="1:17" ht="34.5" customHeight="1">
      <c r="A923" s="82"/>
      <c r="B923" s="205" t="str">
        <f t="shared" si="2"/>
        <v/>
      </c>
      <c r="C923" s="206" t="str">
        <f t="shared" si="3"/>
        <v/>
      </c>
      <c r="D923" s="207" t="str">
        <f t="shared" si="0"/>
        <v/>
      </c>
      <c r="E923" s="207"/>
      <c r="F923" s="205" t="str">
        <f>IF(E923="","",VLOOKUP(E923,'ARAMA LİSTELERİ'!C923:G2962,5,))</f>
        <v/>
      </c>
      <c r="G923" s="207"/>
      <c r="H923" s="210"/>
      <c r="I923" s="79"/>
      <c r="J923" s="210"/>
      <c r="K923" s="210"/>
      <c r="L923" s="210" t="str">
        <f t="shared" si="1"/>
        <v/>
      </c>
      <c r="M923" s="79"/>
      <c r="N923" s="207"/>
      <c r="O923" s="207"/>
      <c r="P923" s="207"/>
      <c r="Q923" s="207"/>
    </row>
    <row r="924" spans="1:17" ht="34.5" customHeight="1">
      <c r="A924" s="82"/>
      <c r="B924" s="205" t="str">
        <f t="shared" si="2"/>
        <v/>
      </c>
      <c r="C924" s="206" t="str">
        <f t="shared" si="3"/>
        <v/>
      </c>
      <c r="D924" s="207" t="str">
        <f t="shared" si="0"/>
        <v/>
      </c>
      <c r="E924" s="207"/>
      <c r="F924" s="205" t="str">
        <f>IF(E924="","",VLOOKUP(E924,'ARAMA LİSTELERİ'!C924:G2963,5,))</f>
        <v/>
      </c>
      <c r="G924" s="207"/>
      <c r="H924" s="210"/>
      <c r="I924" s="79"/>
      <c r="J924" s="210"/>
      <c r="K924" s="210"/>
      <c r="L924" s="210" t="str">
        <f t="shared" si="1"/>
        <v/>
      </c>
      <c r="M924" s="79"/>
      <c r="N924" s="207"/>
      <c r="O924" s="207"/>
      <c r="P924" s="207"/>
      <c r="Q924" s="207"/>
    </row>
    <row r="925" spans="1:17" ht="34.5" customHeight="1">
      <c r="A925" s="82"/>
      <c r="B925" s="205" t="str">
        <f t="shared" si="2"/>
        <v/>
      </c>
      <c r="C925" s="206" t="str">
        <f t="shared" si="3"/>
        <v/>
      </c>
      <c r="D925" s="207" t="str">
        <f t="shared" si="0"/>
        <v/>
      </c>
      <c r="E925" s="207"/>
      <c r="F925" s="205" t="str">
        <f>IF(E925="","",VLOOKUP(E925,'ARAMA LİSTELERİ'!C925:G2964,5,))</f>
        <v/>
      </c>
      <c r="G925" s="207"/>
      <c r="H925" s="210"/>
      <c r="I925" s="79"/>
      <c r="J925" s="210"/>
      <c r="K925" s="210"/>
      <c r="L925" s="210" t="str">
        <f t="shared" si="1"/>
        <v/>
      </c>
      <c r="M925" s="79"/>
      <c r="N925" s="207"/>
      <c r="O925" s="207"/>
      <c r="P925" s="207"/>
      <c r="Q925" s="207"/>
    </row>
    <row r="926" spans="1:17" ht="34.5" customHeight="1">
      <c r="A926" s="82"/>
      <c r="B926" s="205" t="str">
        <f t="shared" si="2"/>
        <v/>
      </c>
      <c r="C926" s="206" t="str">
        <f t="shared" si="3"/>
        <v/>
      </c>
      <c r="D926" s="207" t="str">
        <f t="shared" si="0"/>
        <v/>
      </c>
      <c r="E926" s="207"/>
      <c r="F926" s="205" t="str">
        <f>IF(E926="","",VLOOKUP(E926,'ARAMA LİSTELERİ'!C926:G2965,5,))</f>
        <v/>
      </c>
      <c r="G926" s="207"/>
      <c r="H926" s="210"/>
      <c r="I926" s="79"/>
      <c r="J926" s="210"/>
      <c r="K926" s="210"/>
      <c r="L926" s="210" t="str">
        <f t="shared" si="1"/>
        <v/>
      </c>
      <c r="M926" s="79"/>
      <c r="N926" s="207"/>
      <c r="O926" s="207"/>
      <c r="P926" s="207"/>
      <c r="Q926" s="207"/>
    </row>
    <row r="927" spans="1:17" ht="34.5" customHeight="1">
      <c r="A927" s="82"/>
      <c r="B927" s="205" t="str">
        <f t="shared" si="2"/>
        <v/>
      </c>
      <c r="C927" s="206" t="str">
        <f t="shared" si="3"/>
        <v/>
      </c>
      <c r="D927" s="207" t="str">
        <f t="shared" si="0"/>
        <v/>
      </c>
      <c r="E927" s="207"/>
      <c r="F927" s="205" t="str">
        <f>IF(E927="","",VLOOKUP(E927,'ARAMA LİSTELERİ'!C927:G2966,5,))</f>
        <v/>
      </c>
      <c r="G927" s="207"/>
      <c r="H927" s="210"/>
      <c r="I927" s="79"/>
      <c r="J927" s="210"/>
      <c r="K927" s="210"/>
      <c r="L927" s="210" t="str">
        <f t="shared" si="1"/>
        <v/>
      </c>
      <c r="M927" s="79"/>
      <c r="N927" s="207"/>
      <c r="O927" s="207"/>
      <c r="P927" s="207"/>
      <c r="Q927" s="207"/>
    </row>
    <row r="928" spans="1:17" ht="34.5" customHeight="1">
      <c r="A928" s="82"/>
      <c r="B928" s="205" t="str">
        <f t="shared" si="2"/>
        <v/>
      </c>
      <c r="C928" s="206" t="str">
        <f t="shared" si="3"/>
        <v/>
      </c>
      <c r="D928" s="207" t="str">
        <f t="shared" si="0"/>
        <v/>
      </c>
      <c r="E928" s="207"/>
      <c r="F928" s="205" t="str">
        <f>IF(E928="","",VLOOKUP(E928,'ARAMA LİSTELERİ'!C928:G2967,5,))</f>
        <v/>
      </c>
      <c r="G928" s="207"/>
      <c r="H928" s="210"/>
      <c r="I928" s="79"/>
      <c r="J928" s="210"/>
      <c r="K928" s="210"/>
      <c r="L928" s="210" t="str">
        <f t="shared" si="1"/>
        <v/>
      </c>
      <c r="M928" s="79"/>
      <c r="N928" s="207"/>
      <c r="O928" s="207"/>
      <c r="P928" s="207"/>
      <c r="Q928" s="207"/>
    </row>
    <row r="929" spans="1:17" ht="34.5" customHeight="1">
      <c r="A929" s="82"/>
      <c r="B929" s="205" t="str">
        <f t="shared" si="2"/>
        <v/>
      </c>
      <c r="C929" s="206" t="str">
        <f t="shared" si="3"/>
        <v/>
      </c>
      <c r="D929" s="207" t="str">
        <f t="shared" si="0"/>
        <v/>
      </c>
      <c r="E929" s="207"/>
      <c r="F929" s="205" t="str">
        <f>IF(E929="","",VLOOKUP(E929,'ARAMA LİSTELERİ'!C929:G2968,5,))</f>
        <v/>
      </c>
      <c r="G929" s="207"/>
      <c r="H929" s="210"/>
      <c r="I929" s="79"/>
      <c r="J929" s="210"/>
      <c r="K929" s="210"/>
      <c r="L929" s="210" t="str">
        <f t="shared" si="1"/>
        <v/>
      </c>
      <c r="M929" s="79"/>
      <c r="N929" s="207"/>
      <c r="O929" s="207"/>
      <c r="P929" s="207"/>
      <c r="Q929" s="207"/>
    </row>
    <row r="930" spans="1:17" ht="34.5" customHeight="1">
      <c r="A930" s="82"/>
      <c r="B930" s="205" t="str">
        <f t="shared" si="2"/>
        <v/>
      </c>
      <c r="C930" s="206" t="str">
        <f t="shared" si="3"/>
        <v/>
      </c>
      <c r="D930" s="207" t="str">
        <f t="shared" si="0"/>
        <v/>
      </c>
      <c r="E930" s="207"/>
      <c r="F930" s="205" t="str">
        <f>IF(E930="","",VLOOKUP(E930,'ARAMA LİSTELERİ'!C930:G2969,5,))</f>
        <v/>
      </c>
      <c r="G930" s="207"/>
      <c r="H930" s="210"/>
      <c r="I930" s="79"/>
      <c r="J930" s="210"/>
      <c r="K930" s="210"/>
      <c r="L930" s="210" t="str">
        <f t="shared" si="1"/>
        <v/>
      </c>
      <c r="M930" s="79"/>
      <c r="N930" s="207"/>
      <c r="O930" s="207"/>
      <c r="P930" s="207"/>
      <c r="Q930" s="207"/>
    </row>
    <row r="931" spans="1:17" ht="34.5" customHeight="1">
      <c r="A931" s="82"/>
      <c r="B931" s="205" t="str">
        <f t="shared" si="2"/>
        <v/>
      </c>
      <c r="C931" s="206" t="str">
        <f t="shared" si="3"/>
        <v/>
      </c>
      <c r="D931" s="207" t="str">
        <f t="shared" si="0"/>
        <v/>
      </c>
      <c r="E931" s="207"/>
      <c r="F931" s="205" t="str">
        <f>IF(E931="","",VLOOKUP(E931,'ARAMA LİSTELERİ'!C931:G2970,5,))</f>
        <v/>
      </c>
      <c r="G931" s="207"/>
      <c r="H931" s="210"/>
      <c r="I931" s="79"/>
      <c r="J931" s="210"/>
      <c r="K931" s="210"/>
      <c r="L931" s="210" t="str">
        <f t="shared" si="1"/>
        <v/>
      </c>
      <c r="M931" s="79"/>
      <c r="N931" s="207"/>
      <c r="O931" s="207"/>
      <c r="P931" s="207"/>
      <c r="Q931" s="207"/>
    </row>
    <row r="932" spans="1:17" ht="34.5" customHeight="1">
      <c r="A932" s="82"/>
      <c r="B932" s="205" t="str">
        <f t="shared" si="2"/>
        <v/>
      </c>
      <c r="C932" s="206" t="str">
        <f t="shared" si="3"/>
        <v/>
      </c>
      <c r="D932" s="207" t="str">
        <f t="shared" si="0"/>
        <v/>
      </c>
      <c r="E932" s="207"/>
      <c r="F932" s="205" t="str">
        <f>IF(E932="","",VLOOKUP(E932,'ARAMA LİSTELERİ'!C932:G2971,5,))</f>
        <v/>
      </c>
      <c r="G932" s="207"/>
      <c r="H932" s="210"/>
      <c r="I932" s="79"/>
      <c r="J932" s="210"/>
      <c r="K932" s="210"/>
      <c r="L932" s="210" t="str">
        <f t="shared" si="1"/>
        <v/>
      </c>
      <c r="M932" s="79"/>
      <c r="N932" s="207"/>
      <c r="O932" s="207"/>
      <c r="P932" s="207"/>
      <c r="Q932" s="207"/>
    </row>
    <row r="933" spans="1:17" ht="34.5" customHeight="1">
      <c r="A933" s="82"/>
      <c r="B933" s="205" t="str">
        <f t="shared" si="2"/>
        <v/>
      </c>
      <c r="C933" s="206" t="str">
        <f t="shared" si="3"/>
        <v/>
      </c>
      <c r="D933" s="207" t="str">
        <f t="shared" si="0"/>
        <v/>
      </c>
      <c r="E933" s="207"/>
      <c r="F933" s="205" t="str">
        <f>IF(E933="","",VLOOKUP(E933,'ARAMA LİSTELERİ'!C933:G2972,5,))</f>
        <v/>
      </c>
      <c r="G933" s="207"/>
      <c r="H933" s="210"/>
      <c r="I933" s="79"/>
      <c r="J933" s="210"/>
      <c r="K933" s="210"/>
      <c r="L933" s="210" t="str">
        <f t="shared" si="1"/>
        <v/>
      </c>
      <c r="M933" s="79"/>
      <c r="N933" s="207"/>
      <c r="O933" s="207"/>
      <c r="P933" s="207"/>
      <c r="Q933" s="207"/>
    </row>
    <row r="934" spans="1:17" ht="34.5" customHeight="1">
      <c r="A934" s="82"/>
      <c r="B934" s="205" t="str">
        <f t="shared" si="2"/>
        <v/>
      </c>
      <c r="C934" s="206" t="str">
        <f t="shared" si="3"/>
        <v/>
      </c>
      <c r="D934" s="207" t="str">
        <f t="shared" si="0"/>
        <v/>
      </c>
      <c r="E934" s="207"/>
      <c r="F934" s="205" t="str">
        <f>IF(E934="","",VLOOKUP(E934,'ARAMA LİSTELERİ'!C934:G2973,5,))</f>
        <v/>
      </c>
      <c r="G934" s="207"/>
      <c r="H934" s="210"/>
      <c r="I934" s="79"/>
      <c r="J934" s="210"/>
      <c r="K934" s="210"/>
      <c r="L934" s="210" t="str">
        <f t="shared" si="1"/>
        <v/>
      </c>
      <c r="M934" s="79"/>
      <c r="N934" s="207"/>
      <c r="O934" s="207"/>
      <c r="P934" s="207"/>
      <c r="Q934" s="207"/>
    </row>
    <row r="935" spans="1:17" ht="34.5" customHeight="1">
      <c r="A935" s="82"/>
      <c r="B935" s="205" t="str">
        <f t="shared" si="2"/>
        <v/>
      </c>
      <c r="C935" s="206" t="str">
        <f t="shared" si="3"/>
        <v/>
      </c>
      <c r="D935" s="207" t="str">
        <f t="shared" si="0"/>
        <v/>
      </c>
      <c r="E935" s="207"/>
      <c r="F935" s="205" t="str">
        <f>IF(E935="","",VLOOKUP(E935,'ARAMA LİSTELERİ'!C935:G2974,5,))</f>
        <v/>
      </c>
      <c r="G935" s="207"/>
      <c r="H935" s="210"/>
      <c r="I935" s="79"/>
      <c r="J935" s="210"/>
      <c r="K935" s="210"/>
      <c r="L935" s="210" t="str">
        <f t="shared" si="1"/>
        <v/>
      </c>
      <c r="M935" s="79"/>
      <c r="N935" s="207"/>
      <c r="O935" s="207"/>
      <c r="P935" s="207"/>
      <c r="Q935" s="207"/>
    </row>
    <row r="936" spans="1:17" ht="34.5" customHeight="1">
      <c r="A936" s="82"/>
      <c r="B936" s="205" t="str">
        <f t="shared" si="2"/>
        <v/>
      </c>
      <c r="C936" s="206" t="str">
        <f t="shared" si="3"/>
        <v/>
      </c>
      <c r="D936" s="207" t="str">
        <f t="shared" si="0"/>
        <v/>
      </c>
      <c r="E936" s="207"/>
      <c r="F936" s="205" t="str">
        <f>IF(E936="","",VLOOKUP(E936,'ARAMA LİSTELERİ'!C936:G2975,5,))</f>
        <v/>
      </c>
      <c r="G936" s="207"/>
      <c r="H936" s="210"/>
      <c r="I936" s="79"/>
      <c r="J936" s="210"/>
      <c r="K936" s="210"/>
      <c r="L936" s="210" t="str">
        <f t="shared" si="1"/>
        <v/>
      </c>
      <c r="M936" s="79"/>
      <c r="N936" s="207"/>
      <c r="O936" s="207"/>
      <c r="P936" s="207"/>
      <c r="Q936" s="207"/>
    </row>
    <row r="937" spans="1:17" ht="34.5" customHeight="1">
      <c r="A937" s="82"/>
      <c r="B937" s="205" t="str">
        <f t="shared" si="2"/>
        <v/>
      </c>
      <c r="C937" s="206" t="str">
        <f t="shared" si="3"/>
        <v/>
      </c>
      <c r="D937" s="207" t="str">
        <f t="shared" si="0"/>
        <v/>
      </c>
      <c r="E937" s="207"/>
      <c r="F937" s="205" t="str">
        <f>IF(E937="","",VLOOKUP(E937,'ARAMA LİSTELERİ'!C937:G2976,5,))</f>
        <v/>
      </c>
      <c r="G937" s="207"/>
      <c r="H937" s="210"/>
      <c r="I937" s="79"/>
      <c r="J937" s="210"/>
      <c r="K937" s="210"/>
      <c r="L937" s="210" t="str">
        <f t="shared" si="1"/>
        <v/>
      </c>
      <c r="M937" s="79"/>
      <c r="N937" s="207"/>
      <c r="O937" s="207"/>
      <c r="P937" s="207"/>
      <c r="Q937" s="207"/>
    </row>
    <row r="938" spans="1:17" ht="34.5" customHeight="1">
      <c r="A938" s="82"/>
      <c r="B938" s="205" t="str">
        <f t="shared" si="2"/>
        <v/>
      </c>
      <c r="C938" s="206" t="str">
        <f t="shared" si="3"/>
        <v/>
      </c>
      <c r="D938" s="207" t="str">
        <f t="shared" si="0"/>
        <v/>
      </c>
      <c r="E938" s="207"/>
      <c r="F938" s="205" t="str">
        <f>IF(E938="","",VLOOKUP(E938,'ARAMA LİSTELERİ'!C938:G2977,5,))</f>
        <v/>
      </c>
      <c r="G938" s="207"/>
      <c r="H938" s="210"/>
      <c r="I938" s="79"/>
      <c r="J938" s="210"/>
      <c r="K938" s="210"/>
      <c r="L938" s="210" t="str">
        <f t="shared" si="1"/>
        <v/>
      </c>
      <c r="M938" s="79"/>
      <c r="N938" s="207"/>
      <c r="O938" s="207"/>
      <c r="P938" s="207"/>
      <c r="Q938" s="207"/>
    </row>
    <row r="939" spans="1:17" ht="34.5" customHeight="1">
      <c r="A939" s="82"/>
      <c r="B939" s="205" t="str">
        <f t="shared" si="2"/>
        <v/>
      </c>
      <c r="C939" s="206" t="str">
        <f t="shared" si="3"/>
        <v/>
      </c>
      <c r="D939" s="207" t="str">
        <f t="shared" si="0"/>
        <v/>
      </c>
      <c r="E939" s="207"/>
      <c r="F939" s="205" t="str">
        <f>IF(E939="","",VLOOKUP(E939,'ARAMA LİSTELERİ'!C939:G2978,5,))</f>
        <v/>
      </c>
      <c r="G939" s="207"/>
      <c r="H939" s="210"/>
      <c r="I939" s="79"/>
      <c r="J939" s="210"/>
      <c r="K939" s="210"/>
      <c r="L939" s="210" t="str">
        <f t="shared" si="1"/>
        <v/>
      </c>
      <c r="M939" s="79"/>
      <c r="N939" s="207"/>
      <c r="O939" s="207"/>
      <c r="P939" s="207"/>
      <c r="Q939" s="207"/>
    </row>
    <row r="940" spans="1:17" ht="34.5" customHeight="1">
      <c r="A940" s="82"/>
      <c r="B940" s="205" t="str">
        <f t="shared" si="2"/>
        <v/>
      </c>
      <c r="C940" s="206" t="str">
        <f t="shared" si="3"/>
        <v/>
      </c>
      <c r="D940" s="207" t="str">
        <f t="shared" si="0"/>
        <v/>
      </c>
      <c r="E940" s="207"/>
      <c r="F940" s="205" t="str">
        <f>IF(E940="","",VLOOKUP(E940,'ARAMA LİSTELERİ'!C940:G2979,5,))</f>
        <v/>
      </c>
      <c r="G940" s="207"/>
      <c r="H940" s="210"/>
      <c r="I940" s="79"/>
      <c r="J940" s="210"/>
      <c r="K940" s="210"/>
      <c r="L940" s="210" t="str">
        <f t="shared" si="1"/>
        <v/>
      </c>
      <c r="M940" s="79"/>
      <c r="N940" s="207"/>
      <c r="O940" s="207"/>
      <c r="P940" s="207"/>
      <c r="Q940" s="207"/>
    </row>
    <row r="941" spans="1:17" ht="34.5" customHeight="1">
      <c r="A941" s="82"/>
      <c r="B941" s="205" t="str">
        <f t="shared" si="2"/>
        <v/>
      </c>
      <c r="C941" s="206" t="str">
        <f t="shared" si="3"/>
        <v/>
      </c>
      <c r="D941" s="207" t="str">
        <f t="shared" si="0"/>
        <v/>
      </c>
      <c r="E941" s="207"/>
      <c r="F941" s="205" t="str">
        <f>IF(E941="","",VLOOKUP(E941,'ARAMA LİSTELERİ'!C941:G2980,5,))</f>
        <v/>
      </c>
      <c r="G941" s="207"/>
      <c r="H941" s="210"/>
      <c r="I941" s="79"/>
      <c r="J941" s="210"/>
      <c r="K941" s="210"/>
      <c r="L941" s="210" t="str">
        <f t="shared" si="1"/>
        <v/>
      </c>
      <c r="M941" s="79"/>
      <c r="N941" s="207"/>
      <c r="O941" s="207"/>
      <c r="P941" s="207"/>
      <c r="Q941" s="207"/>
    </row>
    <row r="942" spans="1:17" ht="34.5" customHeight="1">
      <c r="A942" s="82"/>
      <c r="B942" s="205" t="str">
        <f t="shared" si="2"/>
        <v/>
      </c>
      <c r="C942" s="206" t="str">
        <f t="shared" si="3"/>
        <v/>
      </c>
      <c r="D942" s="207" t="str">
        <f t="shared" si="0"/>
        <v/>
      </c>
      <c r="E942" s="207"/>
      <c r="F942" s="205" t="str">
        <f>IF(E942="","",VLOOKUP(E942,'ARAMA LİSTELERİ'!C942:G2981,5,))</f>
        <v/>
      </c>
      <c r="G942" s="207"/>
      <c r="H942" s="210"/>
      <c r="I942" s="79"/>
      <c r="J942" s="210"/>
      <c r="K942" s="210"/>
      <c r="L942" s="210" t="str">
        <f t="shared" si="1"/>
        <v/>
      </c>
      <c r="M942" s="79"/>
      <c r="N942" s="207"/>
      <c r="O942" s="207"/>
      <c r="P942" s="207"/>
      <c r="Q942" s="207"/>
    </row>
    <row r="943" spans="1:17" ht="34.5" customHeight="1">
      <c r="A943" s="82"/>
      <c r="B943" s="205" t="str">
        <f t="shared" si="2"/>
        <v/>
      </c>
      <c r="C943" s="206" t="str">
        <f t="shared" si="3"/>
        <v/>
      </c>
      <c r="D943" s="207" t="str">
        <f t="shared" si="0"/>
        <v/>
      </c>
      <c r="E943" s="207"/>
      <c r="F943" s="205" t="str">
        <f>IF(E943="","",VLOOKUP(E943,'ARAMA LİSTELERİ'!C943:G2982,5,))</f>
        <v/>
      </c>
      <c r="G943" s="207"/>
      <c r="H943" s="210"/>
      <c r="I943" s="79"/>
      <c r="J943" s="210"/>
      <c r="K943" s="210"/>
      <c r="L943" s="210" t="str">
        <f t="shared" si="1"/>
        <v/>
      </c>
      <c r="M943" s="79"/>
      <c r="N943" s="207"/>
      <c r="O943" s="207"/>
      <c r="P943" s="207"/>
      <c r="Q943" s="207"/>
    </row>
    <row r="944" spans="1:17" ht="34.5" customHeight="1">
      <c r="A944" s="82"/>
      <c r="B944" s="205" t="str">
        <f t="shared" si="2"/>
        <v/>
      </c>
      <c r="C944" s="206" t="str">
        <f t="shared" si="3"/>
        <v/>
      </c>
      <c r="D944" s="207" t="str">
        <f t="shared" si="0"/>
        <v/>
      </c>
      <c r="E944" s="207"/>
      <c r="F944" s="205" t="str">
        <f>IF(E944="","",VLOOKUP(E944,'ARAMA LİSTELERİ'!C944:G2983,5,))</f>
        <v/>
      </c>
      <c r="G944" s="207"/>
      <c r="H944" s="210"/>
      <c r="I944" s="79"/>
      <c r="J944" s="210"/>
      <c r="K944" s="210"/>
      <c r="L944" s="210" t="str">
        <f t="shared" si="1"/>
        <v/>
      </c>
      <c r="M944" s="79"/>
      <c r="N944" s="207"/>
      <c r="O944" s="207"/>
      <c r="P944" s="207"/>
      <c r="Q944" s="207"/>
    </row>
    <row r="945" spans="1:17" ht="34.5" customHeight="1">
      <c r="A945" s="82"/>
      <c r="B945" s="205" t="str">
        <f t="shared" si="2"/>
        <v/>
      </c>
      <c r="C945" s="206" t="str">
        <f t="shared" si="3"/>
        <v/>
      </c>
      <c r="D945" s="207" t="str">
        <f t="shared" si="0"/>
        <v/>
      </c>
      <c r="E945" s="207"/>
      <c r="F945" s="205" t="str">
        <f>IF(E945="","",VLOOKUP(E945,'ARAMA LİSTELERİ'!C945:G2984,5,))</f>
        <v/>
      </c>
      <c r="G945" s="207"/>
      <c r="H945" s="210"/>
      <c r="I945" s="79"/>
      <c r="J945" s="210"/>
      <c r="K945" s="210"/>
      <c r="L945" s="210" t="str">
        <f t="shared" si="1"/>
        <v/>
      </c>
      <c r="M945" s="79"/>
      <c r="N945" s="207"/>
      <c r="O945" s="207"/>
      <c r="P945" s="207"/>
      <c r="Q945" s="207"/>
    </row>
    <row r="946" spans="1:17" ht="34.5" customHeight="1">
      <c r="A946" s="82"/>
      <c r="B946" s="205" t="str">
        <f t="shared" si="2"/>
        <v/>
      </c>
      <c r="C946" s="206" t="str">
        <f t="shared" si="3"/>
        <v/>
      </c>
      <c r="D946" s="207" t="str">
        <f t="shared" si="0"/>
        <v/>
      </c>
      <c r="E946" s="207"/>
      <c r="F946" s="205" t="str">
        <f>IF(E946="","",VLOOKUP(E946,'ARAMA LİSTELERİ'!C946:G2985,5,))</f>
        <v/>
      </c>
      <c r="G946" s="207"/>
      <c r="H946" s="210"/>
      <c r="I946" s="79"/>
      <c r="J946" s="210"/>
      <c r="K946" s="210"/>
      <c r="L946" s="210" t="str">
        <f t="shared" si="1"/>
        <v/>
      </c>
      <c r="M946" s="79"/>
      <c r="N946" s="207"/>
      <c r="O946" s="207"/>
      <c r="P946" s="207"/>
      <c r="Q946" s="207"/>
    </row>
    <row r="947" spans="1:17" ht="34.5" customHeight="1">
      <c r="A947" s="82"/>
      <c r="B947" s="205" t="str">
        <f t="shared" si="2"/>
        <v/>
      </c>
      <c r="C947" s="206" t="str">
        <f t="shared" si="3"/>
        <v/>
      </c>
      <c r="D947" s="207" t="str">
        <f t="shared" si="0"/>
        <v/>
      </c>
      <c r="E947" s="207"/>
      <c r="F947" s="205" t="str">
        <f>IF(E947="","",VLOOKUP(E947,'ARAMA LİSTELERİ'!C947:G2986,5,))</f>
        <v/>
      </c>
      <c r="G947" s="207"/>
      <c r="H947" s="210"/>
      <c r="I947" s="79"/>
      <c r="J947" s="210"/>
      <c r="K947" s="210"/>
      <c r="L947" s="210" t="str">
        <f t="shared" si="1"/>
        <v/>
      </c>
      <c r="M947" s="79"/>
      <c r="N947" s="207"/>
      <c r="O947" s="207"/>
      <c r="P947" s="207"/>
      <c r="Q947" s="207"/>
    </row>
    <row r="948" spans="1:17" ht="34.5" customHeight="1">
      <c r="A948" s="82"/>
      <c r="B948" s="205" t="str">
        <f t="shared" si="2"/>
        <v/>
      </c>
      <c r="C948" s="206" t="str">
        <f t="shared" si="3"/>
        <v/>
      </c>
      <c r="D948" s="207" t="str">
        <f t="shared" si="0"/>
        <v/>
      </c>
      <c r="E948" s="207"/>
      <c r="F948" s="205" t="str">
        <f>IF(E948="","",VLOOKUP(E948,'ARAMA LİSTELERİ'!C948:G2987,5,))</f>
        <v/>
      </c>
      <c r="G948" s="207"/>
      <c r="H948" s="210"/>
      <c r="I948" s="79"/>
      <c r="J948" s="210"/>
      <c r="K948" s="210"/>
      <c r="L948" s="210" t="str">
        <f t="shared" si="1"/>
        <v/>
      </c>
      <c r="M948" s="79"/>
      <c r="N948" s="207"/>
      <c r="O948" s="207"/>
      <c r="P948" s="207"/>
      <c r="Q948" s="207"/>
    </row>
    <row r="949" spans="1:17" ht="34.5" customHeight="1">
      <c r="A949" s="82"/>
      <c r="B949" s="205" t="str">
        <f t="shared" si="2"/>
        <v/>
      </c>
      <c r="C949" s="206" t="str">
        <f t="shared" si="3"/>
        <v/>
      </c>
      <c r="D949" s="207" t="str">
        <f t="shared" si="0"/>
        <v/>
      </c>
      <c r="E949" s="207"/>
      <c r="F949" s="205" t="str">
        <f>IF(E949="","",VLOOKUP(E949,'ARAMA LİSTELERİ'!C949:G2988,5,))</f>
        <v/>
      </c>
      <c r="G949" s="207"/>
      <c r="H949" s="210"/>
      <c r="I949" s="79"/>
      <c r="J949" s="210"/>
      <c r="K949" s="210"/>
      <c r="L949" s="210" t="str">
        <f t="shared" si="1"/>
        <v/>
      </c>
      <c r="M949" s="79"/>
      <c r="N949" s="207"/>
      <c r="O949" s="207"/>
      <c r="P949" s="207"/>
      <c r="Q949" s="207"/>
    </row>
    <row r="950" spans="1:17" ht="34.5" customHeight="1">
      <c r="A950" s="82"/>
      <c r="B950" s="205" t="str">
        <f t="shared" si="2"/>
        <v/>
      </c>
      <c r="C950" s="206" t="str">
        <f t="shared" si="3"/>
        <v/>
      </c>
      <c r="D950" s="207" t="str">
        <f t="shared" si="0"/>
        <v/>
      </c>
      <c r="E950" s="207"/>
      <c r="F950" s="205" t="str">
        <f>IF(E950="","",VLOOKUP(E950,'ARAMA LİSTELERİ'!C950:G2989,5,))</f>
        <v/>
      </c>
      <c r="G950" s="207"/>
      <c r="H950" s="210"/>
      <c r="I950" s="79"/>
      <c r="J950" s="210"/>
      <c r="K950" s="210"/>
      <c r="L950" s="210" t="str">
        <f t="shared" si="1"/>
        <v/>
      </c>
      <c r="M950" s="79"/>
      <c r="N950" s="207"/>
      <c r="O950" s="207"/>
      <c r="P950" s="207"/>
      <c r="Q950" s="207"/>
    </row>
    <row r="951" spans="1:17" ht="34.5" customHeight="1">
      <c r="A951" s="82"/>
      <c r="B951" s="205" t="str">
        <f t="shared" si="2"/>
        <v/>
      </c>
      <c r="C951" s="206" t="str">
        <f t="shared" si="3"/>
        <v/>
      </c>
      <c r="D951" s="207" t="str">
        <f t="shared" si="0"/>
        <v/>
      </c>
      <c r="E951" s="207"/>
      <c r="F951" s="205" t="str">
        <f>IF(E951="","",VLOOKUP(E951,'ARAMA LİSTELERİ'!C951:G2990,5,))</f>
        <v/>
      </c>
      <c r="G951" s="207"/>
      <c r="H951" s="210"/>
      <c r="I951" s="79"/>
      <c r="J951" s="210"/>
      <c r="K951" s="210"/>
      <c r="L951" s="210" t="str">
        <f t="shared" si="1"/>
        <v/>
      </c>
      <c r="M951" s="79"/>
      <c r="N951" s="207"/>
      <c r="O951" s="207"/>
      <c r="P951" s="207"/>
      <c r="Q951" s="207"/>
    </row>
    <row r="952" spans="1:17" ht="34.5" customHeight="1">
      <c r="A952" s="82"/>
      <c r="B952" s="205" t="str">
        <f t="shared" si="2"/>
        <v/>
      </c>
      <c r="C952" s="206" t="str">
        <f t="shared" si="3"/>
        <v/>
      </c>
      <c r="D952" s="207" t="str">
        <f t="shared" si="0"/>
        <v/>
      </c>
      <c r="E952" s="207"/>
      <c r="F952" s="205" t="str">
        <f>IF(E952="","",VLOOKUP(E952,'ARAMA LİSTELERİ'!C952:G2991,5,))</f>
        <v/>
      </c>
      <c r="G952" s="207"/>
      <c r="H952" s="210"/>
      <c r="I952" s="79"/>
      <c r="J952" s="210"/>
      <c r="K952" s="210"/>
      <c r="L952" s="210" t="str">
        <f t="shared" si="1"/>
        <v/>
      </c>
      <c r="M952" s="79"/>
      <c r="N952" s="207"/>
      <c r="O952" s="207"/>
      <c r="P952" s="207"/>
      <c r="Q952" s="207"/>
    </row>
    <row r="953" spans="1:17" ht="34.5" customHeight="1">
      <c r="A953" s="82"/>
      <c r="B953" s="205" t="str">
        <f t="shared" si="2"/>
        <v/>
      </c>
      <c r="C953" s="206" t="str">
        <f t="shared" si="3"/>
        <v/>
      </c>
      <c r="D953" s="207" t="str">
        <f t="shared" si="0"/>
        <v/>
      </c>
      <c r="E953" s="207"/>
      <c r="F953" s="205" t="str">
        <f>IF(E953="","",VLOOKUP(E953,'ARAMA LİSTELERİ'!C953:G2992,5,))</f>
        <v/>
      </c>
      <c r="G953" s="207"/>
      <c r="H953" s="210"/>
      <c r="I953" s="79"/>
      <c r="J953" s="210"/>
      <c r="K953" s="210"/>
      <c r="L953" s="210" t="str">
        <f t="shared" si="1"/>
        <v/>
      </c>
      <c r="M953" s="79"/>
      <c r="N953" s="207"/>
      <c r="O953" s="207"/>
      <c r="P953" s="207"/>
      <c r="Q953" s="207"/>
    </row>
    <row r="954" spans="1:17" ht="34.5" customHeight="1">
      <c r="A954" s="82"/>
      <c r="B954" s="205" t="str">
        <f t="shared" si="2"/>
        <v/>
      </c>
      <c r="C954" s="206" t="str">
        <f t="shared" si="3"/>
        <v/>
      </c>
      <c r="D954" s="207" t="str">
        <f t="shared" si="0"/>
        <v/>
      </c>
      <c r="E954" s="207"/>
      <c r="F954" s="205" t="str">
        <f>IF(E954="","",VLOOKUP(E954,'ARAMA LİSTELERİ'!C954:G2993,5,))</f>
        <v/>
      </c>
      <c r="G954" s="207"/>
      <c r="H954" s="210"/>
      <c r="I954" s="79"/>
      <c r="J954" s="210"/>
      <c r="K954" s="210"/>
      <c r="L954" s="210" t="str">
        <f t="shared" si="1"/>
        <v/>
      </c>
      <c r="M954" s="79"/>
      <c r="N954" s="207"/>
      <c r="O954" s="207"/>
      <c r="P954" s="207"/>
      <c r="Q954" s="207"/>
    </row>
    <row r="955" spans="1:17" ht="34.5" customHeight="1">
      <c r="A955" s="82"/>
      <c r="B955" s="205" t="str">
        <f t="shared" si="2"/>
        <v/>
      </c>
      <c r="C955" s="206" t="str">
        <f t="shared" si="3"/>
        <v/>
      </c>
      <c r="D955" s="207" t="str">
        <f t="shared" si="0"/>
        <v/>
      </c>
      <c r="E955" s="207"/>
      <c r="F955" s="205" t="str">
        <f>IF(E955="","",VLOOKUP(E955,'ARAMA LİSTELERİ'!C955:G2994,5,))</f>
        <v/>
      </c>
      <c r="G955" s="207"/>
      <c r="H955" s="210"/>
      <c r="I955" s="79"/>
      <c r="J955" s="210"/>
      <c r="K955" s="210"/>
      <c r="L955" s="210" t="str">
        <f t="shared" si="1"/>
        <v/>
      </c>
      <c r="M955" s="79"/>
      <c r="N955" s="207"/>
      <c r="O955" s="207"/>
      <c r="P955" s="207"/>
      <c r="Q955" s="207"/>
    </row>
    <row r="956" spans="1:17" ht="34.5" customHeight="1">
      <c r="A956" s="82"/>
      <c r="B956" s="205" t="str">
        <f t="shared" si="2"/>
        <v/>
      </c>
      <c r="C956" s="206" t="str">
        <f t="shared" si="3"/>
        <v/>
      </c>
      <c r="D956" s="207" t="str">
        <f t="shared" si="0"/>
        <v/>
      </c>
      <c r="E956" s="207"/>
      <c r="F956" s="205" t="str">
        <f>IF(E956="","",VLOOKUP(E956,'ARAMA LİSTELERİ'!C956:G2995,5,))</f>
        <v/>
      </c>
      <c r="G956" s="207"/>
      <c r="H956" s="210"/>
      <c r="I956" s="79"/>
      <c r="J956" s="210"/>
      <c r="K956" s="210"/>
      <c r="L956" s="210" t="str">
        <f t="shared" si="1"/>
        <v/>
      </c>
      <c r="M956" s="79"/>
      <c r="N956" s="207"/>
      <c r="O956" s="207"/>
      <c r="P956" s="207"/>
      <c r="Q956" s="207"/>
    </row>
    <row r="957" spans="1:17" ht="34.5" customHeight="1">
      <c r="A957" s="82"/>
      <c r="B957" s="205" t="str">
        <f t="shared" si="2"/>
        <v/>
      </c>
      <c r="C957" s="206" t="str">
        <f t="shared" si="3"/>
        <v/>
      </c>
      <c r="D957" s="207" t="str">
        <f t="shared" si="0"/>
        <v/>
      </c>
      <c r="E957" s="207"/>
      <c r="F957" s="205" t="str">
        <f>IF(E957="","",VLOOKUP(E957,'ARAMA LİSTELERİ'!C957:G2996,5,))</f>
        <v/>
      </c>
      <c r="G957" s="207"/>
      <c r="H957" s="210"/>
      <c r="I957" s="79"/>
      <c r="J957" s="210"/>
      <c r="K957" s="210"/>
      <c r="L957" s="210" t="str">
        <f t="shared" si="1"/>
        <v/>
      </c>
      <c r="M957" s="79"/>
      <c r="N957" s="207"/>
      <c r="O957" s="207"/>
      <c r="P957" s="207"/>
      <c r="Q957" s="207"/>
    </row>
    <row r="958" spans="1:17" ht="34.5" customHeight="1">
      <c r="A958" s="82"/>
      <c r="B958" s="205" t="str">
        <f t="shared" si="2"/>
        <v/>
      </c>
      <c r="C958" s="206" t="str">
        <f t="shared" si="3"/>
        <v/>
      </c>
      <c r="D958" s="207" t="str">
        <f t="shared" si="0"/>
        <v/>
      </c>
      <c r="E958" s="207"/>
      <c r="F958" s="205" t="str">
        <f>IF(E958="","",VLOOKUP(E958,'ARAMA LİSTELERİ'!C958:G2997,5,))</f>
        <v/>
      </c>
      <c r="G958" s="207"/>
      <c r="H958" s="210"/>
      <c r="I958" s="79"/>
      <c r="J958" s="210"/>
      <c r="K958" s="210"/>
      <c r="L958" s="210" t="str">
        <f t="shared" si="1"/>
        <v/>
      </c>
      <c r="M958" s="79"/>
      <c r="N958" s="207"/>
      <c r="O958" s="207"/>
      <c r="P958" s="207"/>
      <c r="Q958" s="207"/>
    </row>
    <row r="959" spans="1:17" ht="34.5" customHeight="1">
      <c r="A959" s="82"/>
      <c r="B959" s="205" t="str">
        <f t="shared" si="2"/>
        <v/>
      </c>
      <c r="C959" s="206" t="str">
        <f t="shared" si="3"/>
        <v/>
      </c>
      <c r="D959" s="207" t="str">
        <f t="shared" si="0"/>
        <v/>
      </c>
      <c r="E959" s="207"/>
      <c r="F959" s="205" t="str">
        <f>IF(E959="","",VLOOKUP(E959,'ARAMA LİSTELERİ'!C959:G2998,5,))</f>
        <v/>
      </c>
      <c r="G959" s="207"/>
      <c r="H959" s="210"/>
      <c r="I959" s="79"/>
      <c r="J959" s="210"/>
      <c r="K959" s="210"/>
      <c r="L959" s="210" t="str">
        <f t="shared" si="1"/>
        <v/>
      </c>
      <c r="M959" s="79"/>
      <c r="N959" s="207"/>
      <c r="O959" s="207"/>
      <c r="P959" s="207"/>
      <c r="Q959" s="207"/>
    </row>
    <row r="960" spans="1:17" ht="34.5" customHeight="1">
      <c r="A960" s="82"/>
      <c r="B960" s="205" t="str">
        <f t="shared" si="2"/>
        <v/>
      </c>
      <c r="C960" s="206" t="str">
        <f t="shared" si="3"/>
        <v/>
      </c>
      <c r="D960" s="207" t="str">
        <f t="shared" si="0"/>
        <v/>
      </c>
      <c r="E960" s="207"/>
      <c r="F960" s="205" t="str">
        <f>IF(E960="","",VLOOKUP(E960,'ARAMA LİSTELERİ'!C960:G2999,5,))</f>
        <v/>
      </c>
      <c r="G960" s="207"/>
      <c r="H960" s="210"/>
      <c r="I960" s="79"/>
      <c r="J960" s="210"/>
      <c r="K960" s="210"/>
      <c r="L960" s="210" t="str">
        <f t="shared" si="1"/>
        <v/>
      </c>
      <c r="M960" s="79"/>
      <c r="N960" s="207"/>
      <c r="O960" s="207"/>
      <c r="P960" s="207"/>
      <c r="Q960" s="207"/>
    </row>
    <row r="961" spans="1:17" ht="34.5" customHeight="1">
      <c r="A961" s="82"/>
      <c r="B961" s="205" t="str">
        <f t="shared" si="2"/>
        <v/>
      </c>
      <c r="C961" s="206" t="str">
        <f t="shared" si="3"/>
        <v/>
      </c>
      <c r="D961" s="207" t="str">
        <f t="shared" si="0"/>
        <v/>
      </c>
      <c r="E961" s="207"/>
      <c r="F961" s="205" t="str">
        <f>IF(E961="","",VLOOKUP(E961,'ARAMA LİSTELERİ'!C961:G3000,5,))</f>
        <v/>
      </c>
      <c r="G961" s="207"/>
      <c r="H961" s="210"/>
      <c r="I961" s="79"/>
      <c r="J961" s="210"/>
      <c r="K961" s="210"/>
      <c r="L961" s="210" t="str">
        <f t="shared" si="1"/>
        <v/>
      </c>
      <c r="M961" s="79"/>
      <c r="N961" s="207"/>
      <c r="O961" s="207"/>
      <c r="P961" s="207"/>
      <c r="Q961" s="207"/>
    </row>
    <row r="962" spans="1:17" ht="34.5" customHeight="1">
      <c r="A962" s="82"/>
      <c r="B962" s="205" t="str">
        <f t="shared" si="2"/>
        <v/>
      </c>
      <c r="C962" s="206" t="str">
        <f t="shared" si="3"/>
        <v/>
      </c>
      <c r="D962" s="207" t="str">
        <f t="shared" si="0"/>
        <v/>
      </c>
      <c r="E962" s="207"/>
      <c r="F962" s="205" t="str">
        <f>IF(E962="","",VLOOKUP(E962,'ARAMA LİSTELERİ'!C962:G3001,5,))</f>
        <v/>
      </c>
      <c r="G962" s="207"/>
      <c r="H962" s="210"/>
      <c r="I962" s="79"/>
      <c r="J962" s="210"/>
      <c r="K962" s="210"/>
      <c r="L962" s="210" t="str">
        <f t="shared" si="1"/>
        <v/>
      </c>
      <c r="M962" s="79"/>
      <c r="N962" s="207"/>
      <c r="O962" s="207"/>
      <c r="P962" s="207"/>
      <c r="Q962" s="207"/>
    </row>
    <row r="963" spans="1:17" ht="34.5" customHeight="1">
      <c r="A963" s="82"/>
      <c r="B963" s="205" t="str">
        <f t="shared" si="2"/>
        <v/>
      </c>
      <c r="C963" s="206" t="str">
        <f t="shared" si="3"/>
        <v/>
      </c>
      <c r="D963" s="207" t="str">
        <f t="shared" si="0"/>
        <v/>
      </c>
      <c r="E963" s="207"/>
      <c r="F963" s="205" t="str">
        <f>IF(E963="","",VLOOKUP(E963,'ARAMA LİSTELERİ'!C963:G3002,5,))</f>
        <v/>
      </c>
      <c r="G963" s="207"/>
      <c r="H963" s="210"/>
      <c r="I963" s="79"/>
      <c r="J963" s="210"/>
      <c r="K963" s="210"/>
      <c r="L963" s="210" t="str">
        <f t="shared" si="1"/>
        <v/>
      </c>
      <c r="M963" s="79"/>
      <c r="N963" s="207"/>
      <c r="O963" s="207"/>
      <c r="P963" s="207"/>
      <c r="Q963" s="207"/>
    </row>
    <row r="964" spans="1:17" ht="34.5" customHeight="1">
      <c r="A964" s="82"/>
      <c r="B964" s="205" t="str">
        <f t="shared" si="2"/>
        <v/>
      </c>
      <c r="C964" s="206" t="str">
        <f t="shared" si="3"/>
        <v/>
      </c>
      <c r="D964" s="207" t="str">
        <f t="shared" si="0"/>
        <v/>
      </c>
      <c r="E964" s="207"/>
      <c r="F964" s="205" t="str">
        <f>IF(E964="","",VLOOKUP(E964,'ARAMA LİSTELERİ'!C964:G3003,5,))</f>
        <v/>
      </c>
      <c r="G964" s="207"/>
      <c r="H964" s="210"/>
      <c r="I964" s="79"/>
      <c r="J964" s="210"/>
      <c r="K964" s="210"/>
      <c r="L964" s="210" t="str">
        <f t="shared" si="1"/>
        <v/>
      </c>
      <c r="M964" s="79"/>
      <c r="N964" s="207"/>
      <c r="O964" s="207"/>
      <c r="P964" s="207"/>
      <c r="Q964" s="207"/>
    </row>
    <row r="965" spans="1:17" ht="34.5" customHeight="1">
      <c r="A965" s="82"/>
      <c r="B965" s="205" t="str">
        <f t="shared" si="2"/>
        <v/>
      </c>
      <c r="C965" s="206" t="str">
        <f t="shared" si="3"/>
        <v/>
      </c>
      <c r="D965" s="207" t="str">
        <f t="shared" si="0"/>
        <v/>
      </c>
      <c r="E965" s="207"/>
      <c r="F965" s="205" t="str">
        <f>IF(E965="","",VLOOKUP(E965,'ARAMA LİSTELERİ'!C965:G3004,5,))</f>
        <v/>
      </c>
      <c r="G965" s="207"/>
      <c r="H965" s="210"/>
      <c r="I965" s="79"/>
      <c r="J965" s="210"/>
      <c r="K965" s="210"/>
      <c r="L965" s="210" t="str">
        <f t="shared" si="1"/>
        <v/>
      </c>
      <c r="M965" s="79"/>
      <c r="N965" s="207"/>
      <c r="O965" s="207"/>
      <c r="P965" s="207"/>
      <c r="Q965" s="207"/>
    </row>
    <row r="966" spans="1:17" ht="34.5" customHeight="1">
      <c r="A966" s="82"/>
      <c r="B966" s="205" t="str">
        <f t="shared" si="2"/>
        <v/>
      </c>
      <c r="C966" s="206" t="str">
        <f t="shared" si="3"/>
        <v/>
      </c>
      <c r="D966" s="207" t="str">
        <f t="shared" si="0"/>
        <v/>
      </c>
      <c r="E966" s="207"/>
      <c r="F966" s="205" t="str">
        <f>IF(E966="","",VLOOKUP(E966,'ARAMA LİSTELERİ'!C966:G3005,5,))</f>
        <v/>
      </c>
      <c r="G966" s="207"/>
      <c r="H966" s="210"/>
      <c r="I966" s="79"/>
      <c r="J966" s="210"/>
      <c r="K966" s="210"/>
      <c r="L966" s="210" t="str">
        <f t="shared" si="1"/>
        <v/>
      </c>
      <c r="M966" s="79"/>
      <c r="N966" s="207"/>
      <c r="O966" s="207"/>
      <c r="P966" s="207"/>
      <c r="Q966" s="207"/>
    </row>
    <row r="967" spans="1:17" ht="34.5" customHeight="1">
      <c r="A967" s="82"/>
      <c r="B967" s="205" t="str">
        <f t="shared" si="2"/>
        <v/>
      </c>
      <c r="C967" s="206" t="str">
        <f t="shared" si="3"/>
        <v/>
      </c>
      <c r="D967" s="207" t="str">
        <f t="shared" si="0"/>
        <v/>
      </c>
      <c r="E967" s="207"/>
      <c r="F967" s="205" t="str">
        <f>IF(E967="","",VLOOKUP(E967,'ARAMA LİSTELERİ'!C967:G3006,5,))</f>
        <v/>
      </c>
      <c r="G967" s="207"/>
      <c r="H967" s="210"/>
      <c r="I967" s="79"/>
      <c r="J967" s="210"/>
      <c r="K967" s="210"/>
      <c r="L967" s="210" t="str">
        <f t="shared" si="1"/>
        <v/>
      </c>
      <c r="M967" s="79"/>
      <c r="N967" s="207"/>
      <c r="O967" s="207"/>
      <c r="P967" s="207"/>
      <c r="Q967" s="207"/>
    </row>
    <row r="968" spans="1:17" ht="34.5" customHeight="1">
      <c r="A968" s="82"/>
      <c r="B968" s="205" t="str">
        <f t="shared" si="2"/>
        <v/>
      </c>
      <c r="C968" s="206" t="str">
        <f t="shared" si="3"/>
        <v/>
      </c>
      <c r="D968" s="207" t="str">
        <f t="shared" si="0"/>
        <v/>
      </c>
      <c r="E968" s="207"/>
      <c r="F968" s="205" t="str">
        <f>IF(E968="","",VLOOKUP(E968,'ARAMA LİSTELERİ'!C968:G3007,5,))</f>
        <v/>
      </c>
      <c r="G968" s="207"/>
      <c r="H968" s="210"/>
      <c r="I968" s="79"/>
      <c r="J968" s="210"/>
      <c r="K968" s="210"/>
      <c r="L968" s="210" t="str">
        <f t="shared" si="1"/>
        <v/>
      </c>
      <c r="M968" s="79"/>
      <c r="N968" s="207"/>
      <c r="O968" s="207"/>
      <c r="P968" s="207"/>
      <c r="Q968" s="207"/>
    </row>
    <row r="969" spans="1:17" ht="34.5" customHeight="1">
      <c r="A969" s="82"/>
      <c r="B969" s="205" t="str">
        <f t="shared" si="2"/>
        <v/>
      </c>
      <c r="C969" s="206" t="str">
        <f t="shared" si="3"/>
        <v/>
      </c>
      <c r="D969" s="207" t="str">
        <f t="shared" si="0"/>
        <v/>
      </c>
      <c r="E969" s="207"/>
      <c r="F969" s="205" t="str">
        <f>IF(E969="","",VLOOKUP(E969,'ARAMA LİSTELERİ'!C969:G3008,5,))</f>
        <v/>
      </c>
      <c r="G969" s="207"/>
      <c r="H969" s="210"/>
      <c r="I969" s="79"/>
      <c r="J969" s="210"/>
      <c r="K969" s="210"/>
      <c r="L969" s="210" t="str">
        <f t="shared" si="1"/>
        <v/>
      </c>
      <c r="M969" s="79"/>
      <c r="N969" s="207"/>
      <c r="O969" s="207"/>
      <c r="P969" s="207"/>
      <c r="Q969" s="207"/>
    </row>
    <row r="970" spans="1:17" ht="34.5" customHeight="1">
      <c r="A970" s="82"/>
      <c r="B970" s="205" t="str">
        <f t="shared" si="2"/>
        <v/>
      </c>
      <c r="C970" s="206" t="str">
        <f t="shared" si="3"/>
        <v/>
      </c>
      <c r="D970" s="207" t="str">
        <f t="shared" si="0"/>
        <v/>
      </c>
      <c r="E970" s="207"/>
      <c r="F970" s="205" t="str">
        <f>IF(E970="","",VLOOKUP(E970,'ARAMA LİSTELERİ'!C970:G3009,5,))</f>
        <v/>
      </c>
      <c r="G970" s="207"/>
      <c r="H970" s="210"/>
      <c r="I970" s="79"/>
      <c r="J970" s="210"/>
      <c r="K970" s="210"/>
      <c r="L970" s="210" t="str">
        <f t="shared" si="1"/>
        <v/>
      </c>
      <c r="M970" s="79"/>
      <c r="N970" s="207"/>
      <c r="O970" s="207"/>
      <c r="P970" s="207"/>
      <c r="Q970" s="207"/>
    </row>
    <row r="971" spans="1:17" ht="34.5" customHeight="1">
      <c r="A971" s="82"/>
      <c r="B971" s="205" t="str">
        <f t="shared" si="2"/>
        <v/>
      </c>
      <c r="C971" s="206" t="str">
        <f t="shared" si="3"/>
        <v/>
      </c>
      <c r="D971" s="207" t="str">
        <f t="shared" si="0"/>
        <v/>
      </c>
      <c r="E971" s="207"/>
      <c r="F971" s="205" t="str">
        <f>IF(E971="","",VLOOKUP(E971,'ARAMA LİSTELERİ'!C971:G3010,5,))</f>
        <v/>
      </c>
      <c r="G971" s="207"/>
      <c r="H971" s="210"/>
      <c r="I971" s="79"/>
      <c r="J971" s="210"/>
      <c r="K971" s="210"/>
      <c r="L971" s="210" t="str">
        <f t="shared" si="1"/>
        <v/>
      </c>
      <c r="M971" s="79"/>
      <c r="N971" s="207"/>
      <c r="O971" s="207"/>
      <c r="P971" s="207"/>
      <c r="Q971" s="207"/>
    </row>
    <row r="972" spans="1:17" ht="34.5" customHeight="1">
      <c r="A972" s="82"/>
      <c r="B972" s="205" t="str">
        <f t="shared" si="2"/>
        <v/>
      </c>
      <c r="C972" s="206" t="str">
        <f t="shared" si="3"/>
        <v/>
      </c>
      <c r="D972" s="207" t="str">
        <f t="shared" si="0"/>
        <v/>
      </c>
      <c r="E972" s="207"/>
      <c r="F972" s="205" t="str">
        <f>IF(E972="","",VLOOKUP(E972,'ARAMA LİSTELERİ'!C972:G3011,5,))</f>
        <v/>
      </c>
      <c r="G972" s="207"/>
      <c r="H972" s="210"/>
      <c r="I972" s="79"/>
      <c r="J972" s="210"/>
      <c r="K972" s="210"/>
      <c r="L972" s="210" t="str">
        <f t="shared" si="1"/>
        <v/>
      </c>
      <c r="M972" s="79"/>
      <c r="N972" s="207"/>
      <c r="O972" s="207"/>
      <c r="P972" s="207"/>
      <c r="Q972" s="207"/>
    </row>
    <row r="973" spans="1:17" ht="34.5" customHeight="1">
      <c r="A973" s="82"/>
      <c r="B973" s="205" t="str">
        <f t="shared" si="2"/>
        <v/>
      </c>
      <c r="C973" s="206" t="str">
        <f t="shared" si="3"/>
        <v/>
      </c>
      <c r="D973" s="207" t="str">
        <f t="shared" si="0"/>
        <v/>
      </c>
      <c r="E973" s="207"/>
      <c r="F973" s="205" t="str">
        <f>IF(E973="","",VLOOKUP(E973,'ARAMA LİSTELERİ'!C973:G3012,5,))</f>
        <v/>
      </c>
      <c r="G973" s="207"/>
      <c r="H973" s="210"/>
      <c r="I973" s="79"/>
      <c r="J973" s="210"/>
      <c r="K973" s="210"/>
      <c r="L973" s="210" t="str">
        <f t="shared" si="1"/>
        <v/>
      </c>
      <c r="M973" s="79"/>
      <c r="N973" s="207"/>
      <c r="O973" s="207"/>
      <c r="P973" s="207"/>
      <c r="Q973" s="207"/>
    </row>
    <row r="974" spans="1:17" ht="34.5" customHeight="1">
      <c r="A974" s="82"/>
      <c r="B974" s="205" t="str">
        <f t="shared" si="2"/>
        <v/>
      </c>
      <c r="C974" s="206" t="str">
        <f t="shared" si="3"/>
        <v/>
      </c>
      <c r="D974" s="207" t="str">
        <f t="shared" si="0"/>
        <v/>
      </c>
      <c r="E974" s="207"/>
      <c r="F974" s="205" t="str">
        <f>IF(E974="","",VLOOKUP(E974,'ARAMA LİSTELERİ'!C974:G3013,5,))</f>
        <v/>
      </c>
      <c r="G974" s="207"/>
      <c r="H974" s="210"/>
      <c r="I974" s="79"/>
      <c r="J974" s="210"/>
      <c r="K974" s="210"/>
      <c r="L974" s="210" t="str">
        <f t="shared" si="1"/>
        <v/>
      </c>
      <c r="M974" s="79"/>
      <c r="N974" s="207"/>
      <c r="O974" s="207"/>
      <c r="P974" s="207"/>
      <c r="Q974" s="207"/>
    </row>
    <row r="975" spans="1:17" ht="34.5" customHeight="1">
      <c r="A975" s="82"/>
      <c r="B975" s="205" t="str">
        <f t="shared" si="2"/>
        <v/>
      </c>
      <c r="C975" s="206" t="str">
        <f t="shared" si="3"/>
        <v/>
      </c>
      <c r="D975" s="207" t="str">
        <f t="shared" si="0"/>
        <v/>
      </c>
      <c r="E975" s="207"/>
      <c r="F975" s="205" t="str">
        <f>IF(E975="","",VLOOKUP(E975,'ARAMA LİSTELERİ'!C975:G3014,5,))</f>
        <v/>
      </c>
      <c r="G975" s="207"/>
      <c r="H975" s="210"/>
      <c r="I975" s="79"/>
      <c r="J975" s="210"/>
      <c r="K975" s="210"/>
      <c r="L975" s="210" t="str">
        <f t="shared" si="1"/>
        <v/>
      </c>
      <c r="M975" s="79"/>
      <c r="N975" s="207"/>
      <c r="O975" s="207"/>
      <c r="P975" s="207"/>
      <c r="Q975" s="207"/>
    </row>
    <row r="976" spans="1:17" ht="34.5" customHeight="1">
      <c r="A976" s="82"/>
      <c r="B976" s="205" t="str">
        <f t="shared" si="2"/>
        <v/>
      </c>
      <c r="C976" s="206" t="str">
        <f t="shared" si="3"/>
        <v/>
      </c>
      <c r="D976" s="207" t="str">
        <f t="shared" si="0"/>
        <v/>
      </c>
      <c r="E976" s="207"/>
      <c r="F976" s="205" t="str">
        <f>IF(E976="","",VLOOKUP(E976,'ARAMA LİSTELERİ'!C976:G3015,5,))</f>
        <v/>
      </c>
      <c r="G976" s="207"/>
      <c r="H976" s="210"/>
      <c r="I976" s="79"/>
      <c r="J976" s="210"/>
      <c r="K976" s="210"/>
      <c r="L976" s="210" t="str">
        <f t="shared" si="1"/>
        <v/>
      </c>
      <c r="M976" s="79"/>
      <c r="N976" s="207"/>
      <c r="O976" s="207"/>
      <c r="P976" s="207"/>
      <c r="Q976" s="207"/>
    </row>
    <row r="977" spans="1:17" ht="34.5" customHeight="1">
      <c r="A977" s="82"/>
      <c r="B977" s="205" t="str">
        <f t="shared" si="2"/>
        <v/>
      </c>
      <c r="C977" s="206" t="str">
        <f t="shared" si="3"/>
        <v/>
      </c>
      <c r="D977" s="207" t="str">
        <f t="shared" si="0"/>
        <v/>
      </c>
      <c r="E977" s="207"/>
      <c r="F977" s="205" t="str">
        <f>IF(E977="","",VLOOKUP(E977,'ARAMA LİSTELERİ'!C977:G3016,5,))</f>
        <v/>
      </c>
      <c r="G977" s="207"/>
      <c r="H977" s="210"/>
      <c r="I977" s="79"/>
      <c r="J977" s="210"/>
      <c r="K977" s="210"/>
      <c r="L977" s="210" t="str">
        <f t="shared" si="1"/>
        <v/>
      </c>
      <c r="M977" s="79"/>
      <c r="N977" s="207"/>
      <c r="O977" s="207"/>
      <c r="P977" s="207"/>
      <c r="Q977" s="207"/>
    </row>
    <row r="978" spans="1:17" ht="34.5" customHeight="1">
      <c r="A978" s="82"/>
      <c r="B978" s="205" t="str">
        <f t="shared" si="2"/>
        <v/>
      </c>
      <c r="C978" s="206" t="str">
        <f t="shared" si="3"/>
        <v/>
      </c>
      <c r="D978" s="207" t="str">
        <f t="shared" si="0"/>
        <v/>
      </c>
      <c r="E978" s="207"/>
      <c r="F978" s="205" t="str">
        <f>IF(E978="","",VLOOKUP(E978,'ARAMA LİSTELERİ'!C978:G3017,5,))</f>
        <v/>
      </c>
      <c r="G978" s="207"/>
      <c r="H978" s="210"/>
      <c r="I978" s="79"/>
      <c r="J978" s="210"/>
      <c r="K978" s="210"/>
      <c r="L978" s="210" t="str">
        <f t="shared" si="1"/>
        <v/>
      </c>
      <c r="M978" s="79"/>
      <c r="N978" s="207"/>
      <c r="O978" s="207"/>
      <c r="P978" s="207"/>
      <c r="Q978" s="207"/>
    </row>
    <row r="979" spans="1:17" ht="34.5" customHeight="1">
      <c r="A979" s="82"/>
      <c r="B979" s="205" t="str">
        <f t="shared" si="2"/>
        <v/>
      </c>
      <c r="C979" s="206" t="str">
        <f t="shared" si="3"/>
        <v/>
      </c>
      <c r="D979" s="207" t="str">
        <f t="shared" si="0"/>
        <v/>
      </c>
      <c r="E979" s="207"/>
      <c r="F979" s="205" t="str">
        <f>IF(E979="","",VLOOKUP(E979,'ARAMA LİSTELERİ'!C979:G3018,5,))</f>
        <v/>
      </c>
      <c r="G979" s="207"/>
      <c r="H979" s="210"/>
      <c r="I979" s="79"/>
      <c r="J979" s="210"/>
      <c r="K979" s="210"/>
      <c r="L979" s="210" t="str">
        <f t="shared" si="1"/>
        <v/>
      </c>
      <c r="M979" s="79"/>
      <c r="N979" s="207"/>
      <c r="O979" s="207"/>
      <c r="P979" s="207"/>
      <c r="Q979" s="207"/>
    </row>
    <row r="980" spans="1:17" ht="34.5" customHeight="1">
      <c r="A980" s="82"/>
      <c r="B980" s="205" t="str">
        <f t="shared" si="2"/>
        <v/>
      </c>
      <c r="C980" s="206" t="str">
        <f t="shared" si="3"/>
        <v/>
      </c>
      <c r="D980" s="207" t="str">
        <f t="shared" si="0"/>
        <v/>
      </c>
      <c r="E980" s="207"/>
      <c r="F980" s="205" t="str">
        <f>IF(E980="","",VLOOKUP(E980,'ARAMA LİSTELERİ'!C980:G3019,5,))</f>
        <v/>
      </c>
      <c r="G980" s="207"/>
      <c r="H980" s="210"/>
      <c r="I980" s="79"/>
      <c r="J980" s="210"/>
      <c r="K980" s="210"/>
      <c r="L980" s="210" t="str">
        <f t="shared" si="1"/>
        <v/>
      </c>
      <c r="M980" s="79"/>
      <c r="N980" s="207"/>
      <c r="O980" s="207"/>
      <c r="P980" s="207"/>
      <c r="Q980" s="207"/>
    </row>
    <row r="981" spans="1:17" ht="34.5" customHeight="1">
      <c r="A981" s="82"/>
      <c r="B981" s="205" t="str">
        <f t="shared" si="2"/>
        <v/>
      </c>
      <c r="C981" s="206" t="str">
        <f t="shared" si="3"/>
        <v/>
      </c>
      <c r="D981" s="207" t="str">
        <f t="shared" si="0"/>
        <v/>
      </c>
      <c r="E981" s="207"/>
      <c r="F981" s="205" t="str">
        <f>IF(E981="","",VLOOKUP(E981,'ARAMA LİSTELERİ'!C981:G3020,5,))</f>
        <v/>
      </c>
      <c r="G981" s="207"/>
      <c r="H981" s="210"/>
      <c r="I981" s="79"/>
      <c r="J981" s="210"/>
      <c r="K981" s="210"/>
      <c r="L981" s="210" t="str">
        <f t="shared" si="1"/>
        <v/>
      </c>
      <c r="M981" s="79"/>
      <c r="N981" s="207"/>
      <c r="O981" s="207"/>
      <c r="P981" s="207"/>
      <c r="Q981" s="207"/>
    </row>
    <row r="982" spans="1:17" ht="34.5" customHeight="1">
      <c r="A982" s="82"/>
      <c r="B982" s="205" t="str">
        <f t="shared" si="2"/>
        <v/>
      </c>
      <c r="C982" s="206" t="str">
        <f t="shared" si="3"/>
        <v/>
      </c>
      <c r="D982" s="207" t="str">
        <f t="shared" si="0"/>
        <v/>
      </c>
      <c r="E982" s="207"/>
      <c r="F982" s="205" t="str">
        <f>IF(E982="","",VLOOKUP(E982,'ARAMA LİSTELERİ'!C982:G3021,5,))</f>
        <v/>
      </c>
      <c r="G982" s="207"/>
      <c r="H982" s="210"/>
      <c r="I982" s="79"/>
      <c r="J982" s="210"/>
      <c r="K982" s="210"/>
      <c r="L982" s="210" t="str">
        <f t="shared" si="1"/>
        <v/>
      </c>
      <c r="M982" s="79"/>
      <c r="N982" s="207"/>
      <c r="O982" s="207"/>
      <c r="P982" s="207"/>
      <c r="Q982" s="207"/>
    </row>
    <row r="983" spans="1:17" ht="34.5" customHeight="1">
      <c r="A983" s="82"/>
      <c r="B983" s="205" t="str">
        <f t="shared" si="2"/>
        <v/>
      </c>
      <c r="C983" s="206" t="str">
        <f t="shared" si="3"/>
        <v/>
      </c>
      <c r="D983" s="207" t="str">
        <f t="shared" si="0"/>
        <v/>
      </c>
      <c r="E983" s="207"/>
      <c r="F983" s="205" t="str">
        <f>IF(E983="","",VLOOKUP(E983,'ARAMA LİSTELERİ'!C983:G3022,5,))</f>
        <v/>
      </c>
      <c r="G983" s="207"/>
      <c r="H983" s="210"/>
      <c r="I983" s="79"/>
      <c r="J983" s="210"/>
      <c r="K983" s="210"/>
      <c r="L983" s="210" t="str">
        <f t="shared" si="1"/>
        <v/>
      </c>
      <c r="M983" s="79"/>
      <c r="N983" s="207"/>
      <c r="O983" s="207"/>
      <c r="P983" s="207"/>
      <c r="Q983" s="207"/>
    </row>
    <row r="984" spans="1:17" ht="34.5" customHeight="1">
      <c r="A984" s="82"/>
      <c r="B984" s="205" t="str">
        <f t="shared" si="2"/>
        <v/>
      </c>
      <c r="C984" s="206" t="str">
        <f t="shared" si="3"/>
        <v/>
      </c>
      <c r="D984" s="207" t="str">
        <f t="shared" si="0"/>
        <v/>
      </c>
      <c r="E984" s="207"/>
      <c r="F984" s="205" t="str">
        <f>IF(E984="","",VLOOKUP(E984,'ARAMA LİSTELERİ'!C984:G3023,5,))</f>
        <v/>
      </c>
      <c r="G984" s="207"/>
      <c r="H984" s="210"/>
      <c r="I984" s="79"/>
      <c r="J984" s="210"/>
      <c r="K984" s="210"/>
      <c r="L984" s="210" t="str">
        <f t="shared" si="1"/>
        <v/>
      </c>
      <c r="M984" s="79"/>
      <c r="N984" s="207"/>
      <c r="O984" s="207"/>
      <c r="P984" s="207"/>
      <c r="Q984" s="207"/>
    </row>
    <row r="985" spans="1:17" ht="34.5" customHeight="1">
      <c r="A985" s="82"/>
      <c r="B985" s="205" t="str">
        <f t="shared" si="2"/>
        <v/>
      </c>
      <c r="C985" s="206" t="str">
        <f t="shared" si="3"/>
        <v/>
      </c>
      <c r="D985" s="207" t="str">
        <f t="shared" si="0"/>
        <v/>
      </c>
      <c r="E985" s="207"/>
      <c r="F985" s="205" t="str">
        <f>IF(E985="","",VLOOKUP(E985,'ARAMA LİSTELERİ'!C985:G3024,5,))</f>
        <v/>
      </c>
      <c r="G985" s="207"/>
      <c r="H985" s="210"/>
      <c r="I985" s="79"/>
      <c r="J985" s="210"/>
      <c r="K985" s="210"/>
      <c r="L985" s="210" t="str">
        <f t="shared" si="1"/>
        <v/>
      </c>
      <c r="M985" s="79"/>
      <c r="N985" s="207"/>
      <c r="O985" s="207"/>
      <c r="P985" s="207"/>
      <c r="Q985" s="207"/>
    </row>
    <row r="986" spans="1:17" ht="34.5" customHeight="1">
      <c r="A986" s="82"/>
      <c r="B986" s="205" t="str">
        <f t="shared" si="2"/>
        <v/>
      </c>
      <c r="C986" s="206" t="str">
        <f t="shared" si="3"/>
        <v/>
      </c>
      <c r="D986" s="207" t="str">
        <f t="shared" si="0"/>
        <v/>
      </c>
      <c r="E986" s="207"/>
      <c r="F986" s="205" t="str">
        <f>IF(E986="","",VLOOKUP(E986,'ARAMA LİSTELERİ'!C986:G3025,5,))</f>
        <v/>
      </c>
      <c r="G986" s="207"/>
      <c r="H986" s="210"/>
      <c r="I986" s="79"/>
      <c r="J986" s="210"/>
      <c r="K986" s="210"/>
      <c r="L986" s="210" t="str">
        <f t="shared" si="1"/>
        <v/>
      </c>
      <c r="M986" s="79"/>
      <c r="N986" s="207"/>
      <c r="O986" s="207"/>
      <c r="P986" s="207"/>
      <c r="Q986" s="207"/>
    </row>
    <row r="987" spans="1:17" ht="34.5" customHeight="1">
      <c r="A987" s="82"/>
      <c r="B987" s="205" t="str">
        <f t="shared" si="2"/>
        <v/>
      </c>
      <c r="C987" s="206" t="str">
        <f t="shared" si="3"/>
        <v/>
      </c>
      <c r="D987" s="207" t="str">
        <f t="shared" si="0"/>
        <v/>
      </c>
      <c r="E987" s="207"/>
      <c r="F987" s="205" t="str">
        <f>IF(E987="","",VLOOKUP(E987,'ARAMA LİSTELERİ'!C987:G3026,5,))</f>
        <v/>
      </c>
      <c r="G987" s="207"/>
      <c r="H987" s="210"/>
      <c r="I987" s="79"/>
      <c r="J987" s="210"/>
      <c r="K987" s="210"/>
      <c r="L987" s="210" t="str">
        <f t="shared" si="1"/>
        <v/>
      </c>
      <c r="M987" s="79"/>
      <c r="N987" s="207"/>
      <c r="O987" s="207"/>
      <c r="P987" s="207"/>
      <c r="Q987" s="207"/>
    </row>
    <row r="988" spans="1:17" ht="34.5" customHeight="1">
      <c r="A988" s="82"/>
      <c r="B988" s="205" t="str">
        <f t="shared" si="2"/>
        <v/>
      </c>
      <c r="C988" s="206" t="str">
        <f t="shared" si="3"/>
        <v/>
      </c>
      <c r="D988" s="207" t="str">
        <f t="shared" si="0"/>
        <v/>
      </c>
      <c r="E988" s="207"/>
      <c r="F988" s="205" t="str">
        <f>IF(E988="","",VLOOKUP(E988,'ARAMA LİSTELERİ'!C988:G3027,5,))</f>
        <v/>
      </c>
      <c r="G988" s="207"/>
      <c r="H988" s="210"/>
      <c r="I988" s="79"/>
      <c r="J988" s="210"/>
      <c r="K988" s="210"/>
      <c r="L988" s="210" t="str">
        <f t="shared" si="1"/>
        <v/>
      </c>
      <c r="M988" s="79"/>
      <c r="N988" s="207"/>
      <c r="O988" s="207"/>
      <c r="P988" s="207"/>
      <c r="Q988" s="207"/>
    </row>
    <row r="989" spans="1:17" ht="34.5" customHeight="1">
      <c r="A989" s="82"/>
      <c r="B989" s="205" t="str">
        <f t="shared" si="2"/>
        <v/>
      </c>
      <c r="C989" s="206" t="str">
        <f t="shared" si="3"/>
        <v/>
      </c>
      <c r="D989" s="207" t="str">
        <f t="shared" si="0"/>
        <v/>
      </c>
      <c r="E989" s="207"/>
      <c r="F989" s="205" t="str">
        <f>IF(E989="","",VLOOKUP(E989,'ARAMA LİSTELERİ'!C989:G3028,5,))</f>
        <v/>
      </c>
      <c r="G989" s="207"/>
      <c r="H989" s="210"/>
      <c r="I989" s="79"/>
      <c r="J989" s="210"/>
      <c r="K989" s="210"/>
      <c r="L989" s="210" t="str">
        <f t="shared" si="1"/>
        <v/>
      </c>
      <c r="M989" s="79"/>
      <c r="N989" s="207"/>
      <c r="O989" s="207"/>
      <c r="P989" s="207"/>
      <c r="Q989" s="207"/>
    </row>
    <row r="990" spans="1:17" ht="34.5" customHeight="1">
      <c r="A990" s="82"/>
      <c r="B990" s="205" t="str">
        <f t="shared" si="2"/>
        <v/>
      </c>
      <c r="C990" s="206" t="str">
        <f t="shared" si="3"/>
        <v/>
      </c>
      <c r="D990" s="207" t="str">
        <f t="shared" si="0"/>
        <v/>
      </c>
      <c r="E990" s="207"/>
      <c r="F990" s="205" t="str">
        <f>IF(E990="","",VLOOKUP(E990,'ARAMA LİSTELERİ'!C990:G3029,5,))</f>
        <v/>
      </c>
      <c r="G990" s="207"/>
      <c r="H990" s="210"/>
      <c r="I990" s="79"/>
      <c r="J990" s="210"/>
      <c r="K990" s="210"/>
      <c r="L990" s="210" t="str">
        <f t="shared" si="1"/>
        <v/>
      </c>
      <c r="M990" s="79"/>
      <c r="N990" s="207"/>
      <c r="O990" s="207"/>
      <c r="P990" s="207"/>
      <c r="Q990" s="207"/>
    </row>
    <row r="991" spans="1:17" ht="34.5" customHeight="1">
      <c r="A991" s="82"/>
      <c r="B991" s="205" t="str">
        <f t="shared" si="2"/>
        <v/>
      </c>
      <c r="C991" s="206" t="str">
        <f t="shared" si="3"/>
        <v/>
      </c>
      <c r="D991" s="207" t="str">
        <f t="shared" si="0"/>
        <v/>
      </c>
      <c r="E991" s="207"/>
      <c r="F991" s="205" t="str">
        <f>IF(E991="","",VLOOKUP(E991,'ARAMA LİSTELERİ'!C991:G3030,5,))</f>
        <v/>
      </c>
      <c r="G991" s="207"/>
      <c r="H991" s="210"/>
      <c r="I991" s="79"/>
      <c r="J991" s="210"/>
      <c r="K991" s="210"/>
      <c r="L991" s="210" t="str">
        <f t="shared" si="1"/>
        <v/>
      </c>
      <c r="M991" s="79"/>
      <c r="N991" s="207"/>
      <c r="O991" s="207"/>
      <c r="P991" s="207"/>
      <c r="Q991" s="207"/>
    </row>
    <row r="992" spans="1:17" ht="34.5" customHeight="1">
      <c r="A992" s="82"/>
      <c r="B992" s="205" t="str">
        <f t="shared" si="2"/>
        <v/>
      </c>
      <c r="C992" s="206" t="str">
        <f t="shared" si="3"/>
        <v/>
      </c>
      <c r="D992" s="207" t="str">
        <f t="shared" si="0"/>
        <v/>
      </c>
      <c r="E992" s="207"/>
      <c r="F992" s="205" t="str">
        <f>IF(E992="","",VLOOKUP(E992,'ARAMA LİSTELERİ'!C992:G3031,5,))</f>
        <v/>
      </c>
      <c r="G992" s="207"/>
      <c r="H992" s="210"/>
      <c r="I992" s="79"/>
      <c r="J992" s="210"/>
      <c r="K992" s="210"/>
      <c r="L992" s="210" t="str">
        <f t="shared" si="1"/>
        <v/>
      </c>
      <c r="M992" s="79"/>
      <c r="N992" s="207"/>
      <c r="O992" s="207"/>
      <c r="P992" s="207"/>
      <c r="Q992" s="207"/>
    </row>
    <row r="993" spans="1:17" ht="34.5" customHeight="1">
      <c r="A993" s="82"/>
      <c r="B993" s="205" t="str">
        <f t="shared" si="2"/>
        <v/>
      </c>
      <c r="C993" s="206" t="str">
        <f t="shared" si="3"/>
        <v/>
      </c>
      <c r="D993" s="207" t="str">
        <f t="shared" si="0"/>
        <v/>
      </c>
      <c r="E993" s="207"/>
      <c r="F993" s="205" t="str">
        <f>IF(E993="","",VLOOKUP(E993,'ARAMA LİSTELERİ'!C993:G3032,5,))</f>
        <v/>
      </c>
      <c r="G993" s="207"/>
      <c r="H993" s="210"/>
      <c r="I993" s="79"/>
      <c r="J993" s="210"/>
      <c r="K993" s="210"/>
      <c r="L993" s="210" t="str">
        <f t="shared" si="1"/>
        <v/>
      </c>
      <c r="M993" s="79"/>
      <c r="N993" s="207"/>
      <c r="O993" s="207"/>
      <c r="P993" s="207"/>
      <c r="Q993" s="207"/>
    </row>
    <row r="994" spans="1:17" ht="34.5" customHeight="1">
      <c r="A994" s="82"/>
      <c r="B994" s="205" t="str">
        <f t="shared" si="2"/>
        <v/>
      </c>
      <c r="C994" s="206" t="str">
        <f t="shared" si="3"/>
        <v/>
      </c>
      <c r="D994" s="207" t="str">
        <f t="shared" si="0"/>
        <v/>
      </c>
      <c r="E994" s="207"/>
      <c r="F994" s="205" t="str">
        <f>IF(E994="","",VLOOKUP(E994,'ARAMA LİSTELERİ'!C994:G3033,5,))</f>
        <v/>
      </c>
      <c r="G994" s="207"/>
      <c r="H994" s="210"/>
      <c r="I994" s="79"/>
      <c r="J994" s="210"/>
      <c r="K994" s="210"/>
      <c r="L994" s="210" t="str">
        <f t="shared" si="1"/>
        <v/>
      </c>
      <c r="M994" s="79"/>
      <c r="N994" s="207"/>
      <c r="O994" s="207"/>
      <c r="P994" s="207"/>
      <c r="Q994" s="207"/>
    </row>
    <row r="995" spans="1:17" ht="34.5" customHeight="1">
      <c r="A995" s="82"/>
      <c r="B995" s="205" t="str">
        <f t="shared" si="2"/>
        <v/>
      </c>
      <c r="C995" s="206" t="str">
        <f t="shared" si="3"/>
        <v/>
      </c>
      <c r="D995" s="207" t="str">
        <f t="shared" si="0"/>
        <v/>
      </c>
      <c r="E995" s="207"/>
      <c r="F995" s="205" t="str">
        <f>IF(E995="","",VLOOKUP(E995,'ARAMA LİSTELERİ'!C995:G3034,5,))</f>
        <v/>
      </c>
      <c r="G995" s="207"/>
      <c r="H995" s="210"/>
      <c r="I995" s="79"/>
      <c r="J995" s="210"/>
      <c r="K995" s="210"/>
      <c r="L995" s="210" t="str">
        <f t="shared" si="1"/>
        <v/>
      </c>
      <c r="M995" s="79"/>
      <c r="N995" s="207"/>
      <c r="O995" s="207"/>
      <c r="P995" s="207"/>
      <c r="Q995" s="207"/>
    </row>
    <row r="996" spans="1:17" ht="34.5" customHeight="1">
      <c r="A996" s="82"/>
      <c r="B996" s="205" t="str">
        <f t="shared" si="2"/>
        <v/>
      </c>
      <c r="C996" s="206" t="str">
        <f t="shared" si="3"/>
        <v/>
      </c>
      <c r="D996" s="207" t="str">
        <f t="shared" si="0"/>
        <v/>
      </c>
      <c r="E996" s="207"/>
      <c r="F996" s="205" t="str">
        <f>IF(E996="","",VLOOKUP(E996,'ARAMA LİSTELERİ'!C996:G3035,5,))</f>
        <v/>
      </c>
      <c r="G996" s="207"/>
      <c r="H996" s="210"/>
      <c r="I996" s="79"/>
      <c r="J996" s="210"/>
      <c r="K996" s="210"/>
      <c r="L996" s="210" t="str">
        <f t="shared" si="1"/>
        <v/>
      </c>
      <c r="M996" s="79"/>
      <c r="N996" s="207"/>
      <c r="O996" s="207"/>
      <c r="P996" s="207"/>
      <c r="Q996" s="207"/>
    </row>
    <row r="997" spans="1:17" ht="34.5" customHeight="1">
      <c r="A997" s="82"/>
      <c r="B997" s="205" t="str">
        <f t="shared" si="2"/>
        <v/>
      </c>
      <c r="C997" s="206" t="str">
        <f t="shared" si="3"/>
        <v/>
      </c>
      <c r="D997" s="207" t="str">
        <f t="shared" si="0"/>
        <v/>
      </c>
      <c r="E997" s="207"/>
      <c r="F997" s="205" t="str">
        <f>IF(E997="","",VLOOKUP(E997,'ARAMA LİSTELERİ'!C997:G3036,5,))</f>
        <v/>
      </c>
      <c r="G997" s="207"/>
      <c r="H997" s="210"/>
      <c r="I997" s="79"/>
      <c r="J997" s="210"/>
      <c r="K997" s="210"/>
      <c r="L997" s="210" t="str">
        <f t="shared" si="1"/>
        <v/>
      </c>
      <c r="M997" s="79"/>
      <c r="N997" s="207"/>
      <c r="O997" s="207"/>
      <c r="P997" s="207"/>
      <c r="Q997" s="207"/>
    </row>
    <row r="998" spans="1:17" ht="34.5" customHeight="1">
      <c r="A998" s="82"/>
      <c r="B998" s="205" t="str">
        <f t="shared" si="2"/>
        <v/>
      </c>
      <c r="C998" s="206" t="str">
        <f t="shared" si="3"/>
        <v/>
      </c>
      <c r="D998" s="207" t="str">
        <f t="shared" si="0"/>
        <v/>
      </c>
      <c r="E998" s="207"/>
      <c r="F998" s="205" t="str">
        <f>IF(E998="","",VLOOKUP(E998,'ARAMA LİSTELERİ'!C998:G3037,5,))</f>
        <v/>
      </c>
      <c r="G998" s="207"/>
      <c r="H998" s="210"/>
      <c r="I998" s="79"/>
      <c r="J998" s="210"/>
      <c r="K998" s="210"/>
      <c r="L998" s="210" t="str">
        <f t="shared" si="1"/>
        <v/>
      </c>
      <c r="M998" s="79"/>
      <c r="N998" s="207"/>
      <c r="O998" s="207"/>
      <c r="P998" s="207"/>
      <c r="Q998" s="207"/>
    </row>
    <row r="999" spans="1:17" ht="34.5" customHeight="1">
      <c r="A999" s="82"/>
      <c r="B999" s="205" t="str">
        <f t="shared" si="2"/>
        <v/>
      </c>
      <c r="C999" s="206" t="str">
        <f t="shared" si="3"/>
        <v/>
      </c>
      <c r="D999" s="207" t="str">
        <f t="shared" si="0"/>
        <v/>
      </c>
      <c r="E999" s="207"/>
      <c r="F999" s="205" t="str">
        <f>IF(E999="","",VLOOKUP(E999,'ARAMA LİSTELERİ'!C999:G3038,5,))</f>
        <v/>
      </c>
      <c r="G999" s="207"/>
      <c r="H999" s="210"/>
      <c r="I999" s="79"/>
      <c r="J999" s="210"/>
      <c r="K999" s="210"/>
      <c r="L999" s="210" t="str">
        <f t="shared" si="1"/>
        <v/>
      </c>
      <c r="M999" s="79"/>
      <c r="N999" s="207"/>
      <c r="O999" s="207"/>
      <c r="P999" s="207"/>
      <c r="Q999" s="207"/>
    </row>
    <row r="1000" spans="1:17" ht="34.5" customHeight="1">
      <c r="A1000" s="82"/>
      <c r="B1000" s="205" t="str">
        <f t="shared" si="2"/>
        <v/>
      </c>
      <c r="C1000" s="206" t="str">
        <f t="shared" si="3"/>
        <v/>
      </c>
      <c r="D1000" s="207" t="str">
        <f t="shared" si="0"/>
        <v/>
      </c>
      <c r="E1000" s="207"/>
      <c r="F1000" s="205" t="str">
        <f>IF(E1000="","",VLOOKUP(E1000,'ARAMA LİSTELERİ'!C1000:G3039,5,))</f>
        <v/>
      </c>
      <c r="G1000" s="207"/>
      <c r="H1000" s="210"/>
      <c r="I1000" s="79"/>
      <c r="J1000" s="210"/>
      <c r="K1000" s="210"/>
      <c r="L1000" s="210" t="str">
        <f t="shared" si="1"/>
        <v/>
      </c>
      <c r="M1000" s="79"/>
      <c r="N1000" s="207"/>
      <c r="O1000" s="207"/>
      <c r="P1000" s="207"/>
      <c r="Q1000" s="207"/>
    </row>
    <row r="1001" spans="1:17" ht="34.5" customHeight="1">
      <c r="A1001" s="82"/>
      <c r="B1001" s="205" t="str">
        <f t="shared" si="2"/>
        <v/>
      </c>
      <c r="C1001" s="206" t="str">
        <f t="shared" si="3"/>
        <v/>
      </c>
      <c r="D1001" s="207" t="str">
        <f t="shared" si="0"/>
        <v/>
      </c>
      <c r="E1001" s="207"/>
      <c r="F1001" s="205" t="str">
        <f>IF(E1001="","",VLOOKUP(E1001,'ARAMA LİSTELERİ'!C1001:G3040,5,))</f>
        <v/>
      </c>
      <c r="G1001" s="207"/>
      <c r="H1001" s="210"/>
      <c r="I1001" s="79"/>
      <c r="J1001" s="210"/>
      <c r="K1001" s="210"/>
      <c r="L1001" s="210" t="str">
        <f t="shared" si="1"/>
        <v/>
      </c>
      <c r="M1001" s="79"/>
      <c r="N1001" s="207"/>
      <c r="O1001" s="207"/>
      <c r="P1001" s="207"/>
      <c r="Q1001" s="207"/>
    </row>
  </sheetData>
  <mergeCells count="1">
    <mergeCell ref="A1:Q1"/>
  </mergeCells>
  <conditionalFormatting sqref="K3:L1001">
    <cfRule type="containsText" dxfId="5" priority="1" operator="containsText" text="ÖDEME TAMAMLANDI">
      <formula>NOT(ISERROR(SEARCH(("ÖDEME TAMAMLANDI"),(K3))))</formula>
    </cfRule>
  </conditionalFormatting>
  <conditionalFormatting sqref="G3:G1001">
    <cfRule type="containsText" dxfId="4" priority="2" operator="containsText" text="ONAY">
      <formula>NOT(ISERROR(SEARCH(("ONAY"),(G3))))</formula>
    </cfRule>
  </conditionalFormatting>
  <conditionalFormatting sqref="G3:G1001">
    <cfRule type="containsText" dxfId="3" priority="3" operator="containsText" text="RED">
      <formula>NOT(ISERROR(SEARCH(("RED"),(G3))))</formula>
    </cfRule>
  </conditionalFormatting>
  <conditionalFormatting sqref="G3:G1001">
    <cfRule type="containsText" dxfId="2" priority="4" operator="containsText" text="BEKLEME">
      <formula>NOT(ISERROR(SEARCH(("BEKLEME"),(G3))))</formula>
    </cfRule>
  </conditionalFormatting>
  <conditionalFormatting sqref="G3:G1001">
    <cfRule type="containsText" dxfId="1" priority="5" operator="containsText" text="TEKLİF HAZIRLANIYOR">
      <formula>NOT(ISERROR(SEARCH(("TEKLİF HAZIRLANIYOR"),(G3))))</formula>
    </cfRule>
  </conditionalFormatting>
  <conditionalFormatting sqref="L3:L1001">
    <cfRule type="containsText" dxfId="0" priority="6" operator="containsText" text="kaldı">
      <formula>NOT(ISERROR(SEARCH(("kaldı"),(L3))))</formula>
    </cfRule>
  </conditionalFormatting>
  <dataValidations count="4">
    <dataValidation type="list" allowBlank="1" showDropDown="1" showErrorMessage="1" sqref="G3:G1001">
      <formula1>onaydurumu</formula1>
    </dataValidation>
    <dataValidation type="list" allowBlank="1" showDropDown="1" showErrorMessage="1" sqref="E3:E1001">
      <formula1>FİRMA</formula1>
    </dataValidation>
    <dataValidation type="list" allowBlank="1" showDropDown="1" showErrorMessage="1" sqref="C3:C1001">
      <formula1>ekleyenler</formula1>
    </dataValidation>
    <dataValidation type="custom" allowBlank="1" showDropDown="1" showErrorMessage="1" sqref="A3:A1001 I3:I1001 M3:M1001">
      <formula1>OR(NOT(ISERROR(DATEVALUE(A3))), AND(ISNUMBER(A3), LEFT(CELL("format", A3))="D"))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10</vt:i4>
      </vt:variant>
    </vt:vector>
  </HeadingPairs>
  <TitlesOfParts>
    <vt:vector size="15" baseType="lpstr">
      <vt:lpstr>ARAMA LİSTELERİ V.2</vt:lpstr>
      <vt:lpstr>ARAMA LİSTELERİ</vt:lpstr>
      <vt:lpstr>OTOMATİK LİSTE İSİMLERİ </vt:lpstr>
      <vt:lpstr>VERİLEN TEKLİFLER1</vt:lpstr>
      <vt:lpstr>VERİLEN TEKLİFLER</vt:lpstr>
      <vt:lpstr>aramasonuçları</vt:lpstr>
      <vt:lpstr>COUNTRYCODES</vt:lpstr>
      <vt:lpstr>COUNTRYNAMES</vt:lpstr>
      <vt:lpstr>ekleyenler</vt:lpstr>
      <vt:lpstr>faaliyet</vt:lpstr>
      <vt:lpstr>FİRMA</vt:lpstr>
      <vt:lpstr>irtibatşekli</vt:lpstr>
      <vt:lpstr>onaydurumu</vt:lpstr>
      <vt:lpstr>telno</vt:lpstr>
      <vt:lpstr>ULKEADLARI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2023-05-05T12:07:53Z</dcterms:modified>
</cp:coreProperties>
</file>