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minimized="1" xWindow="840" yWindow="460" windowWidth="25080" windowHeight="14300" tabRatio="500"/>
  </bookViews>
  <sheets>
    <sheet name="Sheet2" sheetId="2" r:id="rId1"/>
    <sheet name="LapD DC" sheetId="3" r:id="rId2"/>
    <sheet name="LapG DC" sheetId="4" r:id="rId3"/>
    <sheet name="LapA DC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" l="1"/>
  <c r="C25" i="4"/>
  <c r="C26" i="4"/>
  <c r="C27" i="4"/>
  <c r="C23" i="4"/>
  <c r="K23" i="4"/>
  <c r="F26" i="6"/>
  <c r="C23" i="6"/>
  <c r="D11" i="6"/>
  <c r="C11" i="6"/>
  <c r="B5" i="6"/>
  <c r="B4" i="6"/>
  <c r="B3" i="6"/>
  <c r="E11" i="6"/>
  <c r="C12" i="6"/>
  <c r="G12" i="6"/>
  <c r="C27" i="6"/>
  <c r="D16" i="6"/>
  <c r="D27" i="6"/>
  <c r="F27" i="6"/>
  <c r="G27" i="6"/>
  <c r="C26" i="6"/>
  <c r="D15" i="6"/>
  <c r="D26" i="6"/>
  <c r="G26" i="6"/>
  <c r="C25" i="6"/>
  <c r="D14" i="6"/>
  <c r="D25" i="6"/>
  <c r="F25" i="6"/>
  <c r="G25" i="6"/>
  <c r="C24" i="6"/>
  <c r="D13" i="6"/>
  <c r="D24" i="6"/>
  <c r="F24" i="6"/>
  <c r="G24" i="6"/>
  <c r="D12" i="6"/>
  <c r="D23" i="6"/>
  <c r="F23" i="6"/>
  <c r="G23" i="6"/>
  <c r="F15" i="6"/>
  <c r="K18" i="6"/>
  <c r="F14" i="6"/>
  <c r="J18" i="6"/>
  <c r="F13" i="6"/>
  <c r="I18" i="6"/>
  <c r="H18" i="6"/>
  <c r="K17" i="6"/>
  <c r="J17" i="6"/>
  <c r="I17" i="6"/>
  <c r="H17" i="6"/>
  <c r="K16" i="6"/>
  <c r="O16" i="6"/>
  <c r="W16" i="6"/>
  <c r="AA16" i="6"/>
  <c r="J16" i="6"/>
  <c r="N16" i="6"/>
  <c r="V16" i="6"/>
  <c r="Z16" i="6"/>
  <c r="I16" i="6"/>
  <c r="M16" i="6"/>
  <c r="U16" i="6"/>
  <c r="Y16" i="6"/>
  <c r="H16" i="6"/>
  <c r="L16" i="6"/>
  <c r="T16" i="6"/>
  <c r="X16" i="6"/>
  <c r="S16" i="6"/>
  <c r="R16" i="6"/>
  <c r="Q16" i="6"/>
  <c r="P16" i="6"/>
  <c r="C16" i="6"/>
  <c r="G16" i="6"/>
  <c r="K15" i="6"/>
  <c r="O15" i="6"/>
  <c r="W15" i="6"/>
  <c r="AA15" i="6"/>
  <c r="J15" i="6"/>
  <c r="N15" i="6"/>
  <c r="V15" i="6"/>
  <c r="Z15" i="6"/>
  <c r="I15" i="6"/>
  <c r="M15" i="6"/>
  <c r="U15" i="6"/>
  <c r="Y15" i="6"/>
  <c r="H15" i="6"/>
  <c r="L15" i="6"/>
  <c r="T15" i="6"/>
  <c r="X15" i="6"/>
  <c r="S15" i="6"/>
  <c r="R15" i="6"/>
  <c r="Q15" i="6"/>
  <c r="P15" i="6"/>
  <c r="C15" i="6"/>
  <c r="G15" i="6"/>
  <c r="K14" i="6"/>
  <c r="O14" i="6"/>
  <c r="W14" i="6"/>
  <c r="AA14" i="6"/>
  <c r="J14" i="6"/>
  <c r="N14" i="6"/>
  <c r="V14" i="6"/>
  <c r="Z14" i="6"/>
  <c r="I14" i="6"/>
  <c r="M14" i="6"/>
  <c r="U14" i="6"/>
  <c r="Y14" i="6"/>
  <c r="H14" i="6"/>
  <c r="L14" i="6"/>
  <c r="T14" i="6"/>
  <c r="X14" i="6"/>
  <c r="S14" i="6"/>
  <c r="R14" i="6"/>
  <c r="Q14" i="6"/>
  <c r="P14" i="6"/>
  <c r="C14" i="6"/>
  <c r="G14" i="6"/>
  <c r="K13" i="6"/>
  <c r="O13" i="6"/>
  <c r="W13" i="6"/>
  <c r="AA13" i="6"/>
  <c r="J13" i="6"/>
  <c r="N13" i="6"/>
  <c r="V13" i="6"/>
  <c r="Z13" i="6"/>
  <c r="I13" i="6"/>
  <c r="M13" i="6"/>
  <c r="U13" i="6"/>
  <c r="Y13" i="6"/>
  <c r="H13" i="6"/>
  <c r="L13" i="6"/>
  <c r="T13" i="6"/>
  <c r="X13" i="6"/>
  <c r="S13" i="6"/>
  <c r="R13" i="6"/>
  <c r="Q13" i="6"/>
  <c r="P13" i="6"/>
  <c r="C13" i="6"/>
  <c r="G13" i="6"/>
  <c r="K12" i="6"/>
  <c r="O12" i="6"/>
  <c r="W12" i="6"/>
  <c r="AA12" i="6"/>
  <c r="J12" i="6"/>
  <c r="N12" i="6"/>
  <c r="V12" i="6"/>
  <c r="Z12" i="6"/>
  <c r="I12" i="6"/>
  <c r="M12" i="6"/>
  <c r="U12" i="6"/>
  <c r="Y12" i="6"/>
  <c r="H12" i="6"/>
  <c r="L12" i="6"/>
  <c r="T12" i="6"/>
  <c r="X12" i="6"/>
  <c r="S12" i="6"/>
  <c r="R12" i="6"/>
  <c r="Q12" i="6"/>
  <c r="P12" i="6"/>
  <c r="F12" i="6"/>
  <c r="D23" i="4"/>
  <c r="F23" i="4"/>
  <c r="G23" i="4"/>
  <c r="C23" i="3"/>
  <c r="C24" i="3"/>
  <c r="C25" i="3"/>
  <c r="C26" i="3"/>
  <c r="C27" i="3"/>
  <c r="D11" i="4"/>
  <c r="C11" i="4"/>
  <c r="B5" i="4"/>
  <c r="B4" i="4"/>
  <c r="B3" i="4"/>
  <c r="E11" i="4"/>
  <c r="C12" i="4"/>
  <c r="G12" i="4"/>
  <c r="D16" i="4"/>
  <c r="D27" i="4"/>
  <c r="F27" i="4"/>
  <c r="G27" i="4"/>
  <c r="E27" i="4"/>
  <c r="D15" i="4"/>
  <c r="D26" i="4"/>
  <c r="F26" i="4"/>
  <c r="G26" i="4"/>
  <c r="E26" i="4"/>
  <c r="D14" i="4"/>
  <c r="D25" i="4"/>
  <c r="F25" i="4"/>
  <c r="G25" i="4"/>
  <c r="E25" i="4"/>
  <c r="D13" i="4"/>
  <c r="D24" i="4"/>
  <c r="F24" i="4"/>
  <c r="G24" i="4"/>
  <c r="E24" i="4"/>
  <c r="D12" i="4"/>
  <c r="E23" i="4"/>
  <c r="F15" i="4"/>
  <c r="K18" i="4"/>
  <c r="F14" i="4"/>
  <c r="J18" i="4"/>
  <c r="F13" i="4"/>
  <c r="I18" i="4"/>
  <c r="H18" i="4"/>
  <c r="K17" i="4"/>
  <c r="J17" i="4"/>
  <c r="I17" i="4"/>
  <c r="H17" i="4"/>
  <c r="K16" i="4"/>
  <c r="O16" i="4"/>
  <c r="W16" i="4"/>
  <c r="AA16" i="4"/>
  <c r="J16" i="4"/>
  <c r="N16" i="4"/>
  <c r="V16" i="4"/>
  <c r="Z16" i="4"/>
  <c r="I16" i="4"/>
  <c r="M16" i="4"/>
  <c r="U16" i="4"/>
  <c r="Y16" i="4"/>
  <c r="H16" i="4"/>
  <c r="L16" i="4"/>
  <c r="T16" i="4"/>
  <c r="X16" i="4"/>
  <c r="S16" i="4"/>
  <c r="R16" i="4"/>
  <c r="Q16" i="4"/>
  <c r="P16" i="4"/>
  <c r="C16" i="4"/>
  <c r="G16" i="4"/>
  <c r="K15" i="4"/>
  <c r="O15" i="4"/>
  <c r="W15" i="4"/>
  <c r="AA15" i="4"/>
  <c r="J15" i="4"/>
  <c r="N15" i="4"/>
  <c r="V15" i="4"/>
  <c r="Z15" i="4"/>
  <c r="I15" i="4"/>
  <c r="M15" i="4"/>
  <c r="U15" i="4"/>
  <c r="Y15" i="4"/>
  <c r="H15" i="4"/>
  <c r="L15" i="4"/>
  <c r="T15" i="4"/>
  <c r="X15" i="4"/>
  <c r="S15" i="4"/>
  <c r="R15" i="4"/>
  <c r="Q15" i="4"/>
  <c r="P15" i="4"/>
  <c r="C15" i="4"/>
  <c r="G15" i="4"/>
  <c r="K14" i="4"/>
  <c r="O14" i="4"/>
  <c r="W14" i="4"/>
  <c r="AA14" i="4"/>
  <c r="J14" i="4"/>
  <c r="N14" i="4"/>
  <c r="V14" i="4"/>
  <c r="Z14" i="4"/>
  <c r="I14" i="4"/>
  <c r="M14" i="4"/>
  <c r="U14" i="4"/>
  <c r="Y14" i="4"/>
  <c r="H14" i="4"/>
  <c r="L14" i="4"/>
  <c r="T14" i="4"/>
  <c r="X14" i="4"/>
  <c r="S14" i="4"/>
  <c r="R14" i="4"/>
  <c r="Q14" i="4"/>
  <c r="P14" i="4"/>
  <c r="C14" i="4"/>
  <c r="G14" i="4"/>
  <c r="K13" i="4"/>
  <c r="O13" i="4"/>
  <c r="W13" i="4"/>
  <c r="AA13" i="4"/>
  <c r="J13" i="4"/>
  <c r="N13" i="4"/>
  <c r="V13" i="4"/>
  <c r="Z13" i="4"/>
  <c r="I13" i="4"/>
  <c r="M13" i="4"/>
  <c r="U13" i="4"/>
  <c r="Y13" i="4"/>
  <c r="H13" i="4"/>
  <c r="L13" i="4"/>
  <c r="T13" i="4"/>
  <c r="X13" i="4"/>
  <c r="S13" i="4"/>
  <c r="R13" i="4"/>
  <c r="Q13" i="4"/>
  <c r="P13" i="4"/>
  <c r="C13" i="4"/>
  <c r="G13" i="4"/>
  <c r="K12" i="4"/>
  <c r="O12" i="4"/>
  <c r="W12" i="4"/>
  <c r="AA12" i="4"/>
  <c r="J12" i="4"/>
  <c r="N12" i="4"/>
  <c r="V12" i="4"/>
  <c r="Z12" i="4"/>
  <c r="I12" i="4"/>
  <c r="M12" i="4"/>
  <c r="U12" i="4"/>
  <c r="Y12" i="4"/>
  <c r="H12" i="4"/>
  <c r="L12" i="4"/>
  <c r="T12" i="4"/>
  <c r="X12" i="4"/>
  <c r="S12" i="4"/>
  <c r="R12" i="4"/>
  <c r="Q12" i="4"/>
  <c r="P12" i="4"/>
  <c r="F12" i="4"/>
  <c r="C12" i="3"/>
  <c r="G12" i="3"/>
  <c r="D13" i="3"/>
  <c r="D11" i="3"/>
  <c r="D24" i="3"/>
  <c r="D14" i="3"/>
  <c r="D25" i="3"/>
  <c r="D15" i="3"/>
  <c r="D26" i="3"/>
  <c r="D16" i="3"/>
  <c r="D27" i="3"/>
  <c r="D12" i="3"/>
  <c r="D23" i="3"/>
  <c r="B5" i="3"/>
  <c r="B4" i="3"/>
  <c r="B3" i="3"/>
  <c r="E11" i="3"/>
  <c r="F24" i="3"/>
  <c r="G24" i="3"/>
  <c r="F25" i="3"/>
  <c r="G25" i="3"/>
  <c r="F26" i="3"/>
  <c r="G26" i="3"/>
  <c r="F27" i="3"/>
  <c r="G27" i="3"/>
  <c r="F23" i="3"/>
  <c r="G23" i="3"/>
  <c r="H12" i="3"/>
  <c r="L12" i="3"/>
  <c r="T12" i="3"/>
  <c r="E24" i="3"/>
  <c r="E25" i="3"/>
  <c r="E26" i="3"/>
  <c r="E27" i="3"/>
  <c r="E23" i="3"/>
  <c r="P12" i="3"/>
  <c r="F13" i="3"/>
  <c r="I12" i="3"/>
  <c r="M12" i="3"/>
  <c r="F15" i="3"/>
  <c r="K13" i="3"/>
  <c r="K14" i="3"/>
  <c r="K15" i="3"/>
  <c r="K16" i="3"/>
  <c r="K17" i="3"/>
  <c r="K18" i="3"/>
  <c r="K12" i="3"/>
  <c r="F14" i="3"/>
  <c r="J13" i="3"/>
  <c r="J14" i="3"/>
  <c r="J15" i="3"/>
  <c r="J16" i="3"/>
  <c r="J17" i="3"/>
  <c r="J18" i="3"/>
  <c r="J12" i="3"/>
  <c r="I13" i="3"/>
  <c r="I14" i="3"/>
  <c r="I15" i="3"/>
  <c r="I16" i="3"/>
  <c r="I17" i="3"/>
  <c r="I18" i="3"/>
  <c r="H13" i="3"/>
  <c r="H14" i="3"/>
  <c r="H15" i="3"/>
  <c r="H16" i="3"/>
  <c r="H17" i="3"/>
  <c r="H18" i="3"/>
  <c r="L13" i="3"/>
  <c r="T13" i="3"/>
  <c r="X13" i="3"/>
  <c r="M13" i="3"/>
  <c r="U13" i="3"/>
  <c r="Y13" i="3"/>
  <c r="N13" i="3"/>
  <c r="V13" i="3"/>
  <c r="Z13" i="3"/>
  <c r="O13" i="3"/>
  <c r="W13" i="3"/>
  <c r="AA13" i="3"/>
  <c r="L14" i="3"/>
  <c r="T14" i="3"/>
  <c r="X14" i="3"/>
  <c r="M14" i="3"/>
  <c r="U14" i="3"/>
  <c r="Y14" i="3"/>
  <c r="N14" i="3"/>
  <c r="V14" i="3"/>
  <c r="Z14" i="3"/>
  <c r="O14" i="3"/>
  <c r="W14" i="3"/>
  <c r="AA14" i="3"/>
  <c r="L15" i="3"/>
  <c r="T15" i="3"/>
  <c r="X15" i="3"/>
  <c r="M15" i="3"/>
  <c r="U15" i="3"/>
  <c r="Y15" i="3"/>
  <c r="N15" i="3"/>
  <c r="V15" i="3"/>
  <c r="Z15" i="3"/>
  <c r="O15" i="3"/>
  <c r="W15" i="3"/>
  <c r="AA15" i="3"/>
  <c r="L16" i="3"/>
  <c r="T16" i="3"/>
  <c r="X16" i="3"/>
  <c r="M16" i="3"/>
  <c r="U16" i="3"/>
  <c r="Y16" i="3"/>
  <c r="N16" i="3"/>
  <c r="V16" i="3"/>
  <c r="Z16" i="3"/>
  <c r="O16" i="3"/>
  <c r="W16" i="3"/>
  <c r="AA16" i="3"/>
  <c r="U12" i="3"/>
  <c r="Y12" i="3"/>
  <c r="N12" i="3"/>
  <c r="V12" i="3"/>
  <c r="Z12" i="3"/>
  <c r="O12" i="3"/>
  <c r="W12" i="3"/>
  <c r="AA12" i="3"/>
  <c r="X12" i="3"/>
  <c r="C13" i="3"/>
  <c r="G13" i="3"/>
  <c r="P13" i="3"/>
  <c r="S13" i="3"/>
  <c r="S14" i="3"/>
  <c r="S15" i="3"/>
  <c r="S16" i="3"/>
  <c r="S12" i="3"/>
  <c r="R12" i="3"/>
  <c r="R13" i="3"/>
  <c r="R14" i="3"/>
  <c r="R15" i="3"/>
  <c r="R16" i="3"/>
  <c r="Q13" i="3"/>
  <c r="Q14" i="3"/>
  <c r="Q15" i="3"/>
  <c r="Q16" i="3"/>
  <c r="Q12" i="3"/>
  <c r="P14" i="3"/>
  <c r="P15" i="3"/>
  <c r="P16" i="3"/>
  <c r="C14" i="3"/>
  <c r="G14" i="3"/>
  <c r="C15" i="3"/>
  <c r="G15" i="3"/>
  <c r="C16" i="3"/>
  <c r="G16" i="3"/>
  <c r="B11" i="3"/>
  <c r="F12" i="3"/>
  <c r="C11" i="3"/>
  <c r="J5" i="3"/>
  <c r="I5" i="3"/>
  <c r="H5" i="3"/>
  <c r="J4" i="3"/>
  <c r="I4" i="3"/>
  <c r="H4" i="3"/>
  <c r="D28" i="2"/>
  <c r="D27" i="2"/>
  <c r="D26" i="2"/>
  <c r="B5" i="2"/>
  <c r="B6" i="2"/>
  <c r="B7" i="2"/>
  <c r="B8" i="2"/>
  <c r="B9" i="2"/>
  <c r="B10" i="2"/>
  <c r="H6" i="2"/>
  <c r="H7" i="2"/>
  <c r="H8" i="2"/>
  <c r="H9" i="2"/>
  <c r="F6" i="2"/>
  <c r="F7" i="2"/>
  <c r="F8" i="2"/>
  <c r="F9" i="2"/>
</calcChain>
</file>

<file path=xl/sharedStrings.xml><?xml version="1.0" encoding="utf-8"?>
<sst xmlns="http://schemas.openxmlformats.org/spreadsheetml/2006/main" count="262" uniqueCount="85">
  <si>
    <t>Diffusion co-efficients</t>
  </si>
  <si>
    <t>LapD</t>
  </si>
  <si>
    <t>Rg</t>
  </si>
  <si>
    <t>Crowder</t>
  </si>
  <si>
    <t>100 kDa</t>
  </si>
  <si>
    <t>150 kDa</t>
  </si>
  <si>
    <t>200 kDa</t>
  </si>
  <si>
    <t>LapG</t>
  </si>
  <si>
    <t>LapA</t>
  </si>
  <si>
    <t>a</t>
  </si>
  <si>
    <t>b</t>
  </si>
  <si>
    <t>MW</t>
  </si>
  <si>
    <t>log MW</t>
  </si>
  <si>
    <t>b.logMW</t>
  </si>
  <si>
    <t>a + blogMW</t>
  </si>
  <si>
    <t>Log Rg</t>
  </si>
  <si>
    <t>2.78 nm</t>
  </si>
  <si>
    <t>RH</t>
  </si>
  <si>
    <t>Note 'a' and 'b' are constant from the reference given below</t>
  </si>
  <si>
    <t>Hydrodynamic radius RH</t>
  </si>
  <si>
    <t xml:space="preserve">Smilgies, D.M. and Folta-Stogniew, E. 2015.  </t>
  </si>
  <si>
    <t>Molecular weight-gyration radius relation of globular proteins:</t>
  </si>
  <si>
    <t>Rg = 0.775RH</t>
  </si>
  <si>
    <t xml:space="preserve">A comparison of light scattring, small-angle X-ray scattering and </t>
  </si>
  <si>
    <t>structure-based data.</t>
  </si>
  <si>
    <t>J. Appl. Cryst. 48:1604-1606</t>
  </si>
  <si>
    <t>For any protein, you can just substitute the MW in kDa (cell B6 above)</t>
  </si>
  <si>
    <t>and everything will be calculated automatically</t>
  </si>
  <si>
    <t>Radius of gyration Rg, nm</t>
  </si>
  <si>
    <t>Hydrodynamic radius RH, nm</t>
  </si>
  <si>
    <t>Radius of gyration rg (m)</t>
  </si>
  <si>
    <t>Hydrodynamic radius rh (m)</t>
  </si>
  <si>
    <t>Viscosity water 25 C (Pa.s or Ns/m2)</t>
  </si>
  <si>
    <t>Boltzmann const (m2 kg s-1 K-1)</t>
  </si>
  <si>
    <t>Temperature (K)</t>
  </si>
  <si>
    <t>Beta</t>
  </si>
  <si>
    <t>Diffusion coeff of LapD in water (um2/s)</t>
  </si>
  <si>
    <t>Conc of crowder c</t>
  </si>
  <si>
    <t>Overlap conc c_star</t>
  </si>
  <si>
    <t>Crowder conc. C (g/m3)</t>
  </si>
  <si>
    <t>Overlap crowder conc c_star (g/m3)</t>
  </si>
  <si>
    <t>Range of protein conc in cytoplasm (mg/ml)</t>
  </si>
  <si>
    <t>200-320</t>
  </si>
  <si>
    <t>MW (Da)</t>
  </si>
  <si>
    <t>eta</t>
  </si>
  <si>
    <t>eta for crowder conc 200000</t>
  </si>
  <si>
    <t>eta for crowder conc 250000</t>
  </si>
  <si>
    <t>eta for crowder conc 300000</t>
  </si>
  <si>
    <t>eta for crowder conc 350000</t>
  </si>
  <si>
    <t>exp f for c 200000</t>
  </si>
  <si>
    <t>exp f for crowder conc 250000</t>
  </si>
  <si>
    <t>exp f for crowder conc 300000</t>
  </si>
  <si>
    <t>exp f for crowder conc 350000</t>
  </si>
  <si>
    <t>visc cytoplasm c 200000</t>
  </si>
  <si>
    <t>visc cytoplasm c 200001</t>
  </si>
  <si>
    <t>visc cytoplasm c 200002</t>
  </si>
  <si>
    <t>visc cytoplasm c 200003</t>
  </si>
  <si>
    <t>diff for crowder 2000000</t>
  </si>
  <si>
    <t>diff for crowder 2000001</t>
  </si>
  <si>
    <t>diff for crowder 2000002</t>
  </si>
  <si>
    <t>diff for crowder 2000003</t>
  </si>
  <si>
    <t>D/D0</t>
  </si>
  <si>
    <t>DC decreases as crowder conc inc</t>
  </si>
  <si>
    <t>DC decreases as size of crowder inc</t>
  </si>
  <si>
    <t>take b = 0.2 (temp dependent term)</t>
  </si>
  <si>
    <t>Crowder conc (g/m3)</t>
  </si>
  <si>
    <t>MW crowder</t>
  </si>
  <si>
    <t>exp f</t>
  </si>
  <si>
    <t>visc</t>
  </si>
  <si>
    <t>Diffusion coeff (um2/s)</t>
  </si>
  <si>
    <t>D/D_water%</t>
  </si>
  <si>
    <t>Diffusion co-efficients LapG</t>
  </si>
  <si>
    <t>Diffusion coeff of LapG in water (um2/s)</t>
  </si>
  <si>
    <t>take b = 0.15 (temp dependent term)</t>
  </si>
  <si>
    <t>Range of protein conc in inner membrane (mg/ml)</t>
  </si>
  <si>
    <t>membrane conc</t>
  </si>
  <si>
    <t>800-1000 mg/ml</t>
  </si>
  <si>
    <t>Cyclic di-GMP</t>
  </si>
  <si>
    <t>LapD spherocylinder:</t>
  </si>
  <si>
    <t>rsc (nm)</t>
  </si>
  <si>
    <t>Lsc (nm)</t>
  </si>
  <si>
    <t>Diffusion co-efficients in water (um2/s)</t>
  </si>
  <si>
    <t>Molecule</t>
  </si>
  <si>
    <t>Reaction</t>
  </si>
  <si>
    <t>kd in water (uM-1 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</si>
</sst>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8"/>
      <color rgb="FFFF0000"/>
      <name val="Calibri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0" applyNumberFormat="1" applyFont="1"/>
    <xf numFmtId="0" fontId="4" fillId="0" borderId="4" xfId="0" applyFont="1" applyFill="1" applyBorder="1"/>
    <xf numFmtId="0" fontId="0" fillId="0" borderId="4" xfId="0" applyBorder="1"/>
    <xf numFmtId="0" fontId="0" fillId="0" borderId="4" xfId="0" applyFont="1" applyFill="1" applyBorder="1"/>
    <xf numFmtId="0" fontId="0" fillId="0" borderId="4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4" xfId="0" applyNumberFormat="1" applyFont="1" applyBorder="1"/>
    <xf numFmtId="0" fontId="0" fillId="0" borderId="4" xfId="0" applyFont="1" applyFill="1" applyBorder="1" applyAlignment="1">
      <alignment wrapText="1"/>
    </xf>
    <xf numFmtId="0" fontId="0" fillId="0" borderId="4" xfId="0" applyBorder="1" applyAlignment="1">
      <alignment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Diffusion co-efficient of LapD</a:t>
            </a:r>
            <a:r>
              <a:rPr lang="en-US" sz="1400" baseline="0"/>
              <a:t> vs Crowder size for different crowder concentrations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200 mg/ml</c:v>
          </c:tx>
          <c:xVal>
            <c:numRef>
              <c:f>'LapD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'LapD DC'!$F$32:$F$36</c:f>
              <c:numCache>
                <c:formatCode>General</c:formatCode>
                <c:ptCount val="5"/>
                <c:pt idx="0">
                  <c:v>7.375064067807982</c:v>
                </c:pt>
                <c:pt idx="1">
                  <c:v>6.348187728948609</c:v>
                </c:pt>
                <c:pt idx="2">
                  <c:v>5.836936804848336</c:v>
                </c:pt>
                <c:pt idx="3">
                  <c:v>5.368947532025447</c:v>
                </c:pt>
                <c:pt idx="4">
                  <c:v>5.103899727742695</c:v>
                </c:pt>
              </c:numCache>
            </c:numRef>
          </c:yVal>
          <c:smooth val="1"/>
        </c:ser>
        <c:ser>
          <c:idx val="0"/>
          <c:order val="1"/>
          <c:tx>
            <c:v>250 mg/ml</c:v>
          </c:tx>
          <c:xVal>
            <c:numRef>
              <c:f>'LapD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'LapD DC'!$F$40:$F$44</c:f>
              <c:numCache>
                <c:formatCode>General</c:formatCode>
                <c:ptCount val="5"/>
                <c:pt idx="0">
                  <c:v>5.99923782450474</c:v>
                </c:pt>
                <c:pt idx="1">
                  <c:v>5.092609712324097</c:v>
                </c:pt>
                <c:pt idx="2">
                  <c:v>4.646152316148254</c:v>
                </c:pt>
                <c:pt idx="3">
                  <c:v>4.24063704445261</c:v>
                </c:pt>
                <c:pt idx="4">
                  <c:v>4.012404773039856</c:v>
                </c:pt>
              </c:numCache>
            </c:numRef>
          </c:yVal>
          <c:smooth val="1"/>
        </c:ser>
        <c:ser>
          <c:idx val="2"/>
          <c:order val="2"/>
          <c:tx>
            <c:v>300 mg/ml</c:v>
          </c:tx>
          <c:xVal>
            <c:numRef>
              <c:f>'LapD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'LapD DC'!$F$48:$F$52</c:f>
              <c:numCache>
                <c:formatCode>General</c:formatCode>
                <c:ptCount val="5"/>
                <c:pt idx="0">
                  <c:v>4.996785675734667</c:v>
                </c:pt>
                <c:pt idx="1">
                  <c:v>4.189736603282006</c:v>
                </c:pt>
                <c:pt idx="2">
                  <c:v>3.796161941025846</c:v>
                </c:pt>
                <c:pt idx="3">
                  <c:v>3.441131164253806</c:v>
                </c:pt>
                <c:pt idx="4">
                  <c:v>3.242417649073066</c:v>
                </c:pt>
              </c:numCache>
            </c:numRef>
          </c:yVal>
          <c:smooth val="1"/>
        </c:ser>
        <c:ser>
          <c:idx val="3"/>
          <c:order val="3"/>
          <c:tx>
            <c:v>350 mg/ml</c:v>
          </c:tx>
          <c:xVal>
            <c:numRef>
              <c:f>'LapD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'LapD DC'!$F$55:$F$59</c:f>
              <c:numCache>
                <c:formatCode>General</c:formatCode>
                <c:ptCount val="5"/>
                <c:pt idx="0">
                  <c:v>4.235607835494977</c:v>
                </c:pt>
                <c:pt idx="1">
                  <c:v>3.51218486502444</c:v>
                </c:pt>
                <c:pt idx="2">
                  <c:v>3.162482585206557</c:v>
                </c:pt>
                <c:pt idx="3">
                  <c:v>2.848983585292694</c:v>
                </c:pt>
                <c:pt idx="4">
                  <c:v>2.674393476300691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144136"/>
        <c:axId val="-2030138296"/>
      </c:scatterChart>
      <c:valAx>
        <c:axId val="-203014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Crowder</a:t>
                </a:r>
                <a:r>
                  <a:rPr lang="en-US" baseline="0"/>
                  <a:t> MW, kDa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30138296"/>
        <c:crosses val="autoZero"/>
        <c:crossBetween val="midCat"/>
      </c:valAx>
      <c:valAx>
        <c:axId val="-203013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Diffusion co-efficient of LapD (um2/s)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30144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Diffusion co-efficient of LapG</a:t>
            </a:r>
            <a:r>
              <a:rPr lang="en-US" sz="1400" baseline="0"/>
              <a:t> vs Crowder size for different crowder concentrations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200 mg/ml</c:v>
          </c:tx>
          <c:xVal>
            <c:numRef>
              <c:f>'LapG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'LapG DC'!$F$32:$F$36</c:f>
              <c:numCache>
                <c:formatCode>General</c:formatCode>
                <c:ptCount val="5"/>
                <c:pt idx="0">
                  <c:v>13.4460732859855</c:v>
                </c:pt>
                <c:pt idx="1">
                  <c:v>12.15930743277965</c:v>
                </c:pt>
                <c:pt idx="2">
                  <c:v>11.52188646107424</c:v>
                </c:pt>
                <c:pt idx="3">
                  <c:v>10.94088271091929</c:v>
                </c:pt>
                <c:pt idx="4">
                  <c:v>10.61305955845962</c:v>
                </c:pt>
              </c:numCache>
            </c:numRef>
          </c:yVal>
          <c:smooth val="1"/>
        </c:ser>
        <c:ser>
          <c:idx val="0"/>
          <c:order val="1"/>
          <c:tx>
            <c:v>250 mg/ml</c:v>
          </c:tx>
          <c:xVal>
            <c:numRef>
              <c:f>'LapG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'LapG DC'!$F$40:$F$44</c:f>
              <c:numCache>
                <c:formatCode>General</c:formatCode>
                <c:ptCount val="5"/>
                <c:pt idx="0">
                  <c:v>11.352001159139</c:v>
                </c:pt>
                <c:pt idx="1">
                  <c:v>10.17029981870517</c:v>
                </c:pt>
                <c:pt idx="2">
                  <c:v>9.5891358765377</c:v>
                </c:pt>
                <c:pt idx="3">
                  <c:v>9.061998487419137</c:v>
                </c:pt>
                <c:pt idx="4">
                  <c:v>8.76570403820602</c:v>
                </c:pt>
              </c:numCache>
            </c:numRef>
          </c:yVal>
          <c:smooth val="1"/>
        </c:ser>
        <c:ser>
          <c:idx val="2"/>
          <c:order val="2"/>
          <c:tx>
            <c:v>300 mg/ml</c:v>
          </c:tx>
          <c:xVal>
            <c:numRef>
              <c:f>'LapG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'LapG DC'!$F$48:$F$52</c:f>
              <c:numCache>
                <c:formatCode>General</c:formatCode>
                <c:ptCount val="5"/>
                <c:pt idx="0">
                  <c:v>9.771593234114968</c:v>
                </c:pt>
                <c:pt idx="1">
                  <c:v>8.682374208530779</c:v>
                </c:pt>
                <c:pt idx="2">
                  <c:v>8.150109898893974</c:v>
                </c:pt>
                <c:pt idx="3">
                  <c:v>7.669416074759416</c:v>
                </c:pt>
                <c:pt idx="4">
                  <c:v>7.400140526572096</c:v>
                </c:pt>
              </c:numCache>
            </c:numRef>
          </c:yVal>
          <c:smooth val="1"/>
        </c:ser>
        <c:ser>
          <c:idx val="3"/>
          <c:order val="3"/>
          <c:tx>
            <c:v>350 mg/ml</c:v>
          </c:tx>
          <c:xVal>
            <c:numRef>
              <c:f>'LapG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'LapG DC'!$F$55:$F$59</c:f>
              <c:numCache>
                <c:formatCode>General</c:formatCode>
                <c:ptCount val="5"/>
                <c:pt idx="0">
                  <c:v>8.533255114891267</c:v>
                </c:pt>
                <c:pt idx="1">
                  <c:v>7.5256574333792</c:v>
                </c:pt>
                <c:pt idx="2">
                  <c:v>7.036119902937806</c:v>
                </c:pt>
                <c:pt idx="3">
                  <c:v>6.595743321103338</c:v>
                </c:pt>
                <c:pt idx="4">
                  <c:v>6.34980721570962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68216"/>
        <c:axId val="-2029562408"/>
      </c:scatterChart>
      <c:valAx>
        <c:axId val="-20295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Crowder</a:t>
                </a:r>
                <a:r>
                  <a:rPr lang="en-US" baseline="0"/>
                  <a:t> MW, kDa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9562408"/>
        <c:crosses val="autoZero"/>
        <c:crossBetween val="midCat"/>
      </c:valAx>
      <c:valAx>
        <c:axId val="-2029562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Diffusion co-efficient of LapG (um2/s)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956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Diffusion co-efficient of LapG</a:t>
            </a:r>
            <a:r>
              <a:rPr lang="en-US" sz="1400" baseline="0"/>
              <a:t> vs Crowder size for different crowder concentrations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200 mg/ml</c:v>
          </c:tx>
          <c:xVal>
            <c:numRef>
              <c:f>'LapA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'LapA DC'!$F$32:$F$36</c:f>
              <c:numCache>
                <c:formatCode>General</c:formatCode>
                <c:ptCount val="5"/>
                <c:pt idx="0">
                  <c:v>3.850034378158631</c:v>
                </c:pt>
                <c:pt idx="1">
                  <c:v>3.088557610492231</c:v>
                </c:pt>
                <c:pt idx="2">
                  <c:v>2.678656780475953</c:v>
                </c:pt>
                <c:pt idx="3">
                  <c:v>2.2792915637441</c:v>
                </c:pt>
                <c:pt idx="4">
                  <c:v>2.040435323126501</c:v>
                </c:pt>
              </c:numCache>
            </c:numRef>
          </c:yVal>
          <c:smooth val="1"/>
        </c:ser>
        <c:ser>
          <c:idx val="0"/>
          <c:order val="1"/>
          <c:tx>
            <c:v>250 mg/ml</c:v>
          </c:tx>
          <c:xVal>
            <c:numRef>
              <c:f>'LapA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'LapA DC'!$F$40:$F$44</c:f>
              <c:numCache>
                <c:formatCode>General</c:formatCode>
                <c:ptCount val="5"/>
                <c:pt idx="0">
                  <c:v>3.16747523702903</c:v>
                </c:pt>
                <c:pt idx="1">
                  <c:v>2.489585847605422</c:v>
                </c:pt>
                <c:pt idx="2">
                  <c:v>2.130849586258541</c:v>
                </c:pt>
                <c:pt idx="3">
                  <c:v>1.786208190902821</c:v>
                </c:pt>
                <c:pt idx="4">
                  <c:v>1.58268967684199</c:v>
                </c:pt>
              </c:numCache>
            </c:numRef>
          </c:yVal>
          <c:smooth val="1"/>
        </c:ser>
        <c:ser>
          <c:idx val="2"/>
          <c:order val="2"/>
          <c:tx>
            <c:v>300 mg/ml</c:v>
          </c:tx>
          <c:xVal>
            <c:numRef>
              <c:f>'LapA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'LapA DC'!$F$48:$F$52</c:f>
              <c:numCache>
                <c:formatCode>General</c:formatCode>
                <c:ptCount val="5"/>
                <c:pt idx="0">
                  <c:v>2.6647908528213</c:v>
                </c:pt>
                <c:pt idx="1">
                  <c:v>2.05691307885782</c:v>
                </c:pt>
                <c:pt idx="2">
                  <c:v>1.740053095296717</c:v>
                </c:pt>
                <c:pt idx="3">
                  <c:v>1.439403965449107</c:v>
                </c:pt>
                <c:pt idx="4">
                  <c:v>1.2638559312923</c:v>
                </c:pt>
              </c:numCache>
            </c:numRef>
          </c:yVal>
          <c:smooth val="1"/>
        </c:ser>
        <c:ser>
          <c:idx val="3"/>
          <c:order val="3"/>
          <c:tx>
            <c:v>350 mg/ml</c:v>
          </c:tx>
          <c:xVal>
            <c:numRef>
              <c:f>'LapA DC'!$I$23:$I$27</c:f>
              <c:numCache>
                <c:formatCode>General</c:formatCode>
                <c:ptCount val="5"/>
                <c:pt idx="0">
                  <c:v>40.0</c:v>
                </c:pt>
                <c:pt idx="1">
                  <c:v>70.0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</c:numCache>
            </c:numRef>
          </c:xVal>
          <c:yVal>
            <c:numRef>
              <c:f>'LapA DC'!$F$55:$F$59</c:f>
              <c:numCache>
                <c:formatCode>General</c:formatCode>
                <c:ptCount val="5"/>
                <c:pt idx="0">
                  <c:v>2.279422828689274</c:v>
                </c:pt>
                <c:pt idx="1">
                  <c:v>1.730900239779574</c:v>
                </c:pt>
                <c:pt idx="2">
                  <c:v>1.448863744904225</c:v>
                </c:pt>
                <c:pt idx="3">
                  <c:v>1.184246379685792</c:v>
                </c:pt>
                <c:pt idx="4">
                  <c:v>1.031306090383538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587352"/>
        <c:axId val="-2029266616"/>
      </c:scatterChart>
      <c:valAx>
        <c:axId val="-202858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Crowder</a:t>
                </a:r>
                <a:r>
                  <a:rPr lang="en-US" baseline="0"/>
                  <a:t> MW, kDa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9266616"/>
        <c:crosses val="autoZero"/>
        <c:crossBetween val="midCat"/>
      </c:valAx>
      <c:valAx>
        <c:axId val="-2029266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Diffusion co-efficient of LapG (um2/s)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8587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345440</xdr:colOff>
      <xdr:row>26</xdr:row>
      <xdr:rowOff>152400</xdr:rowOff>
    </xdr:from>
    <xdr:to>
      <xdr:col>13</xdr:col>
      <xdr:colOff>0</xdr:colOff>
      <xdr:row>46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345440</xdr:colOff>
      <xdr:row>26</xdr:row>
      <xdr:rowOff>152400</xdr:rowOff>
    </xdr:from>
    <xdr:to>
      <xdr:col>13</xdr:col>
      <xdr:colOff>0</xdr:colOff>
      <xdr:row>46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345440</xdr:colOff>
      <xdr:row>26</xdr:row>
      <xdr:rowOff>152400</xdr:rowOff>
    </xdr:from>
    <xdr:to>
      <xdr:col>13</xdr:col>
      <xdr:colOff>0</xdr:colOff>
      <xdr:row>46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8" workbookViewId="0">
      <selection activeCell="D34" sqref="D34:E39"/>
    </sheetView>
  </sheetViews>
  <sheetFormatPr baseColWidth="10" defaultRowHeight="15" x14ac:dyDescent="0"/>
  <cols>
    <col min="1" max="1" width="21.33203125" customWidth="1"/>
    <col min="2" max="2" width="21" customWidth="1"/>
  </cols>
  <sheetData>
    <row r="1" spans="1:9">
      <c r="B1" t="s">
        <v>1</v>
      </c>
      <c r="E1" t="s">
        <v>7</v>
      </c>
      <c r="H1" t="s">
        <v>8</v>
      </c>
    </row>
    <row r="2" spans="1:9">
      <c r="A2" s="1" t="s">
        <v>9</v>
      </c>
      <c r="B2" s="1">
        <v>-0.28000000000000003</v>
      </c>
    </row>
    <row r="3" spans="1:9">
      <c r="A3" s="1" t="s">
        <v>10</v>
      </c>
      <c r="B3" s="1">
        <v>0.39</v>
      </c>
    </row>
    <row r="4" spans="1:9">
      <c r="A4" t="s">
        <v>11</v>
      </c>
      <c r="B4">
        <v>40</v>
      </c>
    </row>
    <row r="5" spans="1:9">
      <c r="A5" t="s">
        <v>12</v>
      </c>
      <c r="B5">
        <f>LOG(B4)</f>
        <v>1.6020599913279623</v>
      </c>
      <c r="F5">
        <v>43.2</v>
      </c>
      <c r="H5">
        <v>520</v>
      </c>
    </row>
    <row r="6" spans="1:9">
      <c r="A6" t="s">
        <v>13</v>
      </c>
      <c r="B6">
        <f>B5*B3</f>
        <v>0.62480339661790529</v>
      </c>
      <c r="F6">
        <f>LOG(F5)</f>
        <v>1.6354837468149122</v>
      </c>
      <c r="H6">
        <f>LOG(H5)</f>
        <v>2.716003343634799</v>
      </c>
    </row>
    <row r="7" spans="1:9">
      <c r="A7" t="s">
        <v>14</v>
      </c>
      <c r="B7">
        <f>B6+B2</f>
        <v>0.34480339661790527</v>
      </c>
      <c r="F7">
        <f>F6*B3</f>
        <v>0.63783866125781574</v>
      </c>
      <c r="H7">
        <f>H6*B3</f>
        <v>1.0592413040175717</v>
      </c>
    </row>
    <row r="8" spans="1:9">
      <c r="A8" t="s">
        <v>15</v>
      </c>
      <c r="B8">
        <f>B7</f>
        <v>0.34480339661790527</v>
      </c>
      <c r="F8">
        <f>F7+B2</f>
        <v>0.35783866125781572</v>
      </c>
      <c r="H8">
        <f>H7+B2</f>
        <v>0.77924130401757163</v>
      </c>
    </row>
    <row r="9" spans="1:9">
      <c r="A9" t="s">
        <v>2</v>
      </c>
      <c r="B9" s="2">
        <f>10^B8</f>
        <v>2.2120930771803122</v>
      </c>
      <c r="C9" t="s">
        <v>16</v>
      </c>
      <c r="F9" s="2">
        <f>10^F8</f>
        <v>2.2794950909603271</v>
      </c>
      <c r="H9" s="2">
        <f>10^H8</f>
        <v>6.0150785627255532</v>
      </c>
    </row>
    <row r="10" spans="1:9">
      <c r="A10" t="s">
        <v>17</v>
      </c>
      <c r="B10">
        <f>B9/0.775</f>
        <v>2.8543136479745965</v>
      </c>
    </row>
    <row r="12" spans="1:9">
      <c r="A12" s="1" t="s">
        <v>18</v>
      </c>
    </row>
    <row r="13" spans="1:9">
      <c r="I13" s="3" t="s">
        <v>19</v>
      </c>
    </row>
    <row r="14" spans="1:9">
      <c r="A14" s="1" t="s">
        <v>20</v>
      </c>
      <c r="B14" s="1"/>
      <c r="C14" s="1"/>
      <c r="D14" s="1"/>
      <c r="E14" s="1"/>
    </row>
    <row r="15" spans="1:9" ht="23">
      <c r="A15" s="1" t="s">
        <v>21</v>
      </c>
      <c r="B15" s="1"/>
      <c r="C15" s="1"/>
      <c r="D15" s="1"/>
      <c r="E15" s="1"/>
      <c r="I15" s="4" t="s">
        <v>22</v>
      </c>
    </row>
    <row r="16" spans="1:9">
      <c r="A16" s="1" t="s">
        <v>23</v>
      </c>
      <c r="B16" s="1"/>
      <c r="C16" s="1"/>
      <c r="D16" s="1"/>
      <c r="E16" s="1"/>
    </row>
    <row r="17" spans="1:7">
      <c r="A17" s="1" t="s">
        <v>24</v>
      </c>
      <c r="B17" s="1"/>
      <c r="C17" s="1"/>
      <c r="D17" s="1"/>
      <c r="E17" s="1"/>
    </row>
    <row r="18" spans="1:7">
      <c r="A18" s="1" t="s">
        <v>25</v>
      </c>
      <c r="B18" s="1"/>
      <c r="C18" s="1"/>
      <c r="D18" s="1"/>
      <c r="E18" s="1"/>
    </row>
    <row r="20" spans="1:7">
      <c r="A20" s="1" t="s">
        <v>26</v>
      </c>
    </row>
    <row r="21" spans="1:7">
      <c r="A21" s="1" t="s">
        <v>27</v>
      </c>
    </row>
    <row r="24" spans="1:7">
      <c r="A24" s="12" t="s">
        <v>28</v>
      </c>
      <c r="B24" s="12"/>
      <c r="C24" s="12"/>
      <c r="D24" s="12" t="s">
        <v>29</v>
      </c>
      <c r="E24" s="12"/>
      <c r="F24" s="12"/>
      <c r="G24" s="13"/>
    </row>
    <row r="25" spans="1:7">
      <c r="A25" s="12" t="s">
        <v>77</v>
      </c>
      <c r="B25" s="12">
        <v>0.46500000000000002</v>
      </c>
      <c r="C25" s="12"/>
      <c r="D25" s="12">
        <v>0.6</v>
      </c>
      <c r="E25" s="12"/>
      <c r="F25" s="12"/>
      <c r="G25" s="14"/>
    </row>
    <row r="26" spans="1:7">
      <c r="A26" s="12" t="s">
        <v>1</v>
      </c>
      <c r="B26" s="12">
        <v>2.78</v>
      </c>
      <c r="C26" s="12"/>
      <c r="D26" s="16">
        <f>B26/0.775</f>
        <v>3.5870967741935482</v>
      </c>
      <c r="E26" s="12"/>
      <c r="F26" s="12"/>
      <c r="G26" s="14"/>
    </row>
    <row r="27" spans="1:7">
      <c r="A27" s="12" t="s">
        <v>7</v>
      </c>
      <c r="B27" s="12">
        <v>2.2799999999999998</v>
      </c>
      <c r="C27" s="12"/>
      <c r="D27" s="16">
        <f>B27/0.775</f>
        <v>2.9419354838709673</v>
      </c>
      <c r="E27" s="12"/>
      <c r="F27" s="12"/>
      <c r="G27" s="14"/>
    </row>
    <row r="28" spans="1:7">
      <c r="A28" s="12" t="s">
        <v>8</v>
      </c>
      <c r="B28" s="12">
        <v>6.02</v>
      </c>
      <c r="C28" s="12"/>
      <c r="D28" s="16">
        <f>B28/0.775</f>
        <v>7.7677419354838699</v>
      </c>
      <c r="E28" s="12"/>
      <c r="F28" s="12"/>
      <c r="G28" s="15"/>
    </row>
    <row r="29" spans="1:7" ht="25">
      <c r="A29" s="5"/>
      <c r="B29" s="5"/>
      <c r="C29" s="5"/>
      <c r="D29" s="5"/>
      <c r="E29" s="5"/>
      <c r="F29" s="5"/>
    </row>
    <row r="30" spans="1:7" ht="25">
      <c r="A30" s="9" t="s">
        <v>78</v>
      </c>
      <c r="B30" s="10"/>
      <c r="C30" s="10"/>
      <c r="D30" s="10"/>
      <c r="E30" s="10"/>
      <c r="F30" s="10"/>
    </row>
    <row r="31" spans="1:7" ht="25">
      <c r="A31" s="9" t="s">
        <v>79</v>
      </c>
      <c r="B31" s="9">
        <v>1.53</v>
      </c>
      <c r="C31" s="10"/>
      <c r="D31" s="10"/>
      <c r="E31" s="10"/>
      <c r="F31" s="10"/>
    </row>
    <row r="32" spans="1:7" ht="25">
      <c r="A32" s="9" t="s">
        <v>80</v>
      </c>
      <c r="B32" s="9">
        <v>3.26</v>
      </c>
      <c r="C32" s="10"/>
      <c r="D32" s="10"/>
      <c r="E32" s="10"/>
      <c r="F32" s="10"/>
    </row>
    <row r="33" spans="1:6">
      <c r="A33" s="10"/>
      <c r="B33" s="10"/>
      <c r="C33" s="10"/>
      <c r="D33" s="10"/>
      <c r="E33" s="10"/>
      <c r="F33" s="10"/>
    </row>
    <row r="34" spans="1:6">
      <c r="A34" s="10"/>
      <c r="B34" s="10"/>
      <c r="C34" s="10"/>
      <c r="D34" s="10" t="s">
        <v>83</v>
      </c>
      <c r="E34" s="10" t="s">
        <v>84</v>
      </c>
      <c r="F34" s="10"/>
    </row>
    <row r="35" spans="1:6" ht="30">
      <c r="A35" s="17" t="s">
        <v>82</v>
      </c>
      <c r="B35" s="17" t="s">
        <v>81</v>
      </c>
      <c r="C35" s="18"/>
      <c r="D35" s="10">
        <v>2</v>
      </c>
      <c r="E35" s="10">
        <v>51381.771810797887</v>
      </c>
      <c r="F35" s="10"/>
    </row>
    <row r="36" spans="1:6">
      <c r="A36" s="11" t="s">
        <v>77</v>
      </c>
      <c r="B36" s="11">
        <v>408.76452205443826</v>
      </c>
      <c r="C36" s="10"/>
      <c r="D36" s="10">
        <v>3</v>
      </c>
      <c r="E36" s="10">
        <v>476840.98599667114</v>
      </c>
      <c r="F36" s="10"/>
    </row>
    <row r="37" spans="1:6">
      <c r="A37" s="11" t="s">
        <v>1</v>
      </c>
      <c r="B37" s="12">
        <v>68.317190315505002</v>
      </c>
      <c r="C37" s="10"/>
      <c r="D37" s="10">
        <v>4</v>
      </c>
      <c r="E37" s="10">
        <v>243050.53449951409</v>
      </c>
      <c r="F37" s="10"/>
    </row>
    <row r="38" spans="1:6">
      <c r="A38" s="11" t="s">
        <v>7</v>
      </c>
      <c r="B38" s="12">
        <v>83.421331031518008</v>
      </c>
      <c r="C38" s="10"/>
      <c r="D38" s="10">
        <v>5</v>
      </c>
      <c r="E38" s="10">
        <v>395510.20408163266</v>
      </c>
      <c r="F38" s="10"/>
    </row>
    <row r="39" spans="1:6">
      <c r="A39" s="11" t="s">
        <v>8</v>
      </c>
      <c r="B39" s="12">
        <v>31.564827957871678</v>
      </c>
      <c r="C39" s="10"/>
      <c r="D39" s="10">
        <v>6</v>
      </c>
      <c r="E39" s="10">
        <v>220757.73709174638</v>
      </c>
      <c r="F39" s="10"/>
    </row>
    <row r="40" spans="1:6">
      <c r="A40" s="10"/>
      <c r="B40" s="10"/>
      <c r="C40" s="10"/>
      <c r="D40" s="10"/>
      <c r="E40" s="10"/>
      <c r="F4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D24" zoomScale="125" zoomScaleNormal="125" zoomScalePageLayoutView="125" workbookViewId="0">
      <selection activeCell="B8" sqref="B8"/>
    </sheetView>
  </sheetViews>
  <sheetFormatPr baseColWidth="10" defaultRowHeight="15" x14ac:dyDescent="0"/>
  <cols>
    <col min="1" max="1" width="18" customWidth="1"/>
    <col min="2" max="2" width="11.5" customWidth="1"/>
    <col min="3" max="3" width="11" customWidth="1"/>
    <col min="4" max="4" width="13.6640625" customWidth="1"/>
    <col min="5" max="5" width="14.1640625" customWidth="1"/>
    <col min="6" max="6" width="19.33203125" customWidth="1"/>
    <col min="7" max="7" width="10.6640625" customWidth="1"/>
    <col min="8" max="11" width="12.6640625" bestFit="1" customWidth="1"/>
  </cols>
  <sheetData>
    <row r="1" spans="1:27">
      <c r="A1" t="s">
        <v>0</v>
      </c>
    </row>
    <row r="3" spans="1:27" ht="30">
      <c r="A3" s="7" t="s">
        <v>32</v>
      </c>
      <c r="B3">
        <f>8.9*10^-4</f>
        <v>8.9000000000000006E-4</v>
      </c>
      <c r="E3" t="s">
        <v>37</v>
      </c>
      <c r="H3" t="s">
        <v>4</v>
      </c>
      <c r="I3" t="s">
        <v>5</v>
      </c>
      <c r="J3" t="s">
        <v>6</v>
      </c>
    </row>
    <row r="4" spans="1:27" ht="30">
      <c r="A4" s="7" t="s">
        <v>33</v>
      </c>
      <c r="B4">
        <f>1.38*10^-23</f>
        <v>1.3800000000000001E-23</v>
      </c>
      <c r="E4" t="s">
        <v>38</v>
      </c>
      <c r="H4">
        <f>3.16*10^-9</f>
        <v>3.1600000000000003E-9</v>
      </c>
      <c r="I4">
        <f>3.7*10^-9</f>
        <v>3.7000000000000005E-9</v>
      </c>
      <c r="J4">
        <f>4.14*10^-9</f>
        <v>4.1400000000000002E-9</v>
      </c>
    </row>
    <row r="5" spans="1:27">
      <c r="A5" s="7" t="s">
        <v>34</v>
      </c>
      <c r="B5">
        <f>298</f>
        <v>298</v>
      </c>
      <c r="H5">
        <f>4.08*10^-9</f>
        <v>4.08E-9</v>
      </c>
      <c r="I5">
        <f>4.78*10^-9</f>
        <v>4.7800000000000005E-9</v>
      </c>
      <c r="J5">
        <f>5.34*10^-9</f>
        <v>5.3400000000000002E-9</v>
      </c>
    </row>
    <row r="6" spans="1:27">
      <c r="A6" s="7" t="s">
        <v>35</v>
      </c>
      <c r="B6">
        <v>-0.75</v>
      </c>
    </row>
    <row r="7" spans="1:27" ht="45">
      <c r="A7" s="7" t="s">
        <v>41</v>
      </c>
      <c r="B7" t="s">
        <v>42</v>
      </c>
    </row>
    <row r="8" spans="1:27" ht="45">
      <c r="A8" s="7" t="s">
        <v>74</v>
      </c>
    </row>
    <row r="10" spans="1:27" ht="60">
      <c r="B10" s="6" t="s">
        <v>43</v>
      </c>
      <c r="C10" s="6" t="s">
        <v>30</v>
      </c>
      <c r="D10" s="6" t="s">
        <v>31</v>
      </c>
      <c r="E10" s="6" t="s">
        <v>36</v>
      </c>
      <c r="F10" s="6" t="s">
        <v>39</v>
      </c>
      <c r="G10" s="6" t="s">
        <v>40</v>
      </c>
      <c r="H10" s="6" t="s">
        <v>45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50</v>
      </c>
      <c r="N10" s="6" t="s">
        <v>51</v>
      </c>
      <c r="O10" s="6" t="s">
        <v>52</v>
      </c>
      <c r="P10" s="6" t="s">
        <v>53</v>
      </c>
      <c r="Q10" s="6" t="s">
        <v>54</v>
      </c>
      <c r="R10" s="6" t="s">
        <v>55</v>
      </c>
      <c r="S10" s="6" t="s">
        <v>56</v>
      </c>
      <c r="T10" s="6" t="s">
        <v>57</v>
      </c>
      <c r="U10" s="6" t="s">
        <v>58</v>
      </c>
      <c r="V10" s="6" t="s">
        <v>59</v>
      </c>
      <c r="W10" s="6" t="s">
        <v>60</v>
      </c>
      <c r="X10" s="6" t="s">
        <v>61</v>
      </c>
    </row>
    <row r="11" spans="1:27">
      <c r="A11" t="s">
        <v>1</v>
      </c>
      <c r="B11">
        <f>71.9*1000</f>
        <v>71900</v>
      </c>
      <c r="C11">
        <f>2.78*10^-9</f>
        <v>2.7799999999999999E-9</v>
      </c>
      <c r="D11">
        <f>3.59*10^-9</f>
        <v>3.5900000000000002E-9</v>
      </c>
      <c r="E11">
        <f>$B$5*$B$4/6/3.14/$B$3/$D$11*10^12</f>
        <v>68.317190315505002</v>
      </c>
    </row>
    <row r="12" spans="1:27">
      <c r="A12" t="s">
        <v>3</v>
      </c>
      <c r="B12">
        <v>40000</v>
      </c>
      <c r="C12">
        <f>2.21*10^-9</f>
        <v>2.21E-9</v>
      </c>
      <c r="D12">
        <f>2.85*10^-9</f>
        <v>2.8500000000000003E-9</v>
      </c>
      <c r="F12">
        <f>200*1000</f>
        <v>200000</v>
      </c>
      <c r="G12">
        <f>B12/(4/3*3.14*C12^3*6.023*10^23)</f>
        <v>1469609.4042454604</v>
      </c>
      <c r="H12" s="8">
        <f>0.00000000986328/20</f>
        <v>4.9316400000000001E-10</v>
      </c>
      <c r="I12">
        <f>$C$12*($F$13/$G$12)^$B$6/20</f>
        <v>4.1716581571349253E-10</v>
      </c>
      <c r="J12">
        <f>$C$12*($F$14/$G$12)^$B$6/20</f>
        <v>3.6385033473242732E-10</v>
      </c>
      <c r="K12">
        <f>$C$12*($F$15/$G$12)^$B$6/20</f>
        <v>3.2412511702116811E-10</v>
      </c>
      <c r="L12">
        <f>EXP(((H12/D12)^2+(H12/$D$11)^2)^(-0.53/2))</f>
        <v>9.2632659733196299</v>
      </c>
      <c r="M12">
        <f>EXP(((I12/D12)^2+(I12/$D$11)^2)^(-0.53/2))</f>
        <v>11.387644949905757</v>
      </c>
      <c r="N12">
        <f>EXP(((J12/D12)^2+(J12/$D$11)^2)^(-0.53/2))</f>
        <v>13.67222745759662</v>
      </c>
      <c r="O12">
        <f>EXP(((K12/D12)^2+(K12/$D$11)^2)^(-0.53/2))</f>
        <v>16.129252983006957</v>
      </c>
      <c r="P12">
        <f>$B$3*L12</f>
        <v>8.2443067162544705E-3</v>
      </c>
      <c r="Q12">
        <f>$B$3*M12</f>
        <v>1.0135004005416125E-2</v>
      </c>
      <c r="R12">
        <f>$B$3*N12</f>
        <v>1.2168282437260992E-2</v>
      </c>
      <c r="S12">
        <f>$B$3*O12</f>
        <v>1.4355035154876192E-2</v>
      </c>
      <c r="T12">
        <f>$E$11/L12</f>
        <v>7.3750651781212451</v>
      </c>
      <c r="U12">
        <f>$E$11/M12</f>
        <v>5.99923782450474</v>
      </c>
      <c r="V12">
        <f>$E$11/N12</f>
        <v>4.9967856757346674</v>
      </c>
      <c r="W12">
        <f>$E$11/O12</f>
        <v>4.2356078354949771</v>
      </c>
      <c r="X12">
        <f>T12/$E$11*100</f>
        <v>10.795328590156362</v>
      </c>
      <c r="Y12">
        <f t="shared" ref="Y12:AA12" si="0">U12/$E$11*100</f>
        <v>8.78144694885553</v>
      </c>
      <c r="Z12">
        <f t="shared" si="0"/>
        <v>7.3140971586482468</v>
      </c>
      <c r="AA12">
        <f t="shared" si="0"/>
        <v>6.1999151544932314</v>
      </c>
    </row>
    <row r="13" spans="1:27">
      <c r="B13">
        <v>70000</v>
      </c>
      <c r="C13">
        <f>2.75*10^-9</f>
        <v>2.7500000000000002E-9</v>
      </c>
      <c r="D13">
        <f>3.55*10^-9</f>
        <v>3.5499999999999999E-9</v>
      </c>
      <c r="F13">
        <f>250*1000</f>
        <v>250000</v>
      </c>
      <c r="G13">
        <f>B13/(4/3*3.14*C13^3*6.023*10^23)</f>
        <v>1334807.722747145</v>
      </c>
      <c r="H13" s="8">
        <f t="shared" ref="H13:H18" si="1">0.00000000986328/20</f>
        <v>4.9316400000000001E-10</v>
      </c>
      <c r="I13">
        <f t="shared" ref="I13:I18" si="2">$C$12*($F$13/$G$12)^$B$6/20</f>
        <v>4.1716581571349253E-10</v>
      </c>
      <c r="J13">
        <f t="shared" ref="J13:J18" si="3">$C$12*($F$14/$G$12)^$B$6/20</f>
        <v>3.6385033473242732E-10</v>
      </c>
      <c r="K13">
        <f t="shared" ref="K13:K18" si="4">$C$12*($F$15/$G$12)^$B$6/20</f>
        <v>3.2412511702116811E-10</v>
      </c>
      <c r="L13">
        <f>EXP(((H13/D13)^2+(H13/$D$11)^2)^(-0.53/2))</f>
        <v>10.761681789075553</v>
      </c>
      <c r="M13">
        <f t="shared" ref="M13:M16" si="5">EXP(((I13/D13)^2+(I13/$D$11)^2)^(-0.53/2))</f>
        <v>13.414966819502707</v>
      </c>
      <c r="N13">
        <f t="shared" ref="N13:N16" si="6">EXP(((J13/D13)^2+(J13/$D$11)^2)^(-0.53/2))</f>
        <v>16.305843728216498</v>
      </c>
      <c r="O13">
        <f t="shared" ref="O13:O16" si="7">EXP(((K13/D13)^2+(K13/$D$11)^2)^(-0.53/2))</f>
        <v>19.451479048221909</v>
      </c>
      <c r="P13">
        <f>$B$3*L13</f>
        <v>9.5778967922772427E-3</v>
      </c>
      <c r="Q13">
        <f t="shared" ref="Q13:Q16" si="8">$B$3*M13</f>
        <v>1.193932046935741E-2</v>
      </c>
      <c r="R13">
        <f t="shared" ref="R13:R16" si="9">$B$3*N13</f>
        <v>1.4512200918112684E-2</v>
      </c>
      <c r="S13">
        <f t="shared" ref="S13:S16" si="10">$B$3*O13</f>
        <v>1.7311816352917501E-2</v>
      </c>
      <c r="T13">
        <f>$E$11/L13</f>
        <v>6.3481890335073334</v>
      </c>
      <c r="U13">
        <f t="shared" ref="U13:U16" si="11">$E$11/M13</f>
        <v>5.0926097123240979</v>
      </c>
      <c r="V13">
        <f t="shared" ref="V13:V16" si="12">$E$11/N13</f>
        <v>4.1897366032820065</v>
      </c>
      <c r="W13">
        <f t="shared" ref="W13:W16" si="13">$E$11/O13</f>
        <v>3.5121848650244405</v>
      </c>
      <c r="X13">
        <f t="shared" ref="X13:X16" si="14">T13/$E$11*100</f>
        <v>9.2922279212448426</v>
      </c>
      <c r="Y13">
        <f t="shared" ref="Y13:Y16" si="15">U13/$E$11*100</f>
        <v>7.4543605918294027</v>
      </c>
      <c r="Z13">
        <f t="shared" ref="Z13:Z16" si="16">V13/$E$11*100</f>
        <v>6.1327706598190126</v>
      </c>
      <c r="AA13">
        <f t="shared" ref="AA13:AA16" si="17">W13/$E$11*100</f>
        <v>5.1409972348165036</v>
      </c>
    </row>
    <row r="14" spans="1:27">
      <c r="B14">
        <v>100000</v>
      </c>
      <c r="C14">
        <f>3.16*10^-9</f>
        <v>3.1600000000000003E-9</v>
      </c>
      <c r="D14">
        <f>4.08*10^-9</f>
        <v>4.08E-9</v>
      </c>
      <c r="F14">
        <f>300*1000</f>
        <v>300000</v>
      </c>
      <c r="G14">
        <f t="shared" ref="G14:G16" si="18">B14/(4/3*3.14*C14^3*6.023*10^23)</f>
        <v>1256774.9167755924</v>
      </c>
      <c r="H14" s="8">
        <f t="shared" si="1"/>
        <v>4.9316400000000001E-10</v>
      </c>
      <c r="I14">
        <f t="shared" si="2"/>
        <v>4.1716581571349253E-10</v>
      </c>
      <c r="J14">
        <f t="shared" si="3"/>
        <v>3.6385033473242732E-10</v>
      </c>
      <c r="K14">
        <f t="shared" si="4"/>
        <v>3.2412511702116811E-10</v>
      </c>
      <c r="L14">
        <f>EXP(((H14/D14)^2+(H14/$D$11)^2)^(-0.53/2))</f>
        <v>11.704285317615382</v>
      </c>
      <c r="M14">
        <f t="shared" si="5"/>
        <v>14.704035870296481</v>
      </c>
      <c r="N14">
        <f t="shared" si="6"/>
        <v>17.996384605511185</v>
      </c>
      <c r="O14">
        <f t="shared" si="7"/>
        <v>21.602392574453614</v>
      </c>
      <c r="P14">
        <f t="shared" ref="P14:P16" si="19">$B$3*L14</f>
        <v>1.0416813932677691E-2</v>
      </c>
      <c r="Q14">
        <f t="shared" si="8"/>
        <v>1.308659192456387E-2</v>
      </c>
      <c r="R14">
        <f t="shared" si="9"/>
        <v>1.6016782298904957E-2</v>
      </c>
      <c r="S14">
        <f t="shared" si="10"/>
        <v>1.9226129391263717E-2</v>
      </c>
      <c r="T14">
        <f t="shared" ref="T14:T16" si="20">$E$11/L14</f>
        <v>5.8369382206263465</v>
      </c>
      <c r="U14">
        <f t="shared" si="11"/>
        <v>4.6461523161482541</v>
      </c>
      <c r="V14">
        <f t="shared" si="12"/>
        <v>3.7961619410258463</v>
      </c>
      <c r="W14">
        <f t="shared" si="13"/>
        <v>3.1624825852065572</v>
      </c>
      <c r="X14">
        <f t="shared" si="14"/>
        <v>8.5438792105910384</v>
      </c>
      <c r="Y14">
        <f t="shared" si="15"/>
        <v>6.8008539207939016</v>
      </c>
      <c r="Z14">
        <f t="shared" si="16"/>
        <v>5.5566716422239688</v>
      </c>
      <c r="AA14">
        <f t="shared" si="17"/>
        <v>4.6291168746862423</v>
      </c>
    </row>
    <row r="15" spans="1:27">
      <c r="B15">
        <v>150000</v>
      </c>
      <c r="C15">
        <f>3.7*10^-9</f>
        <v>3.7000000000000005E-9</v>
      </c>
      <c r="D15">
        <f>4.78*10^-9</f>
        <v>4.7800000000000005E-9</v>
      </c>
      <c r="F15">
        <f>350*1000</f>
        <v>350000</v>
      </c>
      <c r="G15">
        <f t="shared" si="18"/>
        <v>1174369.7041921234</v>
      </c>
      <c r="H15" s="8">
        <f t="shared" si="1"/>
        <v>4.9316400000000001E-10</v>
      </c>
      <c r="I15">
        <f t="shared" si="2"/>
        <v>4.1716581571349253E-10</v>
      </c>
      <c r="J15">
        <f t="shared" si="3"/>
        <v>3.6385033473242732E-10</v>
      </c>
      <c r="K15">
        <f t="shared" si="4"/>
        <v>3.2412511702116811E-10</v>
      </c>
      <c r="L15">
        <f t="shared" ref="L15" si="21">EXP(((H15/D15)^2+(H15/$D$11)^2)^(-0.53/2))</f>
        <v>12.724499629058487</v>
      </c>
      <c r="M15">
        <f t="shared" si="5"/>
        <v>16.110124398614623</v>
      </c>
      <c r="N15">
        <f t="shared" si="6"/>
        <v>19.853120109218292</v>
      </c>
      <c r="O15">
        <f t="shared" si="7"/>
        <v>23.979495939597122</v>
      </c>
      <c r="P15">
        <f t="shared" si="19"/>
        <v>1.1324804669862054E-2</v>
      </c>
      <c r="Q15">
        <f t="shared" si="8"/>
        <v>1.4338010714767015E-2</v>
      </c>
      <c r="R15">
        <f t="shared" si="9"/>
        <v>1.7669276897204281E-2</v>
      </c>
      <c r="S15">
        <f t="shared" si="10"/>
        <v>2.1341751386241441E-2</v>
      </c>
      <c r="T15">
        <f t="shared" si="20"/>
        <v>5.3689490594578251</v>
      </c>
      <c r="U15">
        <f t="shared" si="11"/>
        <v>4.24063704445261</v>
      </c>
      <c r="V15">
        <f t="shared" si="12"/>
        <v>3.4411311642538065</v>
      </c>
      <c r="W15">
        <f t="shared" si="13"/>
        <v>2.8489835852926939</v>
      </c>
      <c r="X15">
        <f t="shared" si="14"/>
        <v>7.85885519393105</v>
      </c>
      <c r="Y15">
        <f t="shared" si="15"/>
        <v>6.2072767115689942</v>
      </c>
      <c r="Z15">
        <f t="shared" si="16"/>
        <v>5.0369916390909024</v>
      </c>
      <c r="AA15">
        <f t="shared" si="17"/>
        <v>4.1702294431832039</v>
      </c>
    </row>
    <row r="16" spans="1:27">
      <c r="B16">
        <v>200000</v>
      </c>
      <c r="C16">
        <f>4.14*10^-9</f>
        <v>4.1400000000000002E-9</v>
      </c>
      <c r="D16">
        <f>5.34*10^-9</f>
        <v>5.3400000000000002E-9</v>
      </c>
      <c r="F16">
        <v>400000</v>
      </c>
      <c r="G16">
        <f t="shared" si="18"/>
        <v>1117757.8393279198</v>
      </c>
      <c r="H16" s="8">
        <f t="shared" si="1"/>
        <v>4.9316400000000001E-10</v>
      </c>
      <c r="I16">
        <f t="shared" si="2"/>
        <v>4.1716581571349253E-10</v>
      </c>
      <c r="J16">
        <f t="shared" si="3"/>
        <v>3.6385033473242732E-10</v>
      </c>
      <c r="K16">
        <f t="shared" si="4"/>
        <v>3.2412511702116811E-10</v>
      </c>
      <c r="L16">
        <f>EXP(((H16/D16)^2+(H16/$D$11)^2)^(-0.53/2))</f>
        <v>13.385288231864012</v>
      </c>
      <c r="M16">
        <f t="shared" si="5"/>
        <v>17.026495126947751</v>
      </c>
      <c r="N16">
        <f t="shared" si="6"/>
        <v>21.06983051212892</v>
      </c>
      <c r="O16">
        <f t="shared" si="7"/>
        <v>25.544928568253763</v>
      </c>
      <c r="P16">
        <f t="shared" si="19"/>
        <v>1.1912906526358971E-2</v>
      </c>
      <c r="Q16">
        <f t="shared" si="8"/>
        <v>1.51535806629835E-2</v>
      </c>
      <c r="R16">
        <f t="shared" si="9"/>
        <v>1.8752149155794741E-2</v>
      </c>
      <c r="S16">
        <f t="shared" si="10"/>
        <v>2.273498642574585E-2</v>
      </c>
      <c r="T16">
        <f t="shared" si="20"/>
        <v>5.1039013230118</v>
      </c>
      <c r="U16">
        <f t="shared" si="11"/>
        <v>4.0124047730398562</v>
      </c>
      <c r="V16">
        <f t="shared" si="12"/>
        <v>3.2424176490730656</v>
      </c>
      <c r="W16">
        <f t="shared" si="13"/>
        <v>2.6743934763006907</v>
      </c>
      <c r="X16">
        <f t="shared" si="14"/>
        <v>7.4708888047660809</v>
      </c>
      <c r="Y16">
        <f t="shared" si="15"/>
        <v>5.8731993434004215</v>
      </c>
      <c r="Z16">
        <f t="shared" si="16"/>
        <v>4.7461226582926068</v>
      </c>
      <c r="AA16">
        <f t="shared" si="17"/>
        <v>3.914671349845781</v>
      </c>
    </row>
    <row r="17" spans="1:20">
      <c r="F17">
        <v>450000</v>
      </c>
      <c r="H17" s="8">
        <f t="shared" si="1"/>
        <v>4.9316400000000001E-10</v>
      </c>
      <c r="I17">
        <f t="shared" si="2"/>
        <v>4.1716581571349253E-10</v>
      </c>
      <c r="J17">
        <f t="shared" si="3"/>
        <v>3.6385033473242732E-10</v>
      </c>
      <c r="K17">
        <f t="shared" si="4"/>
        <v>3.2412511702116811E-10</v>
      </c>
    </row>
    <row r="18" spans="1:20">
      <c r="F18">
        <v>500000</v>
      </c>
      <c r="H18" s="8">
        <f t="shared" si="1"/>
        <v>4.9316400000000001E-10</v>
      </c>
      <c r="I18">
        <f t="shared" si="2"/>
        <v>4.1716581571349253E-10</v>
      </c>
      <c r="J18">
        <f t="shared" si="3"/>
        <v>3.6385033473242732E-10</v>
      </c>
      <c r="K18">
        <f t="shared" si="4"/>
        <v>3.2412511702116811E-10</v>
      </c>
    </row>
    <row r="19" spans="1:20">
      <c r="T19" t="s">
        <v>62</v>
      </c>
    </row>
    <row r="20" spans="1:20">
      <c r="H20" t="s">
        <v>64</v>
      </c>
      <c r="T20" t="s">
        <v>63</v>
      </c>
    </row>
    <row r="22" spans="1:20">
      <c r="A22" t="s">
        <v>65</v>
      </c>
      <c r="B22" t="s">
        <v>66</v>
      </c>
      <c r="C22" t="s">
        <v>44</v>
      </c>
      <c r="D22" t="s">
        <v>67</v>
      </c>
      <c r="E22" t="s">
        <v>68</v>
      </c>
      <c r="F22" t="s">
        <v>69</v>
      </c>
      <c r="G22" t="s">
        <v>70</v>
      </c>
    </row>
    <row r="23" spans="1:20">
      <c r="A23">
        <v>100000</v>
      </c>
      <c r="B23">
        <v>40000</v>
      </c>
      <c r="C23" s="8">
        <f>$C$12*($A$23/$G$12)^$B$6/20</f>
        <v>8.2939940569792608E-10</v>
      </c>
      <c r="D23">
        <f>EXP(((C23/D12)^2+(C23/$D$11)^2)^(-0.53/2))</f>
        <v>5.4192733396473693</v>
      </c>
      <c r="E23">
        <f>$B$3*D23</f>
        <v>4.8231532722861591E-3</v>
      </c>
      <c r="F23">
        <f>$E$11/D23</f>
        <v>12.606337793610976</v>
      </c>
      <c r="G23">
        <f>F23/$E$11*100</f>
        <v>18.452658453007093</v>
      </c>
      <c r="I23">
        <v>40</v>
      </c>
    </row>
    <row r="24" spans="1:20">
      <c r="B24">
        <v>70000</v>
      </c>
      <c r="C24" s="8">
        <f t="shared" ref="C24:C27" si="22">$C$12*($A$23/$G$12)^$B$6/20</f>
        <v>8.2939940569792608E-10</v>
      </c>
      <c r="D24">
        <f t="shared" ref="D24:D27" si="23">EXP(((C24/D13)^2+(C24/$D$11)^2)^(-0.53/2))</f>
        <v>6.0726096247309771</v>
      </c>
      <c r="E24">
        <f t="shared" ref="E24:E27" si="24">$B$3*D24</f>
        <v>5.4046225660105696E-3</v>
      </c>
      <c r="F24">
        <f t="shared" ref="F24:F27" si="25">$E$11/D24</f>
        <v>11.250054677857136</v>
      </c>
      <c r="G24">
        <f t="shared" ref="G24:G27" si="26">F24/$E$11*100</f>
        <v>16.467384893760578</v>
      </c>
      <c r="I24">
        <v>70</v>
      </c>
    </row>
    <row r="25" spans="1:20">
      <c r="B25">
        <v>100000</v>
      </c>
      <c r="C25" s="8">
        <f t="shared" si="22"/>
        <v>8.2939940569792608E-10</v>
      </c>
      <c r="D25">
        <f t="shared" si="23"/>
        <v>6.4722966387494392</v>
      </c>
      <c r="E25">
        <f t="shared" si="24"/>
        <v>5.7603440084870016E-3</v>
      </c>
      <c r="F25">
        <f t="shared" si="25"/>
        <v>10.555324350631908</v>
      </c>
      <c r="G25">
        <f t="shared" si="26"/>
        <v>15.450466129951943</v>
      </c>
      <c r="I25">
        <v>100</v>
      </c>
    </row>
    <row r="26" spans="1:20">
      <c r="B26">
        <v>150000</v>
      </c>
      <c r="C26" s="8">
        <f t="shared" si="22"/>
        <v>8.2939940569792608E-10</v>
      </c>
      <c r="D26">
        <f t="shared" si="23"/>
        <v>6.8962533621035984</v>
      </c>
      <c r="E26">
        <f t="shared" si="24"/>
        <v>6.1376654922722026E-3</v>
      </c>
      <c r="F26">
        <f t="shared" si="25"/>
        <v>9.9064211722444409</v>
      </c>
      <c r="G26">
        <f t="shared" si="26"/>
        <v>14.500627333317187</v>
      </c>
      <c r="I26">
        <v>150</v>
      </c>
    </row>
    <row r="27" spans="1:20">
      <c r="B27">
        <v>200000</v>
      </c>
      <c r="C27" s="8">
        <f t="shared" si="22"/>
        <v>8.2939940569792608E-10</v>
      </c>
      <c r="D27">
        <f t="shared" si="23"/>
        <v>7.1664677735156506</v>
      </c>
      <c r="E27">
        <f t="shared" si="24"/>
        <v>6.3781563184289293E-3</v>
      </c>
      <c r="F27">
        <f t="shared" si="25"/>
        <v>9.5328957688161999</v>
      </c>
      <c r="G27">
        <f t="shared" si="26"/>
        <v>13.953875627482665</v>
      </c>
      <c r="I27">
        <v>200</v>
      </c>
    </row>
    <row r="31" spans="1:20">
      <c r="A31" t="s">
        <v>65</v>
      </c>
      <c r="B31" t="s">
        <v>66</v>
      </c>
      <c r="C31" t="s">
        <v>44</v>
      </c>
      <c r="D31" t="s">
        <v>67</v>
      </c>
      <c r="E31" t="s">
        <v>68</v>
      </c>
      <c r="F31" t="s">
        <v>69</v>
      </c>
      <c r="G31" t="s">
        <v>70</v>
      </c>
    </row>
    <row r="32" spans="1:20">
      <c r="A32">
        <v>200000</v>
      </c>
      <c r="B32">
        <v>40000</v>
      </c>
      <c r="C32" s="8">
        <v>4.9316383721750093E-10</v>
      </c>
      <c r="D32">
        <v>9.2632673679010153</v>
      </c>
      <c r="E32">
        <v>8.2443079574319039E-3</v>
      </c>
      <c r="F32">
        <v>7.3750640678079824</v>
      </c>
      <c r="G32">
        <v>10.795326964923742</v>
      </c>
    </row>
    <row r="33" spans="1:7">
      <c r="B33">
        <v>70000</v>
      </c>
      <c r="C33" s="8">
        <v>4.9316383721750093E-10</v>
      </c>
      <c r="D33">
        <v>10.761684000611579</v>
      </c>
      <c r="E33">
        <v>9.577898760544306E-3</v>
      </c>
      <c r="F33">
        <v>6.3481877289486093</v>
      </c>
      <c r="G33">
        <v>9.2922260116834003</v>
      </c>
    </row>
    <row r="34" spans="1:7">
      <c r="B34">
        <v>100000</v>
      </c>
      <c r="C34" s="8">
        <v>4.9316383721750093E-10</v>
      </c>
      <c r="D34">
        <v>11.704288156547914</v>
      </c>
      <c r="E34">
        <v>1.0416816459327644E-2</v>
      </c>
      <c r="F34">
        <v>5.8369368048483361</v>
      </c>
      <c r="G34">
        <v>8.5438771382312062</v>
      </c>
    </row>
    <row r="35" spans="1:7">
      <c r="B35">
        <v>150000</v>
      </c>
      <c r="C35" s="8">
        <v>4.9316383721750093E-10</v>
      </c>
      <c r="D35">
        <v>12.724503249099957</v>
      </c>
      <c r="E35">
        <v>1.1324807891698962E-2</v>
      </c>
      <c r="F35">
        <v>5.3689475320254472</v>
      </c>
      <c r="G35">
        <v>7.858852958135973</v>
      </c>
    </row>
    <row r="36" spans="1:7">
      <c r="B36">
        <v>200000</v>
      </c>
      <c r="C36" s="8">
        <v>4.9316383721750093E-10</v>
      </c>
      <c r="D36">
        <v>13.385292415554504</v>
      </c>
      <c r="E36">
        <v>1.1912910249843509E-2</v>
      </c>
      <c r="F36">
        <v>5.1038997277426956</v>
      </c>
      <c r="G36">
        <v>7.4708864696742872</v>
      </c>
    </row>
    <row r="39" spans="1:7">
      <c r="A39" t="s">
        <v>65</v>
      </c>
      <c r="B39" t="s">
        <v>66</v>
      </c>
      <c r="C39" t="s">
        <v>44</v>
      </c>
      <c r="D39" t="s">
        <v>67</v>
      </c>
      <c r="E39" t="s">
        <v>68</v>
      </c>
      <c r="F39" t="s">
        <v>69</v>
      </c>
      <c r="G39" t="s">
        <v>70</v>
      </c>
    </row>
    <row r="40" spans="1:7">
      <c r="A40">
        <v>250000</v>
      </c>
      <c r="B40">
        <v>40000</v>
      </c>
      <c r="C40">
        <v>4.1716581571349253E-10</v>
      </c>
      <c r="D40">
        <v>11.387644949905757</v>
      </c>
      <c r="E40">
        <v>1.0135004005416125E-2</v>
      </c>
      <c r="F40">
        <v>5.99923782450474</v>
      </c>
      <c r="G40">
        <v>8.78144694885553</v>
      </c>
    </row>
    <row r="41" spans="1:7">
      <c r="B41">
        <v>70000</v>
      </c>
      <c r="C41">
        <v>4.1716581571349253E-10</v>
      </c>
      <c r="D41">
        <v>13.414966819502707</v>
      </c>
      <c r="E41">
        <v>1.193932046935741E-2</v>
      </c>
      <c r="F41">
        <v>5.0926097123240979</v>
      </c>
      <c r="G41">
        <v>7.4543605918294027</v>
      </c>
    </row>
    <row r="42" spans="1:7">
      <c r="B42">
        <v>100000</v>
      </c>
      <c r="C42">
        <v>4.1716581571349253E-10</v>
      </c>
      <c r="D42">
        <v>14.704035870296481</v>
      </c>
      <c r="E42">
        <v>1.308659192456387E-2</v>
      </c>
      <c r="F42">
        <v>4.6461523161482541</v>
      </c>
      <c r="G42">
        <v>6.8008539207939016</v>
      </c>
    </row>
    <row r="43" spans="1:7">
      <c r="B43">
        <v>150000</v>
      </c>
      <c r="C43">
        <v>4.1716581571349253E-10</v>
      </c>
      <c r="D43">
        <v>16.110124398614623</v>
      </c>
      <c r="E43">
        <v>1.4338010714767015E-2</v>
      </c>
      <c r="F43">
        <v>4.24063704445261</v>
      </c>
      <c r="G43">
        <v>6.2072767115689942</v>
      </c>
    </row>
    <row r="44" spans="1:7">
      <c r="B44">
        <v>200000</v>
      </c>
      <c r="C44">
        <v>4.1716581571349253E-10</v>
      </c>
      <c r="D44">
        <v>17.026495126947751</v>
      </c>
      <c r="E44">
        <v>1.51535806629835E-2</v>
      </c>
      <c r="F44">
        <v>4.0124047730398562</v>
      </c>
      <c r="G44">
        <v>5.8731993434004215</v>
      </c>
    </row>
    <row r="47" spans="1:7">
      <c r="A47" t="s">
        <v>65</v>
      </c>
      <c r="B47" t="s">
        <v>66</v>
      </c>
      <c r="C47" t="s">
        <v>44</v>
      </c>
      <c r="D47" t="s">
        <v>67</v>
      </c>
      <c r="E47" t="s">
        <v>68</v>
      </c>
      <c r="F47" t="s">
        <v>69</v>
      </c>
      <c r="G47" t="s">
        <v>70</v>
      </c>
    </row>
    <row r="48" spans="1:7">
      <c r="A48">
        <v>300000</v>
      </c>
      <c r="B48">
        <v>40000</v>
      </c>
      <c r="C48">
        <v>3.6385033473242732E-10</v>
      </c>
      <c r="D48">
        <v>13.67222745759662</v>
      </c>
      <c r="E48">
        <v>1.2168282437260992E-2</v>
      </c>
      <c r="F48">
        <v>4.9967856757346674</v>
      </c>
      <c r="G48">
        <v>7.3140971586482468</v>
      </c>
    </row>
    <row r="49" spans="1:7">
      <c r="B49">
        <v>70000</v>
      </c>
      <c r="C49">
        <v>3.6385033473242732E-10</v>
      </c>
      <c r="D49">
        <v>16.305843728216498</v>
      </c>
      <c r="E49">
        <v>1.4512200918112684E-2</v>
      </c>
      <c r="F49">
        <v>4.1897366032820065</v>
      </c>
      <c r="G49">
        <v>6.1327706598190126</v>
      </c>
    </row>
    <row r="50" spans="1:7">
      <c r="B50">
        <v>100000</v>
      </c>
      <c r="C50">
        <v>3.6385033473242732E-10</v>
      </c>
      <c r="D50">
        <v>17.996384605511185</v>
      </c>
      <c r="E50">
        <v>1.6016782298904957E-2</v>
      </c>
      <c r="F50">
        <v>3.7961619410258463</v>
      </c>
      <c r="G50">
        <v>5.5566716422239688</v>
      </c>
    </row>
    <row r="51" spans="1:7">
      <c r="B51">
        <v>150000</v>
      </c>
      <c r="C51">
        <v>3.6385033473242732E-10</v>
      </c>
      <c r="D51">
        <v>19.853120109218292</v>
      </c>
      <c r="E51">
        <v>1.7669276897204281E-2</v>
      </c>
      <c r="F51">
        <v>3.4411311642538065</v>
      </c>
      <c r="G51">
        <v>5.0369916390909024</v>
      </c>
    </row>
    <row r="52" spans="1:7">
      <c r="B52">
        <v>200000</v>
      </c>
      <c r="C52">
        <v>3.6385033473242732E-10</v>
      </c>
      <c r="D52">
        <v>21.06983051212892</v>
      </c>
      <c r="E52">
        <v>1.8752149155794741E-2</v>
      </c>
      <c r="F52">
        <v>3.2424176490730656</v>
      </c>
      <c r="G52">
        <v>4.7461226582926068</v>
      </c>
    </row>
    <row r="54" spans="1:7">
      <c r="A54" t="s">
        <v>65</v>
      </c>
      <c r="B54" t="s">
        <v>66</v>
      </c>
      <c r="C54" t="s">
        <v>44</v>
      </c>
      <c r="D54" t="s">
        <v>67</v>
      </c>
      <c r="E54" t="s">
        <v>68</v>
      </c>
      <c r="F54" t="s">
        <v>69</v>
      </c>
      <c r="G54" t="s">
        <v>70</v>
      </c>
    </row>
    <row r="55" spans="1:7">
      <c r="A55">
        <v>350000</v>
      </c>
      <c r="B55">
        <v>40000</v>
      </c>
      <c r="C55">
        <v>3.2412511702116811E-10</v>
      </c>
      <c r="D55">
        <v>16.129252983006957</v>
      </c>
      <c r="E55">
        <v>1.4355035154876192E-2</v>
      </c>
      <c r="F55">
        <v>4.2356078354949771</v>
      </c>
      <c r="G55">
        <v>6.1999151544932314</v>
      </c>
    </row>
    <row r="56" spans="1:7">
      <c r="B56">
        <v>70000</v>
      </c>
      <c r="C56">
        <v>3.2412511702116811E-10</v>
      </c>
      <c r="D56">
        <v>19.451479048221909</v>
      </c>
      <c r="E56">
        <v>1.7311816352917501E-2</v>
      </c>
      <c r="F56">
        <v>3.5121848650244405</v>
      </c>
      <c r="G56">
        <v>5.1409972348165036</v>
      </c>
    </row>
    <row r="57" spans="1:7">
      <c r="B57">
        <v>100000</v>
      </c>
      <c r="C57">
        <v>3.2412511702116811E-10</v>
      </c>
      <c r="D57">
        <v>21.602392574453614</v>
      </c>
      <c r="E57">
        <v>1.9226129391263717E-2</v>
      </c>
      <c r="F57">
        <v>3.1624825852065572</v>
      </c>
      <c r="G57">
        <v>4.6291168746862423</v>
      </c>
    </row>
    <row r="58" spans="1:7">
      <c r="B58">
        <v>150000</v>
      </c>
      <c r="C58">
        <v>3.2412511702116811E-10</v>
      </c>
      <c r="D58">
        <v>23.979495939597122</v>
      </c>
      <c r="E58">
        <v>2.1341751386241441E-2</v>
      </c>
      <c r="F58">
        <v>2.8489835852926939</v>
      </c>
      <c r="G58">
        <v>4.1702294431832039</v>
      </c>
    </row>
    <row r="59" spans="1:7">
      <c r="B59">
        <v>200000</v>
      </c>
      <c r="C59">
        <v>3.2412511702116811E-10</v>
      </c>
      <c r="D59">
        <v>25.544928568253763</v>
      </c>
      <c r="E59">
        <v>2.273498642574585E-2</v>
      </c>
      <c r="F59">
        <v>2.6743934763006907</v>
      </c>
      <c r="G59">
        <v>3.914671349845781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A13" zoomScale="125" zoomScaleNormal="125" zoomScalePageLayoutView="125" workbookViewId="0">
      <selection activeCell="D30" sqref="D30"/>
    </sheetView>
  </sheetViews>
  <sheetFormatPr baseColWidth="10" defaultRowHeight="15" x14ac:dyDescent="0"/>
  <cols>
    <col min="1" max="1" width="18" customWidth="1"/>
    <col min="2" max="2" width="11.5" customWidth="1"/>
    <col min="3" max="3" width="11" customWidth="1"/>
    <col min="4" max="4" width="13.6640625" customWidth="1"/>
    <col min="5" max="5" width="14.1640625" customWidth="1"/>
    <col min="6" max="6" width="19.33203125" customWidth="1"/>
    <col min="7" max="7" width="10.6640625" customWidth="1"/>
    <col min="8" max="11" width="12.6640625" bestFit="1" customWidth="1"/>
  </cols>
  <sheetData>
    <row r="1" spans="1:27">
      <c r="A1" t="s">
        <v>71</v>
      </c>
    </row>
    <row r="3" spans="1:27" ht="30">
      <c r="A3" s="7" t="s">
        <v>32</v>
      </c>
      <c r="B3">
        <f>8.9*10^-4</f>
        <v>8.9000000000000006E-4</v>
      </c>
      <c r="E3" t="s">
        <v>37</v>
      </c>
    </row>
    <row r="4" spans="1:27" ht="30">
      <c r="A4" s="7" t="s">
        <v>33</v>
      </c>
      <c r="B4">
        <f>1.38*10^-23</f>
        <v>1.3800000000000001E-23</v>
      </c>
      <c r="E4" t="s">
        <v>38</v>
      </c>
    </row>
    <row r="5" spans="1:27">
      <c r="A5" s="7" t="s">
        <v>34</v>
      </c>
      <c r="B5">
        <f>298</f>
        <v>298</v>
      </c>
    </row>
    <row r="6" spans="1:27">
      <c r="A6" s="7" t="s">
        <v>35</v>
      </c>
      <c r="B6">
        <v>-0.75</v>
      </c>
    </row>
    <row r="7" spans="1:27" ht="45">
      <c r="A7" s="7" t="s">
        <v>41</v>
      </c>
      <c r="B7" t="s">
        <v>42</v>
      </c>
    </row>
    <row r="10" spans="1:27" ht="60">
      <c r="B10" s="6" t="s">
        <v>43</v>
      </c>
      <c r="C10" s="6" t="s">
        <v>30</v>
      </c>
      <c r="D10" s="6" t="s">
        <v>31</v>
      </c>
      <c r="E10" s="6" t="s">
        <v>72</v>
      </c>
      <c r="F10" s="6" t="s">
        <v>39</v>
      </c>
      <c r="G10" s="6" t="s">
        <v>40</v>
      </c>
      <c r="H10" s="6" t="s">
        <v>45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50</v>
      </c>
      <c r="N10" s="6" t="s">
        <v>51</v>
      </c>
      <c r="O10" s="6" t="s">
        <v>52</v>
      </c>
      <c r="P10" s="6" t="s">
        <v>53</v>
      </c>
      <c r="Q10" s="6" t="s">
        <v>54</v>
      </c>
      <c r="R10" s="6" t="s">
        <v>55</v>
      </c>
      <c r="S10" s="6" t="s">
        <v>56</v>
      </c>
      <c r="T10" s="6" t="s">
        <v>57</v>
      </c>
      <c r="U10" s="6" t="s">
        <v>58</v>
      </c>
      <c r="V10" s="6" t="s">
        <v>59</v>
      </c>
      <c r="W10" s="6" t="s">
        <v>60</v>
      </c>
      <c r="X10" s="6" t="s">
        <v>61</v>
      </c>
    </row>
    <row r="11" spans="1:27">
      <c r="A11" t="s">
        <v>1</v>
      </c>
      <c r="B11">
        <v>22000</v>
      </c>
      <c r="C11">
        <f>2.28*10^-9</f>
        <v>2.28E-9</v>
      </c>
      <c r="D11">
        <f>2.94*10^-9</f>
        <v>2.9400000000000002E-9</v>
      </c>
      <c r="E11">
        <f>$B$5*$B$4/6/3.14/$B$3/$D$11*10^12</f>
        <v>83.421331031518008</v>
      </c>
    </row>
    <row r="12" spans="1:27">
      <c r="A12" t="s">
        <v>3</v>
      </c>
      <c r="B12">
        <v>40000</v>
      </c>
      <c r="C12">
        <f>2.21*10^-9</f>
        <v>2.21E-9</v>
      </c>
      <c r="D12">
        <f>2.85*10^-9</f>
        <v>2.8500000000000003E-9</v>
      </c>
      <c r="F12">
        <f>200*1000</f>
        <v>200000</v>
      </c>
      <c r="G12">
        <f>B12/(4/3*3.14*C12^3*6.023*10^23)</f>
        <v>1469609.4042454604</v>
      </c>
      <c r="H12" s="8">
        <f>0.00000000986328/20</f>
        <v>4.9316400000000001E-10</v>
      </c>
      <c r="I12">
        <f>$C$12*($F$13/$G$12)^$B$6/20</f>
        <v>4.1716581571349253E-10</v>
      </c>
      <c r="J12">
        <f>$C$12*($F$14/$G$12)^$B$6/20</f>
        <v>3.6385033473242732E-10</v>
      </c>
      <c r="K12">
        <f>$C$12*($F$15/$G$12)^$B$6/20</f>
        <v>3.2412511702116811E-10</v>
      </c>
      <c r="L12">
        <f>EXP(((H12/D12)^2+(H12/$D$11)^2)^(-0.53/2))</f>
        <v>8.379989806623211</v>
      </c>
      <c r="M12">
        <f>EXP(((I12/D12)^2+(I12/$D$11)^2)^(-0.53/2))</f>
        <v>10.206494976887292</v>
      </c>
      <c r="N12">
        <f>EXP(((J12/D12)^2+(J12/$D$11)^2)^(-0.53/2))</f>
        <v>12.153669064886405</v>
      </c>
      <c r="O12">
        <f>EXP(((K12/D12)^2+(K12/$D$11)^2)^(-0.53/2))</f>
        <v>14.231520557393964</v>
      </c>
      <c r="P12">
        <f>$B$3*L12</f>
        <v>7.4581909278946586E-3</v>
      </c>
      <c r="Q12">
        <f>$B$3*M12</f>
        <v>9.0837805294296907E-3</v>
      </c>
      <c r="R12">
        <f>$B$3*N12</f>
        <v>1.0816765467748901E-2</v>
      </c>
      <c r="S12">
        <f>$B$3*O12</f>
        <v>1.2666053296080629E-2</v>
      </c>
      <c r="T12">
        <f>$E$11/L12</f>
        <v>9.954824881240917</v>
      </c>
      <c r="U12">
        <f>$E$11/M12</f>
        <v>8.1733573788481184</v>
      </c>
      <c r="V12">
        <f>$E$11/N12</f>
        <v>6.8638804122562069</v>
      </c>
      <c r="W12">
        <f>$E$11/O12</f>
        <v>5.8617300024329859</v>
      </c>
      <c r="X12">
        <f>T12/$E$11*100</f>
        <v>11.933188739795836</v>
      </c>
      <c r="Y12">
        <f t="shared" ref="Y12:AA16" si="0">U12/$E$11*100</f>
        <v>9.7976827722397335</v>
      </c>
      <c r="Z12">
        <f t="shared" si="0"/>
        <v>8.2279679877835026</v>
      </c>
      <c r="AA12">
        <f t="shared" si="0"/>
        <v>7.0266560482214357</v>
      </c>
    </row>
    <row r="13" spans="1:27">
      <c r="B13">
        <v>70000</v>
      </c>
      <c r="C13">
        <f>2.75*10^-9</f>
        <v>2.7500000000000002E-9</v>
      </c>
      <c r="D13">
        <f>3.55*10^-9</f>
        <v>3.5499999999999999E-9</v>
      </c>
      <c r="F13">
        <f>250*1000</f>
        <v>250000</v>
      </c>
      <c r="G13">
        <f>B13/(4/3*3.14*C13^3*6.023*10^23)</f>
        <v>1334807.722747145</v>
      </c>
      <c r="H13" s="8">
        <f t="shared" ref="H13:H18" si="1">0.00000000986328/20</f>
        <v>4.9316400000000001E-10</v>
      </c>
      <c r="I13">
        <f t="shared" ref="I13:I18" si="2">$C$12*($F$13/$G$12)^$B$6/20</f>
        <v>4.1716581571349253E-10</v>
      </c>
      <c r="J13">
        <f t="shared" ref="J13:J18" si="3">$C$12*($F$14/$G$12)^$B$6/20</f>
        <v>3.6385033473242732E-10</v>
      </c>
      <c r="K13">
        <f t="shared" ref="K13:K18" si="4">$C$12*($F$15/$G$12)^$B$6/20</f>
        <v>3.2412511702116811E-10</v>
      </c>
      <c r="L13">
        <f>EXP(((H13/D13)^2+(H13/$D$11)^2)^(-0.53/2))</f>
        <v>9.4216227297314372</v>
      </c>
      <c r="M13">
        <f t="shared" ref="M13:M16" si="5">EXP(((I13/D13)^2+(I13/$D$11)^2)^(-0.53/2))</f>
        <v>11.600542468336723</v>
      </c>
      <c r="N13">
        <f t="shared" ref="N13:N16" si="6">EXP(((J13/D13)^2+(J13/$D$11)^2)^(-0.53/2))</f>
        <v>13.947240817538608</v>
      </c>
      <c r="O13">
        <f t="shared" ref="O13:O16" si="7">EXP(((K13/D13)^2+(K13/$D$11)^2)^(-0.53/2))</f>
        <v>16.474408107995153</v>
      </c>
      <c r="P13">
        <f>$B$3*L13</f>
        <v>8.3852442294609798E-3</v>
      </c>
      <c r="Q13">
        <f t="shared" ref="Q13:S16" si="8">$B$3*M13</f>
        <v>1.0324482796819684E-2</v>
      </c>
      <c r="R13">
        <f t="shared" si="8"/>
        <v>1.2413044327609361E-2</v>
      </c>
      <c r="S13">
        <f t="shared" si="8"/>
        <v>1.4662223216115686E-2</v>
      </c>
      <c r="T13">
        <f>$E$11/L13</f>
        <v>8.8542423555412224</v>
      </c>
      <c r="U13">
        <f t="shared" ref="U13:W16" si="9">$E$11/M13</f>
        <v>7.1911577634592199</v>
      </c>
      <c r="V13">
        <f t="shared" si="9"/>
        <v>5.9812067578711314</v>
      </c>
      <c r="W13">
        <f t="shared" si="9"/>
        <v>5.0636921511634165</v>
      </c>
      <c r="X13">
        <f t="shared" ref="X13:X16" si="10">T13/$E$11*100</f>
        <v>10.613882859524187</v>
      </c>
      <c r="Y13">
        <f t="shared" si="0"/>
        <v>8.6202865316813</v>
      </c>
      <c r="Z13">
        <f t="shared" si="0"/>
        <v>7.169876917465305</v>
      </c>
      <c r="AA13">
        <f t="shared" si="0"/>
        <v>6.0700208070886168</v>
      </c>
    </row>
    <row r="14" spans="1:27">
      <c r="B14">
        <v>100000</v>
      </c>
      <c r="C14">
        <f>3.16*10^-9</f>
        <v>3.1600000000000003E-9</v>
      </c>
      <c r="D14">
        <f>4.08*10^-9</f>
        <v>4.08E-9</v>
      </c>
      <c r="F14">
        <f>300*1000</f>
        <v>300000</v>
      </c>
      <c r="G14">
        <f t="shared" ref="G14:G16" si="11">B14/(4/3*3.14*C14^3*6.023*10^23)</f>
        <v>1256774.9167755924</v>
      </c>
      <c r="H14" s="8">
        <f t="shared" si="1"/>
        <v>4.9316400000000001E-10</v>
      </c>
      <c r="I14">
        <f t="shared" si="2"/>
        <v>4.1716581571349253E-10</v>
      </c>
      <c r="J14">
        <f t="shared" si="3"/>
        <v>3.6385033473242732E-10</v>
      </c>
      <c r="K14">
        <f t="shared" si="4"/>
        <v>3.2412511702116811E-10</v>
      </c>
      <c r="L14">
        <f>EXP(((H14/D14)^2+(H14/$D$11)^2)^(-0.53/2))</f>
        <v>10.031427065721195</v>
      </c>
      <c r="M14">
        <f t="shared" si="5"/>
        <v>12.423432625391463</v>
      </c>
      <c r="N14">
        <f t="shared" si="6"/>
        <v>15.013734354716235</v>
      </c>
      <c r="O14">
        <f t="shared" si="7"/>
        <v>17.816910217879091</v>
      </c>
      <c r="P14">
        <f t="shared" ref="P14:P16" si="12">$B$3*L14</f>
        <v>8.9279700884918635E-3</v>
      </c>
      <c r="Q14">
        <f t="shared" si="8"/>
        <v>1.1056855036598402E-2</v>
      </c>
      <c r="R14">
        <f t="shared" si="8"/>
        <v>1.3362223575697449E-2</v>
      </c>
      <c r="S14">
        <f t="shared" si="8"/>
        <v>1.5857050093912393E-2</v>
      </c>
      <c r="T14">
        <f t="shared" ref="T14:T16" si="13">$E$11/L14</f>
        <v>8.3159983604506778</v>
      </c>
      <c r="U14">
        <f t="shared" si="9"/>
        <v>6.714837480666854</v>
      </c>
      <c r="V14">
        <f t="shared" si="9"/>
        <v>5.5563345574522591</v>
      </c>
      <c r="W14">
        <f t="shared" si="9"/>
        <v>4.6821435373124087</v>
      </c>
      <c r="X14">
        <f t="shared" si="10"/>
        <v>9.9686713909045057</v>
      </c>
      <c r="Y14">
        <f t="shared" si="0"/>
        <v>8.0493051329160323</v>
      </c>
      <c r="Z14">
        <f t="shared" si="0"/>
        <v>6.6605680930132607</v>
      </c>
      <c r="AA14">
        <f t="shared" si="0"/>
        <v>5.6126454462149669</v>
      </c>
    </row>
    <row r="15" spans="1:27">
      <c r="B15">
        <v>150000</v>
      </c>
      <c r="C15">
        <f>3.7*10^-9</f>
        <v>3.7000000000000005E-9</v>
      </c>
      <c r="D15">
        <f>4.78*10^-9</f>
        <v>4.7800000000000005E-9</v>
      </c>
      <c r="F15">
        <f>350*1000</f>
        <v>350000</v>
      </c>
      <c r="G15">
        <f t="shared" si="11"/>
        <v>1174369.7041921234</v>
      </c>
      <c r="H15" s="8">
        <f t="shared" si="1"/>
        <v>4.9316400000000001E-10</v>
      </c>
      <c r="I15">
        <f t="shared" si="2"/>
        <v>4.1716581571349253E-10</v>
      </c>
      <c r="J15">
        <f t="shared" si="3"/>
        <v>3.6385033473242732E-10</v>
      </c>
      <c r="K15">
        <f t="shared" si="4"/>
        <v>3.2412511702116811E-10</v>
      </c>
      <c r="L15">
        <f t="shared" ref="L15" si="14">EXP(((H15/D15)^2+(H15/$D$11)^2)^(-0.53/2))</f>
        <v>10.654551279304449</v>
      </c>
      <c r="M15">
        <f t="shared" si="5"/>
        <v>13.269104444139735</v>
      </c>
      <c r="N15">
        <f t="shared" si="6"/>
        <v>16.115300552391378</v>
      </c>
      <c r="O15">
        <f t="shared" si="7"/>
        <v>19.209903409204884</v>
      </c>
      <c r="P15">
        <f t="shared" si="12"/>
        <v>9.48255063858096E-3</v>
      </c>
      <c r="Q15">
        <f t="shared" si="8"/>
        <v>1.1809502955284365E-2</v>
      </c>
      <c r="R15">
        <f t="shared" si="8"/>
        <v>1.4342617491628329E-2</v>
      </c>
      <c r="S15">
        <f t="shared" si="8"/>
        <v>1.7096814034192349E-2</v>
      </c>
      <c r="T15">
        <f t="shared" si="13"/>
        <v>7.8296428300605001</v>
      </c>
      <c r="U15">
        <f t="shared" si="9"/>
        <v>6.2868847994003705</v>
      </c>
      <c r="V15">
        <f t="shared" si="9"/>
        <v>5.1765296440058615</v>
      </c>
      <c r="W15">
        <f t="shared" si="9"/>
        <v>4.3426210561550604</v>
      </c>
      <c r="X15">
        <f t="shared" si="10"/>
        <v>9.3856603979410576</v>
      </c>
      <c r="Y15">
        <f t="shared" si="0"/>
        <v>7.5363036308124576</v>
      </c>
      <c r="Z15">
        <f t="shared" si="0"/>
        <v>6.2052829653965604</v>
      </c>
      <c r="AA15">
        <f t="shared" si="0"/>
        <v>5.2056482466269252</v>
      </c>
    </row>
    <row r="16" spans="1:27">
      <c r="B16">
        <v>200000</v>
      </c>
      <c r="C16">
        <f>4.14*10^-9</f>
        <v>4.1400000000000002E-9</v>
      </c>
      <c r="D16">
        <f>5.34*10^-9</f>
        <v>5.3400000000000002E-9</v>
      </c>
      <c r="F16">
        <v>400000</v>
      </c>
      <c r="G16">
        <f t="shared" si="11"/>
        <v>1117757.8393279198</v>
      </c>
      <c r="H16" s="8">
        <f t="shared" si="1"/>
        <v>4.9316400000000001E-10</v>
      </c>
      <c r="I16">
        <f t="shared" si="2"/>
        <v>4.1716581571349253E-10</v>
      </c>
      <c r="J16">
        <f t="shared" si="3"/>
        <v>3.6385033473242732E-10</v>
      </c>
      <c r="K16">
        <f t="shared" si="4"/>
        <v>3.2412511702116811E-10</v>
      </c>
      <c r="L16">
        <f>EXP(((H16/D16)^2+(H16/$D$11)^2)^(-0.53/2))</f>
        <v>11.038829400299564</v>
      </c>
      <c r="M16">
        <f t="shared" si="5"/>
        <v>13.79293635804618</v>
      </c>
      <c r="N16">
        <f t="shared" si="6"/>
        <v>16.800314587221511</v>
      </c>
      <c r="O16">
        <f t="shared" si="7"/>
        <v>20.079209844694759</v>
      </c>
      <c r="P16">
        <f t="shared" si="12"/>
        <v>9.8245581662666122E-3</v>
      </c>
      <c r="Q16">
        <f t="shared" si="8"/>
        <v>1.2275713358661101E-2</v>
      </c>
      <c r="R16">
        <f t="shared" si="8"/>
        <v>1.4952279982627145E-2</v>
      </c>
      <c r="S16">
        <f t="shared" si="8"/>
        <v>1.7870496761778338E-2</v>
      </c>
      <c r="T16">
        <f t="shared" si="13"/>
        <v>7.5570812815763038</v>
      </c>
      <c r="U16">
        <f t="shared" si="9"/>
        <v>6.0481197669598288</v>
      </c>
      <c r="V16">
        <f t="shared" si="9"/>
        <v>4.9654624381241712</v>
      </c>
      <c r="W16">
        <f t="shared" si="9"/>
        <v>4.1546122420529024</v>
      </c>
      <c r="X16">
        <f t="shared" si="10"/>
        <v>9.0589315563918653</v>
      </c>
      <c r="Y16">
        <f t="shared" si="0"/>
        <v>7.2500878278659266</v>
      </c>
      <c r="Z16">
        <f t="shared" si="0"/>
        <v>5.9522694935760905</v>
      </c>
      <c r="AA16">
        <f t="shared" si="0"/>
        <v>4.9802756569338591</v>
      </c>
    </row>
    <row r="17" spans="1:20">
      <c r="F17">
        <v>450000</v>
      </c>
      <c r="H17" s="8">
        <f t="shared" si="1"/>
        <v>4.9316400000000001E-10</v>
      </c>
      <c r="I17">
        <f t="shared" si="2"/>
        <v>4.1716581571349253E-10</v>
      </c>
      <c r="J17">
        <f t="shared" si="3"/>
        <v>3.6385033473242732E-10</v>
      </c>
      <c r="K17">
        <f t="shared" si="4"/>
        <v>3.2412511702116811E-10</v>
      </c>
    </row>
    <row r="18" spans="1:20">
      <c r="F18">
        <v>500000</v>
      </c>
      <c r="H18" s="8">
        <f t="shared" si="1"/>
        <v>4.9316400000000001E-10</v>
      </c>
      <c r="I18">
        <f t="shared" si="2"/>
        <v>4.1716581571349253E-10</v>
      </c>
      <c r="J18">
        <f t="shared" si="3"/>
        <v>3.6385033473242732E-10</v>
      </c>
      <c r="K18">
        <f t="shared" si="4"/>
        <v>3.2412511702116811E-10</v>
      </c>
    </row>
    <row r="19" spans="1:20">
      <c r="A19" t="s">
        <v>75</v>
      </c>
      <c r="B19" t="s">
        <v>76</v>
      </c>
      <c r="T19" t="s">
        <v>62</v>
      </c>
    </row>
    <row r="20" spans="1:20">
      <c r="H20" t="s">
        <v>73</v>
      </c>
      <c r="T20" t="s">
        <v>63</v>
      </c>
    </row>
    <row r="22" spans="1:20">
      <c r="A22" t="s">
        <v>65</v>
      </c>
      <c r="B22" t="s">
        <v>66</v>
      </c>
      <c r="C22" t="s">
        <v>44</v>
      </c>
      <c r="D22" t="s">
        <v>67</v>
      </c>
      <c r="E22" t="s">
        <v>68</v>
      </c>
      <c r="F22" t="s">
        <v>69</v>
      </c>
      <c r="G22" t="s">
        <v>70</v>
      </c>
    </row>
    <row r="23" spans="1:20">
      <c r="A23">
        <v>800000</v>
      </c>
      <c r="B23">
        <v>40000</v>
      </c>
      <c r="C23" s="8">
        <f>$C$12*($A$23/$G$12)^$B$6/20</f>
        <v>1.7435974676623682E-10</v>
      </c>
      <c r="D23">
        <f>EXP(((C23/D12)^2+(C23/$D$11)^2)^(-0.53/2))</f>
        <v>39.985190672956449</v>
      </c>
      <c r="E23">
        <f>$B$3*D23</f>
        <v>3.5586819698931245E-2</v>
      </c>
      <c r="F23">
        <f>$E$11/D23</f>
        <v>2.08630569537184</v>
      </c>
      <c r="G23">
        <f>F23/$E$11*100</f>
        <v>2.5009259257486529</v>
      </c>
      <c r="I23">
        <v>40</v>
      </c>
      <c r="K23">
        <f>E11*B3/0.1</f>
        <v>0.74244984618051024</v>
      </c>
    </row>
    <row r="24" spans="1:20">
      <c r="B24">
        <v>70000</v>
      </c>
      <c r="C24" s="8">
        <f t="shared" ref="C24:C27" si="15">$C$12*($A$23/$G$12)^$B$6/20</f>
        <v>1.7435974676623682E-10</v>
      </c>
      <c r="D24">
        <f t="shared" ref="D24:D27" si="16">EXP(((C24/D13)^2+(C24/$D$11)^2)^(-0.53/2))</f>
        <v>48.998611623390197</v>
      </c>
      <c r="E24">
        <f t="shared" ref="E24:E27" si="17">$B$3*D24</f>
        <v>4.360876434481728E-2</v>
      </c>
      <c r="F24">
        <f t="shared" ref="F24:F27" si="18">$E$11/D24</f>
        <v>1.7025243831948829</v>
      </c>
      <c r="G24">
        <f t="shared" ref="G24:G27" si="19">F24/$E$11*100</f>
        <v>2.0408741531007699</v>
      </c>
      <c r="I24">
        <v>70</v>
      </c>
    </row>
    <row r="25" spans="1:20">
      <c r="B25">
        <v>100000</v>
      </c>
      <c r="C25" s="8">
        <f t="shared" si="15"/>
        <v>1.7435974676623682E-10</v>
      </c>
      <c r="D25">
        <f t="shared" si="16"/>
        <v>54.631371414217789</v>
      </c>
      <c r="E25">
        <f t="shared" si="17"/>
        <v>4.8621920558653837E-2</v>
      </c>
      <c r="F25">
        <f t="shared" si="18"/>
        <v>1.5269858484608285</v>
      </c>
      <c r="G25">
        <f t="shared" si="19"/>
        <v>1.8304501133935482</v>
      </c>
      <c r="I25">
        <v>100</v>
      </c>
    </row>
    <row r="26" spans="1:20">
      <c r="B26">
        <v>150000</v>
      </c>
      <c r="C26" s="8">
        <f t="shared" si="15"/>
        <v>1.7435974676623682E-10</v>
      </c>
      <c r="D26">
        <f t="shared" si="16"/>
        <v>60.653145174151696</v>
      </c>
      <c r="E26">
        <f t="shared" si="17"/>
        <v>5.398129920499501E-2</v>
      </c>
      <c r="F26">
        <f t="shared" si="18"/>
        <v>1.3753834329941612</v>
      </c>
      <c r="G26">
        <f t="shared" si="19"/>
        <v>1.6487191177452176</v>
      </c>
      <c r="I26">
        <v>150</v>
      </c>
    </row>
    <row r="27" spans="1:20">
      <c r="B27">
        <v>200000</v>
      </c>
      <c r="C27" s="8">
        <f t="shared" si="15"/>
        <v>1.7435974676623682E-10</v>
      </c>
      <c r="D27">
        <f t="shared" si="16"/>
        <v>64.498921751630405</v>
      </c>
      <c r="E27">
        <f t="shared" si="17"/>
        <v>5.7404040358951067E-2</v>
      </c>
      <c r="F27">
        <f t="shared" si="18"/>
        <v>1.2933755908781419</v>
      </c>
      <c r="G27">
        <f t="shared" si="19"/>
        <v>1.5504135152068987</v>
      </c>
      <c r="I27">
        <v>200</v>
      </c>
    </row>
    <row r="31" spans="1:20">
      <c r="A31" t="s">
        <v>65</v>
      </c>
      <c r="B31" t="s">
        <v>66</v>
      </c>
      <c r="C31" t="s">
        <v>44</v>
      </c>
      <c r="D31" t="s">
        <v>67</v>
      </c>
      <c r="E31" t="s">
        <v>68</v>
      </c>
      <c r="F31" t="s">
        <v>69</v>
      </c>
      <c r="G31" t="s">
        <v>70</v>
      </c>
    </row>
    <row r="32" spans="1:20">
      <c r="A32">
        <v>200000</v>
      </c>
      <c r="B32">
        <v>40000</v>
      </c>
      <c r="C32" s="8">
        <v>6.5755178295666791E-10</v>
      </c>
      <c r="D32">
        <v>6.2041407373902926</v>
      </c>
      <c r="E32">
        <v>5.5216852562773606E-3</v>
      </c>
      <c r="F32">
        <v>13.446073285985502</v>
      </c>
      <c r="G32">
        <v>16.118267497920101</v>
      </c>
    </row>
    <row r="33" spans="1:7">
      <c r="B33">
        <v>70000</v>
      </c>
      <c r="C33" s="8">
        <v>6.5755178295666791E-10</v>
      </c>
      <c r="D33">
        <v>6.8606975761322344</v>
      </c>
      <c r="E33">
        <v>6.1060208427576894E-3</v>
      </c>
      <c r="F33">
        <v>12.15930743277965</v>
      </c>
      <c r="G33">
        <v>14.575777301114574</v>
      </c>
    </row>
    <row r="34" spans="1:7">
      <c r="B34">
        <v>100000</v>
      </c>
      <c r="C34" s="8">
        <v>6.5755178295666791E-10</v>
      </c>
      <c r="D34">
        <v>7.2402493561579719</v>
      </c>
      <c r="E34">
        <v>6.4438219269805953E-3</v>
      </c>
      <c r="F34">
        <v>11.521886461074239</v>
      </c>
      <c r="G34">
        <v>13.811679001766434</v>
      </c>
    </row>
    <row r="35" spans="1:7">
      <c r="B35">
        <v>150000</v>
      </c>
      <c r="C35" s="8">
        <v>6.5755178295666791E-10</v>
      </c>
      <c r="D35">
        <v>7.6247349720933686</v>
      </c>
      <c r="E35">
        <v>6.7860141251630986E-3</v>
      </c>
      <c r="F35">
        <v>10.94088271091929</v>
      </c>
      <c r="G35">
        <v>13.11520995365758</v>
      </c>
    </row>
    <row r="36" spans="1:7">
      <c r="B36">
        <v>200000</v>
      </c>
      <c r="C36" s="8">
        <v>6.5755178295666791E-10</v>
      </c>
      <c r="D36">
        <v>7.8602527925157348</v>
      </c>
      <c r="E36">
        <v>6.9956249853390046E-3</v>
      </c>
      <c r="F36">
        <v>10.613059558459616</v>
      </c>
      <c r="G36">
        <v>12.722237139143488</v>
      </c>
    </row>
    <row r="39" spans="1:7">
      <c r="A39" t="s">
        <v>65</v>
      </c>
      <c r="B39" t="s">
        <v>66</v>
      </c>
      <c r="C39" t="s">
        <v>44</v>
      </c>
      <c r="D39" t="s">
        <v>67</v>
      </c>
      <c r="E39" t="s">
        <v>68</v>
      </c>
      <c r="F39" t="s">
        <v>69</v>
      </c>
      <c r="G39" t="s">
        <v>70</v>
      </c>
    </row>
    <row r="40" spans="1:7">
      <c r="A40">
        <v>250000</v>
      </c>
      <c r="B40">
        <v>40000</v>
      </c>
      <c r="C40">
        <v>5.5622108761799008E-10</v>
      </c>
      <c r="D40">
        <v>7.3486013489664872</v>
      </c>
      <c r="E40">
        <v>6.540255200580174E-3</v>
      </c>
      <c r="F40">
        <v>11.352001159139004</v>
      </c>
      <c r="G40">
        <v>13.60803168538515</v>
      </c>
    </row>
    <row r="41" spans="1:7">
      <c r="B41">
        <v>70000</v>
      </c>
      <c r="C41">
        <v>5.5622108761799008E-10</v>
      </c>
      <c r="D41">
        <v>8.2024456032348123</v>
      </c>
      <c r="E41">
        <v>7.3001765868789831E-3</v>
      </c>
      <c r="F41">
        <v>10.170299818705168</v>
      </c>
      <c r="G41">
        <v>12.19148591007575</v>
      </c>
    </row>
    <row r="42" spans="1:7">
      <c r="B42">
        <v>100000</v>
      </c>
      <c r="C42">
        <v>5.5622108761799008E-10</v>
      </c>
      <c r="D42">
        <v>8.6995671044384579</v>
      </c>
      <c r="E42">
        <v>7.7426147229502284E-3</v>
      </c>
      <c r="F42">
        <v>9.5891358765376999</v>
      </c>
      <c r="G42">
        <v>11.494824834327758</v>
      </c>
    </row>
    <row r="43" spans="1:7">
      <c r="B43">
        <v>150000</v>
      </c>
      <c r="C43">
        <v>5.5622108761799008E-10</v>
      </c>
      <c r="D43">
        <v>9.2056218225298405</v>
      </c>
      <c r="E43">
        <v>8.1930034220515594E-3</v>
      </c>
      <c r="F43">
        <v>9.061998487419137</v>
      </c>
      <c r="G43">
        <v>10.862927233797503</v>
      </c>
    </row>
    <row r="44" spans="1:7">
      <c r="B44">
        <v>200000</v>
      </c>
      <c r="C44">
        <v>5.5622108761799008E-10</v>
      </c>
      <c r="D44">
        <v>9.5167861780319605</v>
      </c>
      <c r="E44">
        <v>8.4699396984484459E-3</v>
      </c>
      <c r="F44">
        <v>8.765704038206021</v>
      </c>
      <c r="G44">
        <v>10.507748953195421</v>
      </c>
    </row>
    <row r="47" spans="1:7">
      <c r="A47" t="s">
        <v>65</v>
      </c>
      <c r="B47" t="s">
        <v>66</v>
      </c>
      <c r="C47" t="s">
        <v>44</v>
      </c>
      <c r="D47" t="s">
        <v>67</v>
      </c>
      <c r="E47" t="s">
        <v>68</v>
      </c>
      <c r="F47" t="s">
        <v>69</v>
      </c>
      <c r="G47" t="s">
        <v>70</v>
      </c>
    </row>
    <row r="48" spans="1:7">
      <c r="A48">
        <v>300000</v>
      </c>
      <c r="B48">
        <v>40000</v>
      </c>
      <c r="C48" s="8">
        <v>4.8513377964323643E-10</v>
      </c>
      <c r="D48">
        <v>8.5371268566802598</v>
      </c>
      <c r="E48">
        <v>7.5980429024454319E-3</v>
      </c>
      <c r="F48">
        <v>9.7715932341149685</v>
      </c>
      <c r="G48">
        <v>11.713542703392125</v>
      </c>
    </row>
    <row r="49" spans="1:7">
      <c r="B49">
        <v>70000</v>
      </c>
      <c r="C49" s="8">
        <v>4.8513377964323643E-10</v>
      </c>
      <c r="D49">
        <v>9.6081243480099268</v>
      </c>
      <c r="E49">
        <v>8.5512306697288348E-3</v>
      </c>
      <c r="F49">
        <v>8.6823742085307796</v>
      </c>
      <c r="G49">
        <v>10.407858638997777</v>
      </c>
    </row>
    <row r="50" spans="1:7">
      <c r="B50">
        <v>100000</v>
      </c>
      <c r="C50" s="8">
        <v>4.8513377964323643E-10</v>
      </c>
      <c r="D50">
        <v>10.235608116503908</v>
      </c>
      <c r="E50">
        <v>9.1096912236884788E-3</v>
      </c>
      <c r="F50">
        <v>8.1501098988939749</v>
      </c>
      <c r="G50">
        <v>9.7698152236563143</v>
      </c>
    </row>
    <row r="51" spans="1:7">
      <c r="B51">
        <v>150000</v>
      </c>
      <c r="C51" s="8">
        <v>4.8513377964323643E-10</v>
      </c>
      <c r="D51">
        <v>10.877142434097875</v>
      </c>
      <c r="E51">
        <v>9.6806567663471101E-3</v>
      </c>
      <c r="F51">
        <v>7.6694160747594164</v>
      </c>
      <c r="G51">
        <v>9.1935911114410054</v>
      </c>
    </row>
    <row r="52" spans="1:7">
      <c r="B52">
        <v>200000</v>
      </c>
      <c r="C52" s="8">
        <v>4.8513377964323643E-10</v>
      </c>
      <c r="D52">
        <v>11.272938768118308</v>
      </c>
      <c r="E52">
        <v>1.0032915503625296E-2</v>
      </c>
      <c r="F52">
        <v>7.4001405265720956</v>
      </c>
      <c r="G52">
        <v>8.8708013107297408</v>
      </c>
    </row>
    <row r="54" spans="1:7">
      <c r="A54" t="s">
        <v>65</v>
      </c>
      <c r="B54" t="s">
        <v>66</v>
      </c>
      <c r="C54" t="s">
        <v>44</v>
      </c>
      <c r="D54" t="s">
        <v>67</v>
      </c>
      <c r="E54" t="s">
        <v>68</v>
      </c>
      <c r="F54" t="s">
        <v>69</v>
      </c>
      <c r="G54" t="s">
        <v>70</v>
      </c>
    </row>
    <row r="55" spans="1:7">
      <c r="A55">
        <v>350000</v>
      </c>
      <c r="B55">
        <v>40000</v>
      </c>
      <c r="C55">
        <v>4.3216682269489081E-10</v>
      </c>
      <c r="D55">
        <v>9.7760268395047252</v>
      </c>
      <c r="E55">
        <v>8.7006638871592063E-3</v>
      </c>
      <c r="F55">
        <v>8.5332551148912668</v>
      </c>
      <c r="G55">
        <v>10.229104486078334</v>
      </c>
    </row>
    <row r="56" spans="1:7">
      <c r="B56">
        <v>70000</v>
      </c>
      <c r="C56">
        <v>4.3216682269489081E-10</v>
      </c>
      <c r="D56">
        <v>11.084922715391237</v>
      </c>
      <c r="E56">
        <v>9.8655812166982011E-3</v>
      </c>
      <c r="F56">
        <v>7.5256574333791999</v>
      </c>
      <c r="G56">
        <v>9.0212627158105132</v>
      </c>
    </row>
    <row r="57" spans="1:7">
      <c r="B57">
        <v>100000</v>
      </c>
      <c r="C57">
        <v>4.3216682269489081E-10</v>
      </c>
      <c r="D57">
        <v>11.85615540700023</v>
      </c>
      <c r="E57">
        <v>1.0551978312230205E-2</v>
      </c>
      <c r="F57">
        <v>7.0361199029378065</v>
      </c>
      <c r="G57">
        <v>8.4344373506572801</v>
      </c>
    </row>
    <row r="58" spans="1:7">
      <c r="B58">
        <v>150000</v>
      </c>
      <c r="C58">
        <v>4.3216682269489081E-10</v>
      </c>
      <c r="D58">
        <v>12.647752796050781</v>
      </c>
      <c r="E58">
        <v>1.1256499988485196E-2</v>
      </c>
      <c r="F58">
        <v>6.5957433211033383</v>
      </c>
      <c r="G58">
        <v>7.9065428944203164</v>
      </c>
    </row>
    <row r="59" spans="1:7">
      <c r="B59">
        <v>200000</v>
      </c>
      <c r="C59">
        <v>4.3216682269489081E-10</v>
      </c>
      <c r="D59">
        <v>13.137616339773439</v>
      </c>
      <c r="E59">
        <v>1.1692478542398362E-2</v>
      </c>
      <c r="F59">
        <v>6.349807215709621</v>
      </c>
      <c r="G59">
        <v>7.6117308812904874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A7" zoomScale="125" zoomScaleNormal="125" zoomScalePageLayoutView="125" workbookViewId="0">
      <selection activeCell="F22" sqref="F22"/>
    </sheetView>
  </sheetViews>
  <sheetFormatPr baseColWidth="10" defaultRowHeight="15" x14ac:dyDescent="0"/>
  <cols>
    <col min="1" max="1" width="18" customWidth="1"/>
    <col min="2" max="2" width="11.5" customWidth="1"/>
    <col min="3" max="3" width="11" customWidth="1"/>
    <col min="4" max="4" width="13.6640625" customWidth="1"/>
    <col min="5" max="5" width="14.1640625" customWidth="1"/>
    <col min="6" max="6" width="19.33203125" customWidth="1"/>
    <col min="7" max="7" width="10.6640625" customWidth="1"/>
    <col min="8" max="11" width="12.6640625" bestFit="1" customWidth="1"/>
  </cols>
  <sheetData>
    <row r="1" spans="1:27">
      <c r="A1" t="s">
        <v>71</v>
      </c>
    </row>
    <row r="3" spans="1:27" ht="30">
      <c r="A3" s="7" t="s">
        <v>32</v>
      </c>
      <c r="B3">
        <f>8.9*10^-4</f>
        <v>8.9000000000000006E-4</v>
      </c>
      <c r="E3" t="s">
        <v>37</v>
      </c>
    </row>
    <row r="4" spans="1:27" ht="30">
      <c r="A4" s="7" t="s">
        <v>33</v>
      </c>
      <c r="B4">
        <f>1.38*10^-23</f>
        <v>1.3800000000000001E-23</v>
      </c>
      <c r="E4" t="s">
        <v>38</v>
      </c>
    </row>
    <row r="5" spans="1:27">
      <c r="A5" s="7" t="s">
        <v>34</v>
      </c>
      <c r="B5">
        <f>298</f>
        <v>298</v>
      </c>
    </row>
    <row r="6" spans="1:27">
      <c r="A6" s="7" t="s">
        <v>35</v>
      </c>
      <c r="B6">
        <v>-0.75</v>
      </c>
    </row>
    <row r="7" spans="1:27" ht="45">
      <c r="A7" s="7" t="s">
        <v>41</v>
      </c>
      <c r="B7" t="s">
        <v>42</v>
      </c>
    </row>
    <row r="10" spans="1:27" ht="60">
      <c r="B10" s="6" t="s">
        <v>43</v>
      </c>
      <c r="C10" s="6" t="s">
        <v>30</v>
      </c>
      <c r="D10" s="6" t="s">
        <v>31</v>
      </c>
      <c r="E10" s="6" t="s">
        <v>72</v>
      </c>
      <c r="F10" s="6" t="s">
        <v>39</v>
      </c>
      <c r="G10" s="6" t="s">
        <v>40</v>
      </c>
      <c r="H10" s="6" t="s">
        <v>45</v>
      </c>
      <c r="I10" s="6" t="s">
        <v>46</v>
      </c>
      <c r="J10" s="6" t="s">
        <v>47</v>
      </c>
      <c r="K10" s="6" t="s">
        <v>48</v>
      </c>
      <c r="L10" s="6" t="s">
        <v>49</v>
      </c>
      <c r="M10" s="6" t="s">
        <v>50</v>
      </c>
      <c r="N10" s="6" t="s">
        <v>51</v>
      </c>
      <c r="O10" s="6" t="s">
        <v>52</v>
      </c>
      <c r="P10" s="6" t="s">
        <v>53</v>
      </c>
      <c r="Q10" s="6" t="s">
        <v>54</v>
      </c>
      <c r="R10" s="6" t="s">
        <v>55</v>
      </c>
      <c r="S10" s="6" t="s">
        <v>56</v>
      </c>
      <c r="T10" s="6" t="s">
        <v>57</v>
      </c>
      <c r="U10" s="6" t="s">
        <v>58</v>
      </c>
      <c r="V10" s="6" t="s">
        <v>59</v>
      </c>
      <c r="W10" s="6" t="s">
        <v>60</v>
      </c>
      <c r="X10" s="6" t="s">
        <v>61</v>
      </c>
    </row>
    <row r="11" spans="1:27">
      <c r="A11" t="s">
        <v>1</v>
      </c>
      <c r="B11">
        <v>520</v>
      </c>
      <c r="C11">
        <f>6.02*10^-9</f>
        <v>6.0200000000000003E-9</v>
      </c>
      <c r="D11">
        <f>7.77*10^-9</f>
        <v>7.7699999999999994E-9</v>
      </c>
      <c r="E11">
        <f>$B$5*$B$4/6/3.14/$B$3/$D$11*10^12</f>
        <v>31.564827957871678</v>
      </c>
    </row>
    <row r="12" spans="1:27">
      <c r="A12" t="s">
        <v>3</v>
      </c>
      <c r="B12">
        <v>40000</v>
      </c>
      <c r="C12">
        <f>2.21*10^-9</f>
        <v>2.21E-9</v>
      </c>
      <c r="D12">
        <f>2.85*10^-9</f>
        <v>2.8500000000000003E-9</v>
      </c>
      <c r="F12">
        <f>200*1000</f>
        <v>200000</v>
      </c>
      <c r="G12">
        <f>B12/(4/3*3.14*C12^3*6.023*10^23)</f>
        <v>1469609.4042454604</v>
      </c>
      <c r="H12" s="8">
        <f>0.00000000986328/20</f>
        <v>4.9316400000000001E-10</v>
      </c>
      <c r="I12">
        <f>$C$12*($F$13/$G$12)^$B$6/20</f>
        <v>4.1716581571349253E-10</v>
      </c>
      <c r="J12">
        <f>$C$12*($F$14/$G$12)^$B$6/20</f>
        <v>3.6385033473242732E-10</v>
      </c>
      <c r="K12">
        <f>$C$12*($F$15/$G$12)^$B$6/20</f>
        <v>3.2412511702116811E-10</v>
      </c>
      <c r="L12">
        <f>EXP(((H12/D12)^2+(H12/$D$11)^2)^(-0.53/2))</f>
        <v>11.594175840360261</v>
      </c>
      <c r="M12">
        <f>EXP(((I12/D12)^2+(I12/$D$11)^2)^(-0.53/2))</f>
        <v>14.552941564074878</v>
      </c>
      <c r="N12">
        <f>EXP(((J12/D12)^2+(J12/$D$11)^2)^(-0.53/2))</f>
        <v>17.797636464760657</v>
      </c>
      <c r="O12">
        <f>EXP(((K12/D12)^2+(K12/$D$11)^2)^(-0.53/2))</f>
        <v>21.348833639328529</v>
      </c>
      <c r="P12">
        <f>$B$3*L12</f>
        <v>1.0318816497920633E-2</v>
      </c>
      <c r="Q12">
        <f>$B$3*M12</f>
        <v>1.2952117992026642E-2</v>
      </c>
      <c r="R12">
        <f>$B$3*N12</f>
        <v>1.5839896453636985E-2</v>
      </c>
      <c r="S12">
        <f>$B$3*O12</f>
        <v>1.9000461939002393E-2</v>
      </c>
      <c r="T12">
        <f>$E$11/L12</f>
        <v>2.722472764988777</v>
      </c>
      <c r="U12">
        <f>$E$11/M12</f>
        <v>2.1689654850117743</v>
      </c>
      <c r="V12">
        <f>$E$11/N12</f>
        <v>1.7735404372580639</v>
      </c>
      <c r="W12">
        <f>$E$11/O12</f>
        <v>1.4785270470103522</v>
      </c>
      <c r="X12">
        <f>T12/$E$11*100</f>
        <v>8.6250201288039765</v>
      </c>
      <c r="Y12">
        <f t="shared" ref="Y12:AA16" si="0">U12/$E$11*100</f>
        <v>6.871463034446462</v>
      </c>
      <c r="Z12">
        <f t="shared" si="0"/>
        <v>5.6187235983834221</v>
      </c>
      <c r="AA12">
        <f t="shared" si="0"/>
        <v>4.6840966438457494</v>
      </c>
    </row>
    <row r="13" spans="1:27">
      <c r="B13">
        <v>70000</v>
      </c>
      <c r="C13">
        <f>2.75*10^-9</f>
        <v>2.7500000000000002E-9</v>
      </c>
      <c r="D13">
        <f>3.55*10^-9</f>
        <v>3.5499999999999999E-9</v>
      </c>
      <c r="F13">
        <f>250*1000</f>
        <v>250000</v>
      </c>
      <c r="G13">
        <f>B13/(4/3*3.14*C13^3*6.023*10^23)</f>
        <v>1334807.722747145</v>
      </c>
      <c r="H13" s="8">
        <f t="shared" ref="H13:H18" si="1">0.00000000986328/20</f>
        <v>4.9316400000000001E-10</v>
      </c>
      <c r="I13">
        <f t="shared" ref="I13:I18" si="2">$C$12*($F$13/$G$12)^$B$6/20</f>
        <v>4.1716581571349253E-10</v>
      </c>
      <c r="J13">
        <f t="shared" ref="J13:J18" si="3">$C$12*($F$14/$G$12)^$B$6/20</f>
        <v>3.6385033473242732E-10</v>
      </c>
      <c r="K13">
        <f t="shared" ref="K13:K18" si="4">$C$12*($F$15/$G$12)^$B$6/20</f>
        <v>3.2412511702116811E-10</v>
      </c>
      <c r="L13">
        <f>EXP(((H13/D13)^2+(H13/$D$11)^2)^(-0.53/2))</f>
        <v>14.986937868900927</v>
      </c>
      <c r="M13">
        <f t="shared" ref="M13:M16" si="5">EXP(((I13/D13)^2+(I13/$D$11)^2)^(-0.53/2))</f>
        <v>19.264742594994136</v>
      </c>
      <c r="N13">
        <f t="shared" ref="N13:N16" si="6">EXP(((J13/D13)^2+(J13/$D$11)^2)^(-0.53/2))</f>
        <v>24.061938633151691</v>
      </c>
      <c r="O13">
        <f t="shared" ref="O13:O16" si="7">EXP(((K13/D13)^2+(K13/$D$11)^2)^(-0.53/2))</f>
        <v>29.418360890740114</v>
      </c>
      <c r="P13">
        <f>$B$3*L13</f>
        <v>1.3338374703321826E-2</v>
      </c>
      <c r="Q13">
        <f t="shared" ref="Q13:S16" si="8">$B$3*M13</f>
        <v>1.7145620909544784E-2</v>
      </c>
      <c r="R13">
        <f t="shared" si="8"/>
        <v>2.1415125383505006E-2</v>
      </c>
      <c r="S13">
        <f t="shared" si="8"/>
        <v>2.6182341192758703E-2</v>
      </c>
      <c r="T13">
        <f>$E$11/L13</f>
        <v>2.1061559228433966</v>
      </c>
      <c r="U13">
        <f t="shared" ref="U13:W16" si="9">$E$11/M13</f>
        <v>1.6384764967518262</v>
      </c>
      <c r="V13">
        <f t="shared" si="9"/>
        <v>1.3118156620340962</v>
      </c>
      <c r="W13">
        <f t="shared" si="9"/>
        <v>1.0729635167337688</v>
      </c>
      <c r="X13">
        <f t="shared" ref="X13:X16" si="10">T13/$E$11*100</f>
        <v>6.6724771180581097</v>
      </c>
      <c r="Y13">
        <f t="shared" si="0"/>
        <v>5.190829802521451</v>
      </c>
      <c r="Z13">
        <f t="shared" si="0"/>
        <v>4.1559411120026519</v>
      </c>
      <c r="AA13">
        <f t="shared" si="0"/>
        <v>3.3992376520024461</v>
      </c>
    </row>
    <row r="14" spans="1:27">
      <c r="B14">
        <v>100000</v>
      </c>
      <c r="C14">
        <f>3.16*10^-9</f>
        <v>3.1600000000000003E-9</v>
      </c>
      <c r="D14">
        <f>4.08*10^-9</f>
        <v>4.08E-9</v>
      </c>
      <c r="F14">
        <f>300*1000</f>
        <v>300000</v>
      </c>
      <c r="G14">
        <f t="shared" ref="G14:G16" si="11">B14/(4/3*3.14*C14^3*6.023*10^23)</f>
        <v>1256774.9167755924</v>
      </c>
      <c r="H14" s="8">
        <f t="shared" si="1"/>
        <v>4.9316400000000001E-10</v>
      </c>
      <c r="I14">
        <f t="shared" si="2"/>
        <v>4.1716581571349253E-10</v>
      </c>
      <c r="J14">
        <f t="shared" si="3"/>
        <v>3.6385033473242732E-10</v>
      </c>
      <c r="K14">
        <f t="shared" si="4"/>
        <v>3.2412511702116811E-10</v>
      </c>
      <c r="L14">
        <f>EXP(((H14/D14)^2+(H14/$D$11)^2)^(-0.53/2))</f>
        <v>17.69037041850072</v>
      </c>
      <c r="M14">
        <f t="shared" si="5"/>
        <v>23.092323762893844</v>
      </c>
      <c r="N14">
        <f t="shared" si="6"/>
        <v>29.238207824818648</v>
      </c>
      <c r="O14">
        <f t="shared" si="7"/>
        <v>36.189772084017534</v>
      </c>
      <c r="P14">
        <f t="shared" ref="P14:P16" si="12">$B$3*L14</f>
        <v>1.5744429672465643E-2</v>
      </c>
      <c r="Q14">
        <f t="shared" si="8"/>
        <v>2.0552168148975522E-2</v>
      </c>
      <c r="R14">
        <f t="shared" si="8"/>
        <v>2.6022004964088599E-2</v>
      </c>
      <c r="S14">
        <f t="shared" si="8"/>
        <v>3.2208897154775609E-2</v>
      </c>
      <c r="T14">
        <f t="shared" ref="T14:T16" si="13">$E$11/L14</f>
        <v>1.784294348345637</v>
      </c>
      <c r="U14">
        <f t="shared" si="9"/>
        <v>1.3668969949482508</v>
      </c>
      <c r="V14">
        <f t="shared" si="9"/>
        <v>1.0795746492737526</v>
      </c>
      <c r="W14">
        <f t="shared" si="9"/>
        <v>0.87220300488743985</v>
      </c>
      <c r="X14">
        <f t="shared" si="10"/>
        <v>5.6527928830376135</v>
      </c>
      <c r="Y14">
        <f t="shared" si="0"/>
        <v>4.3304433554099955</v>
      </c>
      <c r="Z14">
        <f t="shared" si="0"/>
        <v>3.4201822696914999</v>
      </c>
      <c r="AA14">
        <f t="shared" si="0"/>
        <v>2.7632116546034546</v>
      </c>
    </row>
    <row r="15" spans="1:27">
      <c r="B15">
        <v>150000</v>
      </c>
      <c r="C15">
        <f>3.7*10^-9</f>
        <v>3.7000000000000005E-9</v>
      </c>
      <c r="D15">
        <f>4.78*10^-9</f>
        <v>4.7800000000000005E-9</v>
      </c>
      <c r="F15">
        <f>350*1000</f>
        <v>350000</v>
      </c>
      <c r="G15">
        <f t="shared" si="11"/>
        <v>1174369.7041921234</v>
      </c>
      <c r="H15" s="8">
        <f t="shared" si="1"/>
        <v>4.9316400000000001E-10</v>
      </c>
      <c r="I15">
        <f t="shared" si="2"/>
        <v>4.1716581571349253E-10</v>
      </c>
      <c r="J15">
        <f t="shared" si="3"/>
        <v>3.6385033473242732E-10</v>
      </c>
      <c r="K15">
        <f t="shared" si="4"/>
        <v>3.2412511702116811E-10</v>
      </c>
      <c r="L15">
        <f t="shared" ref="L15" si="14">EXP(((H15/D15)^2+(H15/$D$11)^2)^(-0.53/2))</f>
        <v>21.350254204820192</v>
      </c>
      <c r="M15">
        <f t="shared" si="5"/>
        <v>28.36014833280079</v>
      </c>
      <c r="N15">
        <f t="shared" si="6"/>
        <v>36.46693572539899</v>
      </c>
      <c r="O15">
        <f t="shared" si="7"/>
        <v>45.771744752818677</v>
      </c>
      <c r="P15">
        <f t="shared" si="12"/>
        <v>1.9001726242289973E-2</v>
      </c>
      <c r="Q15">
        <f t="shared" si="8"/>
        <v>2.5240532016192706E-2</v>
      </c>
      <c r="R15">
        <f t="shared" si="8"/>
        <v>3.2455572795605105E-2</v>
      </c>
      <c r="S15">
        <f t="shared" si="8"/>
        <v>4.0736852830008628E-2</v>
      </c>
      <c r="T15">
        <f t="shared" si="13"/>
        <v>1.4784286713900281</v>
      </c>
      <c r="U15">
        <f t="shared" si="9"/>
        <v>1.1129993957529629</v>
      </c>
      <c r="V15">
        <f t="shared" si="9"/>
        <v>0.86557390496309172</v>
      </c>
      <c r="W15">
        <f t="shared" si="9"/>
        <v>0.68961382460579856</v>
      </c>
      <c r="X15">
        <f t="shared" si="10"/>
        <v>4.6837849816993398</v>
      </c>
      <c r="Y15">
        <f t="shared" si="0"/>
        <v>3.5260746462437211</v>
      </c>
      <c r="Z15">
        <f t="shared" si="0"/>
        <v>2.742210114746511</v>
      </c>
      <c r="AA15">
        <f t="shared" si="0"/>
        <v>2.1847539467859565</v>
      </c>
    </row>
    <row r="16" spans="1:27">
      <c r="B16">
        <v>200000</v>
      </c>
      <c r="C16">
        <f>4.14*10^-9</f>
        <v>4.1400000000000002E-9</v>
      </c>
      <c r="D16">
        <f>5.34*10^-9</f>
        <v>5.3400000000000002E-9</v>
      </c>
      <c r="F16">
        <v>400000</v>
      </c>
      <c r="G16">
        <f t="shared" si="11"/>
        <v>1117757.8393279198</v>
      </c>
      <c r="H16" s="8">
        <f t="shared" si="1"/>
        <v>4.9316400000000001E-10</v>
      </c>
      <c r="I16">
        <f t="shared" si="2"/>
        <v>4.1716581571349253E-10</v>
      </c>
      <c r="J16">
        <f t="shared" si="3"/>
        <v>3.6385033473242732E-10</v>
      </c>
      <c r="K16">
        <f t="shared" si="4"/>
        <v>3.2412511702116811E-10</v>
      </c>
      <c r="L16">
        <f>EXP(((H16/D16)^2+(H16/$D$11)^2)^(-0.53/2))</f>
        <v>24.288395487186175</v>
      </c>
      <c r="M16">
        <f t="shared" si="5"/>
        <v>32.651115366802571</v>
      </c>
      <c r="N16">
        <f t="shared" si="6"/>
        <v>42.431464230785068</v>
      </c>
      <c r="O16">
        <f t="shared" si="7"/>
        <v>53.770426406377531</v>
      </c>
      <c r="P16">
        <f t="shared" si="12"/>
        <v>2.1616671983595698E-2</v>
      </c>
      <c r="Q16">
        <f t="shared" si="8"/>
        <v>2.9059492676454291E-2</v>
      </c>
      <c r="R16">
        <f t="shared" si="8"/>
        <v>3.7764003165398713E-2</v>
      </c>
      <c r="S16">
        <f t="shared" si="8"/>
        <v>4.7855679501676004E-2</v>
      </c>
      <c r="T16">
        <f t="shared" si="13"/>
        <v>1.2995847327389052</v>
      </c>
      <c r="U16">
        <f t="shared" si="9"/>
        <v>0.96673046550699593</v>
      </c>
      <c r="V16">
        <f t="shared" si="9"/>
        <v>0.7439014545006114</v>
      </c>
      <c r="W16">
        <f t="shared" si="9"/>
        <v>0.58702952658987806</v>
      </c>
      <c r="X16">
        <f t="shared" si="10"/>
        <v>4.1171925108332896</v>
      </c>
      <c r="Y16">
        <f t="shared" si="0"/>
        <v>3.0626825110444216</v>
      </c>
      <c r="Z16">
        <f t="shared" si="0"/>
        <v>2.3567416730212094</v>
      </c>
      <c r="AA16">
        <f t="shared" si="0"/>
        <v>1.8597583594416007</v>
      </c>
    </row>
    <row r="17" spans="1:20">
      <c r="F17">
        <v>450000</v>
      </c>
      <c r="H17" s="8">
        <f t="shared" si="1"/>
        <v>4.9316400000000001E-10</v>
      </c>
      <c r="I17">
        <f t="shared" si="2"/>
        <v>4.1716581571349253E-10</v>
      </c>
      <c r="J17">
        <f t="shared" si="3"/>
        <v>3.6385033473242732E-10</v>
      </c>
      <c r="K17">
        <f t="shared" si="4"/>
        <v>3.2412511702116811E-10</v>
      </c>
    </row>
    <row r="18" spans="1:20">
      <c r="F18">
        <v>500000</v>
      </c>
      <c r="H18" s="8">
        <f t="shared" si="1"/>
        <v>4.9316400000000001E-10</v>
      </c>
      <c r="I18">
        <f t="shared" si="2"/>
        <v>4.1716581571349253E-10</v>
      </c>
      <c r="J18">
        <f t="shared" si="3"/>
        <v>3.6385033473242732E-10</v>
      </c>
      <c r="K18">
        <f t="shared" si="4"/>
        <v>3.2412511702116811E-10</v>
      </c>
    </row>
    <row r="19" spans="1:20">
      <c r="T19" t="s">
        <v>62</v>
      </c>
    </row>
    <row r="20" spans="1:20">
      <c r="H20" t="s">
        <v>73</v>
      </c>
      <c r="T20" t="s">
        <v>63</v>
      </c>
    </row>
    <row r="22" spans="1:20">
      <c r="A22" t="s">
        <v>65</v>
      </c>
      <c r="B22" t="s">
        <v>66</v>
      </c>
      <c r="C22" t="s">
        <v>44</v>
      </c>
      <c r="D22" t="s">
        <v>67</v>
      </c>
      <c r="E22" t="s">
        <v>68</v>
      </c>
      <c r="F22" t="s">
        <v>69</v>
      </c>
      <c r="G22" t="s">
        <v>70</v>
      </c>
    </row>
    <row r="23" spans="1:20">
      <c r="A23">
        <v>300000</v>
      </c>
      <c r="B23">
        <v>40000</v>
      </c>
      <c r="C23" s="8">
        <f>$C$12*($A$23/$G$12)^$B$6/15</f>
        <v>4.8513377964323643E-10</v>
      </c>
      <c r="D23">
        <f>EXP(((C23/D12)^2+(C23/$D$11)^2)^(-0.53/2))</f>
        <v>11.84514271521644</v>
      </c>
      <c r="E23">
        <v>1</v>
      </c>
      <c r="F23">
        <f>$E$11/D23</f>
        <v>2.6647908528213042</v>
      </c>
      <c r="G23">
        <f>F23/$E$11*100</f>
        <v>8.4422790340498448</v>
      </c>
      <c r="I23">
        <v>40</v>
      </c>
    </row>
    <row r="24" spans="1:20">
      <c r="B24">
        <v>70000</v>
      </c>
      <c r="C24" s="8">
        <f t="shared" ref="C24:C27" si="15">$C$12*($A$23/$G$12)^$B$6/15</f>
        <v>4.8513377964323643E-10</v>
      </c>
      <c r="D24">
        <f t="shared" ref="D24:D27" si="16">EXP(((C24/D13)^2+(C24/$D$11)^2)^(-0.53/2))</f>
        <v>15.345727674306623</v>
      </c>
      <c r="E24">
        <v>1</v>
      </c>
      <c r="F24">
        <f t="shared" ref="F24:F27" si="17">$E$11/D24</f>
        <v>2.0569130788578192</v>
      </c>
      <c r="G24">
        <f t="shared" ref="G24:G27" si="18">F24/$E$11*100</f>
        <v>6.5164716931234326</v>
      </c>
      <c r="I24">
        <v>70</v>
      </c>
    </row>
    <row r="25" spans="1:20">
      <c r="B25">
        <v>100000</v>
      </c>
      <c r="C25" s="8">
        <f t="shared" si="15"/>
        <v>4.8513377964323643E-10</v>
      </c>
      <c r="D25">
        <f t="shared" si="16"/>
        <v>18.140152184545375</v>
      </c>
      <c r="E25">
        <v>1</v>
      </c>
      <c r="F25">
        <f t="shared" si="17"/>
        <v>1.7400530952967168</v>
      </c>
      <c r="G25">
        <f t="shared" si="18"/>
        <v>5.5126329141381563</v>
      </c>
      <c r="I25">
        <v>100</v>
      </c>
    </row>
    <row r="26" spans="1:20">
      <c r="B26">
        <v>150000</v>
      </c>
      <c r="C26" s="8">
        <f t="shared" si="15"/>
        <v>4.8513377964323643E-10</v>
      </c>
      <c r="D26">
        <f t="shared" si="16"/>
        <v>21.929096150588393</v>
      </c>
      <c r="E26">
        <v>1</v>
      </c>
      <c r="F26">
        <f>$E$11/D26</f>
        <v>1.4394039654491069</v>
      </c>
      <c r="G26">
        <f t="shared" si="18"/>
        <v>4.5601514678623376</v>
      </c>
      <c r="I26">
        <v>150</v>
      </c>
    </row>
    <row r="27" spans="1:20">
      <c r="B27">
        <v>200000</v>
      </c>
      <c r="C27" s="8">
        <f t="shared" si="15"/>
        <v>4.8513377964323643E-10</v>
      </c>
      <c r="D27">
        <f t="shared" si="16"/>
        <v>24.975020630394521</v>
      </c>
      <c r="E27">
        <v>1</v>
      </c>
      <c r="F27">
        <f t="shared" si="17"/>
        <v>1.2638559312923001</v>
      </c>
      <c r="G27">
        <f t="shared" si="18"/>
        <v>4.0040006965319703</v>
      </c>
      <c r="I27">
        <v>200</v>
      </c>
    </row>
    <row r="31" spans="1:20">
      <c r="A31" t="s">
        <v>65</v>
      </c>
      <c r="B31" t="s">
        <v>66</v>
      </c>
      <c r="C31" t="s">
        <v>44</v>
      </c>
      <c r="D31" t="s">
        <v>67</v>
      </c>
      <c r="E31" t="s">
        <v>68</v>
      </c>
      <c r="F31" t="s">
        <v>69</v>
      </c>
      <c r="G31" t="s">
        <v>70</v>
      </c>
    </row>
    <row r="32" spans="1:20">
      <c r="A32">
        <v>200000</v>
      </c>
      <c r="B32">
        <v>40000</v>
      </c>
      <c r="C32" s="8">
        <v>6.5755178295666791E-10</v>
      </c>
      <c r="D32">
        <v>8.1985834040703534</v>
      </c>
      <c r="E32">
        <v>7.2967392296226152E-3</v>
      </c>
      <c r="F32">
        <v>3.8500343781586315</v>
      </c>
      <c r="G32">
        <v>12.197229090863791</v>
      </c>
    </row>
    <row r="33" spans="1:7">
      <c r="B33">
        <v>70000</v>
      </c>
      <c r="C33" s="8">
        <v>6.5755178295666791E-10</v>
      </c>
      <c r="D33">
        <v>10.219925265645641</v>
      </c>
      <c r="E33">
        <v>9.095733486424621E-3</v>
      </c>
      <c r="F33">
        <v>3.0885576104922308</v>
      </c>
      <c r="G33">
        <v>9.7848073641155455</v>
      </c>
    </row>
    <row r="34" spans="1:7">
      <c r="B34">
        <v>100000</v>
      </c>
      <c r="C34" s="8">
        <v>6.5755178295666791E-10</v>
      </c>
      <c r="D34">
        <v>11.783826949364947</v>
      </c>
      <c r="E34">
        <v>1.0487605984934803E-2</v>
      </c>
      <c r="F34">
        <v>2.6786567804759529</v>
      </c>
      <c r="G34">
        <v>8.4862074459935268</v>
      </c>
    </row>
    <row r="35" spans="1:7">
      <c r="B35">
        <v>150000</v>
      </c>
      <c r="C35" s="8">
        <v>6.5755178295666791E-10</v>
      </c>
      <c r="D35">
        <v>13.848525770007861</v>
      </c>
      <c r="E35">
        <v>1.2325187935306996E-2</v>
      </c>
      <c r="F35">
        <v>2.2792915637440996</v>
      </c>
      <c r="G35">
        <v>7.2209852269309982</v>
      </c>
    </row>
    <row r="36" spans="1:7">
      <c r="B36">
        <v>200000</v>
      </c>
      <c r="C36" s="8">
        <v>6.5755178295666791E-10</v>
      </c>
      <c r="D36">
        <v>15.469653754820218</v>
      </c>
      <c r="E36">
        <v>1.3767991841789996E-2</v>
      </c>
      <c r="F36">
        <v>2.0404353231265007</v>
      </c>
      <c r="G36">
        <v>6.4642687926250968</v>
      </c>
    </row>
    <row r="39" spans="1:7">
      <c r="A39" t="s">
        <v>65</v>
      </c>
      <c r="B39" t="s">
        <v>66</v>
      </c>
      <c r="C39" t="s">
        <v>44</v>
      </c>
      <c r="D39" t="s">
        <v>67</v>
      </c>
      <c r="E39" t="s">
        <v>68</v>
      </c>
      <c r="F39" t="s">
        <v>69</v>
      </c>
      <c r="G39" t="s">
        <v>70</v>
      </c>
    </row>
    <row r="40" spans="1:7">
      <c r="A40">
        <v>250000</v>
      </c>
      <c r="B40">
        <v>40000</v>
      </c>
      <c r="C40">
        <v>5.5622108761799008E-10</v>
      </c>
      <c r="D40">
        <v>9.9652958889359056</v>
      </c>
      <c r="E40">
        <v>8.8691133411529562E-3</v>
      </c>
      <c r="F40">
        <v>3.1674752370290302</v>
      </c>
      <c r="G40">
        <v>10.03482496801989</v>
      </c>
    </row>
    <row r="41" spans="1:7">
      <c r="B41">
        <v>70000</v>
      </c>
      <c r="C41">
        <v>5.5622108761799008E-10</v>
      </c>
      <c r="D41">
        <v>12.678746542615484</v>
      </c>
      <c r="E41">
        <v>1.1284084422927781E-2</v>
      </c>
      <c r="F41">
        <v>2.4895858476054218</v>
      </c>
      <c r="G41">
        <v>7.8872150069316804</v>
      </c>
    </row>
    <row r="42" spans="1:7">
      <c r="B42">
        <v>100000</v>
      </c>
      <c r="C42">
        <v>5.5622108761799008E-10</v>
      </c>
      <c r="D42">
        <v>14.813259538086346</v>
      </c>
      <c r="E42">
        <v>1.3183800988896849E-2</v>
      </c>
      <c r="F42">
        <v>2.1308495862585413</v>
      </c>
      <c r="G42">
        <v>6.7507086973592934</v>
      </c>
    </row>
    <row r="43" spans="1:7">
      <c r="B43">
        <v>150000</v>
      </c>
      <c r="C43">
        <v>5.5622108761799008E-10</v>
      </c>
      <c r="D43">
        <v>17.671415974146633</v>
      </c>
      <c r="E43">
        <v>1.5727560216990503E-2</v>
      </c>
      <c r="F43">
        <v>1.7862081909028216</v>
      </c>
      <c r="G43">
        <v>5.6588560954198854</v>
      </c>
    </row>
    <row r="44" spans="1:7">
      <c r="B44">
        <v>200000</v>
      </c>
      <c r="C44">
        <v>5.5622108761799008E-10</v>
      </c>
      <c r="D44">
        <v>19.943788362134502</v>
      </c>
      <c r="E44">
        <v>1.7749971642299706E-2</v>
      </c>
      <c r="F44">
        <v>1.5826896768419891</v>
      </c>
      <c r="G44">
        <v>5.0140925176412878</v>
      </c>
    </row>
    <row r="47" spans="1:7">
      <c r="A47" t="s">
        <v>65</v>
      </c>
      <c r="B47" t="s">
        <v>66</v>
      </c>
      <c r="C47" t="s">
        <v>44</v>
      </c>
      <c r="D47" t="s">
        <v>67</v>
      </c>
      <c r="E47" t="s">
        <v>68</v>
      </c>
      <c r="F47" t="s">
        <v>69</v>
      </c>
      <c r="G47" t="s">
        <v>70</v>
      </c>
    </row>
    <row r="48" spans="1:7">
      <c r="A48">
        <v>300000</v>
      </c>
      <c r="B48">
        <v>40000</v>
      </c>
      <c r="C48" s="8">
        <v>4.8513377964323643E-10</v>
      </c>
      <c r="D48">
        <v>11.84514271521644</v>
      </c>
      <c r="E48">
        <v>1.0542177016542632E-2</v>
      </c>
      <c r="F48">
        <v>2.6647908528212998</v>
      </c>
      <c r="G48">
        <v>8.4422790340498448</v>
      </c>
    </row>
    <row r="49" spans="1:7">
      <c r="B49">
        <v>70000</v>
      </c>
      <c r="C49" s="8">
        <v>4.8513377964323643E-10</v>
      </c>
      <c r="D49">
        <v>15.345727674306623</v>
      </c>
      <c r="E49">
        <v>1.3657697630132895E-2</v>
      </c>
      <c r="F49">
        <v>2.0569130788578192</v>
      </c>
      <c r="G49">
        <v>6.5164716931234326</v>
      </c>
    </row>
    <row r="50" spans="1:7">
      <c r="B50">
        <v>100000</v>
      </c>
      <c r="C50" s="8">
        <v>4.8513377964323643E-10</v>
      </c>
      <c r="D50">
        <v>18.140152184545375</v>
      </c>
      <c r="E50">
        <v>1.6144735444245384E-2</v>
      </c>
      <c r="F50">
        <v>1.7400530952967168</v>
      </c>
      <c r="G50">
        <v>5.5126329141381563</v>
      </c>
    </row>
    <row r="51" spans="1:7">
      <c r="B51">
        <v>150000</v>
      </c>
      <c r="C51" s="8">
        <v>4.8513377964323643E-10</v>
      </c>
      <c r="D51">
        <v>21.929096150588393</v>
      </c>
      <c r="E51">
        <v>1.9516895574023672E-2</v>
      </c>
      <c r="F51">
        <v>1.4394039654491069</v>
      </c>
      <c r="G51">
        <v>4.5601514678623376</v>
      </c>
    </row>
    <row r="52" spans="1:7">
      <c r="B52">
        <v>200000</v>
      </c>
      <c r="C52" s="8">
        <v>4.8513377964323643E-10</v>
      </c>
      <c r="D52">
        <v>24.975020630394521</v>
      </c>
      <c r="E52">
        <v>2.2227768361051125E-2</v>
      </c>
      <c r="F52">
        <v>1.2638559312923001</v>
      </c>
      <c r="G52">
        <v>4.0040006965319703</v>
      </c>
    </row>
    <row r="54" spans="1:7">
      <c r="A54" t="s">
        <v>65</v>
      </c>
      <c r="B54" t="s">
        <v>66</v>
      </c>
      <c r="C54" t="s">
        <v>44</v>
      </c>
      <c r="D54" t="s">
        <v>67</v>
      </c>
      <c r="E54" t="s">
        <v>68</v>
      </c>
      <c r="F54" t="s">
        <v>69</v>
      </c>
      <c r="G54" t="s">
        <v>70</v>
      </c>
    </row>
    <row r="55" spans="1:7">
      <c r="A55">
        <v>350000</v>
      </c>
      <c r="B55">
        <v>40000</v>
      </c>
      <c r="C55">
        <v>4.3216682269489081E-10</v>
      </c>
      <c r="D55">
        <v>13.847728276031283</v>
      </c>
      <c r="E55">
        <v>1.2324478165667842E-2</v>
      </c>
      <c r="F55">
        <v>2.2794228286892744</v>
      </c>
      <c r="G55">
        <v>7.2214010851937145</v>
      </c>
    </row>
    <row r="56" spans="1:7">
      <c r="B56">
        <v>70000</v>
      </c>
      <c r="C56">
        <v>4.3216682269489081E-10</v>
      </c>
      <c r="D56">
        <v>18.236075790186142</v>
      </c>
      <c r="E56">
        <v>1.6230107453265669E-2</v>
      </c>
      <c r="F56">
        <v>1.7309002397795741</v>
      </c>
      <c r="G56">
        <v>5.4836359066798588</v>
      </c>
    </row>
    <row r="57" spans="1:7">
      <c r="B57">
        <v>100000</v>
      </c>
      <c r="C57">
        <v>4.3216682269489081E-10</v>
      </c>
      <c r="D57">
        <v>21.785918840807373</v>
      </c>
      <c r="E57">
        <v>1.9389467768318562E-2</v>
      </c>
      <c r="F57">
        <v>1.4488637449042248</v>
      </c>
      <c r="G57">
        <v>4.5901208358808914</v>
      </c>
    </row>
    <row r="58" spans="1:7">
      <c r="B58">
        <v>150000</v>
      </c>
      <c r="C58">
        <v>4.3216682269489081E-10</v>
      </c>
      <c r="D58">
        <v>26.653936629509936</v>
      </c>
      <c r="E58">
        <v>2.3722003600263844E-2</v>
      </c>
      <c r="F58">
        <v>1.1842463796857925</v>
      </c>
      <c r="G58">
        <v>3.7517910164641446</v>
      </c>
    </row>
    <row r="59" spans="1:7">
      <c r="B59">
        <v>200000</v>
      </c>
      <c r="C59">
        <v>4.3216682269489081E-10</v>
      </c>
      <c r="D59">
        <v>30.606653303223368</v>
      </c>
      <c r="E59">
        <v>2.7239921439868798E-2</v>
      </c>
      <c r="F59">
        <v>1.0313060903835376</v>
      </c>
      <c r="G59">
        <v>3.2672634609635152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LapD DC</vt:lpstr>
      <vt:lpstr>LapG DC</vt:lpstr>
      <vt:lpstr>LapA DC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Maithili</dc:creator>
  <cp:lastModifiedBy>Maithili</cp:lastModifiedBy>
  <dcterms:created xsi:type="dcterms:W3CDTF">2018-05-16T00:39:09Z</dcterms:created>
  <dcterms:modified xsi:type="dcterms:W3CDTF">2018-05-17T22:22:11Z</dcterms:modified>
</cp:coreProperties>
</file>