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Q33" i="1"/>
  <c r="Q28" i="1"/>
  <c r="Q23" i="1"/>
  <c r="Q18" i="1"/>
  <c r="Q13" i="1"/>
  <c r="Q8" i="1"/>
  <c r="Q3" i="1"/>
  <c r="P8" i="1"/>
  <c r="P13" i="1"/>
  <c r="P18" i="1"/>
  <c r="P23" i="1"/>
  <c r="P28" i="1"/>
  <c r="P33" i="1"/>
  <c r="P38" i="1"/>
  <c r="P3" i="1"/>
  <c r="F3" i="2"/>
  <c r="L8" i="1" l="1"/>
  <c r="M8" i="1"/>
  <c r="L13" i="1"/>
  <c r="M13" i="1"/>
  <c r="L18" i="1"/>
  <c r="M18" i="1"/>
  <c r="L23" i="1"/>
  <c r="M23" i="1"/>
  <c r="L28" i="1"/>
  <c r="M28" i="1"/>
  <c r="L33" i="1"/>
  <c r="M33" i="1"/>
  <c r="L38" i="1"/>
  <c r="M38" i="1"/>
  <c r="L3" i="1"/>
  <c r="M3" i="1"/>
  <c r="K38" i="1"/>
  <c r="K33" i="1"/>
  <c r="K28" i="1"/>
  <c r="K23" i="1"/>
  <c r="K18" i="1"/>
  <c r="K13" i="1"/>
  <c r="K8" i="1"/>
  <c r="K3" i="1"/>
  <c r="J39" i="1"/>
  <c r="J40" i="1"/>
  <c r="J41" i="1"/>
  <c r="J42" i="1"/>
  <c r="J38" i="1"/>
  <c r="J34" i="1"/>
  <c r="J35" i="1"/>
  <c r="J36" i="1"/>
  <c r="J37" i="1"/>
  <c r="J33" i="1"/>
  <c r="J29" i="1"/>
  <c r="J30" i="1"/>
  <c r="J31" i="1"/>
  <c r="J32" i="1"/>
  <c r="J28" i="1"/>
  <c r="J24" i="1"/>
  <c r="J25" i="1"/>
  <c r="J26" i="1"/>
  <c r="J27" i="1"/>
  <c r="J23" i="1"/>
  <c r="J19" i="1"/>
  <c r="J20" i="1"/>
  <c r="J21" i="1"/>
  <c r="J22" i="1"/>
  <c r="J18" i="1"/>
  <c r="J14" i="1"/>
  <c r="J15" i="1"/>
  <c r="J16" i="1"/>
  <c r="J17" i="1"/>
  <c r="J13" i="1"/>
  <c r="J9" i="1"/>
  <c r="J10" i="1"/>
  <c r="J11" i="1"/>
  <c r="J12" i="1"/>
  <c r="J8" i="1"/>
  <c r="J4" i="1"/>
  <c r="J5" i="1"/>
  <c r="J6" i="1"/>
  <c r="J7" i="1"/>
  <c r="J3" i="1"/>
  <c r="H13" i="1"/>
  <c r="H18" i="1"/>
  <c r="H23" i="1"/>
  <c r="H28" i="1"/>
  <c r="H33" i="1"/>
  <c r="H38" i="1"/>
  <c r="H8" i="1"/>
  <c r="H3" i="1"/>
  <c r="F38" i="1"/>
  <c r="F33" i="1"/>
  <c r="F28" i="1"/>
  <c r="F23" i="1"/>
  <c r="F18" i="1"/>
  <c r="F13" i="1"/>
  <c r="F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O38" i="1"/>
  <c r="N38" i="1"/>
  <c r="D38" i="1"/>
  <c r="C38" i="1"/>
  <c r="R3" i="1"/>
  <c r="R8" i="1" s="1"/>
</calcChain>
</file>

<file path=xl/sharedStrings.xml><?xml version="1.0" encoding="utf-8"?>
<sst xmlns="http://schemas.openxmlformats.org/spreadsheetml/2006/main" count="22" uniqueCount="21">
  <si>
    <t>d [mm]</t>
  </si>
  <si>
    <t>t [s]</t>
  </si>
  <si>
    <t>s [m]</t>
  </si>
  <si>
    <t>T [K]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</si>
  <si>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</si>
  <si>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</si>
  <si>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</si>
  <si>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</si>
  <si>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Δ ρ_k [g/cm³]</t>
  </si>
  <si>
    <t>ρ_k [g/cm³]</t>
  </si>
  <si>
    <t>ρ_f [g/cm³]</t>
  </si>
  <si>
    <t>Δ ρ_f [g/cm³]</t>
  </si>
  <si>
    <t>v_sink [m/s]</t>
  </si>
  <si>
    <t>Δ v_sink [m/s]</t>
  </si>
  <si>
    <t>v_sink [m/s] mean</t>
  </si>
  <si>
    <t>Δ v_sink [m/s] mean</t>
  </si>
  <si>
    <t>Δ v_sink [m/s] Δmean</t>
  </si>
  <si>
    <t>Δ t [s]</t>
  </si>
  <si>
    <t>Δ s [m]</t>
  </si>
  <si>
    <t>v_sinkmean/(ρ_k-ρ_f ) [m^4/s*kg]</t>
  </si>
  <si>
    <t>Δ v_sinkmean/(ρ_k-ρ_f )  [m^4/s*kg]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</si>
</sst>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0000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9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5" fontId="0" fillId="0" borderId="18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0" fontId="1" fillId="2" borderId="19" xfId="0" applyFont="1" applyFill="1" applyBorder="1"/>
    <xf numFmtId="164" fontId="0" fillId="0" borderId="1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" fillId="2" borderId="26" xfId="0" applyFont="1" applyFill="1" applyBorder="1"/>
    <xf numFmtId="165" fontId="0" fillId="0" borderId="1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168" fontId="0" fillId="0" borderId="25" xfId="0" applyNumberFormat="1" applyBorder="1" applyAlignment="1">
      <alignment horizontal="right" vertical="center"/>
    </xf>
    <xf numFmtId="168" fontId="0" fillId="0" borderId="27" xfId="0" applyNumberFormat="1" applyBorder="1" applyAlignment="1">
      <alignment horizontal="right" vertical="center"/>
    </xf>
    <xf numFmtId="167" fontId="0" fillId="0" borderId="25" xfId="0" applyNumberFormat="1" applyBorder="1" applyAlignment="1">
      <alignment horizontal="right" vertical="center"/>
    </xf>
    <xf numFmtId="167" fontId="0" fillId="0" borderId="27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8" fontId="0" fillId="0" borderId="18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8" fontId="0" fillId="0" borderId="17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6" fontId="0" fillId="0" borderId="20" xfId="0" applyNumberFormat="1" applyBorder="1" applyAlignment="1">
      <alignment horizontal="right" vertical="center"/>
    </xf>
    <xf numFmtId="166" fontId="0" fillId="0" borderId="21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2" borderId="11" xfId="0" applyNumberFormat="1" applyFill="1" applyBorder="1"/>
    <xf numFmtId="167" fontId="0" fillId="0" borderId="29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9" fontId="0" fillId="0" borderId="25" xfId="0" applyNumberFormat="1" applyBorder="1" applyAlignment="1">
      <alignment horizontal="right" vertical="center"/>
    </xf>
    <xf numFmtId="170" fontId="0" fillId="0" borderId="25" xfId="0" applyNumberFormat="1" applyBorder="1" applyAlignment="1">
      <alignment horizontal="right" vertical="center"/>
    </xf>
    <xf numFmtId="170" fontId="0" fillId="0" borderId="27" xfId="0" applyNumberForma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2"/>
  <sheetViews>
    <sheetView tabSelected="1" zoomScale="85" zoomScaleNormal="85" workbookViewId="0">
      <selection activeCell="Q45" sqref="Q45"/>
    </sheetView>
  </sheetViews>
  <sheetFormatPr baseColWidth="10" defaultRowHeight="15" x14ac:dyDescent="0.25"/>
  <cols>
    <col min="1" max="1" width="11.42578125" customWidth="1"/>
    <col min="3" max="3" width="11.140625" bestFit="1" customWidth="1"/>
    <col min="4" max="4" width="12.7109375" bestFit="1" customWidth="1"/>
    <col min="9" max="9" width="11.85546875" bestFit="1" customWidth="1"/>
    <col min="10" max="10" width="13.42578125" bestFit="1" customWidth="1"/>
    <col min="11" max="11" width="17.42578125" bestFit="1" customWidth="1"/>
    <col min="12" max="12" width="19" bestFit="1" customWidth="1"/>
    <col min="13" max="13" width="20.140625" bestFit="1" customWidth="1"/>
    <col min="15" max="15" width="12.42578125" bestFit="1" customWidth="1"/>
    <col min="16" max="16" width="31.85546875" bestFit="1" customWidth="1"/>
    <col min="17" max="17" width="33.85546875" bestFit="1" customWidth="1"/>
    <col min="24" max="24" width="14.28515625" bestFit="1" customWidth="1"/>
  </cols>
  <sheetData>
    <row r="1" spans="2:18" ht="15.75" thickBot="1" x14ac:dyDescent="0.3"/>
    <row r="2" spans="2:18" ht="15.75" thickBot="1" x14ac:dyDescent="0.3">
      <c r="B2" s="3" t="s">
        <v>0</v>
      </c>
      <c r="C2" s="4" t="s">
        <v>9</v>
      </c>
      <c r="D2" s="4" t="s">
        <v>8</v>
      </c>
      <c r="E2" s="5" t="s">
        <v>1</v>
      </c>
      <c r="F2" s="15" t="s">
        <v>17</v>
      </c>
      <c r="G2" s="7" t="s">
        <v>2</v>
      </c>
      <c r="H2" s="7" t="s">
        <v>18</v>
      </c>
      <c r="I2" s="7" t="s">
        <v>12</v>
      </c>
      <c r="J2" s="19" t="s">
        <v>13</v>
      </c>
      <c r="K2" s="7" t="s">
        <v>14</v>
      </c>
      <c r="L2" s="7" t="s">
        <v>15</v>
      </c>
      <c r="M2" s="7" t="s">
        <v>16</v>
      </c>
      <c r="N2" s="4" t="s">
        <v>10</v>
      </c>
      <c r="O2" s="4" t="s">
        <v>11</v>
      </c>
      <c r="P2" s="15" t="s">
        <v>19</v>
      </c>
      <c r="Q2" s="4" t="s">
        <v>20</v>
      </c>
      <c r="R2" s="71" t="s">
        <v>3</v>
      </c>
    </row>
    <row r="3" spans="2:18" x14ac:dyDescent="0.25">
      <c r="B3" s="69">
        <v>9</v>
      </c>
      <c r="C3" s="54">
        <v>1.3554999999999999</v>
      </c>
      <c r="D3" s="54">
        <v>5.0000000000000001E-4</v>
      </c>
      <c r="E3" s="16">
        <v>6.14</v>
      </c>
      <c r="F3" s="41">
        <v>0.3</v>
      </c>
      <c r="G3" s="65">
        <v>0.2</v>
      </c>
      <c r="H3" s="46">
        <f>0.5*B3*10^-3</f>
        <v>4.5000000000000005E-3</v>
      </c>
      <c r="I3" s="20">
        <f>$G$3/E3</f>
        <v>3.2573289902280131E-2</v>
      </c>
      <c r="J3" s="20">
        <f>(($H$3/E3)^2+($G$3*$F$3/E3^2)^2)^(1/2)</f>
        <v>1.7521715015226661E-3</v>
      </c>
      <c r="K3" s="29">
        <f>(I3+I4+I5+I6+I7)/5</f>
        <v>3.3077869485049816E-2</v>
      </c>
      <c r="L3" s="29">
        <f>(SUMSQ(J3:J7)/25)^(1/2)</f>
        <v>8.0798706393487478E-4</v>
      </c>
      <c r="M3" s="29">
        <f>_xlfn.STDEV.S(I3:I7)</f>
        <v>1.1538275016650245E-3</v>
      </c>
      <c r="N3" s="29">
        <v>1.1482000000000001</v>
      </c>
      <c r="O3" s="29">
        <v>2.0000000000000001E-4</v>
      </c>
      <c r="P3" s="72">
        <f>K3/(C3-N3)*10^(-3)</f>
        <v>1.59565217004582E-4</v>
      </c>
      <c r="Q3" s="73">
        <f>((M3/(C3-N3))^2+(K3*D3/(C3-N3)^2)^2+(K3*O3/(C3-N3)^2)^2)^(1/2)*10^-3</f>
        <v>5.5813928390751162E-6</v>
      </c>
      <c r="R3" s="70">
        <f>273.15+21.5</f>
        <v>294.64999999999998</v>
      </c>
    </row>
    <row r="4" spans="2:18" x14ac:dyDescent="0.25">
      <c r="B4" s="56"/>
      <c r="C4" s="51"/>
      <c r="D4" s="51"/>
      <c r="E4" s="9">
        <v>6.14</v>
      </c>
      <c r="F4" s="42"/>
      <c r="G4" s="66"/>
      <c r="H4" s="47"/>
      <c r="I4" s="13">
        <f t="shared" ref="I4:I42" si="0">$G$3/E4</f>
        <v>3.2573289902280131E-2</v>
      </c>
      <c r="J4" s="13">
        <f t="shared" ref="J4:J7" si="1">(($H$3/E4)^2+($G$3*$F$3/E4^2)^2)^(1/2)</f>
        <v>1.7521715015226661E-3</v>
      </c>
      <c r="K4" s="30"/>
      <c r="L4" s="30"/>
      <c r="M4" s="30"/>
      <c r="N4" s="30"/>
      <c r="O4" s="30"/>
      <c r="P4" s="27"/>
      <c r="Q4" s="38"/>
      <c r="R4" s="57"/>
    </row>
    <row r="5" spans="2:18" x14ac:dyDescent="0.25">
      <c r="B5" s="56"/>
      <c r="C5" s="51"/>
      <c r="D5" s="51"/>
      <c r="E5" s="9">
        <v>5.7</v>
      </c>
      <c r="F5" s="42"/>
      <c r="G5" s="66"/>
      <c r="H5" s="47"/>
      <c r="I5" s="13">
        <f t="shared" si="0"/>
        <v>3.5087719298245612E-2</v>
      </c>
      <c r="J5" s="13">
        <f t="shared" si="1"/>
        <v>2.0083951542744852E-3</v>
      </c>
      <c r="K5" s="30"/>
      <c r="L5" s="30"/>
      <c r="M5" s="30"/>
      <c r="N5" s="30"/>
      <c r="O5" s="30"/>
      <c r="P5" s="27"/>
      <c r="Q5" s="38"/>
      <c r="R5" s="57"/>
    </row>
    <row r="6" spans="2:18" x14ac:dyDescent="0.25">
      <c r="B6" s="56"/>
      <c r="C6" s="51"/>
      <c r="D6" s="51"/>
      <c r="E6" s="9">
        <v>6.21</v>
      </c>
      <c r="F6" s="42"/>
      <c r="G6" s="66"/>
      <c r="H6" s="47"/>
      <c r="I6" s="13">
        <f t="shared" si="0"/>
        <v>3.2206119162640906E-2</v>
      </c>
      <c r="J6" s="13">
        <f t="shared" si="1"/>
        <v>1.716325325710239E-3</v>
      </c>
      <c r="K6" s="30"/>
      <c r="L6" s="30"/>
      <c r="M6" s="30"/>
      <c r="N6" s="30"/>
      <c r="O6" s="30"/>
      <c r="P6" s="27"/>
      <c r="Q6" s="38"/>
      <c r="R6" s="57"/>
    </row>
    <row r="7" spans="2:18" x14ac:dyDescent="0.25">
      <c r="B7" s="56"/>
      <c r="C7" s="51"/>
      <c r="D7" s="52"/>
      <c r="E7" s="17">
        <v>6.07</v>
      </c>
      <c r="F7" s="43"/>
      <c r="G7" s="66"/>
      <c r="H7" s="48"/>
      <c r="I7" s="14">
        <f t="shared" si="0"/>
        <v>3.2948929159802305E-2</v>
      </c>
      <c r="J7" s="13">
        <f t="shared" si="1"/>
        <v>1.7892578702547329E-3</v>
      </c>
      <c r="K7" s="30"/>
      <c r="L7" s="30"/>
      <c r="M7" s="30"/>
      <c r="N7" s="32"/>
      <c r="O7" s="32"/>
      <c r="P7" s="27"/>
      <c r="Q7" s="38"/>
      <c r="R7" s="57"/>
    </row>
    <row r="8" spans="2:18" x14ac:dyDescent="0.25">
      <c r="B8" s="56">
        <v>8</v>
      </c>
      <c r="C8" s="50">
        <v>1.3625</v>
      </c>
      <c r="D8" s="50">
        <v>5.0000000000000001E-4</v>
      </c>
      <c r="E8" s="18">
        <v>7.86</v>
      </c>
      <c r="F8" s="44">
        <f>F3</f>
        <v>0.3</v>
      </c>
      <c r="G8" s="66">
        <v>0.2</v>
      </c>
      <c r="H8" s="49">
        <f>0.5*B8*10^-3</f>
        <v>4.0000000000000001E-3</v>
      </c>
      <c r="I8" s="12">
        <f t="shared" si="0"/>
        <v>2.5445292620865142E-2</v>
      </c>
      <c r="J8" s="12">
        <f>(($H$8/E8)^2+($G$8*$F$8/E8^2)^2)^(1/2)</f>
        <v>1.0964504915178231E-3</v>
      </c>
      <c r="K8" s="31">
        <f>(I8+I9+I10+I11+I12)/5</f>
        <v>2.6029305829267206E-2</v>
      </c>
      <c r="L8" s="31">
        <f t="shared" ref="L8" si="2">(SUMSQ(J8:J12)/25)^(1/2)</f>
        <v>5.1104479056882763E-4</v>
      </c>
      <c r="M8" s="31">
        <f t="shared" ref="M8" si="3">_xlfn.STDEV.S(I8:I12)</f>
        <v>5.0949814262065871E-4</v>
      </c>
      <c r="N8" s="31">
        <v>1.1476</v>
      </c>
      <c r="O8" s="31">
        <v>2.0000000000000001E-4</v>
      </c>
      <c r="P8" s="27">
        <f t="shared" ref="P8:P42" si="4">K8/(C8-N8)*10^(-3)</f>
        <v>1.2112287496169007E-4</v>
      </c>
      <c r="Q8" s="74">
        <f>((M8/(C8-N8))^2+(K8*D8/(C8-N8)^2)^2+(K8*O8/(C8-N8)^2)^2)^(1/2)*10^-3</f>
        <v>2.3902111605678812E-6</v>
      </c>
      <c r="R8" s="57">
        <f>R3+0.5</f>
        <v>295.14999999999998</v>
      </c>
    </row>
    <row r="9" spans="2:18" x14ac:dyDescent="0.25">
      <c r="B9" s="56"/>
      <c r="C9" s="51"/>
      <c r="D9" s="51"/>
      <c r="E9" s="9">
        <v>7.8</v>
      </c>
      <c r="F9" s="42"/>
      <c r="G9" s="66"/>
      <c r="H9" s="47"/>
      <c r="I9" s="13">
        <f t="shared" si="0"/>
        <v>2.5641025641025644E-2</v>
      </c>
      <c r="J9" s="13">
        <f t="shared" ref="J9:J12" si="5">(($H$8/E9)^2+($G$8*$F$8/E9^2)^2)^(1/2)</f>
        <v>1.1115584065960846E-3</v>
      </c>
      <c r="K9" s="30"/>
      <c r="L9" s="30"/>
      <c r="M9" s="30"/>
      <c r="N9" s="30"/>
      <c r="O9" s="30"/>
      <c r="P9" s="27"/>
      <c r="Q9" s="74"/>
      <c r="R9" s="57"/>
    </row>
    <row r="10" spans="2:18" x14ac:dyDescent="0.25">
      <c r="B10" s="56"/>
      <c r="C10" s="51"/>
      <c r="D10" s="51"/>
      <c r="E10" s="9">
        <v>7.7</v>
      </c>
      <c r="F10" s="42"/>
      <c r="G10" s="66"/>
      <c r="H10" s="47"/>
      <c r="I10" s="13">
        <f t="shared" si="0"/>
        <v>2.5974025974025976E-2</v>
      </c>
      <c r="J10" s="13">
        <f t="shared" si="5"/>
        <v>1.1375207635695094E-3</v>
      </c>
      <c r="K10" s="30"/>
      <c r="L10" s="30"/>
      <c r="M10" s="30"/>
      <c r="N10" s="30"/>
      <c r="O10" s="30"/>
      <c r="P10" s="27"/>
      <c r="Q10" s="74"/>
      <c r="R10" s="57"/>
    </row>
    <row r="11" spans="2:18" x14ac:dyDescent="0.25">
      <c r="B11" s="56"/>
      <c r="C11" s="51"/>
      <c r="D11" s="51"/>
      <c r="E11" s="9">
        <v>7.56</v>
      </c>
      <c r="F11" s="42"/>
      <c r="G11" s="66"/>
      <c r="H11" s="47"/>
      <c r="I11" s="13">
        <f t="shared" si="0"/>
        <v>2.6455026455026457E-2</v>
      </c>
      <c r="J11" s="13">
        <f t="shared" si="5"/>
        <v>1.1755989736153413E-3</v>
      </c>
      <c r="K11" s="30"/>
      <c r="L11" s="30"/>
      <c r="M11" s="30"/>
      <c r="N11" s="30"/>
      <c r="O11" s="30"/>
      <c r="P11" s="27"/>
      <c r="Q11" s="74"/>
      <c r="R11" s="57"/>
    </row>
    <row r="12" spans="2:18" x14ac:dyDescent="0.25">
      <c r="B12" s="56"/>
      <c r="C12" s="52"/>
      <c r="D12" s="52"/>
      <c r="E12" s="17">
        <v>7.51</v>
      </c>
      <c r="F12" s="43"/>
      <c r="G12" s="66"/>
      <c r="H12" s="48"/>
      <c r="I12" s="14">
        <f t="shared" si="0"/>
        <v>2.6631158455392812E-2</v>
      </c>
      <c r="J12" s="14">
        <f t="shared" si="5"/>
        <v>1.1897130928283149E-3</v>
      </c>
      <c r="K12" s="30"/>
      <c r="L12" s="32"/>
      <c r="M12" s="32"/>
      <c r="N12" s="32"/>
      <c r="O12" s="32"/>
      <c r="P12" s="27"/>
      <c r="Q12" s="74"/>
      <c r="R12" s="57"/>
    </row>
    <row r="13" spans="2:18" x14ac:dyDescent="0.25">
      <c r="B13" s="55">
        <v>7.1440000000000001</v>
      </c>
      <c r="C13" s="50">
        <v>1.3774999999999999</v>
      </c>
      <c r="D13" s="50">
        <v>2.5000000000000001E-3</v>
      </c>
      <c r="E13" s="18">
        <v>8.42</v>
      </c>
      <c r="F13" s="44">
        <f>F8</f>
        <v>0.3</v>
      </c>
      <c r="G13" s="66">
        <v>0.2</v>
      </c>
      <c r="H13" s="49">
        <f t="shared" ref="H13" si="6">0.5*B13*10^-3</f>
        <v>3.5720000000000001E-3</v>
      </c>
      <c r="I13" s="12">
        <f t="shared" si="0"/>
        <v>2.3752969121140145E-2</v>
      </c>
      <c r="J13" s="12">
        <f>(($H$13/E13)^2+($G$13*$F$13/E13^2)^2)^(1/2)</f>
        <v>9.4667951449123387E-4</v>
      </c>
      <c r="K13" s="31">
        <f>(I13+I14+I15+I16+I17)/5</f>
        <v>2.3640955470984416E-2</v>
      </c>
      <c r="L13" s="30">
        <f t="shared" ref="L13" si="7">(SUMSQ(J13:J17)/25)^(1/2)</f>
        <v>4.2004945214195227E-4</v>
      </c>
      <c r="M13" s="30">
        <f t="shared" ref="M13" si="8">_xlfn.STDEV.S(I13:I17)</f>
        <v>4.1924762935458839E-4</v>
      </c>
      <c r="N13" s="31">
        <v>1.1476</v>
      </c>
      <c r="O13" s="31">
        <v>2.0000000000000001E-4</v>
      </c>
      <c r="P13" s="27">
        <f t="shared" ref="P13:P42" si="9">K13/(C13-N13)*10^(-3)</f>
        <v>1.0283147225308576E-4</v>
      </c>
      <c r="Q13" s="74">
        <f>((M13/(C13-N13))^2+(K13*D13/(C13-N13)^2)^2+(K13*O13/(C13-N13)^2)^2)^(1/2)*10^-3</f>
        <v>2.1410198964813952E-6</v>
      </c>
      <c r="R13" s="57"/>
    </row>
    <row r="14" spans="2:18" x14ac:dyDescent="0.25">
      <c r="B14" s="55"/>
      <c r="C14" s="51"/>
      <c r="D14" s="51"/>
      <c r="E14" s="9">
        <v>8.6199999999999992</v>
      </c>
      <c r="F14" s="42"/>
      <c r="G14" s="66"/>
      <c r="H14" s="47"/>
      <c r="I14" s="13">
        <f t="shared" si="0"/>
        <v>2.3201856148491882E-2</v>
      </c>
      <c r="J14" s="13">
        <f t="shared" ref="J14:J17" si="10">(($H$13/E14)^2+($G$13*$F$13/E14^2)^2)^(1/2)</f>
        <v>9.0760886409929718E-4</v>
      </c>
      <c r="K14" s="30"/>
      <c r="L14" s="30"/>
      <c r="M14" s="30"/>
      <c r="N14" s="30"/>
      <c r="O14" s="30"/>
      <c r="P14" s="27"/>
      <c r="Q14" s="74"/>
      <c r="R14" s="57"/>
    </row>
    <row r="15" spans="2:18" x14ac:dyDescent="0.25">
      <c r="B15" s="55"/>
      <c r="C15" s="51"/>
      <c r="D15" s="51"/>
      <c r="E15" s="9">
        <v>8.5399999999999991</v>
      </c>
      <c r="F15" s="42"/>
      <c r="G15" s="66"/>
      <c r="H15" s="47"/>
      <c r="I15" s="13">
        <f t="shared" si="0"/>
        <v>2.3419203747072605E-2</v>
      </c>
      <c r="J15" s="13">
        <f t="shared" si="10"/>
        <v>9.2291055402502582E-4</v>
      </c>
      <c r="K15" s="30"/>
      <c r="L15" s="30"/>
      <c r="M15" s="30"/>
      <c r="N15" s="30"/>
      <c r="O15" s="30"/>
      <c r="P15" s="27"/>
      <c r="Q15" s="74"/>
      <c r="R15" s="57"/>
    </row>
    <row r="16" spans="2:18" x14ac:dyDescent="0.25">
      <c r="B16" s="55"/>
      <c r="C16" s="51"/>
      <c r="D16" s="51"/>
      <c r="E16" s="9">
        <v>8.5</v>
      </c>
      <c r="F16" s="42"/>
      <c r="G16" s="66"/>
      <c r="H16" s="47"/>
      <c r="I16" s="13">
        <f t="shared" si="0"/>
        <v>2.3529411764705882E-2</v>
      </c>
      <c r="J16" s="13">
        <f t="shared" si="10"/>
        <v>9.3072263192061364E-4</v>
      </c>
      <c r="K16" s="30"/>
      <c r="L16" s="30"/>
      <c r="M16" s="30"/>
      <c r="N16" s="30"/>
      <c r="O16" s="30"/>
      <c r="P16" s="27"/>
      <c r="Q16" s="74"/>
      <c r="R16" s="57"/>
    </row>
    <row r="17" spans="2:18" x14ac:dyDescent="0.25">
      <c r="B17" s="55"/>
      <c r="C17" s="52"/>
      <c r="D17" s="52"/>
      <c r="E17" s="17">
        <v>8.23</v>
      </c>
      <c r="F17" s="43"/>
      <c r="G17" s="66"/>
      <c r="H17" s="48"/>
      <c r="I17" s="14">
        <f t="shared" si="0"/>
        <v>2.4301336573511544E-2</v>
      </c>
      <c r="J17" s="14">
        <f t="shared" si="10"/>
        <v>9.8644518067141844E-4</v>
      </c>
      <c r="K17" s="32"/>
      <c r="L17" s="30"/>
      <c r="M17" s="30"/>
      <c r="N17" s="32"/>
      <c r="O17" s="32"/>
      <c r="P17" s="27"/>
      <c r="Q17" s="74"/>
      <c r="R17" s="57"/>
    </row>
    <row r="18" spans="2:18" x14ac:dyDescent="0.25">
      <c r="B18" s="56">
        <v>6</v>
      </c>
      <c r="C18" s="50">
        <v>1.3774999999999999</v>
      </c>
      <c r="D18" s="50">
        <v>2.5000000000000001E-3</v>
      </c>
      <c r="E18" s="18">
        <v>11.62</v>
      </c>
      <c r="F18" s="44">
        <f>F13</f>
        <v>0.3</v>
      </c>
      <c r="G18" s="66">
        <v>0.2</v>
      </c>
      <c r="H18" s="49">
        <f t="shared" ref="H18" si="11">0.5*B18*10^-3</f>
        <v>3.0000000000000001E-3</v>
      </c>
      <c r="I18" s="12">
        <f t="shared" si="0"/>
        <v>1.7211703958691912E-2</v>
      </c>
      <c r="J18" s="12">
        <f>(($H$18/E18)^2+($G$18*$F$18/E18^2)^2)^(1/2)</f>
        <v>5.1392032384715012E-4</v>
      </c>
      <c r="K18" s="34">
        <f>(I18+I19+I20+I21+I22)/5</f>
        <v>1.711072882678167E-2</v>
      </c>
      <c r="L18" s="27">
        <f t="shared" ref="L18" si="12">(SUMSQ(J18:J22)/25)^(1/2)</f>
        <v>2.2754630774580575E-4</v>
      </c>
      <c r="M18" s="27">
        <f t="shared" ref="M18" si="13">_xlfn.STDEV.S(I18:I22)</f>
        <v>2.0964670301082701E-4</v>
      </c>
      <c r="N18" s="31">
        <v>1.1476</v>
      </c>
      <c r="O18" s="31">
        <v>2.0000000000000001E-4</v>
      </c>
      <c r="P18" s="27">
        <f t="shared" ref="P18:P42" si="14">K18/(C18-N18)*10^(-3)</f>
        <v>7.4426832652377855E-5</v>
      </c>
      <c r="Q18" s="74">
        <f>((L18/(C18-N18))^2+(K18*D18/(C18-N18)^2)^2+(K18*O18/(C18-N18)^2)^2)^(1/2)*10^-3</f>
        <v>1.2801762190890571E-6</v>
      </c>
      <c r="R18" s="57"/>
    </row>
    <row r="19" spans="2:18" x14ac:dyDescent="0.25">
      <c r="B19" s="56"/>
      <c r="C19" s="51"/>
      <c r="D19" s="51"/>
      <c r="E19" s="9">
        <v>11.62</v>
      </c>
      <c r="F19" s="42"/>
      <c r="G19" s="66"/>
      <c r="H19" s="47"/>
      <c r="I19" s="13">
        <f t="shared" si="0"/>
        <v>1.7211703958691912E-2</v>
      </c>
      <c r="J19" s="13">
        <f t="shared" ref="J19:J22" si="15">(($H$18/E19)^2+($G$18*$F$18/E19^2)^2)^(1/2)</f>
        <v>5.1392032384715012E-4</v>
      </c>
      <c r="K19" s="34"/>
      <c r="L19" s="27"/>
      <c r="M19" s="27"/>
      <c r="N19" s="30"/>
      <c r="O19" s="30"/>
      <c r="P19" s="27"/>
      <c r="Q19" s="74"/>
      <c r="R19" s="57"/>
    </row>
    <row r="20" spans="2:18" x14ac:dyDescent="0.25">
      <c r="B20" s="56"/>
      <c r="C20" s="51"/>
      <c r="D20" s="51"/>
      <c r="E20" s="9">
        <v>11.64</v>
      </c>
      <c r="F20" s="42"/>
      <c r="G20" s="66"/>
      <c r="H20" s="47"/>
      <c r="I20" s="13">
        <f t="shared" si="0"/>
        <v>1.7182130584192441E-2</v>
      </c>
      <c r="J20" s="13">
        <f t="shared" si="15"/>
        <v>5.1237840142188897E-4</v>
      </c>
      <c r="K20" s="34"/>
      <c r="L20" s="27"/>
      <c r="M20" s="27"/>
      <c r="N20" s="30"/>
      <c r="O20" s="30"/>
      <c r="P20" s="27"/>
      <c r="Q20" s="74"/>
      <c r="R20" s="57"/>
    </row>
    <row r="21" spans="2:18" x14ac:dyDescent="0.25">
      <c r="B21" s="56"/>
      <c r="C21" s="51"/>
      <c r="D21" s="51"/>
      <c r="E21" s="9">
        <v>11.62</v>
      </c>
      <c r="F21" s="42"/>
      <c r="G21" s="66"/>
      <c r="H21" s="47"/>
      <c r="I21" s="13">
        <f t="shared" si="0"/>
        <v>1.7211703958691912E-2</v>
      </c>
      <c r="J21" s="13">
        <f t="shared" si="15"/>
        <v>5.1392032384715012E-4</v>
      </c>
      <c r="K21" s="34"/>
      <c r="L21" s="27"/>
      <c r="M21" s="27"/>
      <c r="N21" s="30"/>
      <c r="O21" s="30"/>
      <c r="P21" s="27"/>
      <c r="Q21" s="74"/>
      <c r="R21" s="57"/>
    </row>
    <row r="22" spans="2:18" x14ac:dyDescent="0.25">
      <c r="B22" s="56"/>
      <c r="C22" s="52"/>
      <c r="D22" s="52"/>
      <c r="E22" s="17">
        <v>11.95</v>
      </c>
      <c r="F22" s="43"/>
      <c r="G22" s="66"/>
      <c r="H22" s="48"/>
      <c r="I22" s="14">
        <f t="shared" si="0"/>
        <v>1.6736401673640169E-2</v>
      </c>
      <c r="J22" s="14">
        <f t="shared" si="15"/>
        <v>4.8944778085674683E-4</v>
      </c>
      <c r="K22" s="34"/>
      <c r="L22" s="27"/>
      <c r="M22" s="27"/>
      <c r="N22" s="32"/>
      <c r="O22" s="32"/>
      <c r="P22" s="27"/>
      <c r="Q22" s="74"/>
      <c r="R22" s="57"/>
    </row>
    <row r="23" spans="2:18" x14ac:dyDescent="0.25">
      <c r="B23" s="56">
        <v>5</v>
      </c>
      <c r="C23" s="50">
        <v>1.3774999999999999</v>
      </c>
      <c r="D23" s="50">
        <v>2.5000000000000001E-3</v>
      </c>
      <c r="E23" s="18">
        <v>15.56</v>
      </c>
      <c r="F23" s="44">
        <f>F13</f>
        <v>0.3</v>
      </c>
      <c r="G23" s="67">
        <v>0.2</v>
      </c>
      <c r="H23" s="31">
        <f t="shared" ref="H23" si="16">0.5*B23*10^-3</f>
        <v>2.5000000000000001E-3</v>
      </c>
      <c r="I23" s="12">
        <f t="shared" si="0"/>
        <v>1.2853470437017995E-2</v>
      </c>
      <c r="J23" s="12">
        <f>(($H$23/E23)^2+($G$23*$F$23/E23^2)^2)^(1/2)</f>
        <v>2.9534364435364433E-4</v>
      </c>
      <c r="K23" s="35">
        <f>(I23+I24+I25+I26+I27)/5</f>
        <v>1.2816144235262594E-2</v>
      </c>
      <c r="L23" s="27">
        <f t="shared" ref="L23" si="17">(SUMSQ(J23:J27)/25)^(1/2)</f>
        <v>1.314809588282321E-4</v>
      </c>
      <c r="M23" s="27">
        <f t="shared" ref="M23" si="18">_xlfn.STDEV.S(I23:I27)</f>
        <v>1.8897275186015511E-4</v>
      </c>
      <c r="N23" s="31">
        <v>1.1476</v>
      </c>
      <c r="O23" s="31">
        <v>2.0000000000000001E-4</v>
      </c>
      <c r="P23" s="27">
        <f t="shared" ref="P23:P42" si="19">K23/(C23-N23)*10^(-3)</f>
        <v>5.5746603894139167E-5</v>
      </c>
      <c r="Q23" s="74">
        <f>((M23/(C23-N23))^2+(K23*D23/(C23-N23)^2)^2+(K23*O23/(C23-N23)^2)^2)^(1/2)*10^-3</f>
        <v>1.022489217302807E-6</v>
      </c>
      <c r="R23" s="57"/>
    </row>
    <row r="24" spans="2:18" x14ac:dyDescent="0.25">
      <c r="B24" s="56"/>
      <c r="C24" s="51"/>
      <c r="D24" s="51"/>
      <c r="E24" s="9">
        <v>15.24</v>
      </c>
      <c r="F24" s="42"/>
      <c r="G24" s="67"/>
      <c r="H24" s="30"/>
      <c r="I24" s="13">
        <f t="shared" si="0"/>
        <v>1.3123359580052493E-2</v>
      </c>
      <c r="J24" s="13">
        <f t="shared" ref="J24:J27" si="20">(($H$23/E24)^2+($G$23*$F$23/E24^2)^2)^(1/2)</f>
        <v>3.0601659121382729E-4</v>
      </c>
      <c r="K24" s="34"/>
      <c r="L24" s="27"/>
      <c r="M24" s="27"/>
      <c r="N24" s="30"/>
      <c r="O24" s="30"/>
      <c r="P24" s="27"/>
      <c r="Q24" s="74"/>
      <c r="R24" s="57"/>
    </row>
    <row r="25" spans="2:18" x14ac:dyDescent="0.25">
      <c r="B25" s="56"/>
      <c r="C25" s="51"/>
      <c r="D25" s="51"/>
      <c r="E25" s="9">
        <v>15.8</v>
      </c>
      <c r="F25" s="42"/>
      <c r="G25" s="67"/>
      <c r="H25" s="30"/>
      <c r="I25" s="13">
        <f t="shared" si="0"/>
        <v>1.2658227848101266E-2</v>
      </c>
      <c r="J25" s="13">
        <f t="shared" si="20"/>
        <v>2.8775388602423501E-4</v>
      </c>
      <c r="K25" s="34"/>
      <c r="L25" s="27"/>
      <c r="M25" s="27"/>
      <c r="N25" s="30"/>
      <c r="O25" s="30"/>
      <c r="P25" s="27"/>
      <c r="Q25" s="74"/>
      <c r="R25" s="57"/>
    </row>
    <row r="26" spans="2:18" x14ac:dyDescent="0.25">
      <c r="B26" s="56"/>
      <c r="C26" s="51"/>
      <c r="D26" s="51"/>
      <c r="E26" s="9">
        <v>15.66</v>
      </c>
      <c r="F26" s="42"/>
      <c r="G26" s="67"/>
      <c r="H26" s="30"/>
      <c r="I26" s="13">
        <f t="shared" si="0"/>
        <v>1.277139208173691E-2</v>
      </c>
      <c r="J26" s="13">
        <f t="shared" si="20"/>
        <v>2.9213956412965739E-4</v>
      </c>
      <c r="K26" s="34"/>
      <c r="L26" s="27"/>
      <c r="M26" s="27"/>
      <c r="N26" s="30"/>
      <c r="O26" s="30"/>
      <c r="P26" s="27"/>
      <c r="Q26" s="74"/>
      <c r="R26" s="57"/>
    </row>
    <row r="27" spans="2:18" x14ac:dyDescent="0.25">
      <c r="B27" s="56"/>
      <c r="C27" s="52"/>
      <c r="D27" s="52"/>
      <c r="E27" s="17">
        <v>15.78</v>
      </c>
      <c r="F27" s="43"/>
      <c r="G27" s="67"/>
      <c r="H27" s="32"/>
      <c r="I27" s="14">
        <f t="shared" si="0"/>
        <v>1.2674271229404311E-2</v>
      </c>
      <c r="J27" s="14">
        <f t="shared" si="20"/>
        <v>2.8837339882458726E-4</v>
      </c>
      <c r="K27" s="36"/>
      <c r="L27" s="27"/>
      <c r="M27" s="27"/>
      <c r="N27" s="32"/>
      <c r="O27" s="32"/>
      <c r="P27" s="27"/>
      <c r="Q27" s="74"/>
      <c r="R27" s="57"/>
    </row>
    <row r="28" spans="2:18" x14ac:dyDescent="0.25">
      <c r="B28" s="56">
        <v>4</v>
      </c>
      <c r="C28" s="50">
        <v>1.3774999999999999</v>
      </c>
      <c r="D28" s="50">
        <v>2.5000000000000001E-3</v>
      </c>
      <c r="E28" s="18">
        <v>23.43</v>
      </c>
      <c r="F28" s="44">
        <f>F13</f>
        <v>0.3</v>
      </c>
      <c r="G28" s="67">
        <v>0.2</v>
      </c>
      <c r="H28" s="31">
        <f t="shared" ref="H28" si="21">0.5*B28*10^-3</f>
        <v>2E-3</v>
      </c>
      <c r="I28" s="21">
        <f t="shared" si="0"/>
        <v>8.5360648740930439E-3</v>
      </c>
      <c r="J28" s="21">
        <f>(($H$28/E28)^2+($G$28*$F$28/E28^2)^2)^(1/2)</f>
        <v>1.3868016543122825E-4</v>
      </c>
      <c r="K28" s="34">
        <f>(I28+I29+I30+I31+I32)/5</f>
        <v>8.3600294043818212E-3</v>
      </c>
      <c r="L28" s="27">
        <f t="shared" ref="L28" si="22">(SUMSQ(J28:J32)/25)^(1/2)</f>
        <v>5.9979431293701365E-5</v>
      </c>
      <c r="M28" s="27">
        <f t="shared" ref="M28" si="23">_xlfn.STDEV.S(I28:I32)</f>
        <v>9.8921847583569231E-5</v>
      </c>
      <c r="N28" s="31">
        <v>1.1476</v>
      </c>
      <c r="O28" s="31">
        <v>2.0000000000000001E-4</v>
      </c>
      <c r="P28" s="27">
        <f t="shared" ref="P28:P42" si="24">K28/(C28-N28)*10^(-3)</f>
        <v>3.6363764264383737E-5</v>
      </c>
      <c r="Q28" s="74">
        <f>((M28/(C28-N28))^2+(K28*D28/(C28-N28)^2)^2+(K28*O28/(C28-N28)^2)^2)^(1/2)*10^-3</f>
        <v>5.8524222723986226E-7</v>
      </c>
      <c r="R28" s="57"/>
    </row>
    <row r="29" spans="2:18" x14ac:dyDescent="0.25">
      <c r="B29" s="56"/>
      <c r="C29" s="51"/>
      <c r="D29" s="51"/>
      <c r="E29" s="9">
        <v>24.06</v>
      </c>
      <c r="F29" s="42"/>
      <c r="G29" s="67"/>
      <c r="H29" s="30"/>
      <c r="I29" s="22">
        <f t="shared" si="0"/>
        <v>8.3125519534497094E-3</v>
      </c>
      <c r="J29" s="22">
        <f t="shared" ref="J29:J32" si="25">(($H$28/E29)^2+($G$28*$F$28/E29^2)^2)^(1/2)</f>
        <v>1.3286351752914206E-4</v>
      </c>
      <c r="K29" s="34"/>
      <c r="L29" s="27"/>
      <c r="M29" s="27"/>
      <c r="N29" s="30"/>
      <c r="O29" s="30"/>
      <c r="P29" s="27"/>
      <c r="Q29" s="74"/>
      <c r="R29" s="57"/>
    </row>
    <row r="30" spans="2:18" x14ac:dyDescent="0.25">
      <c r="B30" s="56"/>
      <c r="C30" s="51"/>
      <c r="D30" s="51"/>
      <c r="E30" s="9">
        <v>24.01</v>
      </c>
      <c r="F30" s="42"/>
      <c r="G30" s="67"/>
      <c r="H30" s="30"/>
      <c r="I30" s="22">
        <f t="shared" si="0"/>
        <v>8.3298625572678052E-3</v>
      </c>
      <c r="J30" s="22">
        <f t="shared" si="25"/>
        <v>1.333090011901867E-4</v>
      </c>
      <c r="K30" s="34"/>
      <c r="L30" s="27"/>
      <c r="M30" s="27"/>
      <c r="N30" s="30"/>
      <c r="O30" s="30"/>
      <c r="P30" s="27"/>
      <c r="Q30" s="74"/>
      <c r="R30" s="57"/>
    </row>
    <row r="31" spans="2:18" x14ac:dyDescent="0.25">
      <c r="B31" s="56"/>
      <c r="C31" s="51"/>
      <c r="D31" s="51"/>
      <c r="E31" s="9">
        <v>24.09</v>
      </c>
      <c r="F31" s="42"/>
      <c r="G31" s="67"/>
      <c r="H31" s="30"/>
      <c r="I31" s="22">
        <f t="shared" si="0"/>
        <v>8.3022000830220016E-3</v>
      </c>
      <c r="J31" s="22">
        <f t="shared" si="25"/>
        <v>1.3259751565960446E-4</v>
      </c>
      <c r="K31" s="34"/>
      <c r="L31" s="27"/>
      <c r="M31" s="27"/>
      <c r="N31" s="30"/>
      <c r="O31" s="30"/>
      <c r="P31" s="27"/>
      <c r="Q31" s="74"/>
      <c r="R31" s="57"/>
    </row>
    <row r="32" spans="2:18" x14ac:dyDescent="0.25">
      <c r="B32" s="56"/>
      <c r="C32" s="52"/>
      <c r="D32" s="52"/>
      <c r="E32" s="17">
        <v>24.04</v>
      </c>
      <c r="F32" s="43"/>
      <c r="G32" s="67"/>
      <c r="H32" s="32"/>
      <c r="I32" s="23">
        <f t="shared" si="0"/>
        <v>8.3194675540765404E-3</v>
      </c>
      <c r="J32" s="23">
        <f t="shared" si="25"/>
        <v>1.3304138801975253E-4</v>
      </c>
      <c r="K32" s="34"/>
      <c r="L32" s="27"/>
      <c r="M32" s="27"/>
      <c r="N32" s="32"/>
      <c r="O32" s="32"/>
      <c r="P32" s="27"/>
      <c r="Q32" s="74"/>
      <c r="R32" s="57"/>
    </row>
    <row r="33" spans="2:18" x14ac:dyDescent="0.25">
      <c r="B33" s="56">
        <v>3</v>
      </c>
      <c r="C33" s="50">
        <v>1.3774999999999999</v>
      </c>
      <c r="D33" s="50">
        <v>2.5000000000000001E-3</v>
      </c>
      <c r="E33" s="18">
        <v>39.72</v>
      </c>
      <c r="F33" s="44">
        <f>F28</f>
        <v>0.3</v>
      </c>
      <c r="G33" s="67">
        <v>0.2</v>
      </c>
      <c r="H33" s="31">
        <f t="shared" ref="H33" si="26">0.5*B33*10^-3</f>
        <v>1.5E-3</v>
      </c>
      <c r="I33" s="21">
        <f t="shared" si="0"/>
        <v>5.0352467270896274E-3</v>
      </c>
      <c r="J33" s="21">
        <f>(($H$33/E33)^2+($G$33*$F$33/E33^2)^2)^(1/2)</f>
        <v>5.3595428853931334E-5</v>
      </c>
      <c r="K33" s="37">
        <f>(I33+I34+I35+I36+I37)/5</f>
        <v>5.0126521561671706E-3</v>
      </c>
      <c r="L33" s="25">
        <f t="shared" ref="L33" si="27">(SUMSQ(J33:J37)/25)^(1/2)</f>
        <v>2.3808205742172807E-5</v>
      </c>
      <c r="M33" s="25">
        <f t="shared" ref="M33" si="28">_xlfn.STDEV.S(I33:I37)</f>
        <v>2.7520590084576011E-5</v>
      </c>
      <c r="N33" s="31">
        <v>1.1476</v>
      </c>
      <c r="O33" s="31">
        <v>2.0000000000000001E-4</v>
      </c>
      <c r="P33" s="25">
        <f t="shared" ref="P33:P42" si="29">K33/(C33-N33)*10^(-3)</f>
        <v>2.1803619644050332E-5</v>
      </c>
      <c r="Q33" s="75">
        <f>((M33/(C33-N33))^2+(K33*D33/(C33-N33)^2)^2+(K33*O33/(C33-N33)^2)^2)^(1/2)*10^-3</f>
        <v>2.6628069696087493E-7</v>
      </c>
      <c r="R33" s="57"/>
    </row>
    <row r="34" spans="2:18" x14ac:dyDescent="0.25">
      <c r="B34" s="56"/>
      <c r="C34" s="51"/>
      <c r="D34" s="51"/>
      <c r="E34" s="9">
        <v>40.07</v>
      </c>
      <c r="F34" s="42"/>
      <c r="G34" s="67"/>
      <c r="H34" s="30"/>
      <c r="I34" s="22">
        <f t="shared" si="0"/>
        <v>4.9912652857499375E-3</v>
      </c>
      <c r="J34" s="22">
        <f t="shared" ref="J34:J37" si="30">(($H$33/E34)^2+($G$33*$F$33/E34^2)^2)^(1/2)</f>
        <v>5.2894141272690634E-5</v>
      </c>
      <c r="K34" s="38"/>
      <c r="L34" s="25"/>
      <c r="M34" s="25"/>
      <c r="N34" s="30"/>
      <c r="O34" s="30"/>
      <c r="P34" s="25"/>
      <c r="Q34" s="75"/>
      <c r="R34" s="57"/>
    </row>
    <row r="35" spans="2:18" x14ac:dyDescent="0.25">
      <c r="B35" s="56"/>
      <c r="C35" s="51"/>
      <c r="D35" s="51"/>
      <c r="E35" s="9">
        <v>39.92</v>
      </c>
      <c r="F35" s="42"/>
      <c r="G35" s="67"/>
      <c r="H35" s="30"/>
      <c r="I35" s="22">
        <f t="shared" si="0"/>
        <v>5.0100200400801601E-3</v>
      </c>
      <c r="J35" s="22">
        <f t="shared" si="30"/>
        <v>5.3192559591570681E-5</v>
      </c>
      <c r="K35" s="38"/>
      <c r="L35" s="25"/>
      <c r="M35" s="25"/>
      <c r="N35" s="30"/>
      <c r="O35" s="30"/>
      <c r="P35" s="25"/>
      <c r="Q35" s="75"/>
      <c r="R35" s="57"/>
    </row>
    <row r="36" spans="2:18" x14ac:dyDescent="0.25">
      <c r="B36" s="56"/>
      <c r="C36" s="51"/>
      <c r="D36" s="51"/>
      <c r="E36" s="9">
        <v>40.15</v>
      </c>
      <c r="F36" s="42"/>
      <c r="G36" s="67"/>
      <c r="H36" s="30"/>
      <c r="I36" s="22">
        <f t="shared" si="0"/>
        <v>4.9813200498132013E-3</v>
      </c>
      <c r="J36" s="22">
        <f t="shared" si="30"/>
        <v>5.2736274862302553E-5</v>
      </c>
      <c r="K36" s="38"/>
      <c r="L36" s="25"/>
      <c r="M36" s="25"/>
      <c r="N36" s="30"/>
      <c r="O36" s="30"/>
      <c r="P36" s="25"/>
      <c r="Q36" s="75"/>
      <c r="R36" s="57"/>
    </row>
    <row r="37" spans="2:18" x14ac:dyDescent="0.25">
      <c r="B37" s="56"/>
      <c r="C37" s="52"/>
      <c r="D37" s="52"/>
      <c r="E37" s="17">
        <v>39.64</v>
      </c>
      <c r="F37" s="43"/>
      <c r="G37" s="67"/>
      <c r="H37" s="32"/>
      <c r="I37" s="23">
        <f t="shared" si="0"/>
        <v>5.0454086781029266E-3</v>
      </c>
      <c r="J37" s="23">
        <f t="shared" si="30"/>
        <v>5.3758192485178142E-5</v>
      </c>
      <c r="K37" s="39"/>
      <c r="L37" s="25"/>
      <c r="M37" s="25"/>
      <c r="N37" s="32"/>
      <c r="O37" s="32"/>
      <c r="P37" s="25"/>
      <c r="Q37" s="75"/>
      <c r="R37" s="57"/>
    </row>
    <row r="38" spans="2:18" x14ac:dyDescent="0.25">
      <c r="B38" s="56">
        <v>2</v>
      </c>
      <c r="C38" s="50">
        <f>C33</f>
        <v>1.3774999999999999</v>
      </c>
      <c r="D38" s="50">
        <f>D33</f>
        <v>2.5000000000000001E-3</v>
      </c>
      <c r="E38" s="18">
        <v>74.900000000000006</v>
      </c>
      <c r="F38" s="44">
        <f>F33</f>
        <v>0.3</v>
      </c>
      <c r="G38" s="67">
        <v>0.2</v>
      </c>
      <c r="H38" s="31">
        <f t="shared" ref="H38" si="31">0.5*B38*10^-3</f>
        <v>1E-3</v>
      </c>
      <c r="I38" s="21">
        <f t="shared" si="0"/>
        <v>2.6702269692923898E-3</v>
      </c>
      <c r="J38" s="21">
        <f>(($H$38/E38)^2+($G$38*$F$38/E38^2)^2)^(1/2)</f>
        <v>1.7106706942119941E-5</v>
      </c>
      <c r="K38" s="37">
        <f>(I38+I39+I40+I41+I42)/5</f>
        <v>2.654035384232682E-3</v>
      </c>
      <c r="L38" s="25">
        <f t="shared" ref="L38" si="32">(SUMSQ(J38:J42)/25)^(1/2)</f>
        <v>7.5910153311779477E-6</v>
      </c>
      <c r="M38" s="27">
        <f t="shared" ref="M38" si="33">_xlfn.STDEV.S(I38:I42)</f>
        <v>6.3404518771783403E-5</v>
      </c>
      <c r="N38" s="31">
        <f>N33</f>
        <v>1.1476</v>
      </c>
      <c r="O38" s="31">
        <f>O33</f>
        <v>2.0000000000000001E-4</v>
      </c>
      <c r="P38" s="25">
        <f t="shared" ref="P38:P42" si="34">K38/(C38-N38)*10^(-3)</f>
        <v>1.154430354168196E-5</v>
      </c>
      <c r="Q38" s="75">
        <f>((L38/(C38-N38))^2+(K38*D38/(C38-N38)^2)^2+(K38*O38/(C38-N38)^2)^2)^(1/2)*10^-3</f>
        <v>1.3019378482831071E-7</v>
      </c>
      <c r="R38" s="57"/>
    </row>
    <row r="39" spans="2:18" x14ac:dyDescent="0.25">
      <c r="B39" s="56"/>
      <c r="C39" s="51"/>
      <c r="D39" s="51"/>
      <c r="E39" s="9">
        <v>78.34</v>
      </c>
      <c r="F39" s="42"/>
      <c r="G39" s="67"/>
      <c r="H39" s="30"/>
      <c r="I39" s="22">
        <f t="shared" si="0"/>
        <v>2.5529742149604288E-3</v>
      </c>
      <c r="J39" s="22">
        <f t="shared" ref="J39:J42" si="35">(($H$38/E39)^2+($G$38*$F$38/E39^2)^2)^(1/2)</f>
        <v>1.6078625529446875E-5</v>
      </c>
      <c r="K39" s="38"/>
      <c r="L39" s="25"/>
      <c r="M39" s="27"/>
      <c r="N39" s="30"/>
      <c r="O39" s="30"/>
      <c r="P39" s="25"/>
      <c r="Q39" s="75"/>
      <c r="R39" s="57"/>
    </row>
    <row r="40" spans="2:18" x14ac:dyDescent="0.25">
      <c r="B40" s="56"/>
      <c r="C40" s="51"/>
      <c r="D40" s="51"/>
      <c r="E40" s="9">
        <v>75.86</v>
      </c>
      <c r="F40" s="42"/>
      <c r="G40" s="67"/>
      <c r="H40" s="30"/>
      <c r="I40" s="22">
        <f t="shared" si="0"/>
        <v>2.6364355391510679E-3</v>
      </c>
      <c r="J40" s="22">
        <f t="shared" si="35"/>
        <v>1.6806999019068159E-5</v>
      </c>
      <c r="K40" s="38"/>
      <c r="L40" s="25"/>
      <c r="M40" s="27"/>
      <c r="N40" s="30"/>
      <c r="O40" s="30"/>
      <c r="P40" s="25"/>
      <c r="Q40" s="75"/>
      <c r="R40" s="57"/>
    </row>
    <row r="41" spans="2:18" x14ac:dyDescent="0.25">
      <c r="B41" s="56"/>
      <c r="C41" s="51"/>
      <c r="D41" s="51"/>
      <c r="E41" s="9">
        <v>73.8</v>
      </c>
      <c r="F41" s="42"/>
      <c r="G41" s="67"/>
      <c r="H41" s="30"/>
      <c r="I41" s="22">
        <f t="shared" si="0"/>
        <v>2.7100271002710031E-3</v>
      </c>
      <c r="J41" s="22">
        <f t="shared" si="35"/>
        <v>1.7463292566734726E-5</v>
      </c>
      <c r="K41" s="38"/>
      <c r="L41" s="25"/>
      <c r="M41" s="27"/>
      <c r="N41" s="30"/>
      <c r="O41" s="30"/>
      <c r="P41" s="25"/>
      <c r="Q41" s="75"/>
      <c r="R41" s="57"/>
    </row>
    <row r="42" spans="2:18" ht="15.75" thickBot="1" x14ac:dyDescent="0.3">
      <c r="B42" s="64"/>
      <c r="C42" s="53"/>
      <c r="D42" s="53"/>
      <c r="E42" s="11">
        <v>74.06</v>
      </c>
      <c r="F42" s="45"/>
      <c r="G42" s="68"/>
      <c r="H42" s="33"/>
      <c r="I42" s="24">
        <f t="shared" si="0"/>
        <v>2.7005130974885228E-3</v>
      </c>
      <c r="J42" s="24">
        <f t="shared" si="35"/>
        <v>1.7377698907979166E-5</v>
      </c>
      <c r="K42" s="40"/>
      <c r="L42" s="26"/>
      <c r="M42" s="28"/>
      <c r="N42" s="33"/>
      <c r="O42" s="33"/>
      <c r="P42" s="26"/>
      <c r="Q42" s="76"/>
      <c r="R42" s="58"/>
    </row>
  </sheetData>
  <mergeCells count="106">
    <mergeCell ref="P28:P32"/>
    <mergeCell ref="P33:P37"/>
    <mergeCell ref="P38:P42"/>
    <mergeCell ref="Q3:Q7"/>
    <mergeCell ref="Q8:Q12"/>
    <mergeCell ref="Q13:Q17"/>
    <mergeCell ref="Q18:Q22"/>
    <mergeCell ref="Q23:Q27"/>
    <mergeCell ref="Q28:Q32"/>
    <mergeCell ref="Q33:Q37"/>
    <mergeCell ref="Q38:Q42"/>
    <mergeCell ref="P3:P7"/>
    <mergeCell ref="P8:P12"/>
    <mergeCell ref="P13:P17"/>
    <mergeCell ref="P18:P22"/>
    <mergeCell ref="P23:P27"/>
    <mergeCell ref="R3:R7"/>
    <mergeCell ref="R8:R42"/>
    <mergeCell ref="B33:B37"/>
    <mergeCell ref="B38:B42"/>
    <mergeCell ref="G3:G7"/>
    <mergeCell ref="G8:G12"/>
    <mergeCell ref="G13:G17"/>
    <mergeCell ref="G18:G22"/>
    <mergeCell ref="G23:G27"/>
    <mergeCell ref="G28:G32"/>
    <mergeCell ref="G33:G37"/>
    <mergeCell ref="G38:G42"/>
    <mergeCell ref="B3:B7"/>
    <mergeCell ref="B8:B12"/>
    <mergeCell ref="B13:B17"/>
    <mergeCell ref="B18:B22"/>
    <mergeCell ref="B23:B27"/>
    <mergeCell ref="B28:B32"/>
    <mergeCell ref="C3:C7"/>
    <mergeCell ref="C8:C12"/>
    <mergeCell ref="C13:C17"/>
    <mergeCell ref="C18:C22"/>
    <mergeCell ref="C23:C27"/>
    <mergeCell ref="C28:C32"/>
    <mergeCell ref="C33:C37"/>
    <mergeCell ref="C38:C42"/>
    <mergeCell ref="D3:D7"/>
    <mergeCell ref="D8:D12"/>
    <mergeCell ref="D13:D17"/>
    <mergeCell ref="D18:D22"/>
    <mergeCell ref="D23:D27"/>
    <mergeCell ref="D28:D32"/>
    <mergeCell ref="D33:D37"/>
    <mergeCell ref="D38:D42"/>
    <mergeCell ref="N3:N7"/>
    <mergeCell ref="O3:O7"/>
    <mergeCell ref="N8:N12"/>
    <mergeCell ref="O8:O12"/>
    <mergeCell ref="N13:N17"/>
    <mergeCell ref="O13:O17"/>
    <mergeCell ref="N33:N37"/>
    <mergeCell ref="O33:O37"/>
    <mergeCell ref="N38:N42"/>
    <mergeCell ref="O38:O42"/>
    <mergeCell ref="N18:N22"/>
    <mergeCell ref="O18:O22"/>
    <mergeCell ref="N23:N27"/>
    <mergeCell ref="O23:O27"/>
    <mergeCell ref="N28:N32"/>
    <mergeCell ref="O28:O32"/>
    <mergeCell ref="F28:F32"/>
    <mergeCell ref="F33:F37"/>
    <mergeCell ref="F38:F42"/>
    <mergeCell ref="H3:H7"/>
    <mergeCell ref="H8:H12"/>
    <mergeCell ref="H13:H17"/>
    <mergeCell ref="H18:H22"/>
    <mergeCell ref="H23:H27"/>
    <mergeCell ref="H28:H32"/>
    <mergeCell ref="F3:F7"/>
    <mergeCell ref="F8:F12"/>
    <mergeCell ref="F13:F17"/>
    <mergeCell ref="F18:F22"/>
    <mergeCell ref="F23:F27"/>
    <mergeCell ref="H33:H37"/>
    <mergeCell ref="H38:H42"/>
    <mergeCell ref="K3:K7"/>
    <mergeCell ref="K8:K12"/>
    <mergeCell ref="K13:K17"/>
    <mergeCell ref="K18:K22"/>
    <mergeCell ref="K23:K27"/>
    <mergeCell ref="K28:K32"/>
    <mergeCell ref="K33:K37"/>
    <mergeCell ref="K38:K42"/>
    <mergeCell ref="L3:L7"/>
    <mergeCell ref="M3:M7"/>
    <mergeCell ref="L8:L12"/>
    <mergeCell ref="M8:M12"/>
    <mergeCell ref="L13:L17"/>
    <mergeCell ref="M13:M17"/>
    <mergeCell ref="L33:L37"/>
    <mergeCell ref="M33:M37"/>
    <mergeCell ref="L38:L42"/>
    <mergeCell ref="M38:M42"/>
    <mergeCell ref="L18:L22"/>
    <mergeCell ref="M18:M22"/>
    <mergeCell ref="L23:L27"/>
    <mergeCell ref="M23:M27"/>
    <mergeCell ref="L28:L32"/>
    <mergeCell ref="M28:M32"/>
  </mergeCells>
  <pageMargins left="0" right="0.39370078740157483" top="1.3779527559055118" bottom="0" header="0" footer="0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2" sqref="B2:F9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3" t="s">
        <v>4</v>
      </c>
      <c r="C2" s="5" t="s">
        <v>5</v>
      </c>
      <c r="D2" s="5" t="s">
        <v>1</v>
      </c>
      <c r="E2" s="7" t="s">
        <v>6</v>
      </c>
      <c r="F2" s="6" t="s">
        <v>7</v>
      </c>
    </row>
    <row r="3" spans="2:6" x14ac:dyDescent="0.25">
      <c r="B3" s="8">
        <v>550</v>
      </c>
      <c r="C3" s="9">
        <v>0</v>
      </c>
      <c r="D3" s="1">
        <v>0</v>
      </c>
      <c r="E3" s="59">
        <v>4</v>
      </c>
      <c r="F3" s="61">
        <f>273.15+23.9</f>
        <v>297.04999999999995</v>
      </c>
    </row>
    <row r="4" spans="2:6" x14ac:dyDescent="0.25">
      <c r="B4" s="8">
        <v>549.5</v>
      </c>
      <c r="C4" s="9">
        <v>5</v>
      </c>
      <c r="D4" s="1">
        <v>99</v>
      </c>
      <c r="E4" s="59"/>
      <c r="F4" s="62"/>
    </row>
    <row r="5" spans="2:6" x14ac:dyDescent="0.25">
      <c r="B5" s="8">
        <v>549</v>
      </c>
      <c r="C5" s="9">
        <v>10</v>
      </c>
      <c r="D5" s="1">
        <v>226</v>
      </c>
      <c r="E5" s="59"/>
      <c r="F5" s="62"/>
    </row>
    <row r="6" spans="2:6" x14ac:dyDescent="0.25">
      <c r="B6" s="8">
        <v>548.5</v>
      </c>
      <c r="C6" s="9">
        <v>15</v>
      </c>
      <c r="D6" s="1">
        <v>357</v>
      </c>
      <c r="E6" s="59"/>
      <c r="F6" s="62"/>
    </row>
    <row r="7" spans="2:6" x14ac:dyDescent="0.25">
      <c r="B7" s="8">
        <v>548</v>
      </c>
      <c r="C7" s="9">
        <v>20</v>
      </c>
      <c r="D7" s="1">
        <v>485</v>
      </c>
      <c r="E7" s="59"/>
      <c r="F7" s="62"/>
    </row>
    <row r="8" spans="2:6" x14ac:dyDescent="0.25">
      <c r="B8" s="8">
        <v>547.5</v>
      </c>
      <c r="C8" s="9">
        <v>25</v>
      </c>
      <c r="D8" s="1">
        <v>616</v>
      </c>
      <c r="E8" s="59"/>
      <c r="F8" s="62"/>
    </row>
    <row r="9" spans="2:6" ht="15.75" thickBot="1" x14ac:dyDescent="0.3">
      <c r="B9" s="10">
        <v>547</v>
      </c>
      <c r="C9" s="11">
        <v>30</v>
      </c>
      <c r="D9" s="2">
        <v>744</v>
      </c>
      <c r="E9" s="60"/>
      <c r="F9" s="63"/>
    </row>
  </sheetData>
  <mergeCells count="2">
    <mergeCell ref="E3:E9"/>
    <mergeCell ref="F3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2018-01-10T21:02:06Z</cp:lastPrinted>
  <dcterms:created xsi:type="dcterms:W3CDTF">2018-01-10T19:30:26Z</dcterms:created>
  <dcterms:modified xsi:type="dcterms:W3CDTF">2018-01-10T21:27:54Z</dcterms:modified>
</cp:coreProperties>
</file>