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X9" i="1" l="1"/>
  <c r="X14" i="1"/>
  <c r="X19" i="1"/>
  <c r="X24" i="1"/>
  <c r="X29" i="1"/>
  <c r="X34" i="1"/>
  <c r="X39" i="1"/>
  <c r="X4" i="1"/>
  <c r="W9" i="1"/>
  <c r="W19" i="1"/>
  <c r="W24" i="1"/>
  <c r="W29" i="1"/>
  <c r="W34" i="1"/>
  <c r="W39" i="1"/>
  <c r="W4" i="1"/>
  <c r="E4" i="1"/>
  <c r="V9" i="1" l="1"/>
  <c r="V14" i="1"/>
  <c r="V19" i="1"/>
  <c r="V24" i="1"/>
  <c r="V29" i="1"/>
  <c r="V34" i="1"/>
  <c r="V39" i="1"/>
  <c r="V4" i="1"/>
  <c r="E9" i="1" l="1"/>
  <c r="E14" i="1"/>
  <c r="E19" i="1"/>
  <c r="E24" i="1"/>
  <c r="E29" i="1"/>
  <c r="E34" i="1"/>
  <c r="E39" i="1"/>
  <c r="C9" i="1"/>
  <c r="C14" i="1"/>
  <c r="C19" i="1"/>
  <c r="C24" i="1"/>
  <c r="C29" i="1"/>
  <c r="C34" i="1"/>
  <c r="C39" i="1"/>
  <c r="C4" i="1"/>
  <c r="U9" i="1"/>
  <c r="U14" i="1"/>
  <c r="U19" i="1"/>
  <c r="U24" i="1"/>
  <c r="U29" i="1"/>
  <c r="U34" i="1"/>
  <c r="U39" i="1"/>
  <c r="U4" i="1"/>
  <c r="D9" i="1" l="1"/>
  <c r="D14" i="1"/>
  <c r="D19" i="1"/>
  <c r="D24" i="1"/>
  <c r="D29" i="1"/>
  <c r="D34" i="1"/>
  <c r="D39" i="1"/>
  <c r="D4" i="1"/>
  <c r="T39" i="1" l="1"/>
  <c r="T34" i="1"/>
  <c r="T29" i="1"/>
  <c r="T24" i="1"/>
  <c r="T19" i="1"/>
  <c r="T14" i="1"/>
  <c r="T9" i="1"/>
  <c r="T4" i="1"/>
  <c r="S9" i="1"/>
  <c r="S14" i="1"/>
  <c r="S19" i="1"/>
  <c r="S24" i="1"/>
  <c r="S29" i="1"/>
  <c r="S34" i="1"/>
  <c r="S39" i="1"/>
  <c r="S4" i="1"/>
  <c r="F3" i="2"/>
  <c r="O9" i="1" l="1"/>
  <c r="P9" i="1"/>
  <c r="O14" i="1"/>
  <c r="P14" i="1"/>
  <c r="O19" i="1"/>
  <c r="P19" i="1"/>
  <c r="O24" i="1"/>
  <c r="P24" i="1"/>
  <c r="O29" i="1"/>
  <c r="P29" i="1"/>
  <c r="O34" i="1"/>
  <c r="P34" i="1"/>
  <c r="O39" i="1"/>
  <c r="P39" i="1"/>
  <c r="O4" i="1"/>
  <c r="P4" i="1"/>
  <c r="N39" i="1"/>
  <c r="N34" i="1"/>
  <c r="N29" i="1"/>
  <c r="N24" i="1"/>
  <c r="N19" i="1"/>
  <c r="N14" i="1"/>
  <c r="N9" i="1"/>
  <c r="N4" i="1"/>
  <c r="M40" i="1"/>
  <c r="M41" i="1"/>
  <c r="M42" i="1"/>
  <c r="M43" i="1"/>
  <c r="M39" i="1"/>
  <c r="M35" i="1"/>
  <c r="M36" i="1"/>
  <c r="M37" i="1"/>
  <c r="M38" i="1"/>
  <c r="M34" i="1"/>
  <c r="M30" i="1"/>
  <c r="M31" i="1"/>
  <c r="M32" i="1"/>
  <c r="M33" i="1"/>
  <c r="M29" i="1"/>
  <c r="M25" i="1"/>
  <c r="M26" i="1"/>
  <c r="M27" i="1"/>
  <c r="M28" i="1"/>
  <c r="M24" i="1"/>
  <c r="M20" i="1"/>
  <c r="M21" i="1"/>
  <c r="M22" i="1"/>
  <c r="M23" i="1"/>
  <c r="M19" i="1"/>
  <c r="M15" i="1"/>
  <c r="M16" i="1"/>
  <c r="M17" i="1"/>
  <c r="M18" i="1"/>
  <c r="M14" i="1"/>
  <c r="M10" i="1"/>
  <c r="M11" i="1"/>
  <c r="M12" i="1"/>
  <c r="M13" i="1"/>
  <c r="M9" i="1"/>
  <c r="M5" i="1"/>
  <c r="M6" i="1"/>
  <c r="M7" i="1"/>
  <c r="M8" i="1"/>
  <c r="M4" i="1"/>
  <c r="K14" i="1"/>
  <c r="K19" i="1"/>
  <c r="K24" i="1"/>
  <c r="K29" i="1"/>
  <c r="K34" i="1"/>
  <c r="K39" i="1"/>
  <c r="K9" i="1"/>
  <c r="K4" i="1"/>
  <c r="I39" i="1"/>
  <c r="I34" i="1"/>
  <c r="I29" i="1"/>
  <c r="I24" i="1"/>
  <c r="I19" i="1"/>
  <c r="I14" i="1"/>
  <c r="I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R39" i="1"/>
  <c r="Q39" i="1"/>
  <c r="G39" i="1"/>
  <c r="F39" i="1"/>
  <c r="Y4" i="1"/>
  <c r="Y9" i="1" s="1"/>
</calcChain>
</file>

<file path=xl/sharedStrings.xml><?xml version="1.0" encoding="utf-8"?>
<sst xmlns="http://schemas.openxmlformats.org/spreadsheetml/2006/main" count="54" uniqueCount="39">
  <si>
    <t>t [s]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</si>
  <si>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</si>
  <si>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</si>
  <si>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</si>
  <si>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</si>
  <si>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R</t>
  </si>
  <si>
    <t>λ</t>
  </si>
  <si>
    <t>Δλ</t>
  </si>
  <si>
    <t>[mm]</t>
  </si>
  <si>
    <t>d</t>
  </si>
  <si>
    <r>
      <t>Δ</t>
    </r>
    <r>
      <rPr>
        <sz val="9.35"/>
        <color theme="1"/>
        <rFont val="Calibri"/>
        <family val="2"/>
      </rPr>
      <t xml:space="preserve"> d</t>
    </r>
  </si>
  <si>
    <t>[m²]</t>
  </si>
  <si>
    <t>r²</t>
  </si>
  <si>
    <r>
      <t>Δ</t>
    </r>
    <r>
      <rPr>
        <sz val="9.35"/>
        <color theme="1"/>
        <rFont val="Calibri"/>
        <family val="2"/>
      </rPr>
      <t xml:space="preserve"> r²</t>
    </r>
  </si>
  <si>
    <t>ρ_k</t>
  </si>
  <si>
    <t>[g/cm³]</t>
  </si>
  <si>
    <t>Δ ρ_k</t>
  </si>
  <si>
    <t>[s]</t>
  </si>
  <si>
    <t>t</t>
  </si>
  <si>
    <t>Δ t</t>
  </si>
  <si>
    <t>[m]</t>
  </si>
  <si>
    <t>s</t>
  </si>
  <si>
    <t>Δ s</t>
  </si>
  <si>
    <t>v_sink</t>
  </si>
  <si>
    <t>[m/s]</t>
  </si>
  <si>
    <t>Δ v_sink</t>
  </si>
  <si>
    <t>v_sink mean</t>
  </si>
  <si>
    <t>Δ v_sink mean</t>
  </si>
  <si>
    <t>Δ v_sink Δmean</t>
  </si>
  <si>
    <t>ρ_f</t>
  </si>
  <si>
    <t>Δ ρ_f</t>
  </si>
  <si>
    <t>v_sinkmean/(ρ_k-ρ_f )</t>
  </si>
  <si>
    <t>[m^4/s*kg]</t>
  </si>
  <si>
    <t>Δ v_sinkmean/(ρ_k-ρ_f )</t>
  </si>
  <si>
    <t>(v_sink mean*λ)/(ρ_k-ρ_f )</t>
  </si>
  <si>
    <t>Δ (v_sink mean*λ)/(ρ_k-ρ_f )</t>
  </si>
  <si>
    <t>T</t>
  </si>
  <si>
    <t>[K]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</si>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</sst>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0"/>
    <numFmt numFmtId="166" formatCode="0.000"/>
    <numFmt numFmtId="167" formatCode="0.00000"/>
    <numFmt numFmtId="168" formatCode="0.000000"/>
    <numFmt numFmtId="171" formatCode="0.E+00"/>
    <numFmt numFmtId="172" formatCode="0.0E+00"/>
    <numFmt numFmtId="173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7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2" borderId="17" xfId="0" applyFont="1" applyFill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1" fillId="2" borderId="24" xfId="0" applyFont="1" applyFill="1" applyBorder="1"/>
    <xf numFmtId="167" fontId="0" fillId="0" borderId="16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0" fontId="0" fillId="2" borderId="27" xfId="0" applyFill="1" applyBorder="1"/>
    <xf numFmtId="0" fontId="1" fillId="2" borderId="27" xfId="0" applyFont="1" applyFill="1" applyBorder="1"/>
    <xf numFmtId="2" fontId="0" fillId="2" borderId="17" xfId="0" applyNumberFormat="1" applyFill="1" applyBorder="1"/>
    <xf numFmtId="2" fontId="0" fillId="2" borderId="11" xfId="0" applyNumberFormat="1" applyFill="1" applyBorder="1" applyAlignment="1"/>
    <xf numFmtId="165" fontId="0" fillId="0" borderId="26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25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6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168" fontId="0" fillId="0" borderId="23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23" xfId="0" applyNumberFormat="1" applyBorder="1" applyAlignment="1">
      <alignment horizontal="right" vertical="center"/>
    </xf>
    <xf numFmtId="167" fontId="0" fillId="0" borderId="25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6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168" fontId="0" fillId="0" borderId="16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5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16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166" fontId="0" fillId="0" borderId="16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26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4" fontId="0" fillId="0" borderId="28" xfId="0" applyNumberFormat="1" applyBorder="1" applyAlignment="1">
      <alignment horizontal="right" vertical="center"/>
    </xf>
    <xf numFmtId="164" fontId="0" fillId="0" borderId="19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2" fillId="2" borderId="27" xfId="0" applyFont="1" applyFill="1" applyBorder="1"/>
    <xf numFmtId="11" fontId="0" fillId="0" borderId="26" xfId="0" applyNumberFormat="1" applyBorder="1" applyAlignment="1">
      <alignment horizontal="right" vertical="center"/>
    </xf>
    <xf numFmtId="11" fontId="0" fillId="0" borderId="23" xfId="0" applyNumberFormat="1" applyBorder="1" applyAlignment="1">
      <alignment horizontal="right" vertical="center"/>
    </xf>
    <xf numFmtId="11" fontId="0" fillId="0" borderId="25" xfId="0" applyNumberFormat="1" applyBorder="1" applyAlignment="1">
      <alignment horizontal="right" vertical="center"/>
    </xf>
    <xf numFmtId="11" fontId="0" fillId="0" borderId="1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15" xfId="0" applyNumberFormat="1" applyBorder="1" applyAlignment="1">
      <alignment horizontal="right" vertical="center"/>
    </xf>
    <xf numFmtId="11" fontId="0" fillId="0" borderId="16" xfId="0" applyNumberFormat="1" applyBorder="1" applyAlignment="1">
      <alignment horizontal="right" vertical="center"/>
    </xf>
    <xf numFmtId="171" fontId="0" fillId="0" borderId="26" xfId="0" applyNumberFormat="1" applyBorder="1" applyAlignment="1">
      <alignment horizontal="right" vertical="center"/>
    </xf>
    <xf numFmtId="171" fontId="0" fillId="0" borderId="1" xfId="0" applyNumberFormat="1" applyBorder="1" applyAlignment="1">
      <alignment horizontal="right" vertical="center"/>
    </xf>
    <xf numFmtId="171" fontId="0" fillId="0" borderId="23" xfId="0" applyNumberFormat="1" applyBorder="1" applyAlignment="1">
      <alignment horizontal="right" vertical="center"/>
    </xf>
    <xf numFmtId="171" fontId="0" fillId="0" borderId="4" xfId="0" applyNumberFormat="1" applyBorder="1" applyAlignment="1">
      <alignment horizontal="right" vertical="center"/>
    </xf>
    <xf numFmtId="172" fontId="0" fillId="0" borderId="23" xfId="0" applyNumberFormat="1" applyBorder="1" applyAlignment="1">
      <alignment horizontal="right" vertical="center"/>
    </xf>
    <xf numFmtId="173" fontId="0" fillId="0" borderId="23" xfId="0" applyNumberFormat="1" applyBorder="1" applyAlignment="1">
      <alignment horizontal="right" vertical="center"/>
    </xf>
    <xf numFmtId="172" fontId="0" fillId="0" borderId="25" xfId="0" applyNumberFormat="1" applyBorder="1" applyAlignment="1">
      <alignment horizontal="right" vertical="center"/>
    </xf>
    <xf numFmtId="173" fontId="0" fillId="0" borderId="25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5"/>
  <sheetViews>
    <sheetView tabSelected="1" zoomScale="85" zoomScaleNormal="85" workbookViewId="0">
      <selection activeCell="Y47" sqref="Y47"/>
    </sheetView>
  </sheetViews>
  <sheetFormatPr baseColWidth="10" defaultRowHeight="15" x14ac:dyDescent="0.25"/>
  <cols>
    <col min="1" max="1" width="11.42578125" customWidth="1"/>
    <col min="2" max="2" width="6.140625" bestFit="1" customWidth="1"/>
    <col min="3" max="3" width="7.7109375" bestFit="1" customWidth="1"/>
    <col min="4" max="5" width="8.42578125" bestFit="1" customWidth="1"/>
    <col min="6" max="7" width="7.5703125" bestFit="1" customWidth="1"/>
    <col min="8" max="8" width="4.7109375" bestFit="1" customWidth="1"/>
    <col min="9" max="9" width="3.7109375" bestFit="1" customWidth="1"/>
    <col min="10" max="11" width="6.7109375" bestFit="1" customWidth="1"/>
    <col min="12" max="12" width="8.42578125" bestFit="1" customWidth="1"/>
    <col min="13" max="13" width="8.5703125" bestFit="1" customWidth="1"/>
    <col min="14" max="14" width="12.5703125" bestFit="1" customWidth="1"/>
    <col min="15" max="15" width="14.28515625" bestFit="1" customWidth="1"/>
    <col min="16" max="16" width="15.42578125" bestFit="1" customWidth="1"/>
    <col min="17" max="18" width="7.5703125" bestFit="1" customWidth="1"/>
    <col min="19" max="19" width="21.28515625" bestFit="1" customWidth="1"/>
    <col min="20" max="20" width="23.140625" bestFit="1" customWidth="1"/>
    <col min="21" max="22" width="6.7109375" bestFit="1" customWidth="1"/>
    <col min="23" max="23" width="25.28515625" bestFit="1" customWidth="1"/>
    <col min="24" max="24" width="27.140625" bestFit="1" customWidth="1"/>
    <col min="25" max="25" width="5.7109375" bestFit="1" customWidth="1"/>
    <col min="26" max="26" width="4.140625" bestFit="1" customWidth="1"/>
    <col min="31" max="31" width="14.28515625" bestFit="1" customWidth="1"/>
  </cols>
  <sheetData>
    <row r="1" spans="2:26" ht="15.75" thickBot="1" x14ac:dyDescent="0.3"/>
    <row r="2" spans="2:26" ht="15.75" thickBot="1" x14ac:dyDescent="0.3">
      <c r="B2" s="3" t="s">
        <v>9</v>
      </c>
      <c r="C2" s="22" t="s">
        <v>10</v>
      </c>
      <c r="D2" s="21" t="s">
        <v>12</v>
      </c>
      <c r="E2" s="22" t="s">
        <v>13</v>
      </c>
      <c r="F2" s="4" t="s">
        <v>14</v>
      </c>
      <c r="G2" s="4" t="s">
        <v>16</v>
      </c>
      <c r="H2" s="5" t="s">
        <v>18</v>
      </c>
      <c r="I2" s="12" t="s">
        <v>19</v>
      </c>
      <c r="J2" s="7" t="s">
        <v>21</v>
      </c>
      <c r="K2" s="7" t="s">
        <v>22</v>
      </c>
      <c r="L2" s="7" t="s">
        <v>23</v>
      </c>
      <c r="M2" s="16" t="s">
        <v>25</v>
      </c>
      <c r="N2" s="7" t="s">
        <v>26</v>
      </c>
      <c r="O2" s="7" t="s">
        <v>27</v>
      </c>
      <c r="P2" s="7" t="s">
        <v>28</v>
      </c>
      <c r="Q2" s="4" t="s">
        <v>29</v>
      </c>
      <c r="R2" s="4" t="s">
        <v>30</v>
      </c>
      <c r="S2" s="12" t="s">
        <v>31</v>
      </c>
      <c r="T2" s="4" t="s">
        <v>33</v>
      </c>
      <c r="U2" s="12" t="s">
        <v>6</v>
      </c>
      <c r="V2" s="12" t="s">
        <v>7</v>
      </c>
      <c r="W2" s="12" t="s">
        <v>34</v>
      </c>
      <c r="X2" s="12" t="s">
        <v>35</v>
      </c>
      <c r="Y2" s="23" t="s">
        <v>36</v>
      </c>
      <c r="Z2" s="24" t="s">
        <v>38</v>
      </c>
    </row>
    <row r="3" spans="2:26" ht="15.75" thickBot="1" x14ac:dyDescent="0.3">
      <c r="B3" s="3" t="s">
        <v>8</v>
      </c>
      <c r="C3" s="77" t="s">
        <v>8</v>
      </c>
      <c r="D3" s="21" t="s">
        <v>11</v>
      </c>
      <c r="E3" s="77" t="s">
        <v>11</v>
      </c>
      <c r="F3" s="4" t="s">
        <v>15</v>
      </c>
      <c r="G3" s="4" t="s">
        <v>15</v>
      </c>
      <c r="H3" s="5" t="s">
        <v>17</v>
      </c>
      <c r="I3" s="12" t="s">
        <v>17</v>
      </c>
      <c r="J3" s="7" t="s">
        <v>20</v>
      </c>
      <c r="K3" s="7" t="s">
        <v>20</v>
      </c>
      <c r="L3" s="7" t="s">
        <v>24</v>
      </c>
      <c r="M3" s="16" t="s">
        <v>24</v>
      </c>
      <c r="N3" s="7" t="s">
        <v>24</v>
      </c>
      <c r="O3" s="7" t="s">
        <v>24</v>
      </c>
      <c r="P3" s="7" t="s">
        <v>24</v>
      </c>
      <c r="Q3" s="4" t="s">
        <v>15</v>
      </c>
      <c r="R3" s="4" t="s">
        <v>15</v>
      </c>
      <c r="S3" s="12" t="s">
        <v>32</v>
      </c>
      <c r="T3" s="4" t="s">
        <v>32</v>
      </c>
      <c r="U3" s="12"/>
      <c r="V3" s="12"/>
      <c r="W3" s="12" t="s">
        <v>32</v>
      </c>
      <c r="X3" s="12" t="s">
        <v>32</v>
      </c>
      <c r="Y3" s="23" t="s">
        <v>37</v>
      </c>
      <c r="Z3" s="24" t="s">
        <v>37</v>
      </c>
    </row>
    <row r="4" spans="2:26" x14ac:dyDescent="0.25">
      <c r="B4" s="64">
        <v>9</v>
      </c>
      <c r="C4" s="66">
        <f>B4*0.01</f>
        <v>0.09</v>
      </c>
      <c r="D4" s="78">
        <f>(B4/2)^2*10^-6</f>
        <v>2.0249999999999998E-5</v>
      </c>
      <c r="E4" s="78">
        <f>B4*C4*10^-6</f>
        <v>8.0999999999999987E-7</v>
      </c>
      <c r="F4" s="44">
        <v>1.3554999999999999</v>
      </c>
      <c r="G4" s="44">
        <v>5.0000000000000001E-4</v>
      </c>
      <c r="H4" s="13">
        <v>6.14</v>
      </c>
      <c r="I4" s="57">
        <v>0.3</v>
      </c>
      <c r="J4" s="60">
        <v>0.2</v>
      </c>
      <c r="K4" s="53">
        <f>0.5*B4*10^-3</f>
        <v>4.5000000000000005E-3</v>
      </c>
      <c r="L4" s="81">
        <f>$J$4/H4</f>
        <v>3.2573289902280131E-2</v>
      </c>
      <c r="M4" s="81">
        <f>(($K$4/H4)^2+($J$4*$I$4/H4^2)^2)^(1/2)</f>
        <v>1.7521715015226661E-3</v>
      </c>
      <c r="N4" s="28">
        <f>(L4+L5+L6+L7+L8)/5</f>
        <v>3.3077869485049816E-2</v>
      </c>
      <c r="O4" s="28">
        <f>(SUMSQ(M4:M8)/25)^(1/2)</f>
        <v>8.0798706393487478E-4</v>
      </c>
      <c r="P4" s="28">
        <f>_xlfn.STDEV.S(L4:L8)</f>
        <v>1.1538275016650245E-3</v>
      </c>
      <c r="Q4" s="28">
        <v>1.1482000000000001</v>
      </c>
      <c r="R4" s="28">
        <v>2.0000000000000001E-4</v>
      </c>
      <c r="S4" s="78">
        <f>N4/(F4-Q4)*10^(-3)</f>
        <v>1.59565217004582E-4</v>
      </c>
      <c r="T4" s="86">
        <f>((P4/(F4-Q4))^2+(N4*G4/(F4-Q4)^2)^2+(N4*R4/(F4-Q4)^2)^2)^(1/2)*10^-3</f>
        <v>5.5813928390751162E-6</v>
      </c>
      <c r="U4" s="25">
        <f>1+2.1*0.5*B4/$D$45</f>
        <v>1.252</v>
      </c>
      <c r="V4" s="25">
        <f>2.1*C4*0.5/$D$45</f>
        <v>2.5200000000000001E-3</v>
      </c>
      <c r="W4" s="78">
        <f>S4*U4</f>
        <v>1.9977565168973667E-4</v>
      </c>
      <c r="X4" s="85">
        <f>((T4*U4)^2+(S4*V4)^2)^(1/2)</f>
        <v>6.9994634013104759E-6</v>
      </c>
      <c r="Y4" s="72">
        <f>273.15+21.5</f>
        <v>294.64999999999998</v>
      </c>
      <c r="Z4" s="69">
        <v>0.5</v>
      </c>
    </row>
    <row r="5" spans="2:26" x14ac:dyDescent="0.25">
      <c r="B5" s="58"/>
      <c r="C5" s="67"/>
      <c r="D5" s="79"/>
      <c r="E5" s="79"/>
      <c r="F5" s="45"/>
      <c r="G5" s="45"/>
      <c r="H5" s="9">
        <v>6.14</v>
      </c>
      <c r="I5" s="50"/>
      <c r="J5" s="61"/>
      <c r="K5" s="54"/>
      <c r="L5" s="82">
        <f t="shared" ref="L5:L43" si="0">$J$4/H5</f>
        <v>3.2573289902280131E-2</v>
      </c>
      <c r="M5" s="82">
        <f t="shared" ref="M5:M8" si="1">(($K$4/H5)^2+($J$4*$I$4/H5^2)^2)^(1/2)</f>
        <v>1.7521715015226661E-3</v>
      </c>
      <c r="N5" s="29"/>
      <c r="O5" s="29"/>
      <c r="P5" s="29"/>
      <c r="Q5" s="29"/>
      <c r="R5" s="29"/>
      <c r="S5" s="79"/>
      <c r="T5" s="88"/>
      <c r="U5" s="26"/>
      <c r="V5" s="26"/>
      <c r="W5" s="79"/>
      <c r="X5" s="87"/>
      <c r="Y5" s="73"/>
      <c r="Z5" s="70"/>
    </row>
    <row r="6" spans="2:26" x14ac:dyDescent="0.25">
      <c r="B6" s="58"/>
      <c r="C6" s="67"/>
      <c r="D6" s="79"/>
      <c r="E6" s="79"/>
      <c r="F6" s="45"/>
      <c r="G6" s="45"/>
      <c r="H6" s="9">
        <v>5.7</v>
      </c>
      <c r="I6" s="50"/>
      <c r="J6" s="61"/>
      <c r="K6" s="54"/>
      <c r="L6" s="82">
        <f t="shared" si="0"/>
        <v>3.5087719298245612E-2</v>
      </c>
      <c r="M6" s="82">
        <f t="shared" si="1"/>
        <v>2.0083951542744852E-3</v>
      </c>
      <c r="N6" s="29"/>
      <c r="O6" s="29"/>
      <c r="P6" s="29"/>
      <c r="Q6" s="29"/>
      <c r="R6" s="29"/>
      <c r="S6" s="79"/>
      <c r="T6" s="88"/>
      <c r="U6" s="26"/>
      <c r="V6" s="26"/>
      <c r="W6" s="79"/>
      <c r="X6" s="87"/>
      <c r="Y6" s="73"/>
      <c r="Z6" s="70"/>
    </row>
    <row r="7" spans="2:26" x14ac:dyDescent="0.25">
      <c r="B7" s="58"/>
      <c r="C7" s="67"/>
      <c r="D7" s="79"/>
      <c r="E7" s="79"/>
      <c r="F7" s="45"/>
      <c r="G7" s="45"/>
      <c r="H7" s="9">
        <v>6.21</v>
      </c>
      <c r="I7" s="50"/>
      <c r="J7" s="61"/>
      <c r="K7" s="54"/>
      <c r="L7" s="82">
        <f t="shared" si="0"/>
        <v>3.2206119162640906E-2</v>
      </c>
      <c r="M7" s="82">
        <f t="shared" si="1"/>
        <v>1.716325325710239E-3</v>
      </c>
      <c r="N7" s="29"/>
      <c r="O7" s="29"/>
      <c r="P7" s="29"/>
      <c r="Q7" s="29"/>
      <c r="R7" s="29"/>
      <c r="S7" s="79"/>
      <c r="T7" s="88"/>
      <c r="U7" s="26"/>
      <c r="V7" s="26"/>
      <c r="W7" s="79"/>
      <c r="X7" s="87"/>
      <c r="Y7" s="73"/>
      <c r="Z7" s="70"/>
    </row>
    <row r="8" spans="2:26" x14ac:dyDescent="0.25">
      <c r="B8" s="58"/>
      <c r="C8" s="67"/>
      <c r="D8" s="79"/>
      <c r="E8" s="79"/>
      <c r="F8" s="45"/>
      <c r="G8" s="46"/>
      <c r="H8" s="14">
        <v>6.07</v>
      </c>
      <c r="I8" s="51"/>
      <c r="J8" s="61"/>
      <c r="K8" s="55"/>
      <c r="L8" s="83">
        <f t="shared" si="0"/>
        <v>3.2948929159802305E-2</v>
      </c>
      <c r="M8" s="82">
        <f t="shared" si="1"/>
        <v>1.7892578702547329E-3</v>
      </c>
      <c r="N8" s="29"/>
      <c r="O8" s="29"/>
      <c r="P8" s="29"/>
      <c r="Q8" s="31"/>
      <c r="R8" s="31"/>
      <c r="S8" s="79"/>
      <c r="T8" s="88"/>
      <c r="U8" s="26"/>
      <c r="V8" s="26"/>
      <c r="W8" s="79"/>
      <c r="X8" s="87"/>
      <c r="Y8" s="73"/>
      <c r="Z8" s="70"/>
    </row>
    <row r="9" spans="2:26" x14ac:dyDescent="0.25">
      <c r="B9" s="58">
        <v>8</v>
      </c>
      <c r="C9" s="67">
        <f t="shared" ref="C9" si="2">B9*0.01</f>
        <v>0.08</v>
      </c>
      <c r="D9" s="79">
        <f t="shared" ref="D9" si="3">(B9/2)^2*10^-6</f>
        <v>1.5999999999999999E-5</v>
      </c>
      <c r="E9" s="79">
        <f t="shared" ref="E9" si="4">B9*C9*10^-6</f>
        <v>6.4000000000000001E-7</v>
      </c>
      <c r="F9" s="47">
        <v>1.3625</v>
      </c>
      <c r="G9" s="47">
        <v>5.0000000000000001E-4</v>
      </c>
      <c r="H9" s="15">
        <v>7.86</v>
      </c>
      <c r="I9" s="49">
        <f>I4</f>
        <v>0.3</v>
      </c>
      <c r="J9" s="61">
        <v>0.2</v>
      </c>
      <c r="K9" s="56">
        <f>0.5*B9*10^-3</f>
        <v>4.0000000000000001E-3</v>
      </c>
      <c r="L9" s="84">
        <f t="shared" si="0"/>
        <v>2.5445292620865142E-2</v>
      </c>
      <c r="M9" s="84">
        <f>(($K$9/H9)^2+($J$9*$I$9/H9^2)^2)^(1/2)</f>
        <v>1.0964504915178231E-3</v>
      </c>
      <c r="N9" s="30">
        <f>(L9+L10+L11+L12+L13)/5</f>
        <v>2.6029305829267206E-2</v>
      </c>
      <c r="O9" s="30">
        <f t="shared" ref="O9" si="5">(SUMSQ(M9:M13)/25)^(1/2)</f>
        <v>5.1104479056882763E-4</v>
      </c>
      <c r="P9" s="30">
        <f t="shared" ref="P9" si="6">_xlfn.STDEV.S(L9:L13)</f>
        <v>5.0949814262065871E-4</v>
      </c>
      <c r="Q9" s="30">
        <v>1.1476</v>
      </c>
      <c r="R9" s="30">
        <v>2.0000000000000001E-4</v>
      </c>
      <c r="S9" s="90">
        <f t="shared" ref="S9" si="7">N9/(F9-Q9)*10^(-3)</f>
        <v>1.2112287496169007E-4</v>
      </c>
      <c r="T9" s="89">
        <f>((P9/(F9-Q9))^2+(N9*G9/(F9-Q9)^2)^2+(N9*R9/(F9-Q9)^2)^2)^(1/2)*10^-3</f>
        <v>2.3902111605678812E-6</v>
      </c>
      <c r="U9" s="26">
        <f t="shared" ref="U9" si="8">1+2.1*0.5*B9/$D$45</f>
        <v>1.224</v>
      </c>
      <c r="V9" s="26">
        <f t="shared" ref="V9" si="9">2.1*C9*0.5/$D$45</f>
        <v>2.2400000000000002E-3</v>
      </c>
      <c r="W9" s="79">
        <f t="shared" ref="W9" si="10">S9*U9</f>
        <v>1.4825439895310865E-4</v>
      </c>
      <c r="X9" s="87">
        <f t="shared" ref="X9" si="11">((T9*U9)^2+(S9*V9)^2)^(1/2)</f>
        <v>2.9381721079666829E-6</v>
      </c>
      <c r="Y9" s="73">
        <f>Y4+0.5</f>
        <v>295.14999999999998</v>
      </c>
      <c r="Z9" s="70"/>
    </row>
    <row r="10" spans="2:26" x14ac:dyDescent="0.25">
      <c r="B10" s="58"/>
      <c r="C10" s="67"/>
      <c r="D10" s="79"/>
      <c r="E10" s="79"/>
      <c r="F10" s="45"/>
      <c r="G10" s="45"/>
      <c r="H10" s="9">
        <v>7.8</v>
      </c>
      <c r="I10" s="50"/>
      <c r="J10" s="61"/>
      <c r="K10" s="54"/>
      <c r="L10" s="82">
        <f t="shared" si="0"/>
        <v>2.5641025641025644E-2</v>
      </c>
      <c r="M10" s="82">
        <f t="shared" ref="M10:M13" si="12">(($K$9/H10)^2+($J$9*$I$9/H10^2)^2)^(1/2)</f>
        <v>1.1115584065960846E-3</v>
      </c>
      <c r="N10" s="29"/>
      <c r="O10" s="29"/>
      <c r="P10" s="29"/>
      <c r="Q10" s="29"/>
      <c r="R10" s="29"/>
      <c r="S10" s="90"/>
      <c r="T10" s="89"/>
      <c r="U10" s="26"/>
      <c r="V10" s="26"/>
      <c r="W10" s="79"/>
      <c r="X10" s="87"/>
      <c r="Y10" s="73"/>
      <c r="Z10" s="70"/>
    </row>
    <row r="11" spans="2:26" x14ac:dyDescent="0.25">
      <c r="B11" s="58"/>
      <c r="C11" s="67"/>
      <c r="D11" s="79"/>
      <c r="E11" s="79"/>
      <c r="F11" s="45"/>
      <c r="G11" s="45"/>
      <c r="H11" s="9">
        <v>7.7</v>
      </c>
      <c r="I11" s="50"/>
      <c r="J11" s="61"/>
      <c r="K11" s="54"/>
      <c r="L11" s="82">
        <f t="shared" si="0"/>
        <v>2.5974025974025976E-2</v>
      </c>
      <c r="M11" s="82">
        <f t="shared" si="12"/>
        <v>1.1375207635695094E-3</v>
      </c>
      <c r="N11" s="29"/>
      <c r="O11" s="29"/>
      <c r="P11" s="29"/>
      <c r="Q11" s="29"/>
      <c r="R11" s="29"/>
      <c r="S11" s="90"/>
      <c r="T11" s="89"/>
      <c r="U11" s="26"/>
      <c r="V11" s="26"/>
      <c r="W11" s="79"/>
      <c r="X11" s="87"/>
      <c r="Y11" s="73"/>
      <c r="Z11" s="70"/>
    </row>
    <row r="12" spans="2:26" x14ac:dyDescent="0.25">
      <c r="B12" s="58"/>
      <c r="C12" s="67"/>
      <c r="D12" s="79"/>
      <c r="E12" s="79"/>
      <c r="F12" s="45"/>
      <c r="G12" s="45"/>
      <c r="H12" s="9">
        <v>7.56</v>
      </c>
      <c r="I12" s="50"/>
      <c r="J12" s="61"/>
      <c r="K12" s="54"/>
      <c r="L12" s="82">
        <f t="shared" si="0"/>
        <v>2.6455026455026457E-2</v>
      </c>
      <c r="M12" s="82">
        <f t="shared" si="12"/>
        <v>1.1755989736153413E-3</v>
      </c>
      <c r="N12" s="29"/>
      <c r="O12" s="29"/>
      <c r="P12" s="29"/>
      <c r="Q12" s="29"/>
      <c r="R12" s="29"/>
      <c r="S12" s="90"/>
      <c r="T12" s="89"/>
      <c r="U12" s="26"/>
      <c r="V12" s="26"/>
      <c r="W12" s="79"/>
      <c r="X12" s="87"/>
      <c r="Y12" s="73"/>
      <c r="Z12" s="70"/>
    </row>
    <row r="13" spans="2:26" x14ac:dyDescent="0.25">
      <c r="B13" s="58"/>
      <c r="C13" s="67"/>
      <c r="D13" s="79"/>
      <c r="E13" s="79"/>
      <c r="F13" s="46"/>
      <c r="G13" s="46"/>
      <c r="H13" s="14">
        <v>7.51</v>
      </c>
      <c r="I13" s="51"/>
      <c r="J13" s="61"/>
      <c r="K13" s="55"/>
      <c r="L13" s="83">
        <f t="shared" si="0"/>
        <v>2.6631158455392812E-2</v>
      </c>
      <c r="M13" s="83">
        <f t="shared" si="12"/>
        <v>1.1897130928283149E-3</v>
      </c>
      <c r="N13" s="29"/>
      <c r="O13" s="31"/>
      <c r="P13" s="31"/>
      <c r="Q13" s="31"/>
      <c r="R13" s="31"/>
      <c r="S13" s="90"/>
      <c r="T13" s="89"/>
      <c r="U13" s="26"/>
      <c r="V13" s="26"/>
      <c r="W13" s="79"/>
      <c r="X13" s="87"/>
      <c r="Y13" s="73"/>
      <c r="Z13" s="70"/>
    </row>
    <row r="14" spans="2:26" x14ac:dyDescent="0.25">
      <c r="B14" s="65">
        <v>7.1440000000000001</v>
      </c>
      <c r="C14" s="35">
        <f t="shared" ref="C14" si="13">B14*0.01</f>
        <v>7.1440000000000003E-2</v>
      </c>
      <c r="D14" s="79">
        <f t="shared" ref="D14" si="14">(B14/2)^2*10^-6</f>
        <v>1.2759184000000001E-5</v>
      </c>
      <c r="E14" s="79">
        <f t="shared" ref="E14" si="15">B14*C14*10^-6</f>
        <v>5.1036735999999999E-7</v>
      </c>
      <c r="F14" s="47">
        <v>1.3774999999999999</v>
      </c>
      <c r="G14" s="47">
        <v>2.5000000000000001E-3</v>
      </c>
      <c r="H14" s="15">
        <v>8.42</v>
      </c>
      <c r="I14" s="49">
        <f>I9</f>
        <v>0.3</v>
      </c>
      <c r="J14" s="61">
        <v>0.2</v>
      </c>
      <c r="K14" s="56">
        <f t="shared" ref="K14" si="16">0.5*B14*10^-3</f>
        <v>3.5720000000000001E-3</v>
      </c>
      <c r="L14" s="84">
        <f t="shared" si="0"/>
        <v>2.3752969121140145E-2</v>
      </c>
      <c r="M14" s="84">
        <f>(($K$14/H14)^2+($J$14*$I$14/H14^2)^2)^(1/2)</f>
        <v>9.4667951449123387E-4</v>
      </c>
      <c r="N14" s="30">
        <f>(L14+L15+L16+L17+L18)/5</f>
        <v>2.3640955470984416E-2</v>
      </c>
      <c r="O14" s="29">
        <f t="shared" ref="O14" si="17">(SUMSQ(M14:M18)/25)^(1/2)</f>
        <v>4.2004945214195227E-4</v>
      </c>
      <c r="P14" s="29">
        <f t="shared" ref="P14" si="18">_xlfn.STDEV.S(L14:L18)</f>
        <v>4.1924762935458839E-4</v>
      </c>
      <c r="Q14" s="30">
        <v>1.1476</v>
      </c>
      <c r="R14" s="30">
        <v>2.0000000000000001E-4</v>
      </c>
      <c r="S14" s="90">
        <f t="shared" ref="S14" si="19">N14/(F14-Q14)*10^(-3)</f>
        <v>1.0283147225308576E-4</v>
      </c>
      <c r="T14" s="89">
        <f>((P14/(F14-Q14))^2+(N14*G14/(F14-Q14)^2)^2+(N14*R14/(F14-Q14)^2)^2)^(1/2)*10^-3</f>
        <v>2.1410198964813952E-6</v>
      </c>
      <c r="U14" s="26">
        <f t="shared" ref="U14" si="20">1+2.1*0.5*B14/$D$45</f>
        <v>1.200032</v>
      </c>
      <c r="V14" s="26">
        <f t="shared" ref="V14" si="21">2.1*C14*0.5/$D$45</f>
        <v>2.0003200000000003E-3</v>
      </c>
      <c r="W14" s="90">
        <f>S14*U14</f>
        <v>1.2340105731081501E-4</v>
      </c>
      <c r="X14" s="89">
        <f t="shared" ref="X14" si="22">((T14*U14)^2+(S14*V14)^2)^(1/2)</f>
        <v>2.5775131736052662E-6</v>
      </c>
      <c r="Y14" s="73"/>
      <c r="Z14" s="70"/>
    </row>
    <row r="15" spans="2:26" x14ac:dyDescent="0.25">
      <c r="B15" s="65"/>
      <c r="C15" s="35"/>
      <c r="D15" s="79"/>
      <c r="E15" s="79"/>
      <c r="F15" s="45"/>
      <c r="G15" s="45"/>
      <c r="H15" s="9">
        <v>8.6199999999999992</v>
      </c>
      <c r="I15" s="50"/>
      <c r="J15" s="61"/>
      <c r="K15" s="54"/>
      <c r="L15" s="82">
        <f t="shared" si="0"/>
        <v>2.3201856148491882E-2</v>
      </c>
      <c r="M15" s="82">
        <f t="shared" ref="M15:M18" si="23">(($K$14/H15)^2+($J$14*$I$14/H15^2)^2)^(1/2)</f>
        <v>9.0760886409929718E-4</v>
      </c>
      <c r="N15" s="29"/>
      <c r="O15" s="29"/>
      <c r="P15" s="29"/>
      <c r="Q15" s="29"/>
      <c r="R15" s="29"/>
      <c r="S15" s="90"/>
      <c r="T15" s="89"/>
      <c r="U15" s="26"/>
      <c r="V15" s="26"/>
      <c r="W15" s="90"/>
      <c r="X15" s="89"/>
      <c r="Y15" s="73"/>
      <c r="Z15" s="70"/>
    </row>
    <row r="16" spans="2:26" x14ac:dyDescent="0.25">
      <c r="B16" s="65"/>
      <c r="C16" s="35"/>
      <c r="D16" s="79"/>
      <c r="E16" s="79"/>
      <c r="F16" s="45"/>
      <c r="G16" s="45"/>
      <c r="H16" s="9">
        <v>8.5399999999999991</v>
      </c>
      <c r="I16" s="50"/>
      <c r="J16" s="61"/>
      <c r="K16" s="54"/>
      <c r="L16" s="82">
        <f t="shared" si="0"/>
        <v>2.3419203747072605E-2</v>
      </c>
      <c r="M16" s="82">
        <f t="shared" si="23"/>
        <v>9.2291055402502582E-4</v>
      </c>
      <c r="N16" s="29"/>
      <c r="O16" s="29"/>
      <c r="P16" s="29"/>
      <c r="Q16" s="29"/>
      <c r="R16" s="29"/>
      <c r="S16" s="90"/>
      <c r="T16" s="89"/>
      <c r="U16" s="26"/>
      <c r="V16" s="26"/>
      <c r="W16" s="90"/>
      <c r="X16" s="89"/>
      <c r="Y16" s="73"/>
      <c r="Z16" s="70"/>
    </row>
    <row r="17" spans="2:26" x14ac:dyDescent="0.25">
      <c r="B17" s="65"/>
      <c r="C17" s="35"/>
      <c r="D17" s="79"/>
      <c r="E17" s="79"/>
      <c r="F17" s="45"/>
      <c r="G17" s="45"/>
      <c r="H17" s="9">
        <v>8.5</v>
      </c>
      <c r="I17" s="50"/>
      <c r="J17" s="61"/>
      <c r="K17" s="54"/>
      <c r="L17" s="82">
        <f t="shared" si="0"/>
        <v>2.3529411764705882E-2</v>
      </c>
      <c r="M17" s="82">
        <f t="shared" si="23"/>
        <v>9.3072263192061364E-4</v>
      </c>
      <c r="N17" s="29"/>
      <c r="O17" s="29"/>
      <c r="P17" s="29"/>
      <c r="Q17" s="29"/>
      <c r="R17" s="29"/>
      <c r="S17" s="90"/>
      <c r="T17" s="89"/>
      <c r="U17" s="26"/>
      <c r="V17" s="26"/>
      <c r="W17" s="90"/>
      <c r="X17" s="89"/>
      <c r="Y17" s="73"/>
      <c r="Z17" s="70"/>
    </row>
    <row r="18" spans="2:26" x14ac:dyDescent="0.25">
      <c r="B18" s="65"/>
      <c r="C18" s="35"/>
      <c r="D18" s="79"/>
      <c r="E18" s="79"/>
      <c r="F18" s="46"/>
      <c r="G18" s="46"/>
      <c r="H18" s="14">
        <v>8.23</v>
      </c>
      <c r="I18" s="51"/>
      <c r="J18" s="61"/>
      <c r="K18" s="55"/>
      <c r="L18" s="83">
        <f t="shared" si="0"/>
        <v>2.4301336573511544E-2</v>
      </c>
      <c r="M18" s="83">
        <f t="shared" si="23"/>
        <v>9.8644518067141844E-4</v>
      </c>
      <c r="N18" s="31"/>
      <c r="O18" s="29"/>
      <c r="P18" s="29"/>
      <c r="Q18" s="31"/>
      <c r="R18" s="31"/>
      <c r="S18" s="90"/>
      <c r="T18" s="89"/>
      <c r="U18" s="26"/>
      <c r="V18" s="26"/>
      <c r="W18" s="90"/>
      <c r="X18" s="89"/>
      <c r="Y18" s="73"/>
      <c r="Z18" s="70"/>
    </row>
    <row r="19" spans="2:26" x14ac:dyDescent="0.25">
      <c r="B19" s="58">
        <v>6</v>
      </c>
      <c r="C19" s="67">
        <f t="shared" ref="C19" si="24">B19*0.01</f>
        <v>0.06</v>
      </c>
      <c r="D19" s="79">
        <f t="shared" ref="D19" si="25">(B19/2)^2*10^-6</f>
        <v>9.0000000000000002E-6</v>
      </c>
      <c r="E19" s="79">
        <f t="shared" ref="E19" si="26">B19*C19*10^-6</f>
        <v>3.5999999999999999E-7</v>
      </c>
      <c r="F19" s="47">
        <v>1.3774999999999999</v>
      </c>
      <c r="G19" s="47">
        <v>2.5000000000000001E-3</v>
      </c>
      <c r="H19" s="15">
        <v>11.62</v>
      </c>
      <c r="I19" s="49">
        <f>I14</f>
        <v>0.3</v>
      </c>
      <c r="J19" s="61">
        <v>0.2</v>
      </c>
      <c r="K19" s="56">
        <f t="shared" ref="K19" si="27">0.5*B19*10^-3</f>
        <v>3.0000000000000001E-3</v>
      </c>
      <c r="L19" s="84">
        <f t="shared" si="0"/>
        <v>1.7211703958691912E-2</v>
      </c>
      <c r="M19" s="84">
        <f>(($K$19/H19)^2+($J$19*$I$19/H19^2)^2)^(1/2)</f>
        <v>5.1392032384715012E-4</v>
      </c>
      <c r="N19" s="37">
        <f>(L19+L20+L21+L22+L23)/5</f>
        <v>1.711072882678167E-2</v>
      </c>
      <c r="O19" s="35">
        <f t="shared" ref="O19" si="28">(SUMSQ(M19:M23)/25)^(1/2)</f>
        <v>2.2754630774580575E-4</v>
      </c>
      <c r="P19" s="35">
        <f t="shared" ref="P19" si="29">_xlfn.STDEV.S(L19:L23)</f>
        <v>2.0964670301082701E-4</v>
      </c>
      <c r="Q19" s="30">
        <v>1.1476</v>
      </c>
      <c r="R19" s="30">
        <v>2.0000000000000001E-4</v>
      </c>
      <c r="S19" s="79">
        <f t="shared" ref="S19" si="30">N19/(F19-Q19)*10^(-3)</f>
        <v>7.4426832652377855E-5</v>
      </c>
      <c r="T19" s="89">
        <f>((O19/(F19-Q19))^2+(N19*G19/(F19-Q19)^2)^2+(N19*R19/(F19-Q19)^2)^2)^(1/2)*10^-3</f>
        <v>1.2801762190890571E-6</v>
      </c>
      <c r="U19" s="26">
        <f t="shared" ref="U19" si="31">1+2.1*0.5*B19/$D$45</f>
        <v>1.1679999999999999</v>
      </c>
      <c r="V19" s="26">
        <f t="shared" ref="V19" si="32">2.1*C19*0.5/$D$45</f>
        <v>1.6800000000000001E-3</v>
      </c>
      <c r="W19" s="90">
        <f t="shared" ref="W19" si="33">S19*U19</f>
        <v>8.693054053797733E-5</v>
      </c>
      <c r="X19" s="89">
        <f t="shared" ref="X19" si="34">((T19*U19)^2+(S19*V19)^2)^(1/2)</f>
        <v>1.5004647096707485E-6</v>
      </c>
      <c r="Y19" s="73"/>
      <c r="Z19" s="70"/>
    </row>
    <row r="20" spans="2:26" x14ac:dyDescent="0.25">
      <c r="B20" s="58"/>
      <c r="C20" s="67"/>
      <c r="D20" s="79"/>
      <c r="E20" s="79"/>
      <c r="F20" s="45"/>
      <c r="G20" s="45"/>
      <c r="H20" s="9">
        <v>11.62</v>
      </c>
      <c r="I20" s="50"/>
      <c r="J20" s="61"/>
      <c r="K20" s="54"/>
      <c r="L20" s="82">
        <f t="shared" si="0"/>
        <v>1.7211703958691912E-2</v>
      </c>
      <c r="M20" s="82">
        <f t="shared" ref="M20:M23" si="35">(($K$19/H20)^2+($J$19*$I$19/H20^2)^2)^(1/2)</f>
        <v>5.1392032384715012E-4</v>
      </c>
      <c r="N20" s="37"/>
      <c r="O20" s="35"/>
      <c r="P20" s="35"/>
      <c r="Q20" s="29"/>
      <c r="R20" s="29"/>
      <c r="S20" s="79"/>
      <c r="T20" s="89"/>
      <c r="U20" s="26"/>
      <c r="V20" s="26"/>
      <c r="W20" s="90"/>
      <c r="X20" s="89"/>
      <c r="Y20" s="73"/>
      <c r="Z20" s="70"/>
    </row>
    <row r="21" spans="2:26" x14ac:dyDescent="0.25">
      <c r="B21" s="58"/>
      <c r="C21" s="67"/>
      <c r="D21" s="79"/>
      <c r="E21" s="79"/>
      <c r="F21" s="45"/>
      <c r="G21" s="45"/>
      <c r="H21" s="9">
        <v>11.64</v>
      </c>
      <c r="I21" s="50"/>
      <c r="J21" s="61"/>
      <c r="K21" s="54"/>
      <c r="L21" s="82">
        <f t="shared" si="0"/>
        <v>1.7182130584192441E-2</v>
      </c>
      <c r="M21" s="82">
        <f t="shared" si="35"/>
        <v>5.1237840142188897E-4</v>
      </c>
      <c r="N21" s="37"/>
      <c r="O21" s="35"/>
      <c r="P21" s="35"/>
      <c r="Q21" s="29"/>
      <c r="R21" s="29"/>
      <c r="S21" s="79"/>
      <c r="T21" s="89"/>
      <c r="U21" s="26"/>
      <c r="V21" s="26"/>
      <c r="W21" s="90"/>
      <c r="X21" s="89"/>
      <c r="Y21" s="73"/>
      <c r="Z21" s="70"/>
    </row>
    <row r="22" spans="2:26" x14ac:dyDescent="0.25">
      <c r="B22" s="58"/>
      <c r="C22" s="67"/>
      <c r="D22" s="79"/>
      <c r="E22" s="79"/>
      <c r="F22" s="45"/>
      <c r="G22" s="45"/>
      <c r="H22" s="9">
        <v>11.62</v>
      </c>
      <c r="I22" s="50"/>
      <c r="J22" s="61"/>
      <c r="K22" s="54"/>
      <c r="L22" s="82">
        <f t="shared" si="0"/>
        <v>1.7211703958691912E-2</v>
      </c>
      <c r="M22" s="82">
        <f t="shared" si="35"/>
        <v>5.1392032384715012E-4</v>
      </c>
      <c r="N22" s="37"/>
      <c r="O22" s="35"/>
      <c r="P22" s="35"/>
      <c r="Q22" s="29"/>
      <c r="R22" s="29"/>
      <c r="S22" s="79"/>
      <c r="T22" s="89"/>
      <c r="U22" s="26"/>
      <c r="V22" s="26"/>
      <c r="W22" s="90"/>
      <c r="X22" s="89"/>
      <c r="Y22" s="73"/>
      <c r="Z22" s="70"/>
    </row>
    <row r="23" spans="2:26" x14ac:dyDescent="0.25">
      <c r="B23" s="58"/>
      <c r="C23" s="67"/>
      <c r="D23" s="79"/>
      <c r="E23" s="79"/>
      <c r="F23" s="46"/>
      <c r="G23" s="46"/>
      <c r="H23" s="14">
        <v>11.95</v>
      </c>
      <c r="I23" s="51"/>
      <c r="J23" s="61"/>
      <c r="K23" s="55"/>
      <c r="L23" s="83">
        <f t="shared" si="0"/>
        <v>1.6736401673640169E-2</v>
      </c>
      <c r="M23" s="83">
        <f t="shared" si="35"/>
        <v>4.8944778085674683E-4</v>
      </c>
      <c r="N23" s="37"/>
      <c r="O23" s="35"/>
      <c r="P23" s="35"/>
      <c r="Q23" s="31"/>
      <c r="R23" s="31"/>
      <c r="S23" s="79"/>
      <c r="T23" s="89"/>
      <c r="U23" s="26"/>
      <c r="V23" s="26"/>
      <c r="W23" s="90"/>
      <c r="X23" s="89"/>
      <c r="Y23" s="73"/>
      <c r="Z23" s="70"/>
    </row>
    <row r="24" spans="2:26" x14ac:dyDescent="0.25">
      <c r="B24" s="58">
        <v>5</v>
      </c>
      <c r="C24" s="67">
        <f t="shared" ref="C24" si="36">B24*0.01</f>
        <v>0.05</v>
      </c>
      <c r="D24" s="79">
        <f t="shared" ref="D24" si="37">(B24/2)^2*10^-6</f>
        <v>6.2499999999999995E-6</v>
      </c>
      <c r="E24" s="79">
        <f t="shared" ref="E24" si="38">B24*C24*10^-6</f>
        <v>2.4999999999999999E-7</v>
      </c>
      <c r="F24" s="47">
        <v>1.3774999999999999</v>
      </c>
      <c r="G24" s="47">
        <v>2.5000000000000001E-3</v>
      </c>
      <c r="H24" s="15">
        <v>15.56</v>
      </c>
      <c r="I24" s="49">
        <f>I14</f>
        <v>0.3</v>
      </c>
      <c r="J24" s="62">
        <v>0.2</v>
      </c>
      <c r="K24" s="30">
        <f t="shared" ref="K24" si="39">0.5*B24*10^-3</f>
        <v>2.5000000000000001E-3</v>
      </c>
      <c r="L24" s="84">
        <f t="shared" si="0"/>
        <v>1.2853470437017995E-2</v>
      </c>
      <c r="M24" s="84">
        <f>(($K$24/H24)^2+($J$24*$I$24/H24^2)^2)^(1/2)</f>
        <v>2.9534364435364433E-4</v>
      </c>
      <c r="N24" s="38">
        <f>(L24+L25+L26+L27+L28)/5</f>
        <v>1.2816144235262594E-2</v>
      </c>
      <c r="O24" s="35">
        <f t="shared" ref="O24" si="40">(SUMSQ(M24:M28)/25)^(1/2)</f>
        <v>1.314809588282321E-4</v>
      </c>
      <c r="P24" s="35">
        <f t="shared" ref="P24" si="41">_xlfn.STDEV.S(L24:L28)</f>
        <v>1.8897275186015511E-4</v>
      </c>
      <c r="Q24" s="30">
        <v>1.1476</v>
      </c>
      <c r="R24" s="30">
        <v>2.0000000000000001E-4</v>
      </c>
      <c r="S24" s="79">
        <f t="shared" ref="S24" si="42">N24/(F24-Q24)*10^(-3)</f>
        <v>5.5746603894139167E-5</v>
      </c>
      <c r="T24" s="89">
        <f>((P24/(F24-Q24))^2+(N24*G24/(F24-Q24)^2)^2+(N24*R24/(F24-Q24)^2)^2)^(1/2)*10^-3</f>
        <v>1.022489217302807E-6</v>
      </c>
      <c r="U24" s="26">
        <f t="shared" ref="U24" si="43">1+2.1*0.5*B24/$D$45</f>
        <v>1.1400000000000001</v>
      </c>
      <c r="V24" s="26">
        <f t="shared" ref="V24" si="44">2.1*C24*0.5/$D$45</f>
        <v>1.4000000000000002E-3</v>
      </c>
      <c r="W24" s="90">
        <f t="shared" ref="W24" si="45">S24*U24</f>
        <v>6.3551128439318658E-5</v>
      </c>
      <c r="X24" s="89">
        <f t="shared" ref="X24" si="46">((T24*U24)^2+(S24*V24)^2)^(1/2)</f>
        <v>1.1682475448330675E-6</v>
      </c>
      <c r="Y24" s="73"/>
      <c r="Z24" s="70"/>
    </row>
    <row r="25" spans="2:26" x14ac:dyDescent="0.25">
      <c r="B25" s="58"/>
      <c r="C25" s="67"/>
      <c r="D25" s="79"/>
      <c r="E25" s="79"/>
      <c r="F25" s="45"/>
      <c r="G25" s="45"/>
      <c r="H25" s="9">
        <v>15.24</v>
      </c>
      <c r="I25" s="50"/>
      <c r="J25" s="62"/>
      <c r="K25" s="29"/>
      <c r="L25" s="82">
        <f t="shared" si="0"/>
        <v>1.3123359580052493E-2</v>
      </c>
      <c r="M25" s="82">
        <f t="shared" ref="M25:M28" si="47">(($K$24/H25)^2+($J$24*$I$24/H25^2)^2)^(1/2)</f>
        <v>3.0601659121382729E-4</v>
      </c>
      <c r="N25" s="37"/>
      <c r="O25" s="35"/>
      <c r="P25" s="35"/>
      <c r="Q25" s="29"/>
      <c r="R25" s="29"/>
      <c r="S25" s="79"/>
      <c r="T25" s="89"/>
      <c r="U25" s="26"/>
      <c r="V25" s="26"/>
      <c r="W25" s="90"/>
      <c r="X25" s="89"/>
      <c r="Y25" s="73"/>
      <c r="Z25" s="70"/>
    </row>
    <row r="26" spans="2:26" x14ac:dyDescent="0.25">
      <c r="B26" s="58"/>
      <c r="C26" s="67"/>
      <c r="D26" s="79"/>
      <c r="E26" s="79"/>
      <c r="F26" s="45"/>
      <c r="G26" s="45"/>
      <c r="H26" s="9">
        <v>15.8</v>
      </c>
      <c r="I26" s="50"/>
      <c r="J26" s="62"/>
      <c r="K26" s="29"/>
      <c r="L26" s="82">
        <f t="shared" si="0"/>
        <v>1.2658227848101266E-2</v>
      </c>
      <c r="M26" s="82">
        <f t="shared" si="47"/>
        <v>2.8775388602423501E-4</v>
      </c>
      <c r="N26" s="37"/>
      <c r="O26" s="35"/>
      <c r="P26" s="35"/>
      <c r="Q26" s="29"/>
      <c r="R26" s="29"/>
      <c r="S26" s="79"/>
      <c r="T26" s="89"/>
      <c r="U26" s="26"/>
      <c r="V26" s="26"/>
      <c r="W26" s="90"/>
      <c r="X26" s="89"/>
      <c r="Y26" s="73"/>
      <c r="Z26" s="70"/>
    </row>
    <row r="27" spans="2:26" x14ac:dyDescent="0.25">
      <c r="B27" s="58"/>
      <c r="C27" s="67"/>
      <c r="D27" s="79"/>
      <c r="E27" s="79"/>
      <c r="F27" s="45"/>
      <c r="G27" s="45"/>
      <c r="H27" s="9">
        <v>15.66</v>
      </c>
      <c r="I27" s="50"/>
      <c r="J27" s="62"/>
      <c r="K27" s="29"/>
      <c r="L27" s="82">
        <f t="shared" si="0"/>
        <v>1.277139208173691E-2</v>
      </c>
      <c r="M27" s="82">
        <f t="shared" si="47"/>
        <v>2.9213956412965739E-4</v>
      </c>
      <c r="N27" s="37"/>
      <c r="O27" s="35"/>
      <c r="P27" s="35"/>
      <c r="Q27" s="29"/>
      <c r="R27" s="29"/>
      <c r="S27" s="79"/>
      <c r="T27" s="89"/>
      <c r="U27" s="26"/>
      <c r="V27" s="26"/>
      <c r="W27" s="90"/>
      <c r="X27" s="89"/>
      <c r="Y27" s="73"/>
      <c r="Z27" s="70"/>
    </row>
    <row r="28" spans="2:26" x14ac:dyDescent="0.25">
      <c r="B28" s="58"/>
      <c r="C28" s="67"/>
      <c r="D28" s="79"/>
      <c r="E28" s="79"/>
      <c r="F28" s="46"/>
      <c r="G28" s="46"/>
      <c r="H28" s="14">
        <v>15.78</v>
      </c>
      <c r="I28" s="51"/>
      <c r="J28" s="62"/>
      <c r="K28" s="31"/>
      <c r="L28" s="83">
        <f t="shared" si="0"/>
        <v>1.2674271229404311E-2</v>
      </c>
      <c r="M28" s="83">
        <f t="shared" si="47"/>
        <v>2.8837339882458726E-4</v>
      </c>
      <c r="N28" s="39"/>
      <c r="O28" s="35"/>
      <c r="P28" s="35"/>
      <c r="Q28" s="31"/>
      <c r="R28" s="31"/>
      <c r="S28" s="79"/>
      <c r="T28" s="89"/>
      <c r="U28" s="26"/>
      <c r="V28" s="26"/>
      <c r="W28" s="90"/>
      <c r="X28" s="89"/>
      <c r="Y28" s="73"/>
      <c r="Z28" s="70"/>
    </row>
    <row r="29" spans="2:26" x14ac:dyDescent="0.25">
      <c r="B29" s="58">
        <v>4</v>
      </c>
      <c r="C29" s="67">
        <f t="shared" ref="C29" si="48">B29*0.01</f>
        <v>0.04</v>
      </c>
      <c r="D29" s="79">
        <f t="shared" ref="D29" si="49">(B29/2)^2*10^-6</f>
        <v>3.9999999999999998E-6</v>
      </c>
      <c r="E29" s="79">
        <f t="shared" ref="E29" si="50">B29*C29*10^-6</f>
        <v>1.6E-7</v>
      </c>
      <c r="F29" s="47">
        <v>1.3774999999999999</v>
      </c>
      <c r="G29" s="47">
        <v>2.5000000000000001E-3</v>
      </c>
      <c r="H29" s="15">
        <v>23.43</v>
      </c>
      <c r="I29" s="49">
        <f>I14</f>
        <v>0.3</v>
      </c>
      <c r="J29" s="62">
        <v>0.2</v>
      </c>
      <c r="K29" s="30">
        <f t="shared" ref="K29" si="51">0.5*B29*10^-3</f>
        <v>2E-3</v>
      </c>
      <c r="L29" s="17">
        <f t="shared" si="0"/>
        <v>8.5360648740930439E-3</v>
      </c>
      <c r="M29" s="17">
        <f>(($K$29/H29)^2+($J$29*$I$29/H29^2)^2)^(1/2)</f>
        <v>1.3868016543122825E-4</v>
      </c>
      <c r="N29" s="37">
        <f>(L29+L30+L31+L32+L33)/5</f>
        <v>8.3600294043818212E-3</v>
      </c>
      <c r="O29" s="35">
        <f t="shared" ref="O29" si="52">(SUMSQ(M29:M33)/25)^(1/2)</f>
        <v>5.9979431293701365E-5</v>
      </c>
      <c r="P29" s="35">
        <f t="shared" ref="P29" si="53">_xlfn.STDEV.S(L29:L33)</f>
        <v>9.8921847583569231E-5</v>
      </c>
      <c r="Q29" s="30">
        <v>1.1476</v>
      </c>
      <c r="R29" s="30">
        <v>2.0000000000000001E-4</v>
      </c>
      <c r="S29" s="79">
        <f t="shared" ref="S29" si="54">N29/(F29-Q29)*10^(-3)</f>
        <v>3.6363764264383737E-5</v>
      </c>
      <c r="T29" s="87">
        <f>((P29/(F29-Q29))^2+(N29*G29/(F29-Q29)^2)^2+(N29*R29/(F29-Q29)^2)^2)^(1/2)*10^-3</f>
        <v>5.8524222723986226E-7</v>
      </c>
      <c r="U29" s="26">
        <f t="shared" ref="U29" si="55">1+2.1*0.5*B29/$D$45</f>
        <v>1.1120000000000001</v>
      </c>
      <c r="V29" s="26">
        <f t="shared" ref="V29" si="56">2.1*C29*0.5/$D$45</f>
        <v>1.1200000000000001E-3</v>
      </c>
      <c r="W29" s="90">
        <f t="shared" ref="W29" si="57">S29*U29</f>
        <v>4.0436505861994719E-5</v>
      </c>
      <c r="X29" s="89">
        <f t="shared" ref="X29" si="58">((T29*U29)^2+(S29*V29)^2)^(1/2)</f>
        <v>6.5206250405465057E-7</v>
      </c>
      <c r="Y29" s="73"/>
      <c r="Z29" s="70"/>
    </row>
    <row r="30" spans="2:26" x14ac:dyDescent="0.25">
      <c r="B30" s="58"/>
      <c r="C30" s="67"/>
      <c r="D30" s="79"/>
      <c r="E30" s="79"/>
      <c r="F30" s="45"/>
      <c r="G30" s="45"/>
      <c r="H30" s="9">
        <v>24.06</v>
      </c>
      <c r="I30" s="50"/>
      <c r="J30" s="62"/>
      <c r="K30" s="29"/>
      <c r="L30" s="18">
        <f t="shared" si="0"/>
        <v>8.3125519534497094E-3</v>
      </c>
      <c r="M30" s="18">
        <f t="shared" ref="M30:M33" si="59">(($K$29/H30)^2+($J$29*$I$29/H30^2)^2)^(1/2)</f>
        <v>1.3286351752914206E-4</v>
      </c>
      <c r="N30" s="37"/>
      <c r="O30" s="35"/>
      <c r="P30" s="35"/>
      <c r="Q30" s="29"/>
      <c r="R30" s="29"/>
      <c r="S30" s="79"/>
      <c r="T30" s="87"/>
      <c r="U30" s="26"/>
      <c r="V30" s="26"/>
      <c r="W30" s="90"/>
      <c r="X30" s="89"/>
      <c r="Y30" s="73"/>
      <c r="Z30" s="70"/>
    </row>
    <row r="31" spans="2:26" x14ac:dyDescent="0.25">
      <c r="B31" s="58"/>
      <c r="C31" s="67"/>
      <c r="D31" s="79"/>
      <c r="E31" s="79"/>
      <c r="F31" s="45"/>
      <c r="G31" s="45"/>
      <c r="H31" s="9">
        <v>24.01</v>
      </c>
      <c r="I31" s="50"/>
      <c r="J31" s="62"/>
      <c r="K31" s="29"/>
      <c r="L31" s="18">
        <f t="shared" si="0"/>
        <v>8.3298625572678052E-3</v>
      </c>
      <c r="M31" s="18">
        <f t="shared" si="59"/>
        <v>1.333090011901867E-4</v>
      </c>
      <c r="N31" s="37"/>
      <c r="O31" s="35"/>
      <c r="P31" s="35"/>
      <c r="Q31" s="29"/>
      <c r="R31" s="29"/>
      <c r="S31" s="79"/>
      <c r="T31" s="87"/>
      <c r="U31" s="26"/>
      <c r="V31" s="26"/>
      <c r="W31" s="90"/>
      <c r="X31" s="89"/>
      <c r="Y31" s="73"/>
      <c r="Z31" s="70"/>
    </row>
    <row r="32" spans="2:26" x14ac:dyDescent="0.25">
      <c r="B32" s="58"/>
      <c r="C32" s="67"/>
      <c r="D32" s="79"/>
      <c r="E32" s="79"/>
      <c r="F32" s="45"/>
      <c r="G32" s="45"/>
      <c r="H32" s="9">
        <v>24.09</v>
      </c>
      <c r="I32" s="50"/>
      <c r="J32" s="62"/>
      <c r="K32" s="29"/>
      <c r="L32" s="18">
        <f t="shared" si="0"/>
        <v>8.3022000830220016E-3</v>
      </c>
      <c r="M32" s="18">
        <f t="shared" si="59"/>
        <v>1.3259751565960446E-4</v>
      </c>
      <c r="N32" s="37"/>
      <c r="O32" s="35"/>
      <c r="P32" s="35"/>
      <c r="Q32" s="29"/>
      <c r="R32" s="29"/>
      <c r="S32" s="79"/>
      <c r="T32" s="87"/>
      <c r="U32" s="26"/>
      <c r="V32" s="26"/>
      <c r="W32" s="90"/>
      <c r="X32" s="89"/>
      <c r="Y32" s="73"/>
      <c r="Z32" s="70"/>
    </row>
    <row r="33" spans="2:26" x14ac:dyDescent="0.25">
      <c r="B33" s="58"/>
      <c r="C33" s="67"/>
      <c r="D33" s="79"/>
      <c r="E33" s="79"/>
      <c r="F33" s="46"/>
      <c r="G33" s="46"/>
      <c r="H33" s="14">
        <v>24.04</v>
      </c>
      <c r="I33" s="51"/>
      <c r="J33" s="62"/>
      <c r="K33" s="31"/>
      <c r="L33" s="19">
        <f t="shared" si="0"/>
        <v>8.3194675540765404E-3</v>
      </c>
      <c r="M33" s="19">
        <f t="shared" si="59"/>
        <v>1.3304138801975253E-4</v>
      </c>
      <c r="N33" s="37"/>
      <c r="O33" s="35"/>
      <c r="P33" s="35"/>
      <c r="Q33" s="31"/>
      <c r="R33" s="31"/>
      <c r="S33" s="79"/>
      <c r="T33" s="87"/>
      <c r="U33" s="26"/>
      <c r="V33" s="26"/>
      <c r="W33" s="90"/>
      <c r="X33" s="89"/>
      <c r="Y33" s="73"/>
      <c r="Z33" s="70"/>
    </row>
    <row r="34" spans="2:26" x14ac:dyDescent="0.25">
      <c r="B34" s="58">
        <v>3</v>
      </c>
      <c r="C34" s="67">
        <f t="shared" ref="C34" si="60">B34*0.01</f>
        <v>0.03</v>
      </c>
      <c r="D34" s="79">
        <f t="shared" ref="D34" si="61">(B34/2)^2*10^-6</f>
        <v>2.2500000000000001E-6</v>
      </c>
      <c r="E34" s="79">
        <f t="shared" ref="E34" si="62">B34*C34*10^-6</f>
        <v>8.9999999999999999E-8</v>
      </c>
      <c r="F34" s="47">
        <v>1.3774999999999999</v>
      </c>
      <c r="G34" s="47">
        <v>2.5000000000000001E-3</v>
      </c>
      <c r="H34" s="15">
        <v>39.72</v>
      </c>
      <c r="I34" s="49">
        <f>I29</f>
        <v>0.3</v>
      </c>
      <c r="J34" s="62">
        <v>0.2</v>
      </c>
      <c r="K34" s="30">
        <f t="shared" ref="K34" si="63">0.5*B34*10^-3</f>
        <v>1.5E-3</v>
      </c>
      <c r="L34" s="17">
        <f t="shared" si="0"/>
        <v>5.0352467270896274E-3</v>
      </c>
      <c r="M34" s="17">
        <f>(($K$34/H34)^2+($J$34*$I$34/H34^2)^2)^(1/2)</f>
        <v>5.3595428853931334E-5</v>
      </c>
      <c r="N34" s="40">
        <f>(L34+L35+L36+L37+L38)/5</f>
        <v>5.0126521561671706E-3</v>
      </c>
      <c r="O34" s="32">
        <f t="shared" ref="O34" si="64">(SUMSQ(M34:M38)/25)^(1/2)</f>
        <v>2.3808205742172807E-5</v>
      </c>
      <c r="P34" s="32">
        <f t="shared" ref="P34" si="65">_xlfn.STDEV.S(L34:L38)</f>
        <v>2.7520590084576011E-5</v>
      </c>
      <c r="Q34" s="30">
        <v>1.1476</v>
      </c>
      <c r="R34" s="30">
        <v>2.0000000000000001E-4</v>
      </c>
      <c r="S34" s="90">
        <f t="shared" ref="S34" si="66">N34/(F34-Q34)*10^(-3)</f>
        <v>2.1803619644050332E-5</v>
      </c>
      <c r="T34" s="89">
        <f>((P34/(F34-Q34))^2+(N34*G34/(F34-Q34)^2)^2+(N34*R34/(F34-Q34)^2)^2)^(1/2)*10^-3</f>
        <v>2.6628069696087493E-7</v>
      </c>
      <c r="U34" s="26">
        <f t="shared" ref="U34" si="67">1+2.1*0.5*B34/$D$45</f>
        <v>1.0840000000000001</v>
      </c>
      <c r="V34" s="26">
        <f t="shared" ref="V34" si="68">2.1*C34*0.5/$D$45</f>
        <v>8.4000000000000003E-4</v>
      </c>
      <c r="W34" s="90">
        <f t="shared" ref="W34" si="69">S34*U34</f>
        <v>2.3635123694150561E-5</v>
      </c>
      <c r="X34" s="89">
        <f t="shared" ref="X34" si="70">((T34*U34)^2+(S34*V34)^2)^(1/2)</f>
        <v>2.8922874625614833E-7</v>
      </c>
      <c r="Y34" s="73"/>
      <c r="Z34" s="70"/>
    </row>
    <row r="35" spans="2:26" x14ac:dyDescent="0.25">
      <c r="B35" s="58"/>
      <c r="C35" s="67"/>
      <c r="D35" s="79"/>
      <c r="E35" s="79"/>
      <c r="F35" s="45"/>
      <c r="G35" s="45"/>
      <c r="H35" s="9">
        <v>40.07</v>
      </c>
      <c r="I35" s="50"/>
      <c r="J35" s="62"/>
      <c r="K35" s="29"/>
      <c r="L35" s="18">
        <f t="shared" si="0"/>
        <v>4.9912652857499375E-3</v>
      </c>
      <c r="M35" s="18">
        <f t="shared" ref="M35:M38" si="71">(($K$34/H35)^2+($J$34*$I$34/H35^2)^2)^(1/2)</f>
        <v>5.2894141272690634E-5</v>
      </c>
      <c r="N35" s="41"/>
      <c r="O35" s="32"/>
      <c r="P35" s="32"/>
      <c r="Q35" s="29"/>
      <c r="R35" s="29"/>
      <c r="S35" s="90"/>
      <c r="T35" s="89"/>
      <c r="U35" s="26"/>
      <c r="V35" s="26"/>
      <c r="W35" s="90"/>
      <c r="X35" s="89"/>
      <c r="Y35" s="73"/>
      <c r="Z35" s="70"/>
    </row>
    <row r="36" spans="2:26" x14ac:dyDescent="0.25">
      <c r="B36" s="58"/>
      <c r="C36" s="67"/>
      <c r="D36" s="79"/>
      <c r="E36" s="79"/>
      <c r="F36" s="45"/>
      <c r="G36" s="45"/>
      <c r="H36" s="9">
        <v>39.92</v>
      </c>
      <c r="I36" s="50"/>
      <c r="J36" s="62"/>
      <c r="K36" s="29"/>
      <c r="L36" s="18">
        <f t="shared" si="0"/>
        <v>5.0100200400801601E-3</v>
      </c>
      <c r="M36" s="18">
        <f t="shared" si="71"/>
        <v>5.3192559591570681E-5</v>
      </c>
      <c r="N36" s="41"/>
      <c r="O36" s="32"/>
      <c r="P36" s="32"/>
      <c r="Q36" s="29"/>
      <c r="R36" s="29"/>
      <c r="S36" s="90"/>
      <c r="T36" s="89"/>
      <c r="U36" s="26"/>
      <c r="V36" s="26"/>
      <c r="W36" s="90"/>
      <c r="X36" s="89"/>
      <c r="Y36" s="73"/>
      <c r="Z36" s="70"/>
    </row>
    <row r="37" spans="2:26" x14ac:dyDescent="0.25">
      <c r="B37" s="58"/>
      <c r="C37" s="67"/>
      <c r="D37" s="79"/>
      <c r="E37" s="79"/>
      <c r="F37" s="45"/>
      <c r="G37" s="45"/>
      <c r="H37" s="9">
        <v>40.15</v>
      </c>
      <c r="I37" s="50"/>
      <c r="J37" s="62"/>
      <c r="K37" s="29"/>
      <c r="L37" s="18">
        <f t="shared" si="0"/>
        <v>4.9813200498132013E-3</v>
      </c>
      <c r="M37" s="18">
        <f t="shared" si="71"/>
        <v>5.2736274862302553E-5</v>
      </c>
      <c r="N37" s="41"/>
      <c r="O37" s="32"/>
      <c r="P37" s="32"/>
      <c r="Q37" s="29"/>
      <c r="R37" s="29"/>
      <c r="S37" s="90"/>
      <c r="T37" s="89"/>
      <c r="U37" s="26"/>
      <c r="V37" s="26"/>
      <c r="W37" s="90"/>
      <c r="X37" s="89"/>
      <c r="Y37" s="73"/>
      <c r="Z37" s="70"/>
    </row>
    <row r="38" spans="2:26" x14ac:dyDescent="0.25">
      <c r="B38" s="58"/>
      <c r="C38" s="67"/>
      <c r="D38" s="79"/>
      <c r="E38" s="79"/>
      <c r="F38" s="46"/>
      <c r="G38" s="46"/>
      <c r="H38" s="14">
        <v>39.64</v>
      </c>
      <c r="I38" s="51"/>
      <c r="J38" s="62"/>
      <c r="K38" s="31"/>
      <c r="L38" s="19">
        <f t="shared" si="0"/>
        <v>5.0454086781029266E-3</v>
      </c>
      <c r="M38" s="19">
        <f t="shared" si="71"/>
        <v>5.3758192485178142E-5</v>
      </c>
      <c r="N38" s="42"/>
      <c r="O38" s="32"/>
      <c r="P38" s="32"/>
      <c r="Q38" s="31"/>
      <c r="R38" s="31"/>
      <c r="S38" s="90"/>
      <c r="T38" s="89"/>
      <c r="U38" s="26"/>
      <c r="V38" s="26"/>
      <c r="W38" s="90"/>
      <c r="X38" s="89"/>
      <c r="Y38" s="73"/>
      <c r="Z38" s="70"/>
    </row>
    <row r="39" spans="2:26" x14ac:dyDescent="0.25">
      <c r="B39" s="58">
        <v>2</v>
      </c>
      <c r="C39" s="67">
        <f t="shared" ref="C39" si="72">B39*0.01</f>
        <v>0.02</v>
      </c>
      <c r="D39" s="79">
        <f t="shared" ref="D39" si="73">(B39/2)^2*10^-6</f>
        <v>9.9999999999999995E-7</v>
      </c>
      <c r="E39" s="79">
        <f t="shared" ref="E39" si="74">B39*C39*10^-6</f>
        <v>4.0000000000000001E-8</v>
      </c>
      <c r="F39" s="47">
        <f>F34</f>
        <v>1.3774999999999999</v>
      </c>
      <c r="G39" s="47">
        <f>G34</f>
        <v>2.5000000000000001E-3</v>
      </c>
      <c r="H39" s="15">
        <v>74.900000000000006</v>
      </c>
      <c r="I39" s="49">
        <f>I34</f>
        <v>0.3</v>
      </c>
      <c r="J39" s="62">
        <v>0.2</v>
      </c>
      <c r="K39" s="30">
        <f t="shared" ref="K39" si="75">0.5*B39*10^-3</f>
        <v>1E-3</v>
      </c>
      <c r="L39" s="17">
        <f t="shared" si="0"/>
        <v>2.6702269692923898E-3</v>
      </c>
      <c r="M39" s="17">
        <f>(($K$39/H39)^2+($J$39*$I$39/H39^2)^2)^(1/2)</f>
        <v>1.7106706942119941E-5</v>
      </c>
      <c r="N39" s="40">
        <f>(L39+L40+L41+L42+L43)/5</f>
        <v>2.654035384232682E-3</v>
      </c>
      <c r="O39" s="32">
        <f t="shared" ref="O39" si="76">(SUMSQ(M39:M43)/25)^(1/2)</f>
        <v>7.5910153311779477E-6</v>
      </c>
      <c r="P39" s="35">
        <f t="shared" ref="P39" si="77">_xlfn.STDEV.S(L39:L43)</f>
        <v>6.3404518771783403E-5</v>
      </c>
      <c r="Q39" s="30">
        <f>Q34</f>
        <v>1.1476</v>
      </c>
      <c r="R39" s="30">
        <f>R34</f>
        <v>2.0000000000000001E-4</v>
      </c>
      <c r="S39" s="90">
        <f t="shared" ref="S39" si="78">N39/(F39-Q39)*10^(-3)</f>
        <v>1.154430354168196E-5</v>
      </c>
      <c r="T39" s="89">
        <f>((O39/(F39-Q39))^2+(N39*G39/(F39-Q39)^2)^2+(N39*R39/(F39-Q39)^2)^2)^(1/2)*10^-3</f>
        <v>1.3019378482831071E-7</v>
      </c>
      <c r="U39" s="26">
        <f t="shared" ref="U39" si="79">1+2.1*0.5*B39/$D$45</f>
        <v>1.056</v>
      </c>
      <c r="V39" s="26">
        <f t="shared" ref="V39" si="80">2.1*C39*0.5/$D$45</f>
        <v>5.6000000000000006E-4</v>
      </c>
      <c r="W39" s="90">
        <f t="shared" ref="W39" si="81">S39*U39</f>
        <v>1.219078454001615E-5</v>
      </c>
      <c r="X39" s="89">
        <f t="shared" ref="X39" si="82">((T39*U39)^2+(S39*V39)^2)^(1/2)</f>
        <v>1.3763654717512613E-7</v>
      </c>
      <c r="Y39" s="73"/>
      <c r="Z39" s="70"/>
    </row>
    <row r="40" spans="2:26" x14ac:dyDescent="0.25">
      <c r="B40" s="58"/>
      <c r="C40" s="67"/>
      <c r="D40" s="79"/>
      <c r="E40" s="79"/>
      <c r="F40" s="45"/>
      <c r="G40" s="45"/>
      <c r="H40" s="9">
        <v>78.34</v>
      </c>
      <c r="I40" s="50"/>
      <c r="J40" s="62"/>
      <c r="K40" s="29"/>
      <c r="L40" s="18">
        <f t="shared" si="0"/>
        <v>2.5529742149604288E-3</v>
      </c>
      <c r="M40" s="18">
        <f t="shared" ref="M40:M43" si="83">(($K$39/H40)^2+($J$39*$I$39/H40^2)^2)^(1/2)</f>
        <v>1.6078625529446875E-5</v>
      </c>
      <c r="N40" s="41"/>
      <c r="O40" s="32"/>
      <c r="P40" s="35"/>
      <c r="Q40" s="29"/>
      <c r="R40" s="29"/>
      <c r="S40" s="90"/>
      <c r="T40" s="89"/>
      <c r="U40" s="26"/>
      <c r="V40" s="26"/>
      <c r="W40" s="90"/>
      <c r="X40" s="89"/>
      <c r="Y40" s="73"/>
      <c r="Z40" s="70"/>
    </row>
    <row r="41" spans="2:26" x14ac:dyDescent="0.25">
      <c r="B41" s="58"/>
      <c r="C41" s="67"/>
      <c r="D41" s="79"/>
      <c r="E41" s="79"/>
      <c r="F41" s="45"/>
      <c r="G41" s="45"/>
      <c r="H41" s="9">
        <v>75.86</v>
      </c>
      <c r="I41" s="50"/>
      <c r="J41" s="62"/>
      <c r="K41" s="29"/>
      <c r="L41" s="18">
        <f t="shared" si="0"/>
        <v>2.6364355391510679E-3</v>
      </c>
      <c r="M41" s="18">
        <f t="shared" si="83"/>
        <v>1.6806999019068159E-5</v>
      </c>
      <c r="N41" s="41"/>
      <c r="O41" s="32"/>
      <c r="P41" s="35"/>
      <c r="Q41" s="29"/>
      <c r="R41" s="29"/>
      <c r="S41" s="90"/>
      <c r="T41" s="89"/>
      <c r="U41" s="26"/>
      <c r="V41" s="26"/>
      <c r="W41" s="90"/>
      <c r="X41" s="89"/>
      <c r="Y41" s="73"/>
      <c r="Z41" s="70"/>
    </row>
    <row r="42" spans="2:26" x14ac:dyDescent="0.25">
      <c r="B42" s="58"/>
      <c r="C42" s="67"/>
      <c r="D42" s="79"/>
      <c r="E42" s="79"/>
      <c r="F42" s="45"/>
      <c r="G42" s="45"/>
      <c r="H42" s="9">
        <v>73.8</v>
      </c>
      <c r="I42" s="50"/>
      <c r="J42" s="62"/>
      <c r="K42" s="29"/>
      <c r="L42" s="18">
        <f t="shared" si="0"/>
        <v>2.7100271002710031E-3</v>
      </c>
      <c r="M42" s="18">
        <f t="shared" si="83"/>
        <v>1.7463292566734726E-5</v>
      </c>
      <c r="N42" s="41"/>
      <c r="O42" s="32"/>
      <c r="P42" s="35"/>
      <c r="Q42" s="29"/>
      <c r="R42" s="29"/>
      <c r="S42" s="90"/>
      <c r="T42" s="89"/>
      <c r="U42" s="26"/>
      <c r="V42" s="26"/>
      <c r="W42" s="90"/>
      <c r="X42" s="89"/>
      <c r="Y42" s="73"/>
      <c r="Z42" s="70"/>
    </row>
    <row r="43" spans="2:26" ht="15.75" thickBot="1" x14ac:dyDescent="0.3">
      <c r="B43" s="59"/>
      <c r="C43" s="68"/>
      <c r="D43" s="80"/>
      <c r="E43" s="80"/>
      <c r="F43" s="48"/>
      <c r="G43" s="48"/>
      <c r="H43" s="11">
        <v>74.06</v>
      </c>
      <c r="I43" s="52"/>
      <c r="J43" s="63"/>
      <c r="K43" s="34"/>
      <c r="L43" s="20">
        <f t="shared" si="0"/>
        <v>2.7005130974885228E-3</v>
      </c>
      <c r="M43" s="20">
        <f t="shared" si="83"/>
        <v>1.7377698907979166E-5</v>
      </c>
      <c r="N43" s="43"/>
      <c r="O43" s="33"/>
      <c r="P43" s="36"/>
      <c r="Q43" s="34"/>
      <c r="R43" s="34"/>
      <c r="S43" s="92"/>
      <c r="T43" s="91"/>
      <c r="U43" s="27"/>
      <c r="V43" s="27"/>
      <c r="W43" s="92"/>
      <c r="X43" s="91"/>
      <c r="Y43" s="74"/>
      <c r="Z43" s="71"/>
    </row>
    <row r="45" spans="2:26" x14ac:dyDescent="0.25">
      <c r="C45" t="s">
        <v>5</v>
      </c>
      <c r="D45">
        <v>37.5</v>
      </c>
    </row>
  </sheetData>
  <mergeCells count="163">
    <mergeCell ref="W24:W28"/>
    <mergeCell ref="X24:X28"/>
    <mergeCell ref="W29:W33"/>
    <mergeCell ref="X29:X33"/>
    <mergeCell ref="W34:W38"/>
    <mergeCell ref="X34:X38"/>
    <mergeCell ref="W39:W43"/>
    <mergeCell ref="X39:X43"/>
    <mergeCell ref="Z4:Z43"/>
    <mergeCell ref="W4:W8"/>
    <mergeCell ref="X4:X8"/>
    <mergeCell ref="W9:W13"/>
    <mergeCell ref="X9:X13"/>
    <mergeCell ref="W14:W18"/>
    <mergeCell ref="X14:X18"/>
    <mergeCell ref="W19:W23"/>
    <mergeCell ref="X19:X23"/>
    <mergeCell ref="Y4:Y8"/>
    <mergeCell ref="Y9:Y43"/>
    <mergeCell ref="U4:U8"/>
    <mergeCell ref="U9:U13"/>
    <mergeCell ref="U14:U18"/>
    <mergeCell ref="U19:U23"/>
    <mergeCell ref="U24:U28"/>
    <mergeCell ref="U29:U33"/>
    <mergeCell ref="U34:U38"/>
    <mergeCell ref="U39:U43"/>
    <mergeCell ref="C4:C8"/>
    <mergeCell ref="C9:C13"/>
    <mergeCell ref="C14:C18"/>
    <mergeCell ref="C19:C23"/>
    <mergeCell ref="C24:C28"/>
    <mergeCell ref="C29:C33"/>
    <mergeCell ref="C34:C38"/>
    <mergeCell ref="C39:C43"/>
    <mergeCell ref="E4:E8"/>
    <mergeCell ref="E9:E13"/>
    <mergeCell ref="E14:E18"/>
    <mergeCell ref="E19:E23"/>
    <mergeCell ref="E24:E28"/>
    <mergeCell ref="E29:E33"/>
    <mergeCell ref="E34:E38"/>
    <mergeCell ref="E39:E43"/>
    <mergeCell ref="S29:S33"/>
    <mergeCell ref="S34:S38"/>
    <mergeCell ref="S39:S43"/>
    <mergeCell ref="T4:T8"/>
    <mergeCell ref="T9:T13"/>
    <mergeCell ref="T14:T18"/>
    <mergeCell ref="T19:T23"/>
    <mergeCell ref="T24:T28"/>
    <mergeCell ref="T29:T33"/>
    <mergeCell ref="T34:T38"/>
    <mergeCell ref="T39:T43"/>
    <mergeCell ref="S4:S8"/>
    <mergeCell ref="S9:S13"/>
    <mergeCell ref="S14:S18"/>
    <mergeCell ref="S19:S23"/>
    <mergeCell ref="S24:S28"/>
    <mergeCell ref="B34:B38"/>
    <mergeCell ref="B39:B43"/>
    <mergeCell ref="J4:J8"/>
    <mergeCell ref="J9:J13"/>
    <mergeCell ref="J14:J18"/>
    <mergeCell ref="J19:J23"/>
    <mergeCell ref="J24:J28"/>
    <mergeCell ref="J29:J33"/>
    <mergeCell ref="J34:J38"/>
    <mergeCell ref="J39:J43"/>
    <mergeCell ref="B4:B8"/>
    <mergeCell ref="B9:B13"/>
    <mergeCell ref="B14:B18"/>
    <mergeCell ref="B19:B23"/>
    <mergeCell ref="B24:B28"/>
    <mergeCell ref="B29:B33"/>
    <mergeCell ref="F4:F8"/>
    <mergeCell ref="F9:F13"/>
    <mergeCell ref="F14:F18"/>
    <mergeCell ref="F19:F23"/>
    <mergeCell ref="F24:F28"/>
    <mergeCell ref="F29:F33"/>
    <mergeCell ref="F34:F38"/>
    <mergeCell ref="F39:F43"/>
    <mergeCell ref="G4:G8"/>
    <mergeCell ref="G9:G13"/>
    <mergeCell ref="G14:G18"/>
    <mergeCell ref="G19:G23"/>
    <mergeCell ref="G24:G28"/>
    <mergeCell ref="G29:G33"/>
    <mergeCell ref="G34:G38"/>
    <mergeCell ref="G39:G43"/>
    <mergeCell ref="Q4:Q8"/>
    <mergeCell ref="I29:I33"/>
    <mergeCell ref="I34:I38"/>
    <mergeCell ref="I39:I43"/>
    <mergeCell ref="K4:K8"/>
    <mergeCell ref="K9:K13"/>
    <mergeCell ref="K14:K18"/>
    <mergeCell ref="K19:K23"/>
    <mergeCell ref="K24:K28"/>
    <mergeCell ref="K29:K33"/>
    <mergeCell ref="I4:I8"/>
    <mergeCell ref="I9:I13"/>
    <mergeCell ref="I14:I18"/>
    <mergeCell ref="I19:I23"/>
    <mergeCell ref="I24:I28"/>
    <mergeCell ref="K34:K38"/>
    <mergeCell ref="R4:R8"/>
    <mergeCell ref="Q9:Q13"/>
    <mergeCell ref="R9:R13"/>
    <mergeCell ref="Q14:Q18"/>
    <mergeCell ref="R14:R18"/>
    <mergeCell ref="Q34:Q38"/>
    <mergeCell ref="R34:R38"/>
    <mergeCell ref="Q39:Q43"/>
    <mergeCell ref="R39:R43"/>
    <mergeCell ref="Q19:Q23"/>
    <mergeCell ref="R19:R23"/>
    <mergeCell ref="Q24:Q28"/>
    <mergeCell ref="R24:R28"/>
    <mergeCell ref="Q29:Q33"/>
    <mergeCell ref="R29:R33"/>
    <mergeCell ref="K39:K43"/>
    <mergeCell ref="P39:P43"/>
    <mergeCell ref="O19:O23"/>
    <mergeCell ref="P19:P23"/>
    <mergeCell ref="O24:O28"/>
    <mergeCell ref="P24:P28"/>
    <mergeCell ref="O29:O33"/>
    <mergeCell ref="P29:P33"/>
    <mergeCell ref="N4:N8"/>
    <mergeCell ref="N9:N13"/>
    <mergeCell ref="N14:N18"/>
    <mergeCell ref="N19:N23"/>
    <mergeCell ref="N24:N28"/>
    <mergeCell ref="N29:N33"/>
    <mergeCell ref="N34:N38"/>
    <mergeCell ref="N39:N43"/>
    <mergeCell ref="O4:O8"/>
    <mergeCell ref="V4:V8"/>
    <mergeCell ref="V9:V13"/>
    <mergeCell ref="V14:V18"/>
    <mergeCell ref="V19:V23"/>
    <mergeCell ref="V24:V28"/>
    <mergeCell ref="V29:V33"/>
    <mergeCell ref="V34:V38"/>
    <mergeCell ref="V39:V43"/>
    <mergeCell ref="D4:D8"/>
    <mergeCell ref="D9:D13"/>
    <mergeCell ref="D14:D18"/>
    <mergeCell ref="D19:D23"/>
    <mergeCell ref="D24:D28"/>
    <mergeCell ref="D29:D33"/>
    <mergeCell ref="D34:D38"/>
    <mergeCell ref="D39:D43"/>
    <mergeCell ref="P4:P8"/>
    <mergeCell ref="O9:O13"/>
    <mergeCell ref="P9:P13"/>
    <mergeCell ref="O14:O18"/>
    <mergeCell ref="P14:P18"/>
    <mergeCell ref="O34:O38"/>
    <mergeCell ref="P34:P38"/>
    <mergeCell ref="O39:O43"/>
  </mergeCells>
  <pageMargins left="0" right="0.39370078740157483" top="1.3779527559055118" bottom="0" header="0" footer="0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1</v>
      </c>
      <c r="C2" s="5" t="s">
        <v>2</v>
      </c>
      <c r="D2" s="5" t="s">
        <v>0</v>
      </c>
      <c r="E2" s="7" t="s">
        <v>3</v>
      </c>
      <c r="F2" s="6" t="s">
        <v>4</v>
      </c>
    </row>
    <row r="3" spans="2:6" x14ac:dyDescent="0.25">
      <c r="B3" s="8">
        <v>550</v>
      </c>
      <c r="C3" s="9">
        <v>0</v>
      </c>
      <c r="D3" s="1">
        <v>0</v>
      </c>
      <c r="E3" s="75">
        <v>4</v>
      </c>
      <c r="F3" s="69">
        <f>273.15+23.9</f>
        <v>297.04999999999995</v>
      </c>
    </row>
    <row r="4" spans="2:6" x14ac:dyDescent="0.25">
      <c r="B4" s="8">
        <v>549.5</v>
      </c>
      <c r="C4" s="9">
        <v>5</v>
      </c>
      <c r="D4" s="1">
        <v>99</v>
      </c>
      <c r="E4" s="75"/>
      <c r="F4" s="70"/>
    </row>
    <row r="5" spans="2:6" x14ac:dyDescent="0.25">
      <c r="B5" s="8">
        <v>549</v>
      </c>
      <c r="C5" s="9">
        <v>10</v>
      </c>
      <c r="D5" s="1">
        <v>226</v>
      </c>
      <c r="E5" s="75"/>
      <c r="F5" s="70"/>
    </row>
    <row r="6" spans="2:6" x14ac:dyDescent="0.25">
      <c r="B6" s="8">
        <v>548.5</v>
      </c>
      <c r="C6" s="9">
        <v>15</v>
      </c>
      <c r="D6" s="1">
        <v>357</v>
      </c>
      <c r="E6" s="75"/>
      <c r="F6" s="70"/>
    </row>
    <row r="7" spans="2:6" x14ac:dyDescent="0.25">
      <c r="B7" s="8">
        <v>548</v>
      </c>
      <c r="C7" s="9">
        <v>20</v>
      </c>
      <c r="D7" s="1">
        <v>485</v>
      </c>
      <c r="E7" s="75"/>
      <c r="F7" s="70"/>
    </row>
    <row r="8" spans="2:6" x14ac:dyDescent="0.25">
      <c r="B8" s="8">
        <v>547.5</v>
      </c>
      <c r="C8" s="9">
        <v>25</v>
      </c>
      <c r="D8" s="1">
        <v>616</v>
      </c>
      <c r="E8" s="75"/>
      <c r="F8" s="70"/>
    </row>
    <row r="9" spans="2:6" ht="15.75" thickBot="1" x14ac:dyDescent="0.3">
      <c r="B9" s="10">
        <v>547</v>
      </c>
      <c r="C9" s="11">
        <v>30</v>
      </c>
      <c r="D9" s="2">
        <v>744</v>
      </c>
      <c r="E9" s="76"/>
      <c r="F9" s="71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2018-01-10T21:02:06Z</cp:lastPrinted>
  <dcterms:created xsi:type="dcterms:W3CDTF">2018-01-10T19:30:26Z</dcterms:created>
  <dcterms:modified xsi:type="dcterms:W3CDTF">2018-01-10T22:48:04Z</dcterms:modified>
</cp:coreProperties>
</file>