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orben Frey\Desktop\"/>
    </mc:Choice>
  </mc:AlternateContent>
  <bookViews>
    <workbookView xWindow="0" yWindow="0" windowWidth="14370" windowHeight="47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M29" i="1" s="1"/>
  <c r="K23" i="1"/>
  <c r="M23" i="1" s="1"/>
  <c r="K17" i="1"/>
  <c r="M17" i="1" s="1"/>
  <c r="K10" i="1"/>
  <c r="M10" i="1" s="1"/>
  <c r="J29" i="1"/>
  <c r="L29" i="1" s="1"/>
  <c r="J23" i="1"/>
  <c r="L23" i="1" s="1"/>
  <c r="J17" i="1"/>
  <c r="L17" i="1" s="1"/>
  <c r="J10" i="1"/>
  <c r="L10" i="1" s="1"/>
  <c r="I20" i="1"/>
  <c r="O20" i="1" s="1"/>
  <c r="G20" i="1"/>
  <c r="F20" i="1"/>
  <c r="E20" i="1"/>
  <c r="D20" i="1"/>
  <c r="C20" i="1"/>
  <c r="B20" i="1"/>
  <c r="I19" i="1"/>
  <c r="O19" i="1" s="1"/>
  <c r="G19" i="1"/>
  <c r="F19" i="1"/>
  <c r="E19" i="1"/>
  <c r="M20" i="1" s="1"/>
  <c r="D19" i="1"/>
  <c r="C19" i="1"/>
  <c r="B19" i="1"/>
  <c r="J20" i="1" s="1"/>
  <c r="I26" i="1"/>
  <c r="O26" i="1" s="1"/>
  <c r="G26" i="1"/>
  <c r="F26" i="1"/>
  <c r="E26" i="1"/>
  <c r="D26" i="1"/>
  <c r="C26" i="1"/>
  <c r="B26" i="1"/>
  <c r="I25" i="1"/>
  <c r="O25" i="1" s="1"/>
  <c r="G25" i="1"/>
  <c r="F25" i="1"/>
  <c r="M25" i="1" s="1"/>
  <c r="E25" i="1"/>
  <c r="D25" i="1"/>
  <c r="M26" i="1" s="1"/>
  <c r="C25" i="1"/>
  <c r="B25" i="1"/>
  <c r="J26" i="1" s="1"/>
  <c r="I32" i="1"/>
  <c r="O32" i="1" s="1"/>
  <c r="G32" i="1"/>
  <c r="F32" i="1"/>
  <c r="E32" i="1"/>
  <c r="D32" i="1"/>
  <c r="C32" i="1"/>
  <c r="B32" i="1"/>
  <c r="I31" i="1"/>
  <c r="O31" i="1" s="1"/>
  <c r="G31" i="1"/>
  <c r="F31" i="1"/>
  <c r="E31" i="1"/>
  <c r="M31" i="1" s="1"/>
  <c r="D31" i="1"/>
  <c r="M32" i="1" s="1"/>
  <c r="C31" i="1"/>
  <c r="B31" i="1"/>
  <c r="J31" i="1" s="1"/>
  <c r="K31" i="1" s="1"/>
  <c r="N32" i="1" l="1"/>
  <c r="N31" i="1"/>
  <c r="N19" i="1"/>
  <c r="N20" i="1"/>
  <c r="L32" i="1"/>
  <c r="L31" i="1"/>
  <c r="N26" i="1"/>
  <c r="N25" i="1"/>
  <c r="L26" i="1"/>
  <c r="L25" i="1"/>
  <c r="P31" i="1"/>
  <c r="Q31" i="1"/>
  <c r="M19" i="1"/>
  <c r="J32" i="1"/>
  <c r="K32" i="1" s="1"/>
  <c r="Q32" i="1" s="1"/>
  <c r="J25" i="1"/>
  <c r="K25" i="1" s="1"/>
  <c r="P25" i="1" s="1"/>
  <c r="J19" i="1"/>
  <c r="K19" i="1" s="1"/>
  <c r="P19" i="1" s="1"/>
  <c r="P32" i="1"/>
  <c r="C13" i="1"/>
  <c r="D13" i="1"/>
  <c r="E13" i="1"/>
  <c r="M13" i="1" s="1"/>
  <c r="F13" i="1"/>
  <c r="G13" i="1"/>
  <c r="I13" i="1"/>
  <c r="O13" i="1" s="1"/>
  <c r="C14" i="1"/>
  <c r="D14" i="1"/>
  <c r="E14" i="1"/>
  <c r="F14" i="1"/>
  <c r="G14" i="1"/>
  <c r="I14" i="1"/>
  <c r="O14" i="1" s="1"/>
  <c r="B14" i="1"/>
  <c r="B13" i="1"/>
  <c r="C7" i="1"/>
  <c r="D7" i="1"/>
  <c r="E7" i="1"/>
  <c r="F7" i="1"/>
  <c r="G7" i="1"/>
  <c r="I7" i="1"/>
  <c r="O7" i="1" s="1"/>
  <c r="B6" i="1"/>
  <c r="B7" i="1"/>
  <c r="I6" i="1"/>
  <c r="O6" i="1" s="1"/>
  <c r="C6" i="1"/>
  <c r="D6" i="1"/>
  <c r="E6" i="1"/>
  <c r="F6" i="1"/>
  <c r="G6" i="1"/>
  <c r="M6" i="1" l="1"/>
  <c r="J14" i="1"/>
  <c r="J13" i="1"/>
  <c r="K13" i="1" s="1"/>
  <c r="N14" i="1"/>
  <c r="N13" i="1"/>
  <c r="M14" i="1"/>
  <c r="L14" i="1" s="1"/>
  <c r="Q19" i="1"/>
  <c r="N7" i="1"/>
  <c r="N6" i="1"/>
  <c r="M7" i="1"/>
  <c r="J7" i="1"/>
  <c r="K7" i="1" s="1"/>
  <c r="P7" i="1" s="1"/>
  <c r="J6" i="1"/>
  <c r="K6" i="1" s="1"/>
  <c r="P6" i="1" s="1"/>
  <c r="L20" i="1"/>
  <c r="L19" i="1"/>
  <c r="Q25" i="1"/>
  <c r="L13" i="1"/>
  <c r="K20" i="1"/>
  <c r="K26" i="1"/>
  <c r="P26" i="1" s="1"/>
  <c r="K14" i="1" l="1"/>
  <c r="Q14" i="1" s="1"/>
  <c r="Q13" i="1"/>
  <c r="P13" i="1"/>
  <c r="L7" i="1"/>
  <c r="L6" i="1"/>
  <c r="Q20" i="1"/>
  <c r="P20" i="1"/>
  <c r="Q26" i="1"/>
  <c r="P14" i="1"/>
</calcChain>
</file>

<file path=xl/sharedStrings.xml><?xml version="1.0" encoding="utf-8"?>
<sst xmlns="http://schemas.openxmlformats.org/spreadsheetml/2006/main" count="89" uniqueCount="30">
  <si>
    <t>Nr</t>
  </si>
  <si>
    <t>Uh [V]</t>
  </si>
  <si>
    <t>Ih [A]</t>
  </si>
  <si>
    <t>DM [ml/min]</t>
  </si>
  <si>
    <t>T1 [°C]</t>
  </si>
  <si>
    <t>T2 [°C]</t>
  </si>
  <si>
    <t>Frequenz [RPM]</t>
  </si>
  <si>
    <t>Fläche [hPacm^3]</t>
  </si>
  <si>
    <t>Mittelwert</t>
  </si>
  <si>
    <t>Standartabweichung</t>
  </si>
  <si>
    <t>Δ Frq. [RPM]</t>
  </si>
  <si>
    <t>Daten aus Tab 4</t>
  </si>
  <si>
    <t>Pel</t>
  </si>
  <si>
    <t>Qel</t>
  </si>
  <si>
    <t>Pab</t>
  </si>
  <si>
    <t>Qab</t>
  </si>
  <si>
    <t>Ppv</t>
  </si>
  <si>
    <t>Qpv</t>
  </si>
  <si>
    <t>ηth</t>
  </si>
  <si>
    <t>D</t>
  </si>
  <si>
    <t>Wd</t>
  </si>
  <si>
    <t>ΔD</t>
  </si>
  <si>
    <t>ΔWd</t>
  </si>
  <si>
    <t>ηeff</t>
  </si>
  <si>
    <t>Wert</t>
  </si>
  <si>
    <t>Fehler</t>
  </si>
  <si>
    <t>Daten aus Tab 5</t>
  </si>
  <si>
    <t>Daten aus Tab 6</t>
  </si>
  <si>
    <t>Daten aus Tab 8</t>
  </si>
  <si>
    <t>Daten aus Tab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</si>
</sst>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"/>
    <numFmt numFmtId="166" formatCode="0.000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7" xfId="0" applyBorder="1"/>
    <xf numFmtId="0" fontId="0" fillId="0" borderId="10" xfId="0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2" fontId="0" fillId="0" borderId="5" xfId="0" applyNumberFormat="1" applyBorder="1"/>
    <xf numFmtId="2" fontId="0" fillId="0" borderId="11" xfId="0" applyNumberFormat="1" applyBorder="1"/>
    <xf numFmtId="166" fontId="0" fillId="0" borderId="5" xfId="0" applyNumberFormat="1" applyBorder="1"/>
    <xf numFmtId="166" fontId="0" fillId="0" borderId="11" xfId="0" applyNumberFormat="1" applyBorder="1"/>
    <xf numFmtId="166" fontId="0" fillId="0" borderId="8" xfId="0" applyNumberFormat="1" applyBorder="1"/>
    <xf numFmtId="165" fontId="0" fillId="0" borderId="13" xfId="0" applyNumberFormat="1" applyFill="1" applyBorder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4" xfId="0" applyFill="1" applyBorder="1"/>
    <xf numFmtId="165" fontId="0" fillId="0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zoomScale="115" zoomScaleNormal="115" workbookViewId="0">
      <selection activeCell="K34" sqref="K34"/>
    </sheetView>
  </sheetViews>
  <sheetFormatPr baseColWidth="10" defaultRowHeight="15" x14ac:dyDescent="0.25"/>
  <cols>
    <col min="1" max="1" width="19.28515625" bestFit="1" customWidth="1"/>
    <col min="4" max="4" width="12.42578125" bestFit="1" customWidth="1"/>
    <col min="7" max="7" width="15.140625" bestFit="1" customWidth="1"/>
    <col min="8" max="8" width="11.85546875" bestFit="1" customWidth="1"/>
    <col min="9" max="9" width="16.5703125" bestFit="1" customWidth="1"/>
    <col min="11" max="11" width="12" bestFit="1" customWidth="1"/>
    <col min="13" max="13" width="12" bestFit="1" customWidth="1"/>
    <col min="15" max="15" width="12" bestFit="1" customWidth="1"/>
  </cols>
  <sheetData>
    <row r="1" spans="1:18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</v>
      </c>
      <c r="I1" s="3" t="s">
        <v>7</v>
      </c>
    </row>
    <row r="2" spans="1:18" x14ac:dyDescent="0.25">
      <c r="A2" s="4">
        <v>1</v>
      </c>
      <c r="B2" s="13">
        <v>12.39</v>
      </c>
      <c r="C2" s="15">
        <v>2.7</v>
      </c>
      <c r="D2" s="7">
        <v>218.3</v>
      </c>
      <c r="E2" s="15">
        <v>24.7</v>
      </c>
      <c r="F2" s="15">
        <v>17.5</v>
      </c>
      <c r="G2" s="7">
        <v>374.7</v>
      </c>
      <c r="H2" s="7">
        <v>0.3</v>
      </c>
      <c r="I2" s="8">
        <v>23697</v>
      </c>
    </row>
    <row r="3" spans="1:18" x14ac:dyDescent="0.25">
      <c r="A3" s="4">
        <v>2</v>
      </c>
      <c r="B3" s="13">
        <v>12.42</v>
      </c>
      <c r="C3" s="15">
        <v>2.72</v>
      </c>
      <c r="D3" s="7">
        <v>217.2</v>
      </c>
      <c r="E3" s="15">
        <v>24.8</v>
      </c>
      <c r="F3" s="15">
        <v>17.2</v>
      </c>
      <c r="G3" s="7">
        <v>375.3</v>
      </c>
      <c r="H3" s="7">
        <v>0.2</v>
      </c>
      <c r="I3" s="8">
        <v>23499</v>
      </c>
    </row>
    <row r="4" spans="1:18" x14ac:dyDescent="0.25">
      <c r="A4" s="4">
        <v>3</v>
      </c>
      <c r="B4" s="13">
        <v>12.44</v>
      </c>
      <c r="C4" s="15">
        <v>2.72</v>
      </c>
      <c r="D4" s="7">
        <v>219</v>
      </c>
      <c r="E4" s="15">
        <v>24.9</v>
      </c>
      <c r="F4" s="15">
        <v>17.5</v>
      </c>
      <c r="G4" s="7">
        <v>373.7</v>
      </c>
      <c r="H4" s="7">
        <v>0.3</v>
      </c>
      <c r="I4" s="8">
        <v>23157</v>
      </c>
    </row>
    <row r="5" spans="1:18" x14ac:dyDescent="0.25">
      <c r="A5" s="4">
        <v>4</v>
      </c>
      <c r="B5" s="13">
        <v>12.45</v>
      </c>
      <c r="C5" s="15">
        <v>2.72</v>
      </c>
      <c r="D5" s="7">
        <v>218.8</v>
      </c>
      <c r="E5" s="15">
        <v>24.8</v>
      </c>
      <c r="F5" s="15">
        <v>17.5</v>
      </c>
      <c r="G5" s="7">
        <v>374.6</v>
      </c>
      <c r="H5" s="7">
        <v>0.2</v>
      </c>
      <c r="I5" s="8">
        <v>23517</v>
      </c>
      <c r="J5" t="s">
        <v>12</v>
      </c>
      <c r="K5" t="s">
        <v>13</v>
      </c>
      <c r="L5" t="s">
        <v>14</v>
      </c>
      <c r="M5" t="s">
        <v>15</v>
      </c>
      <c r="N5" t="s">
        <v>16</v>
      </c>
      <c r="O5" t="s">
        <v>17</v>
      </c>
      <c r="P5" s="19" t="s">
        <v>18</v>
      </c>
      <c r="Q5" s="19"/>
    </row>
    <row r="6" spans="1:18" x14ac:dyDescent="0.25">
      <c r="A6" s="4" t="s">
        <v>8</v>
      </c>
      <c r="B6" s="13">
        <f>AVERAGE(B2:B5)</f>
        <v>12.425000000000001</v>
      </c>
      <c r="C6" s="15">
        <f t="shared" ref="C6:G6" si="0">AVERAGE(C2:C5)</f>
        <v>2.7150000000000003</v>
      </c>
      <c r="D6" s="7">
        <f t="shared" si="0"/>
        <v>218.32499999999999</v>
      </c>
      <c r="E6" s="15">
        <f t="shared" si="0"/>
        <v>24.8</v>
      </c>
      <c r="F6" s="15">
        <f t="shared" si="0"/>
        <v>17.425000000000001</v>
      </c>
      <c r="G6" s="7">
        <f t="shared" si="0"/>
        <v>374.57500000000005</v>
      </c>
      <c r="H6" s="7"/>
      <c r="I6" s="8">
        <f>AVERAGE(I2:I5)</f>
        <v>23467.5</v>
      </c>
      <c r="J6" s="18">
        <f>B6*C6*5</f>
        <v>168.66937500000003</v>
      </c>
      <c r="K6" s="20">
        <f>J6/(G6/60)</f>
        <v>27.017720082760462</v>
      </c>
      <c r="L6" s="20">
        <f>M6*G6/60</f>
        <v>112.22723718749998</v>
      </c>
      <c r="M6" s="20">
        <f>4182*1000*(E6-F6)*(D6)*(10^(-6))/60/(G6/60)</f>
        <v>17.976731579123001</v>
      </c>
      <c r="N6" s="22">
        <f>O6*G6/60</f>
        <v>14.650564687500003</v>
      </c>
      <c r="O6" s="21">
        <f>I6*10^-4</f>
        <v>2.3467500000000001</v>
      </c>
      <c r="P6" s="21">
        <f>O6/K6</f>
        <v>8.6859660726791688E-2</v>
      </c>
      <c r="R6" t="s">
        <v>24</v>
      </c>
    </row>
    <row r="7" spans="1:18" x14ac:dyDescent="0.25">
      <c r="A7" s="4" t="s">
        <v>9</v>
      </c>
      <c r="B7" s="13">
        <f>_xlfn.STDEV.S(B2:B5)</f>
        <v>2.6457513110645342E-2</v>
      </c>
      <c r="C7" s="15">
        <f t="shared" ref="C7:I7" si="1">_xlfn.STDEV.S(C2:C5)</f>
        <v>1.0000000000000009E-2</v>
      </c>
      <c r="D7" s="7">
        <f t="shared" si="1"/>
        <v>0.80570879768479542</v>
      </c>
      <c r="E7" s="15">
        <f t="shared" si="1"/>
        <v>8.1649658092772318E-2</v>
      </c>
      <c r="F7" s="15">
        <f t="shared" si="1"/>
        <v>0.15000000000000036</v>
      </c>
      <c r="G7" s="7">
        <f t="shared" si="1"/>
        <v>0.66017674401128734</v>
      </c>
      <c r="H7" s="7"/>
      <c r="I7" s="8">
        <f t="shared" si="1"/>
        <v>225.47948908936263</v>
      </c>
      <c r="J7" s="18">
        <f>((B6*0.06*5)^2+(B7*C6*5))^(1/2)</f>
        <v>3.775369781952095</v>
      </c>
      <c r="K7" s="20">
        <f>((J7/(G6*60))^2+(G7*J6/(G6/60)^2))^(1/2)</f>
        <v>1.6902879401427657</v>
      </c>
      <c r="L7" s="20">
        <f>((M6*G7/60)^2+(M7*G6/60)^2)^(1/2)</f>
        <v>2.6489631817987616</v>
      </c>
      <c r="M7" s="20">
        <f>((4182*1000*D6*10^(-6)/60/(G6/60)*0.17095)^2+((4182*1000*(E6-F6)*D7*10^-6/60)/(G6/60))^2+((4182*1000*(E6-F6)*(D6*10^-6/60)*G7/60)/(G6/60)^2)^2)^(1/2)</f>
        <v>0.42313045164587687</v>
      </c>
      <c r="N7" s="22">
        <f>((O6*G7/60)^2+(O7*G6/60)^2)^(1/2)</f>
        <v>0.1431136196122901</v>
      </c>
      <c r="O7" s="21">
        <f>I7*10^-4</f>
        <v>2.2547948908936265E-2</v>
      </c>
      <c r="P7" s="21">
        <f>((O7/K6)^2+(O6*K7/(K6^2))^2)^(1/2)</f>
        <v>5.4978427893429532E-3</v>
      </c>
      <c r="R7" t="s">
        <v>25</v>
      </c>
    </row>
    <row r="8" spans="1:18" x14ac:dyDescent="0.25">
      <c r="A8" s="6" t="s">
        <v>11</v>
      </c>
      <c r="B8" s="14"/>
      <c r="C8" s="16"/>
      <c r="D8" s="9"/>
      <c r="E8" s="16"/>
      <c r="F8" s="16"/>
      <c r="G8" s="9"/>
      <c r="H8" s="9"/>
      <c r="I8" s="10"/>
    </row>
    <row r="9" spans="1:18" x14ac:dyDescent="0.25">
      <c r="A9" s="24"/>
      <c r="B9" s="13"/>
      <c r="C9" s="15"/>
      <c r="D9" s="7"/>
      <c r="E9" s="15"/>
      <c r="F9" s="15"/>
      <c r="G9" s="7"/>
      <c r="H9" s="7"/>
      <c r="I9" s="8"/>
      <c r="J9" t="s">
        <v>19</v>
      </c>
      <c r="K9" s="19" t="s">
        <v>21</v>
      </c>
      <c r="L9" t="s">
        <v>20</v>
      </c>
      <c r="M9" s="19" t="s">
        <v>22</v>
      </c>
    </row>
    <row r="10" spans="1:18" x14ac:dyDescent="0.25">
      <c r="A10" s="4">
        <v>1</v>
      </c>
      <c r="B10" s="13">
        <v>12.75</v>
      </c>
      <c r="C10" s="15">
        <v>2.74</v>
      </c>
      <c r="D10" s="7">
        <v>217.6</v>
      </c>
      <c r="E10" s="7">
        <v>23.7</v>
      </c>
      <c r="F10" s="7">
        <v>17.5</v>
      </c>
      <c r="G10" s="7">
        <v>251.4</v>
      </c>
      <c r="H10" s="7">
        <v>0.3</v>
      </c>
      <c r="I10" s="8">
        <v>31046</v>
      </c>
      <c r="J10">
        <f>0.79*0.25</f>
        <v>0.19750000000000001</v>
      </c>
      <c r="K10">
        <f>0.01*0.25</f>
        <v>2.5000000000000001E-3</v>
      </c>
      <c r="L10">
        <f>2*3.1416*J10</f>
        <v>1.2409320000000001</v>
      </c>
      <c r="M10">
        <f>2*3.1416*K10</f>
        <v>1.5708E-2</v>
      </c>
    </row>
    <row r="11" spans="1:18" x14ac:dyDescent="0.25">
      <c r="A11" s="4">
        <v>2</v>
      </c>
      <c r="B11" s="13">
        <v>12.44</v>
      </c>
      <c r="C11" s="15">
        <v>2.74</v>
      </c>
      <c r="D11" s="7">
        <v>218.6</v>
      </c>
      <c r="E11" s="7">
        <v>23.5</v>
      </c>
      <c r="F11" s="7">
        <v>17.5</v>
      </c>
      <c r="G11" s="7">
        <v>262</v>
      </c>
      <c r="H11" s="7">
        <v>0.1</v>
      </c>
      <c r="I11" s="8">
        <v>31293</v>
      </c>
    </row>
    <row r="12" spans="1:18" x14ac:dyDescent="0.25">
      <c r="A12" s="4">
        <v>3</v>
      </c>
      <c r="B12" s="13">
        <v>12.45</v>
      </c>
      <c r="C12" s="15">
        <v>2.74</v>
      </c>
      <c r="D12" s="7">
        <v>220</v>
      </c>
      <c r="E12" s="7">
        <v>23.6</v>
      </c>
      <c r="F12" s="7">
        <v>17.5</v>
      </c>
      <c r="G12" s="7">
        <v>256.3</v>
      </c>
      <c r="H12" s="7">
        <v>0.2</v>
      </c>
      <c r="I12" s="8">
        <v>31520</v>
      </c>
      <c r="J12" t="s">
        <v>12</v>
      </c>
      <c r="K12" t="s">
        <v>13</v>
      </c>
      <c r="L12" t="s">
        <v>14</v>
      </c>
      <c r="M12" t="s">
        <v>15</v>
      </c>
      <c r="N12" t="s">
        <v>16</v>
      </c>
      <c r="O12" t="s">
        <v>17</v>
      </c>
      <c r="P12" s="19" t="s">
        <v>18</v>
      </c>
      <c r="Q12" s="19" t="s">
        <v>23</v>
      </c>
    </row>
    <row r="13" spans="1:18" x14ac:dyDescent="0.25">
      <c r="A13" s="4" t="s">
        <v>8</v>
      </c>
      <c r="B13" s="13">
        <f>AVERAGE(B10:B12)</f>
        <v>12.546666666666667</v>
      </c>
      <c r="C13" s="15">
        <f t="shared" ref="C13:I13" si="2">AVERAGE(C10:C12)</f>
        <v>2.74</v>
      </c>
      <c r="D13" s="7">
        <f t="shared" si="2"/>
        <v>218.73333333333335</v>
      </c>
      <c r="E13" s="7">
        <f t="shared" si="2"/>
        <v>23.600000000000005</v>
      </c>
      <c r="F13" s="7">
        <f t="shared" si="2"/>
        <v>17.5</v>
      </c>
      <c r="G13" s="7">
        <f t="shared" si="2"/>
        <v>256.56666666666666</v>
      </c>
      <c r="H13" s="7"/>
      <c r="I13" s="8">
        <f t="shared" si="2"/>
        <v>31286.333333333332</v>
      </c>
      <c r="J13" s="18">
        <f>B13*C13*5</f>
        <v>171.88933333333335</v>
      </c>
      <c r="K13" s="22">
        <f>J13/(G13/60)</f>
        <v>40.197583474080822</v>
      </c>
      <c r="L13" s="22">
        <f>M13*G13/60</f>
        <v>92.998851333333448</v>
      </c>
      <c r="M13" s="22">
        <f>4182*1000*(E13-F13)*(D13)*(10^(-6))/60/(G13/60)</f>
        <v>21.748464648564401</v>
      </c>
      <c r="N13" s="22">
        <f>O13*G13/60</f>
        <v>13.378383759259259</v>
      </c>
      <c r="O13" s="21">
        <f>I13*10^-4</f>
        <v>3.1286333333333332</v>
      </c>
      <c r="P13" s="21">
        <f>O13/K13</f>
        <v>7.7831378479521249E-2</v>
      </c>
      <c r="Q13" s="21">
        <f>L10/K13</f>
        <v>3.087081094812941E-2</v>
      </c>
      <c r="R13" t="s">
        <v>24</v>
      </c>
    </row>
    <row r="14" spans="1:18" x14ac:dyDescent="0.25">
      <c r="A14" s="4" t="s">
        <v>9</v>
      </c>
      <c r="B14" s="13">
        <f>_xlfn.STDEV.S(B10:B12)</f>
        <v>0.17616280348965116</v>
      </c>
      <c r="C14" s="15">
        <f t="shared" ref="C14:I14" si="3">_xlfn.STDEV.S(C10:C12)</f>
        <v>0</v>
      </c>
      <c r="D14" s="7">
        <f t="shared" si="3"/>
        <v>1.2055427546683446</v>
      </c>
      <c r="E14" s="7">
        <f t="shared" si="3"/>
        <v>9.9999999999999645E-2</v>
      </c>
      <c r="F14" s="7">
        <f t="shared" si="3"/>
        <v>0</v>
      </c>
      <c r="G14" s="7">
        <f t="shared" si="3"/>
        <v>5.3050290605550217</v>
      </c>
      <c r="H14" s="7"/>
      <c r="I14" s="8">
        <f t="shared" si="3"/>
        <v>237.07031305782115</v>
      </c>
      <c r="J14" s="18">
        <f>((B13*0.06*5)^2+(B14*C13*5))^(1/2)</f>
        <v>4.0719929282610767</v>
      </c>
      <c r="K14" s="22">
        <f>((J14/(G13*60))^2+(G14*J13/(G13/60)^2))^(1/2)</f>
        <v>7.0618642695949294</v>
      </c>
      <c r="L14" s="22">
        <f>((M13*G14/60)^2+(M14*G13/60)^2)^(1/2)</f>
        <v>3.8014020443560752</v>
      </c>
      <c r="M14" s="22">
        <f>((4182*1000*D13*10^(-6)/60/(G13/60)*0.17095)^2+((4182*1000*(E13-F13)*D14*10^-6/60)/(G13/60))^2+((4182*1000*(E13-F13)*(D13*10^-6/60)*G14/60)/(G13/60)^2)^2)^(1/2)</f>
        <v>0.76685848939366508</v>
      </c>
      <c r="N14" s="22">
        <f>((O13*G14/60)^2+(O14*G13/60)^2)^(1/2)</f>
        <v>0.29461495711890595</v>
      </c>
      <c r="O14" s="21">
        <f>I14*10^-4</f>
        <v>2.3707031305782115E-2</v>
      </c>
      <c r="P14" s="21">
        <f>((O14/K13)^2+(O13*K14/(K13^2))^2)^(1/2)</f>
        <v>1.3686038203405235E-2</v>
      </c>
      <c r="Q14" s="21">
        <f>((M10/K13)^2+(L10*K14/K13^2)^2)^(1/2)</f>
        <v>5.4374077104207075E-3</v>
      </c>
      <c r="R14" t="s">
        <v>25</v>
      </c>
    </row>
    <row r="15" spans="1:18" x14ac:dyDescent="0.25">
      <c r="A15" s="6" t="s">
        <v>26</v>
      </c>
      <c r="B15" s="14"/>
      <c r="C15" s="16"/>
      <c r="D15" s="9"/>
      <c r="E15" s="9"/>
      <c r="F15" s="9"/>
      <c r="G15" s="9"/>
      <c r="H15" s="9"/>
      <c r="I15" s="10"/>
    </row>
    <row r="16" spans="1:18" x14ac:dyDescent="0.25">
      <c r="A16" s="4">
        <v>1</v>
      </c>
      <c r="B16" s="15">
        <v>12.46</v>
      </c>
      <c r="C16" s="15">
        <v>2.74</v>
      </c>
      <c r="D16" s="7">
        <v>217</v>
      </c>
      <c r="E16" s="7">
        <v>24.1</v>
      </c>
      <c r="F16" s="7">
        <v>17.5</v>
      </c>
      <c r="G16" s="7">
        <v>285.3</v>
      </c>
      <c r="H16" s="7">
        <v>0.1</v>
      </c>
      <c r="I16" s="8">
        <v>29746</v>
      </c>
      <c r="J16" t="s">
        <v>19</v>
      </c>
      <c r="K16" s="19" t="s">
        <v>21</v>
      </c>
      <c r="L16" t="s">
        <v>20</v>
      </c>
      <c r="M16" s="19" t="s">
        <v>22</v>
      </c>
    </row>
    <row r="17" spans="1:18" x14ac:dyDescent="0.25">
      <c r="A17" s="4">
        <v>2</v>
      </c>
      <c r="B17" s="15">
        <v>12.44</v>
      </c>
      <c r="C17" s="15">
        <v>2.74</v>
      </c>
      <c r="D17" s="7">
        <v>219.1</v>
      </c>
      <c r="E17" s="7">
        <v>24.1</v>
      </c>
      <c r="F17" s="7">
        <v>24.1</v>
      </c>
      <c r="G17" s="7">
        <v>287.3</v>
      </c>
      <c r="H17" s="7">
        <v>0.3</v>
      </c>
      <c r="I17" s="8">
        <v>29482</v>
      </c>
      <c r="J17">
        <f>0.6*0.25</f>
        <v>0.15</v>
      </c>
      <c r="K17">
        <f>0.01*0.25</f>
        <v>2.5000000000000001E-3</v>
      </c>
      <c r="L17">
        <f>2*3.1416*J17</f>
        <v>0.94247999999999998</v>
      </c>
      <c r="M17">
        <f>2*3.1416*K17</f>
        <v>1.5708E-2</v>
      </c>
    </row>
    <row r="18" spans="1:18" x14ac:dyDescent="0.25">
      <c r="A18" s="4">
        <v>3</v>
      </c>
      <c r="B18" s="15">
        <v>12.43</v>
      </c>
      <c r="C18" s="15">
        <v>2.74</v>
      </c>
      <c r="D18" s="7">
        <v>218.3</v>
      </c>
      <c r="E18" s="7">
        <v>24.1</v>
      </c>
      <c r="F18" s="7">
        <v>24.1</v>
      </c>
      <c r="G18" s="7">
        <v>289.10000000000002</v>
      </c>
      <c r="H18" s="7">
        <v>0.2</v>
      </c>
      <c r="I18" s="8">
        <v>29364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s="19" t="s">
        <v>18</v>
      </c>
      <c r="Q18" s="19" t="s">
        <v>23</v>
      </c>
    </row>
    <row r="19" spans="1:18" x14ac:dyDescent="0.25">
      <c r="A19" s="4" t="s">
        <v>8</v>
      </c>
      <c r="B19" s="15">
        <f>AVERAGE(B15:B18)</f>
        <v>12.443333333333333</v>
      </c>
      <c r="C19" s="15">
        <f t="shared" ref="C19:G19" si="4">AVERAGE(C15:C18)</f>
        <v>2.74</v>
      </c>
      <c r="D19" s="7">
        <f t="shared" si="4"/>
        <v>218.13333333333335</v>
      </c>
      <c r="E19" s="7">
        <f t="shared" si="4"/>
        <v>24.100000000000005</v>
      </c>
      <c r="F19" s="7">
        <f t="shared" si="4"/>
        <v>21.900000000000002</v>
      </c>
      <c r="G19" s="7">
        <f t="shared" si="4"/>
        <v>287.23333333333335</v>
      </c>
      <c r="H19" s="7"/>
      <c r="I19" s="8">
        <f>AVERAGE(I15:I18)</f>
        <v>29530.666666666668</v>
      </c>
      <c r="J19" s="18">
        <f>B19*C19*5</f>
        <v>170.4736666666667</v>
      </c>
      <c r="K19" s="22">
        <f>J19/(G19/60)</f>
        <v>35.610142741093192</v>
      </c>
      <c r="L19" s="22">
        <f>M19*G19/60</f>
        <v>33.448565333333377</v>
      </c>
      <c r="M19" s="22">
        <f>4182*1000*(E19-F19)*(D19)*(10^(-6))/60/(G19/60)</f>
        <v>6.9870508993849452</v>
      </c>
      <c r="N19" s="22">
        <f>O19*G19/60</f>
        <v>14.136986370370373</v>
      </c>
      <c r="O19" s="21">
        <f>I19*10^-4</f>
        <v>2.953066666666667</v>
      </c>
      <c r="P19" s="21">
        <f>O19/K19</f>
        <v>8.2927684062858414E-2</v>
      </c>
      <c r="Q19" s="21">
        <f>L17/K19</f>
        <v>2.6466616740415429E-2</v>
      </c>
      <c r="R19" t="s">
        <v>24</v>
      </c>
    </row>
    <row r="20" spans="1:18" x14ac:dyDescent="0.25">
      <c r="A20" s="4" t="s">
        <v>9</v>
      </c>
      <c r="B20" s="15">
        <f>_xlfn.STDEV.S(B15:B18)</f>
        <v>1.527525231652011E-2</v>
      </c>
      <c r="C20" s="15">
        <f t="shared" ref="C20:I20" si="5">_xlfn.STDEV.S(C15:C18)</f>
        <v>0</v>
      </c>
      <c r="D20" s="7">
        <f t="shared" si="5"/>
        <v>1.0598742063723081</v>
      </c>
      <c r="E20" s="7">
        <f t="shared" si="5"/>
        <v>4.3511678576336583E-15</v>
      </c>
      <c r="F20" s="7">
        <f t="shared" si="5"/>
        <v>3.8105117766515275</v>
      </c>
      <c r="G20" s="7">
        <f t="shared" si="5"/>
        <v>1.9008769905844394</v>
      </c>
      <c r="H20" s="7"/>
      <c r="I20" s="8">
        <f t="shared" ref="I20" si="6">_xlfn.STDEV.S(I15:I18)</f>
        <v>195.59481929062775</v>
      </c>
      <c r="J20" s="18">
        <f>((B19*0.06*5)^2+(B20*C19*5))^(1/2)</f>
        <v>3.7609254122803768</v>
      </c>
      <c r="K20" s="22">
        <f>((J20/(G19*60))^2+(G20*J19/(G19/60)^2))^(1/2)</f>
        <v>3.7602963309174919</v>
      </c>
      <c r="L20" s="22">
        <f>((M19*G20/60)^2+(M20*G19/60)^2)^(1/2)</f>
        <v>2.622930085435097</v>
      </c>
      <c r="M20" s="22">
        <f>((4182*1000*D19*10^(-6)/60/(G19/60)*0.17095)^2+((4182*1000*(E19-F19)*D20*10^-6/60)/(G19/60))^2+((4182*1000*(E19-F19)*(D19*10^-6/60)*G20/60)/(G19/60)^2)^2)^(1/2)</f>
        <v>0.54594765669982126</v>
      </c>
      <c r="N20" s="22">
        <f>((O19*G20/60)^2+(O20*G19/60)^2)^(1/2)</f>
        <v>0.13236511751304741</v>
      </c>
      <c r="O20" s="21">
        <f>I20*10^-4</f>
        <v>1.9559481929062775E-2</v>
      </c>
      <c r="P20" s="21">
        <f>((O20/K19)^2+(O19*K20/(K19^2))^2)^(1/2)</f>
        <v>8.7740589387508214E-3</v>
      </c>
      <c r="Q20" s="21">
        <f>((M17/K19)^2+(L17*K20/K19^2)^2)^(1/2)</f>
        <v>2.8293715285574788E-3</v>
      </c>
      <c r="R20" t="s">
        <v>25</v>
      </c>
    </row>
    <row r="21" spans="1:18" x14ac:dyDescent="0.25">
      <c r="A21" s="6" t="s">
        <v>27</v>
      </c>
      <c r="B21" s="16"/>
      <c r="C21" s="16"/>
      <c r="D21" s="9"/>
      <c r="E21" s="9"/>
      <c r="F21" s="9"/>
      <c r="G21" s="9"/>
      <c r="H21" s="9"/>
      <c r="I21" s="10"/>
    </row>
    <row r="22" spans="1:18" x14ac:dyDescent="0.25">
      <c r="A22" s="4">
        <v>1</v>
      </c>
      <c r="B22" s="15">
        <v>12.46</v>
      </c>
      <c r="C22" s="15">
        <v>2.74</v>
      </c>
      <c r="D22" s="7">
        <v>216.5</v>
      </c>
      <c r="E22" s="7">
        <v>24.4</v>
      </c>
      <c r="F22" s="7">
        <v>17.5</v>
      </c>
      <c r="G22" s="7">
        <v>319.7</v>
      </c>
      <c r="H22" s="7">
        <v>0.2</v>
      </c>
      <c r="I22" s="8">
        <v>27201</v>
      </c>
      <c r="J22" t="s">
        <v>19</v>
      </c>
      <c r="K22" s="19" t="s">
        <v>21</v>
      </c>
      <c r="L22" t="s">
        <v>20</v>
      </c>
      <c r="M22" s="19" t="s">
        <v>22</v>
      </c>
    </row>
    <row r="23" spans="1:18" x14ac:dyDescent="0.25">
      <c r="A23" s="4">
        <v>2</v>
      </c>
      <c r="B23" s="15">
        <v>12.46</v>
      </c>
      <c r="C23" s="15">
        <v>2.74</v>
      </c>
      <c r="D23" s="7">
        <v>217.6</v>
      </c>
      <c r="E23" s="7">
        <v>24.4</v>
      </c>
      <c r="F23" s="7">
        <v>17.5</v>
      </c>
      <c r="G23" s="7">
        <v>317.8</v>
      </c>
      <c r="H23" s="7">
        <v>0.2</v>
      </c>
      <c r="I23" s="8">
        <v>27303</v>
      </c>
      <c r="J23">
        <f>0.4*0.25</f>
        <v>0.1</v>
      </c>
      <c r="K23">
        <f>0.01*0.25</f>
        <v>2.5000000000000001E-3</v>
      </c>
      <c r="L23">
        <f>2*3.1416*J23</f>
        <v>0.62831999999999999</v>
      </c>
      <c r="M23">
        <f>2*3.1416*K23</f>
        <v>1.5708E-2</v>
      </c>
    </row>
    <row r="24" spans="1:18" x14ac:dyDescent="0.25">
      <c r="A24" s="4">
        <v>3</v>
      </c>
      <c r="B24" s="15">
        <v>12.47</v>
      </c>
      <c r="C24" s="15">
        <v>2.74</v>
      </c>
      <c r="D24" s="7">
        <v>217.6</v>
      </c>
      <c r="E24" s="7">
        <v>24.4</v>
      </c>
      <c r="F24" s="7">
        <v>17.5</v>
      </c>
      <c r="G24" s="7">
        <v>324.7</v>
      </c>
      <c r="H24" s="7">
        <v>0.3</v>
      </c>
      <c r="I24" s="8">
        <v>26936</v>
      </c>
      <c r="J24" t="s">
        <v>12</v>
      </c>
      <c r="K24" t="s">
        <v>13</v>
      </c>
      <c r="L24" t="s">
        <v>14</v>
      </c>
      <c r="M24" t="s">
        <v>15</v>
      </c>
      <c r="N24" t="s">
        <v>16</v>
      </c>
      <c r="O24" t="s">
        <v>17</v>
      </c>
      <c r="P24" s="19" t="s">
        <v>18</v>
      </c>
      <c r="Q24" s="19" t="s">
        <v>23</v>
      </c>
    </row>
    <row r="25" spans="1:18" x14ac:dyDescent="0.25">
      <c r="A25" s="4" t="s">
        <v>8</v>
      </c>
      <c r="B25" s="15">
        <f>AVERAGE(B21:B24)</f>
        <v>12.463333333333333</v>
      </c>
      <c r="C25" s="15">
        <f t="shared" ref="C25:G25" si="7">AVERAGE(C21:C24)</f>
        <v>2.74</v>
      </c>
      <c r="D25" s="7">
        <f t="shared" si="7"/>
        <v>217.23333333333335</v>
      </c>
      <c r="E25" s="7">
        <f t="shared" si="7"/>
        <v>24.399999999999995</v>
      </c>
      <c r="F25" s="7">
        <f t="shared" si="7"/>
        <v>17.5</v>
      </c>
      <c r="G25" s="7">
        <f t="shared" si="7"/>
        <v>320.73333333333335</v>
      </c>
      <c r="H25" s="7"/>
      <c r="I25" s="8">
        <f>AVERAGE(I21:I24)</f>
        <v>27146.666666666668</v>
      </c>
      <c r="J25" s="18">
        <f>B25*C25*5</f>
        <v>170.7476666666667</v>
      </c>
      <c r="K25" s="22">
        <f>J25/(G25/60)</f>
        <v>31.941987112866357</v>
      </c>
      <c r="L25" s="22">
        <f>M25*G25/60</f>
        <v>104.47402699999994</v>
      </c>
      <c r="M25" s="22">
        <f>4182*1000*(E25-F25)*(D25)*(10^(-6))/60/(G25/60)</f>
        <v>19.544091519434616</v>
      </c>
      <c r="N25" s="22">
        <f>O25*G25/60</f>
        <v>14.511401481481483</v>
      </c>
      <c r="O25" s="21">
        <f>I25*10^-4</f>
        <v>2.714666666666667</v>
      </c>
      <c r="P25" s="21">
        <f>O25/K25</f>
        <v>8.4987407235324719E-2</v>
      </c>
      <c r="Q25" s="21">
        <f>L23/K25</f>
        <v>1.9670660994879376E-2</v>
      </c>
      <c r="R25" t="s">
        <v>24</v>
      </c>
    </row>
    <row r="26" spans="1:18" x14ac:dyDescent="0.25">
      <c r="A26" s="4" t="s">
        <v>9</v>
      </c>
      <c r="B26" s="15">
        <f>_xlfn.STDEV.S(B21:B24)</f>
        <v>5.7735026918961348E-3</v>
      </c>
      <c r="C26" s="15">
        <f t="shared" ref="C26:I26" si="8">_xlfn.STDEV.S(C21:C24)</f>
        <v>0</v>
      </c>
      <c r="D26" s="7">
        <f t="shared" si="8"/>
        <v>0.63508529610858511</v>
      </c>
      <c r="E26" s="7">
        <f t="shared" si="8"/>
        <v>4.3511678576336583E-15</v>
      </c>
      <c r="F26" s="7">
        <f t="shared" si="8"/>
        <v>0</v>
      </c>
      <c r="G26" s="7">
        <f t="shared" si="8"/>
        <v>3.5641735835019688</v>
      </c>
      <c r="H26" s="7"/>
      <c r="I26" s="8">
        <f t="shared" ref="I26" si="9">_xlfn.STDEV.S(I21:I24)</f>
        <v>189.43688482799047</v>
      </c>
      <c r="J26" s="18">
        <f>((B25*0.06*5)^2+(B26*C25*5))^(1/2)</f>
        <v>3.7495623727148439</v>
      </c>
      <c r="K26" s="22">
        <f>((J26/(G25*60))^2+(G26*J25/(G25/60)^2))^(1/2)</f>
        <v>4.6149177507871837</v>
      </c>
      <c r="L26" s="22">
        <f>((M25*G26/60)^2+(M26*G25/60)^2)^(1/2)</f>
        <v>3.0803794809733844</v>
      </c>
      <c r="M26" s="22">
        <f>((4182*1000*D25*10^(-6)/60/(G25/60)*0.17095)^2+((4182*1000*(E25-F25)*D26*10^-6/60)/(G25/60))^2+((4182*1000*(E25-F25)*(D25*10^-6/60)*G26/60)/(G25/60)^2)^2)^(1/2)</f>
        <v>0.53375585799161396</v>
      </c>
      <c r="N26" s="22">
        <f>((O25*G26/60)^2+(O26*G25/60)^2)^(1/2)</f>
        <v>0.19041793323769238</v>
      </c>
      <c r="O26" s="21">
        <f>I26*10^-4</f>
        <v>1.8943688482799047E-2</v>
      </c>
      <c r="P26" s="21">
        <f>((O26/K25)^2+(O25*K26/(K25^2))^2)^(1/2)</f>
        <v>1.2293133649894185E-2</v>
      </c>
      <c r="Q26" s="21">
        <f>((M23/K25)^2+(L23*K26/K25^2)^2)^(1/2)</f>
        <v>2.8842128178025667E-3</v>
      </c>
      <c r="R26" t="s">
        <v>25</v>
      </c>
    </row>
    <row r="27" spans="1:18" x14ac:dyDescent="0.25">
      <c r="A27" s="6" t="s">
        <v>29</v>
      </c>
      <c r="B27" s="16"/>
      <c r="C27" s="16"/>
      <c r="D27" s="9"/>
      <c r="E27" s="9"/>
      <c r="F27" s="9"/>
      <c r="G27" s="9"/>
      <c r="H27" s="9"/>
      <c r="I27" s="10"/>
    </row>
    <row r="28" spans="1:18" x14ac:dyDescent="0.25">
      <c r="A28" s="4">
        <v>1</v>
      </c>
      <c r="B28" s="15">
        <v>12.48</v>
      </c>
      <c r="C28" s="15">
        <v>2.74</v>
      </c>
      <c r="D28" s="7">
        <v>220.3</v>
      </c>
      <c r="E28" s="7">
        <v>24.8</v>
      </c>
      <c r="F28" s="7">
        <v>17.5</v>
      </c>
      <c r="G28" s="7">
        <v>351</v>
      </c>
      <c r="H28" s="7">
        <v>0.4</v>
      </c>
      <c r="I28" s="8">
        <v>24851</v>
      </c>
      <c r="J28" t="s">
        <v>19</v>
      </c>
      <c r="K28" s="19" t="s">
        <v>21</v>
      </c>
      <c r="L28" t="s">
        <v>20</v>
      </c>
      <c r="M28" s="19" t="s">
        <v>22</v>
      </c>
    </row>
    <row r="29" spans="1:18" x14ac:dyDescent="0.25">
      <c r="A29" s="4">
        <v>2</v>
      </c>
      <c r="B29" s="15">
        <v>12.47</v>
      </c>
      <c r="C29" s="15">
        <v>2.74</v>
      </c>
      <c r="D29" s="7">
        <v>219.3</v>
      </c>
      <c r="E29" s="7">
        <v>24.8</v>
      </c>
      <c r="F29" s="7">
        <v>17.5</v>
      </c>
      <c r="G29" s="7">
        <v>355.4</v>
      </c>
      <c r="H29" s="7">
        <v>0.3</v>
      </c>
      <c r="I29" s="8">
        <v>24879</v>
      </c>
      <c r="J29">
        <f>0.2*0.25</f>
        <v>0.05</v>
      </c>
      <c r="K29">
        <f>0.01*0.25</f>
        <v>2.5000000000000001E-3</v>
      </c>
      <c r="L29">
        <f>2*3.1416*J29</f>
        <v>0.31415999999999999</v>
      </c>
      <c r="M29">
        <f>2*3.1416*K29</f>
        <v>1.5708E-2</v>
      </c>
    </row>
    <row r="30" spans="1:18" x14ac:dyDescent="0.25">
      <c r="A30" s="4">
        <v>3</v>
      </c>
      <c r="B30" s="15">
        <v>12.46</v>
      </c>
      <c r="C30" s="15">
        <v>2.74</v>
      </c>
      <c r="D30" s="7">
        <v>219.2</v>
      </c>
      <c r="E30" s="7">
        <v>24.8</v>
      </c>
      <c r="F30" s="7">
        <v>17.5</v>
      </c>
      <c r="G30" s="7">
        <v>347.6</v>
      </c>
      <c r="H30" s="7">
        <v>0.3</v>
      </c>
      <c r="I30" s="8">
        <v>25530</v>
      </c>
      <c r="J30" t="s">
        <v>12</v>
      </c>
      <c r="K30" t="s">
        <v>13</v>
      </c>
      <c r="L30" t="s">
        <v>14</v>
      </c>
      <c r="M30" t="s">
        <v>15</v>
      </c>
      <c r="N30" t="s">
        <v>16</v>
      </c>
      <c r="O30" t="s">
        <v>17</v>
      </c>
      <c r="P30" s="19" t="s">
        <v>18</v>
      </c>
      <c r="Q30" s="19" t="s">
        <v>23</v>
      </c>
    </row>
    <row r="31" spans="1:18" x14ac:dyDescent="0.25">
      <c r="A31" s="4" t="s">
        <v>8</v>
      </c>
      <c r="B31" s="15">
        <f>AVERAGE(B27:B30)</f>
        <v>12.47</v>
      </c>
      <c r="C31" s="15">
        <f t="shared" ref="C31:G31" si="10">AVERAGE(C27:C30)</f>
        <v>2.74</v>
      </c>
      <c r="D31" s="7">
        <f t="shared" si="10"/>
        <v>219.6</v>
      </c>
      <c r="E31" s="7">
        <f t="shared" si="10"/>
        <v>24.8</v>
      </c>
      <c r="F31" s="7">
        <f t="shared" si="10"/>
        <v>17.5</v>
      </c>
      <c r="G31" s="7">
        <f t="shared" si="10"/>
        <v>351.33333333333331</v>
      </c>
      <c r="H31" s="7"/>
      <c r="I31" s="8">
        <f>AVERAGE(I27:I30)</f>
        <v>25086.666666666668</v>
      </c>
      <c r="J31" s="18">
        <f>B31*C31*5</f>
        <v>170.83900000000003</v>
      </c>
      <c r="K31" s="22">
        <f>J31/(G31/60)</f>
        <v>29.175540796963954</v>
      </c>
      <c r="L31" s="22">
        <f>M31*G31/60</f>
        <v>111.73467600000001</v>
      </c>
      <c r="M31" s="22">
        <f>4182*1000*(E31-F31)*(D31)*(10^(-6))/60/(G31/60)</f>
        <v>19.081823225806453</v>
      </c>
      <c r="N31" s="22">
        <f>O31*G31/60</f>
        <v>14.689637037037039</v>
      </c>
      <c r="O31" s="22">
        <f>I31*10^-4</f>
        <v>2.508666666666667</v>
      </c>
      <c r="P31" s="21">
        <f>O31/K31</f>
        <v>8.5985267046968406E-2</v>
      </c>
      <c r="Q31" s="23">
        <f>L29/K31</f>
        <v>1.0767923795698481E-2</v>
      </c>
      <c r="R31" t="s">
        <v>24</v>
      </c>
    </row>
    <row r="32" spans="1:18" x14ac:dyDescent="0.25">
      <c r="A32" s="4" t="s">
        <v>9</v>
      </c>
      <c r="B32" s="15">
        <f>_xlfn.STDEV.S(B27:B30)</f>
        <v>9.9999999999997868E-3</v>
      </c>
      <c r="C32" s="15">
        <f t="shared" ref="C32:I32" si="11">_xlfn.STDEV.S(C27:C30)</f>
        <v>0</v>
      </c>
      <c r="D32" s="7">
        <f t="shared" si="11"/>
        <v>0.60827625302982946</v>
      </c>
      <c r="E32" s="7">
        <f t="shared" si="11"/>
        <v>0</v>
      </c>
      <c r="F32" s="7">
        <f t="shared" si="11"/>
        <v>0</v>
      </c>
      <c r="G32" s="7">
        <f t="shared" si="11"/>
        <v>3.910669166949968</v>
      </c>
      <c r="H32" s="7"/>
      <c r="I32" s="8">
        <f t="shared" ref="I32" si="12">_xlfn.STDEV.S(I27:I30)</f>
        <v>384.19309381264691</v>
      </c>
      <c r="J32" s="18">
        <f>((B31*0.06*5)^2+(B32*C31*5))^(1/2)</f>
        <v>3.7592660187861133</v>
      </c>
      <c r="K32" s="22">
        <f>((J32/(G31*60))^2+(G32*J31/(G31/60)^2))^(1/2)</f>
        <v>4.4141891966212192</v>
      </c>
      <c r="L32" s="22">
        <f>((M31*G32/60)^2+(M32*G31/60)^2)^(1/2)</f>
        <v>3.1679524774683192</v>
      </c>
      <c r="M32" s="22">
        <f>((4182*1000*D31*10^(-6)/60/(G31/60)*0.17095)^2+((4182*1000*(E31-F31)*D32*10^-6/60)/(G31/60))^2+((4182*1000*(E31-F31)*(D31*10^-6/60)*G32/60)/(G31/60)^2)^2)^(1/2)</f>
        <v>0.49757990008088693</v>
      </c>
      <c r="N32" s="22">
        <f>((O31*G32/60)^2+(O32*G31/60)^2)^(1/2)</f>
        <v>0.27811007313178349</v>
      </c>
      <c r="O32" s="22">
        <f>I32*10^-4</f>
        <v>3.8419309381264692E-2</v>
      </c>
      <c r="P32" s="21">
        <f>((O32/K31)^2+(O31*K32/(K31^2))^2)^(1/2)</f>
        <v>1.307584055990718E-2</v>
      </c>
      <c r="Q32" s="23">
        <f>((M29/K31)^2+(L29*K32/K31^2)^2)^(1/2)</f>
        <v>1.7158193331744671E-3</v>
      </c>
      <c r="R32" t="s">
        <v>25</v>
      </c>
    </row>
    <row r="33" spans="1:17" ht="15.75" thickBot="1" x14ac:dyDescent="0.3">
      <c r="A33" s="5" t="s">
        <v>28</v>
      </c>
      <c r="B33" s="17"/>
      <c r="C33" s="17"/>
      <c r="D33" s="11"/>
      <c r="E33" s="11"/>
      <c r="F33" s="11"/>
      <c r="G33" s="11"/>
      <c r="H33" s="11"/>
      <c r="I33" s="12"/>
      <c r="J33" s="25"/>
      <c r="K33" s="22"/>
      <c r="L33" s="22"/>
      <c r="M33" s="22"/>
      <c r="N33" s="22"/>
      <c r="O33" s="22"/>
      <c r="P33" s="21"/>
      <c r="Q33" s="23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Quirinus</dc:creator>
  <cp:lastModifiedBy>Thorben Frey</cp:lastModifiedBy>
  <dcterms:created xsi:type="dcterms:W3CDTF">2017-12-17T16:53:33Z</dcterms:created>
  <dcterms:modified xsi:type="dcterms:W3CDTF">2017-12-18T01:15:53Z</dcterms:modified>
</cp:coreProperties>
</file>