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ugarModel\Inputs\"/>
    </mc:Choice>
  </mc:AlternateContent>
  <xr:revisionPtr revIDLastSave="0" documentId="8_{65C4A97C-A374-43D1-80A3-F7BF29CAFF41}" xr6:coauthVersionLast="44" xr6:coauthVersionMax="44" xr10:uidLastSave="{00000000-0000-0000-0000-000000000000}"/>
  <bookViews>
    <workbookView xWindow="-120" yWindow="-120" windowWidth="29040" windowHeight="15840" activeTab="1" xr2:uid="{723B6B37-F014-4677-A3EB-A1E12A87FDF6}"/>
  </bookViews>
  <sheets>
    <sheet name="Processes_Biogas" sheetId="1" r:id="rId1"/>
    <sheet name="ProcData_Biogas" sheetId="2" r:id="rId2"/>
    <sheet name="Biogas" sheetId="3" r:id="rId3"/>
  </sheets>
  <externalReferences>
    <externalReference r:id="rId4"/>
    <externalReference r:id="rId5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K4" i="3"/>
  <c r="C6" i="3"/>
  <c r="C11" i="3"/>
  <c r="C12" i="3"/>
  <c r="L15" i="3"/>
  <c r="L16" i="3" s="1"/>
  <c r="M15" i="3"/>
  <c r="M16" i="3" s="1"/>
  <c r="N15" i="3"/>
  <c r="N16" i="3" s="1"/>
  <c r="O15" i="3"/>
  <c r="O16" i="3" s="1"/>
  <c r="C17" i="3" s="1"/>
  <c r="C18" i="3" s="1"/>
  <c r="J9" i="2" s="1"/>
  <c r="K16" i="3"/>
  <c r="L17" i="3"/>
  <c r="L19" i="3" s="1"/>
  <c r="M17" i="3"/>
  <c r="M19" i="3" s="1"/>
  <c r="N17" i="3"/>
  <c r="N19" i="3" s="1"/>
  <c r="O17" i="3"/>
  <c r="C19" i="3"/>
  <c r="I9" i="2" s="1"/>
  <c r="K19" i="3"/>
  <c r="O19" i="3"/>
  <c r="C20" i="3"/>
  <c r="C22" i="3"/>
  <c r="C28" i="3"/>
  <c r="C29" i="3"/>
  <c r="C30" i="3"/>
  <c r="Q12" i="2" s="1"/>
  <c r="Z30" i="3"/>
  <c r="Z33" i="3" s="1"/>
  <c r="AC30" i="3"/>
  <c r="AC37" i="3" s="1"/>
  <c r="C31" i="3"/>
  <c r="C32" i="3"/>
  <c r="V33" i="3"/>
  <c r="W33" i="3"/>
  <c r="V34" i="3"/>
  <c r="W34" i="3"/>
  <c r="Z34" i="3"/>
  <c r="V35" i="3"/>
  <c r="Z35" i="3"/>
  <c r="C36" i="3"/>
  <c r="V36" i="3"/>
  <c r="W37" i="3"/>
  <c r="V37" i="3" s="1"/>
  <c r="AG37" i="3" s="1"/>
  <c r="C40" i="3"/>
  <c r="L49" i="3"/>
  <c r="M49" i="3"/>
  <c r="N49" i="3"/>
  <c r="O49" i="3"/>
  <c r="C50" i="3"/>
  <c r="L53" i="3"/>
  <c r="M53" i="3"/>
  <c r="N53" i="3"/>
  <c r="O53" i="3"/>
  <c r="O56" i="3" s="1"/>
  <c r="L54" i="3"/>
  <c r="M54" i="3"/>
  <c r="N54" i="3"/>
  <c r="O54" i="3"/>
  <c r="C58" i="3"/>
  <c r="C59" i="3"/>
  <c r="C60" i="3"/>
  <c r="C61" i="3"/>
  <c r="R19" i="2" s="1"/>
  <c r="C62" i="3"/>
  <c r="C64" i="3"/>
  <c r="C65" i="3" s="1"/>
  <c r="C66" i="3" s="1"/>
  <c r="C67" i="3" s="1"/>
  <c r="C69" i="3" s="1"/>
  <c r="C72" i="3"/>
  <c r="C74" i="3" s="1"/>
  <c r="C79" i="3"/>
  <c r="E111" i="3"/>
  <c r="F111" i="3"/>
  <c r="C113" i="3"/>
  <c r="C114" i="3"/>
  <c r="C115" i="3"/>
  <c r="C129" i="3"/>
  <c r="B131" i="3"/>
  <c r="C131" i="3"/>
  <c r="B1" i="2"/>
  <c r="R5" i="2"/>
  <c r="S5" i="2"/>
  <c r="T5" i="2"/>
  <c r="A8" i="2"/>
  <c r="B9" i="2"/>
  <c r="D9" i="2"/>
  <c r="F9" i="2"/>
  <c r="L9" i="2"/>
  <c r="M9" i="2"/>
  <c r="E10" i="2"/>
  <c r="O5" i="2" s="1"/>
  <c r="O10" i="2"/>
  <c r="E11" i="2"/>
  <c r="P5" i="2" s="1"/>
  <c r="P11" i="2"/>
  <c r="E12" i="2"/>
  <c r="E18" i="2" s="1"/>
  <c r="E13" i="2"/>
  <c r="R13" i="2"/>
  <c r="E14" i="2"/>
  <c r="S14" i="2"/>
  <c r="D15" i="2"/>
  <c r="F15" i="2"/>
  <c r="U5" i="2" s="1"/>
  <c r="L15" i="2"/>
  <c r="M15" i="2"/>
  <c r="N15" i="2"/>
  <c r="O16" i="2"/>
  <c r="P17" i="2"/>
  <c r="Q18" i="2"/>
  <c r="E19" i="2"/>
  <c r="E20" i="2"/>
  <c r="S20" i="2"/>
  <c r="B1" i="1"/>
  <c r="B9" i="1"/>
  <c r="C9" i="1"/>
  <c r="C9" i="2" s="1"/>
  <c r="B10" i="1"/>
  <c r="B15" i="2" s="1"/>
  <c r="C10" i="1"/>
  <c r="C15" i="2" s="1"/>
  <c r="Q5" i="2" l="1"/>
  <c r="AC33" i="3"/>
  <c r="E17" i="2"/>
  <c r="C51" i="3"/>
  <c r="C53" i="3" s="1"/>
  <c r="E16" i="2"/>
  <c r="AC36" i="3"/>
  <c r="AG36" i="3" s="1"/>
  <c r="AC35" i="3"/>
  <c r="AC34" i="3"/>
  <c r="C54" i="3" l="1"/>
  <c r="I15" i="2" s="1"/>
  <c r="J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4D0D886B-E884-4089-8B39-E51BD7DA1F9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sharedStrings.xml><?xml version="1.0" encoding="utf-8"?>
<sst xmlns="http://schemas.openxmlformats.org/spreadsheetml/2006/main" count="217" uniqueCount="147">
  <si>
    <t>PRC,PRE,SEASON</t>
  </si>
  <si>
    <t>PJ,PJa</t>
  </si>
  <si>
    <t>PRC,ELE,DAYNITE</t>
  </si>
  <si>
    <t>PJ,GW</t>
  </si>
  <si>
    <t>* Conversion technologies</t>
  </si>
  <si>
    <t>Comment</t>
  </si>
  <si>
    <t>Set Memberships</t>
  </si>
  <si>
    <t>ProcUnits</t>
  </si>
  <si>
    <t>ProcDesc</t>
  </si>
  <si>
    <t>ProcName</t>
  </si>
  <si>
    <t>TID</t>
  </si>
  <si>
    <t>Activity I/O</t>
  </si>
  <si>
    <t>CommOUT</t>
  </si>
  <si>
    <t>CommIN</t>
  </si>
  <si>
    <t>ANNUAL</t>
  </si>
  <si>
    <t>ACTGRP</t>
  </si>
  <si>
    <t>PRC_ACTUNT</t>
  </si>
  <si>
    <t>ACT_EFF</t>
  </si>
  <si>
    <t>NCAP_START</t>
  </si>
  <si>
    <t>NCAP_TLIFE</t>
  </si>
  <si>
    <t>NCAP_AFS-UP</t>
  </si>
  <si>
    <t>PRC_CAPACT</t>
  </si>
  <si>
    <t>NCAP_COST</t>
  </si>
  <si>
    <t>NCAP_FOM</t>
  </si>
  <si>
    <t>Main activity flow</t>
  </si>
  <si>
    <t>Relationship between main activity flow and other flows</t>
  </si>
  <si>
    <t>First Year</t>
  </si>
  <si>
    <t>Life</t>
  </si>
  <si>
    <t>Seasonal Availability</t>
  </si>
  <si>
    <t>Capacity to Activity</t>
  </si>
  <si>
    <t>Investment Cost</t>
  </si>
  <si>
    <t>Fixed Cost</t>
  </si>
  <si>
    <t>Main activity efficiency</t>
  </si>
  <si>
    <t>Additional Revenue</t>
  </si>
  <si>
    <t>Revenue Elc</t>
  </si>
  <si>
    <t>Revenue BY</t>
  </si>
  <si>
    <t>Cost Engine</t>
  </si>
  <si>
    <t>Cost digester</t>
  </si>
  <si>
    <t>PK</t>
  </si>
  <si>
    <t>BL</t>
  </si>
  <si>
    <t>Results Biogas</t>
  </si>
  <si>
    <t>PJ</t>
  </si>
  <si>
    <t>GWh</t>
  </si>
  <si>
    <t>Liquid waster water</t>
  </si>
  <si>
    <t>Solid filter cake</t>
  </si>
  <si>
    <t>Biogas Potential</t>
  </si>
  <si>
    <t>Waste</t>
  </si>
  <si>
    <t>https://www.grainsa.co.za/biogas-production-potential-for-south-african-sugar-cane-industry</t>
  </si>
  <si>
    <t>Cost</t>
  </si>
  <si>
    <t>CV</t>
  </si>
  <si>
    <t>mtons</t>
  </si>
  <si>
    <t>Filter cake</t>
  </si>
  <si>
    <t>Water recovery plant (reverse osmosis and related water treatment): R12m</t>
  </si>
  <si>
    <t>Logistics: R5.7m</t>
  </si>
  <si>
    <t>Civils and builders work: R87.3</t>
  </si>
  <si>
    <t xml:space="preserve">Bio digester including material handling equipment, ammonia stripping, digestate dewatering: R97.6m        </t>
  </si>
  <si>
    <t>Energy generation including Gas engines, Gas piping, Waste heat boilers and Heat recovery, biogas desulphurisation: R64.4m</t>
  </si>
  <si>
    <t>%</t>
  </si>
  <si>
    <t>Molasses</t>
  </si>
  <si>
    <t>Rustenburg high level breakdown of R267m cost, which excludes R37m for escallation&amp;forward cover, professional fees, contingencies</t>
  </si>
  <si>
    <t>MW</t>
  </si>
  <si>
    <t>Capacity</t>
  </si>
  <si>
    <t>Capacity Factor</t>
  </si>
  <si>
    <t>Electricity</t>
  </si>
  <si>
    <t>Biogas</t>
  </si>
  <si>
    <t>Filter Cake</t>
  </si>
  <si>
    <t>Bagasse</t>
  </si>
  <si>
    <t>Cane Leaves</t>
  </si>
  <si>
    <t>Sugar Juice</t>
  </si>
  <si>
    <t>Combined with post-processing</t>
  </si>
  <si>
    <t>digester</t>
  </si>
  <si>
    <t>Conversion Efficiencies</t>
  </si>
  <si>
    <t>Efficiency of upgrade to Methane</t>
  </si>
  <si>
    <t>High (mR)</t>
  </si>
  <si>
    <t>R/Gja</t>
  </si>
  <si>
    <t>Low (mR)</t>
  </si>
  <si>
    <t>MWth</t>
  </si>
  <si>
    <t>Scale Factor</t>
  </si>
  <si>
    <t>Biomethane Plant</t>
  </si>
  <si>
    <t>Nagel 2019</t>
  </si>
  <si>
    <t>2018mR</t>
  </si>
  <si>
    <t>Project Cost</t>
  </si>
  <si>
    <t>Investment</t>
  </si>
  <si>
    <t>Output</t>
  </si>
  <si>
    <t>GW</t>
  </si>
  <si>
    <t>Suggested biomethane plant capacity</t>
  </si>
  <si>
    <t>BioMethane Plant</t>
  </si>
  <si>
    <t>2018R/kW</t>
  </si>
  <si>
    <t>2016R/kW</t>
  </si>
  <si>
    <t>O&amp;M Cost</t>
  </si>
  <si>
    <t>years</t>
  </si>
  <si>
    <t>Lifetime</t>
  </si>
  <si>
    <t>mton</t>
  </si>
  <si>
    <t>vinasse</t>
  </si>
  <si>
    <t>filter cake</t>
  </si>
  <si>
    <t>EPRI 2016</t>
  </si>
  <si>
    <t>Gas Engine Cost</t>
  </si>
  <si>
    <t>Leaves</t>
  </si>
  <si>
    <t>J/J</t>
  </si>
  <si>
    <t>ml/gVS</t>
  </si>
  <si>
    <t>J/g</t>
  </si>
  <si>
    <t>MJ/kg</t>
  </si>
  <si>
    <t>Leite, 2017</t>
  </si>
  <si>
    <t>Malunga, 2018</t>
  </si>
  <si>
    <t>Conversion efficiency</t>
  </si>
  <si>
    <t>Available Mass</t>
  </si>
  <si>
    <t>J/ml</t>
  </si>
  <si>
    <t>Combined with engine</t>
  </si>
  <si>
    <t>Alternatively, if you want energy output over energy input, you’d have to multiply the dry total solids mass by its CV (or LHV).</t>
  </si>
  <si>
    <t>Efficiency of Engine</t>
  </si>
  <si>
    <t>Convert from volatile solids to total (dry) solids (the VS percentage is typically 80-90%, so divide by 0,8 or 0,9) and then from dry to total wet solids (knowing the moisture content, which can be as high as 80%, in which case one would divide by (1-0,8).</t>
  </si>
  <si>
    <t>Multiply the volume of methane with its energetic content per unit volume (and if the yield is given as raw biogas, multiply by the methane fraction, default is 65%).</t>
  </si>
  <si>
    <t>Availability</t>
  </si>
  <si>
    <t>Biogas is often reported in milli-litres of methane (or raw gas, and the difference matters!) per gram of volatile solids (VS). To convert this into energy yield per mass of feedstock, one needs to do a number of things:</t>
  </si>
  <si>
    <t>Expected Output (biogas)</t>
  </si>
  <si>
    <t>Biogas Digester Plant</t>
  </si>
  <si>
    <t>hrs/yr</t>
  </si>
  <si>
    <t>Operating Hours</t>
  </si>
  <si>
    <t>mR/MW</t>
  </si>
  <si>
    <t>Greencape 2017</t>
  </si>
  <si>
    <t>R/kW</t>
  </si>
  <si>
    <t>Total Fixed Costs</t>
  </si>
  <si>
    <t>Datapoint for existing project built in sugar industry in SA</t>
  </si>
  <si>
    <t>Total Investment Cost</t>
  </si>
  <si>
    <t>Nagel 2019 adjusted up based on RCL biogas project</t>
  </si>
  <si>
    <t>mid</t>
  </si>
  <si>
    <t>Suggested biogas + gas engine plant capacity</t>
  </si>
  <si>
    <t>ERBIG</t>
  </si>
  <si>
    <t>Biogas+Engine Plant</t>
  </si>
  <si>
    <t>Reference: Nagel 2019</t>
  </si>
  <si>
    <t>MWe</t>
  </si>
  <si>
    <t>Scale factor</t>
  </si>
  <si>
    <t>Digester+Engine</t>
  </si>
  <si>
    <t>Investment cost incl. Gas Engine (1 MW)</t>
  </si>
  <si>
    <t>Biogas Plant</t>
  </si>
  <si>
    <t>R/GJ</t>
  </si>
  <si>
    <t>$/GJ</t>
  </si>
  <si>
    <t>Gas Price</t>
  </si>
  <si>
    <t>GJ/m3</t>
  </si>
  <si>
    <t>Biogas CV</t>
  </si>
  <si>
    <t>kg/m3</t>
  </si>
  <si>
    <t>Biogas Density</t>
  </si>
  <si>
    <t>$/mbtu</t>
  </si>
  <si>
    <t>mm3</t>
  </si>
  <si>
    <t>GJ/kg</t>
  </si>
  <si>
    <t>Processes</t>
  </si>
  <si>
    <t>ProcData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</si>
</sst>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rgb="FF800080"/>
      <name val="Arial"/>
      <family val="2"/>
    </font>
    <font>
      <sz val="8"/>
      <color rgb="FFFF0000"/>
      <name val="Arial"/>
      <family val="2"/>
    </font>
    <font>
      <b/>
      <sz val="9"/>
      <color rgb="FF800080"/>
      <name val="Arial"/>
      <family val="2"/>
    </font>
    <font>
      <sz val="8"/>
      <color rgb="FF800080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8"/>
      <color indexed="81"/>
      <name val="Tahoma"/>
      <family val="2"/>
    </font>
    <font>
      <u/>
      <sz val="10"/>
      <color theme="10"/>
      <name val="Arial"/>
      <family val="2"/>
    </font>
    <font>
      <sz val="11"/>
      <name val="Calibri"/>
      <family val="2"/>
    </font>
    <font>
      <u/>
      <sz val="10"/>
      <name val="Arial"/>
      <family val="2"/>
    </font>
    <font>
      <sz val="11"/>
      <color rgb="FF1F497D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9" fontId="5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0" borderId="0"/>
    <xf numFmtId="0" fontId="5" fillId="0" borderId="0"/>
    <xf numFmtId="0" fontId="5" fillId="0" borderId="0"/>
    <xf numFmtId="0" fontId="14" fillId="0" borderId="0" applyNumberFormat="0" applyFill="0" applyBorder="0" applyAlignment="0" applyProtection="0"/>
    <xf numFmtId="0" fontId="1" fillId="0" borderId="0"/>
  </cellStyleXfs>
  <cellXfs count="47">
    <xf numFmtId="0" fontId="0" fillId="0" borderId="0" xfId="0"/>
    <xf numFmtId="0" fontId="6" fillId="0" borderId="0" xfId="0" applyFont="1"/>
    <xf numFmtId="0" fontId="7" fillId="0" borderId="0" xfId="5" applyFont="1"/>
    <xf numFmtId="0" fontId="8" fillId="0" borderId="0" xfId="5" applyFont="1"/>
    <xf numFmtId="0" fontId="6" fillId="0" borderId="0" xfId="6" applyFont="1"/>
    <xf numFmtId="0" fontId="6" fillId="0" borderId="0" xfId="7" applyFont="1"/>
    <xf numFmtId="0" fontId="6" fillId="0" borderId="0" xfId="5" applyFont="1"/>
    <xf numFmtId="0" fontId="5" fillId="0" borderId="0" xfId="5"/>
    <xf numFmtId="0" fontId="5" fillId="0" borderId="0" xfId="7"/>
    <xf numFmtId="0" fontId="9" fillId="0" borderId="0" xfId="5" applyFont="1"/>
    <xf numFmtId="0" fontId="9" fillId="0" borderId="0" xfId="7" applyFont="1"/>
    <xf numFmtId="0" fontId="10" fillId="0" borderId="0" xfId="5" applyFont="1"/>
    <xf numFmtId="0" fontId="11" fillId="0" borderId="0" xfId="0" applyFont="1"/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0" applyNumberFormat="1" applyFont="1"/>
    <xf numFmtId="1" fontId="6" fillId="0" borderId="0" xfId="0" applyNumberFormat="1" applyFont="1"/>
    <xf numFmtId="0" fontId="6" fillId="0" borderId="0" xfId="6" applyFont="1" applyAlignment="1">
      <alignment horizontal="right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10" fillId="0" borderId="0" xfId="6" applyFont="1" applyAlignment="1">
      <alignment horizontal="center"/>
    </xf>
    <xf numFmtId="0" fontId="11" fillId="0" borderId="0" xfId="0" applyFont="1" applyAlignment="1">
      <alignment horizontal="center" wrapText="1"/>
    </xf>
    <xf numFmtId="0" fontId="10" fillId="0" borderId="0" xfId="6" applyFont="1"/>
    <xf numFmtId="0" fontId="12" fillId="0" borderId="0" xfId="6" applyFont="1"/>
    <xf numFmtId="0" fontId="10" fillId="0" borderId="0" xfId="0" applyFont="1"/>
    <xf numFmtId="0" fontId="10" fillId="0" borderId="0" xfId="6" applyFont="1" applyAlignment="1">
      <alignment wrapText="1"/>
    </xf>
    <xf numFmtId="0" fontId="7" fillId="0" borderId="0" xfId="0" applyFont="1" applyAlignment="1">
      <alignment horizontal="center"/>
    </xf>
    <xf numFmtId="0" fontId="6" fillId="0" borderId="0" xfId="6" applyFont="1" applyAlignment="1">
      <alignment wrapText="1"/>
    </xf>
    <xf numFmtId="0" fontId="5" fillId="0" borderId="0" xfId="0" applyFont="1"/>
    <xf numFmtId="0" fontId="14" fillId="0" borderId="0" xfId="8"/>
    <xf numFmtId="0" fontId="15" fillId="0" borderId="0" xfId="0" applyFont="1" applyAlignment="1">
      <alignment horizontal="left" vertical="center" indent="1"/>
    </xf>
    <xf numFmtId="9" fontId="0" fillId="0" borderId="0" xfId="0" applyNumberFormat="1"/>
    <xf numFmtId="0" fontId="15" fillId="0" borderId="0" xfId="0" applyFont="1" applyAlignment="1">
      <alignment vertical="center"/>
    </xf>
    <xf numFmtId="2" fontId="0" fillId="0" borderId="0" xfId="0" applyNumberFormat="1"/>
    <xf numFmtId="9" fontId="4" fillId="2" borderId="3" xfId="4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  <xf numFmtId="0" fontId="3" fillId="0" borderId="2" xfId="3"/>
    <xf numFmtId="9" fontId="0" fillId="0" borderId="0" xfId="1" applyFont="1"/>
    <xf numFmtId="0" fontId="17" fillId="0" borderId="0" xfId="0" applyFont="1" applyAlignment="1">
      <alignment vertical="center"/>
    </xf>
    <xf numFmtId="0" fontId="1" fillId="0" borderId="0" xfId="9"/>
    <xf numFmtId="0" fontId="18" fillId="0" borderId="0" xfId="0" applyFont="1"/>
    <xf numFmtId="2" fontId="1" fillId="0" borderId="0" xfId="9" applyNumberFormat="1"/>
    <xf numFmtId="1" fontId="1" fillId="0" borderId="0" xfId="9" applyNumberFormat="1"/>
    <xf numFmtId="1" fontId="4" fillId="2" borderId="3" xfId="4" applyNumberFormat="1"/>
    <xf numFmtId="0" fontId="2" fillId="0" borderId="1" xfId="2"/>
  </cellXfs>
  <cellStyles count="10">
    <cellStyle name="Heading 1" xfId="2" builtinId="16"/>
    <cellStyle name="Heading 2" xfId="3" builtinId="17"/>
    <cellStyle name="Hyperlink" xfId="8" builtinId="8"/>
    <cellStyle name="Input" xfId="4" builtinId="20"/>
    <cellStyle name="Normal" xfId="0" builtinId="0"/>
    <cellStyle name="Normal 13" xfId="6" xr:uid="{3D87AD01-0B03-43CF-9A0E-9AAB5441C630}"/>
    <cellStyle name="Normal 2" xfId="5" xr:uid="{42313029-24C4-47EC-A62E-D17C8D769A5A}"/>
    <cellStyle name="Normal 2 2 2" xfId="7" xr:uid="{512001EF-4D73-4B38-97C9-48724C2A8F74}"/>
    <cellStyle name="Normal 4" xfId="9" xr:uid="{371F992B-9F71-41E6-8912-1FD5A35925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Biogas!$J$15</c:f>
              <c:strCache>
                <c:ptCount val="1"/>
                <c:pt idx="0">
                  <c:v>Low (mR)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Biogas!$K$14:$O$14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Biogas!$K$15:$O$15</c:f>
              <c:numCache>
                <c:formatCode>0</c:formatCode>
                <c:ptCount val="5"/>
                <c:pt idx="0">
                  <c:v>16</c:v>
                </c:pt>
                <c:pt idx="1">
                  <c:v>25.723231703780847</c:v>
                </c:pt>
                <c:pt idx="2">
                  <c:v>48.185285398378355</c:v>
                </c:pt>
                <c:pt idx="3">
                  <c:v>54.595090365444136</c:v>
                </c:pt>
                <c:pt idx="4">
                  <c:v>77.467578813455916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F-4AD9-96DC-C947218BE600}"/>
            </c:ext>
          </c:extLst>
        </c:ser>
        <c:ser>
          <c:idx val="1"/>
          <c:order val="1"/>
          <c:tx>
            <c:strRef>
              <c:f>Biogas!$J$16</c:f>
              <c:strCache>
                <c:ptCount val="1"/>
                <c:pt idx="0">
                  <c:v>mid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Biogas!$K$14:$O$14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Biogas!$K$16:$O$16</c:f>
              <c:numCache>
                <c:formatCode>0</c:formatCode>
                <c:ptCount val="5"/>
                <c:pt idx="0">
                  <c:v>40.5</c:v>
                </c:pt>
                <c:pt idx="1">
                  <c:v>67.519882843381865</c:v>
                </c:pt>
                <c:pt idx="2">
                  <c:v>132.76294225785773</c:v>
                </c:pt>
                <c:pt idx="3">
                  <c:v>151.89145051074522</c:v>
                </c:pt>
                <c:pt idx="4">
                  <c:v>221.49472009359147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AD9-96DC-C947218BE600}"/>
            </c:ext>
          </c:extLst>
        </c:ser>
        <c:ser>
          <c:idx val="2"/>
          <c:order val="2"/>
          <c:tx>
            <c:strRef>
              <c:f>Biogas!$J$17</c:f>
              <c:strCache>
                <c:ptCount val="1"/>
                <c:pt idx="0">
                  <c:v>High (mR)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Biogas!$K$14:$O$14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Biogas!$K$17:$O$17</c:f>
              <c:numCache>
                <c:formatCode>0</c:formatCode>
                <c:ptCount val="5"/>
                <c:pt idx="0">
                  <c:v>65</c:v>
                </c:pt>
                <c:pt idx="1">
                  <c:v>109.31653398298289</c:v>
                </c:pt>
                <c:pt idx="2">
                  <c:v>217.34059911733712</c:v>
                </c:pt>
                <c:pt idx="3">
                  <c:v>249.18781065604628</c:v>
                </c:pt>
                <c:pt idx="4">
                  <c:v>365.52186137372701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CF-4AD9-96DC-C947218BE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232544"/>
        <c:axId val="1783257904"/>
      </c:scatterChart>
      <c:valAx>
        <c:axId val="19292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257904"/>
        <c:crosses val="autoZero"/>
        <c:crossBetween val="midCat"/>
      </c:valAx>
      <c:valAx>
        <c:axId val="17832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2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emf"/><Relationship Id="rId5" Type="http://schemas.openxmlformats.org/officeDocument/2006/relationships/chart" Target="../charts/chart1.xml"/><Relationship Id="rId4" Type="http://schemas.openxmlformats.org/officeDocument/2006/relationships/image" Target="../media/image14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7" Type="http://schemas.openxmlformats.org/officeDocument/2006/relationships/image" Target="../media/image4.emf"/><Relationship Id="rId2" Type="http://schemas.openxmlformats.org/officeDocument/2006/relationships/image" Target="../media/image9.emf"/><Relationship Id="rId1" Type="http://schemas.openxmlformats.org/officeDocument/2006/relationships/image" Target="../media/image10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19050</xdr:colOff>
          <xdr:row>3</xdr:row>
          <xdr:rowOff>133350</xdr:rowOff>
        </xdr:from>
        <xdr:ext cx="1905000" cy="239713"/>
        <xdr:sp macro="" textlink="">
          <xdr:nvSpPr>
            <xdr:cNvPr id="1025" name="cmdSpecifySets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25DD6F0-22EE-4A70-8E91-881B930422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9525</xdr:colOff>
          <xdr:row>2</xdr:row>
          <xdr:rowOff>0</xdr:rowOff>
        </xdr:from>
        <xdr:ext cx="819150" cy="238125"/>
        <xdr:sp macro="" textlink="">
          <xdr:nvSpPr>
            <xdr:cNvPr id="1026" name="cmdCheckTechnologiesSheet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CDE1AFC-4FE5-44F4-8E8C-E385DA7AC0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3</xdr:row>
          <xdr:rowOff>133350</xdr:rowOff>
        </xdr:from>
        <xdr:ext cx="638175" cy="239713"/>
        <xdr:sp macro="" textlink="">
          <xdr:nvSpPr>
            <xdr:cNvPr id="1027" name="cmdProcUnits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A7BA7173-FDCA-410E-9007-B347E5260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</xdr:row>
          <xdr:rowOff>114300</xdr:rowOff>
        </xdr:from>
        <xdr:ext cx="1863725" cy="238125"/>
        <xdr:sp macro="" textlink="">
          <xdr:nvSpPr>
            <xdr:cNvPr id="2050" name="cmdTechNameAndDesc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B0BB51C-FE1F-44F1-BC4F-8F4292AB1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0</xdr:colOff>
          <xdr:row>1</xdr:row>
          <xdr:rowOff>114300</xdr:rowOff>
        </xdr:from>
        <xdr:ext cx="619125" cy="238125"/>
        <xdr:sp macro="" textlink="">
          <xdr:nvSpPr>
            <xdr:cNvPr id="2051" name="cmdCommIN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A19380A5-D8C9-446D-B01F-AE087DE4D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0</xdr:colOff>
          <xdr:row>1</xdr:row>
          <xdr:rowOff>114300</xdr:rowOff>
        </xdr:from>
        <xdr:ext cx="619125" cy="238125"/>
        <xdr:sp macro="" textlink="">
          <xdr:nvSpPr>
            <xdr:cNvPr id="2052" name="cmdCommOUT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72283017-48B4-4FA6-90E8-D56F08F137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9525</xdr:colOff>
          <xdr:row>2</xdr:row>
          <xdr:rowOff>190500</xdr:rowOff>
        </xdr:from>
        <xdr:ext cx="808038" cy="238125"/>
        <xdr:sp macro="" textlink="">
          <xdr:nvSpPr>
            <xdr:cNvPr id="2053" name="cmdAddParameter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2714F2FB-05B1-4BAA-8EF7-E138C510BC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9525</xdr:colOff>
          <xdr:row>3</xdr:row>
          <xdr:rowOff>171450</xdr:rowOff>
        </xdr:from>
        <xdr:ext cx="808038" cy="239712"/>
        <xdr:sp macro="" textlink="">
          <xdr:nvSpPr>
            <xdr:cNvPr id="2054" name="cmdAddParamQualifier1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B947FFAE-037B-41BE-9E72-5825941CF7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9525</xdr:colOff>
          <xdr:row>1</xdr:row>
          <xdr:rowOff>114300</xdr:rowOff>
        </xdr:from>
        <xdr:ext cx="808038" cy="238125"/>
        <xdr:sp macro="" textlink="">
          <xdr:nvSpPr>
            <xdr:cNvPr id="2055" name="cmdCheckTechDataSheet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C3999975-CCB9-4DE4-ACD8-AF36ADA4C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9525</xdr:colOff>
          <xdr:row>5</xdr:row>
          <xdr:rowOff>19050</xdr:rowOff>
        </xdr:from>
        <xdr:ext cx="808038" cy="241300"/>
        <xdr:sp macro="" textlink="">
          <xdr:nvSpPr>
            <xdr:cNvPr id="2056" name="cmdAddParamQualifier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D51FABCF-A723-4ABC-893C-8B844AC90D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158751</xdr:colOff>
      <xdr:row>19</xdr:row>
      <xdr:rowOff>130672</xdr:rowOff>
    </xdr:from>
    <xdr:ext cx="8385175" cy="3141696"/>
    <xdr:pic>
      <xdr:nvPicPr>
        <xdr:cNvPr id="2" name="Picture 1">
          <a:extLst>
            <a:ext uri="{FF2B5EF4-FFF2-40B4-BE49-F238E27FC236}">
              <a16:creationId xmlns:a16="http://schemas.microsoft.com/office/drawing/2014/main" id="{5C64D5C5-4D50-4821-B6D7-B6BA12E42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5551" y="3207247"/>
          <a:ext cx="8385175" cy="314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84666</xdr:colOff>
      <xdr:row>68</xdr:row>
      <xdr:rowOff>137583</xdr:rowOff>
    </xdr:from>
    <xdr:ext cx="4552381" cy="3577781"/>
    <xdr:pic>
      <xdr:nvPicPr>
        <xdr:cNvPr id="3" name="Picture 2">
          <a:extLst>
            <a:ext uri="{FF2B5EF4-FFF2-40B4-BE49-F238E27FC236}">
              <a16:creationId xmlns:a16="http://schemas.microsoft.com/office/drawing/2014/main" id="{E5C0E735-36A8-47D3-8E18-A9FB77590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42266" y="11148483"/>
          <a:ext cx="4552381" cy="357778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94</xdr:row>
      <xdr:rowOff>0</xdr:rowOff>
    </xdr:from>
    <xdr:ext cx="6838095" cy="2038095"/>
    <xdr:pic>
      <xdr:nvPicPr>
        <xdr:cNvPr id="4" name="Picture 3">
          <a:extLst>
            <a:ext uri="{FF2B5EF4-FFF2-40B4-BE49-F238E27FC236}">
              <a16:creationId xmlns:a16="http://schemas.microsoft.com/office/drawing/2014/main" id="{A9B0201C-C98B-45FD-BEB0-207C8C060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0" y="15220950"/>
          <a:ext cx="6838095" cy="2038095"/>
        </a:xfrm>
        <a:prstGeom prst="rect">
          <a:avLst/>
        </a:prstGeom>
      </xdr:spPr>
    </xdr:pic>
    <xdr:clientData/>
  </xdr:oneCellAnchor>
  <xdr:oneCellAnchor>
    <xdr:from>
      <xdr:col>23</xdr:col>
      <xdr:colOff>0</xdr:colOff>
      <xdr:row>40</xdr:row>
      <xdr:rowOff>0</xdr:rowOff>
    </xdr:from>
    <xdr:ext cx="4665134" cy="3288242"/>
    <xdr:pic>
      <xdr:nvPicPr>
        <xdr:cNvPr id="5" name="Picture 4">
          <a:extLst>
            <a:ext uri="{FF2B5EF4-FFF2-40B4-BE49-F238E27FC236}">
              <a16:creationId xmlns:a16="http://schemas.microsoft.com/office/drawing/2014/main" id="{355C8338-7B15-4411-B295-EEA9D61E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6477000"/>
          <a:ext cx="4665134" cy="32882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423333</xdr:colOff>
      <xdr:row>1</xdr:row>
      <xdr:rowOff>200024</xdr:rowOff>
    </xdr:from>
    <xdr:to>
      <xdr:col>26</xdr:col>
      <xdr:colOff>306917</xdr:colOff>
      <xdr:row>16</xdr:row>
      <xdr:rowOff>170391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84B11-E109-4FA9-85CF-7D0545191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%20Sugar%20Model_BAS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densingTurbi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RES"/>
      <sheetName val="RES_base"/>
      <sheetName val="RES_eth"/>
      <sheetName val="RES_bio"/>
      <sheetName val="EB_Exist"/>
      <sheetName val="EB_v2"/>
      <sheetName val="LCOE_Checks"/>
      <sheetName val="Costs_Exist"/>
      <sheetName val="Todo"/>
      <sheetName val="Cost of generation"/>
      <sheetName val="Add. Gen. cap"/>
      <sheetName val="Future expansion"/>
      <sheetName val="Constants"/>
      <sheetName val="SugarPrices"/>
      <sheetName val="ANSv2-692-REGIONS"/>
      <sheetName val="ANSv2-692-Commodities"/>
      <sheetName val="Commodities_BASE"/>
      <sheetName val="ANSv2-692-Processes"/>
      <sheetName val="ANSv2-692-Constraints"/>
      <sheetName val="ANSv2-692-CommData"/>
      <sheetName val="CommData_BASE"/>
      <sheetName val="Processes_BASE"/>
      <sheetName val="ANSv2-692-ProcData"/>
      <sheetName val="ProcData_Basic"/>
      <sheetName val="ProcData_Demands"/>
      <sheetName val="ProcData_Exist"/>
      <sheetName val="Basic Fuel Price"/>
      <sheetName val="Params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>
        <row r="2">
          <cell r="G2" t="str">
            <v>BCL</v>
          </cell>
          <cell r="Q2" t="str">
            <v>ISIBIB</v>
          </cell>
          <cell r="R2" t="str">
            <v>BCS</v>
          </cell>
          <cell r="S2" t="str">
            <v>ISIBIG</v>
          </cell>
          <cell r="T2" t="str">
            <v>ISIELC</v>
          </cell>
          <cell r="W2" t="str">
            <v>ISIBML</v>
          </cell>
          <cell r="X2" t="str">
            <v>ISIBFC</v>
          </cell>
        </row>
        <row r="55">
          <cell r="O55" t="str">
            <v>New Biogas+Engine</v>
          </cell>
        </row>
        <row r="60">
          <cell r="O60" t="str">
            <v>ERBIG</v>
          </cell>
        </row>
        <row r="67">
          <cell r="O67" t="str">
            <v>New BioMethane Plant</v>
          </cell>
        </row>
        <row r="72">
          <cell r="O72" t="str">
            <v>UBSCBIG</v>
          </cell>
        </row>
      </sheetData>
      <sheetData sheetId="3"/>
      <sheetData sheetId="4"/>
      <sheetData sheetId="5"/>
      <sheetData sheetId="6">
        <row r="8">
          <cell r="F8">
            <v>19.031677826999999</v>
          </cell>
        </row>
        <row r="13">
          <cell r="G13">
            <v>7.1938979999999999</v>
          </cell>
        </row>
        <row r="26">
          <cell r="F26">
            <v>6.3443984363043731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B1" t="str">
            <v>REGION1</v>
          </cell>
        </row>
      </sheetData>
      <sheetData sheetId="19"/>
      <sheetData sheetId="20"/>
      <sheetData sheetId="21"/>
      <sheetData sheetId="22"/>
      <sheetData sheetId="23">
        <row r="27">
          <cell r="A27" t="str">
            <v>* Conversion technologies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es_CONTURB"/>
      <sheetName val="ProcData_CONTURB"/>
      <sheetName val="Condensing Turbine"/>
    </sheetNames>
    <sheetDataSet>
      <sheetData sheetId="0"/>
      <sheetData sheetId="1"/>
      <sheetData sheetId="2">
        <row r="2">
          <cell r="C2">
            <v>13.24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image" Target="../media/image1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5" Type="http://schemas.openxmlformats.org/officeDocument/2006/relationships/image" Target="../media/image9.emf"/><Relationship Id="rId10" Type="http://schemas.openxmlformats.org/officeDocument/2006/relationships/control" Target="../activeX/activeX7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rainsa.co.za/biogas-production-potential-for-south-african-sugar-cane-indust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D834-CD05-4CA9-A45B-B794CA10D5A9}">
  <sheetPr codeName="Sheet23">
    <tabColor rgb="FF00B0F0"/>
  </sheetPr>
  <dimension ref="A1:J43"/>
  <sheetViews>
    <sheetView zoomScale="120" zoomScaleNormal="120" workbookViewId="0">
      <pane ySplit="7" topLeftCell="A9" activePane="bottomLeft" state="frozen"/>
      <selection activeCell="D10" sqref="D10"/>
      <selection pane="bottomLeft" activeCell="A2" sqref="A2"/>
    </sheetView>
  </sheetViews>
  <sheetFormatPr defaultColWidth="9.140625" defaultRowHeight="11.25" x14ac:dyDescent="0.2"/>
  <cols>
    <col min="1" max="1" width="13.5703125" style="1" customWidth="1"/>
    <col min="2" max="2" width="16.140625" style="1" customWidth="1"/>
    <col min="3" max="3" width="45.42578125" style="1" customWidth="1"/>
    <col min="4" max="4" width="11.140625" style="1" customWidth="1"/>
    <col min="5" max="5" width="29.28515625" style="1" customWidth="1"/>
    <col min="6" max="6" width="10.42578125" style="1" customWidth="1"/>
    <col min="7" max="16384" width="9.140625" style="1"/>
  </cols>
  <sheetData>
    <row r="1" spans="1:6" x14ac:dyDescent="0.2">
      <c r="A1" s="12" t="s">
        <v>145</v>
      </c>
      <c r="B1" s="6" t="str">
        <f>[1]Commodities_BASE!B1</f>
        <v>REGION1</v>
      </c>
    </row>
    <row r="2" spans="1:6" ht="12.75" x14ac:dyDescent="0.2">
      <c r="A2"/>
    </row>
    <row r="4" spans="1:6" ht="18" customHeight="1" x14ac:dyDescent="0.2"/>
    <row r="7" spans="1:6" x14ac:dyDescent="0.2">
      <c r="B7" s="12" t="s">
        <v>9</v>
      </c>
      <c r="C7" s="12" t="s">
        <v>8</v>
      </c>
      <c r="D7" s="12" t="s">
        <v>7</v>
      </c>
      <c r="E7" s="12" t="s">
        <v>6</v>
      </c>
      <c r="F7" s="12" t="s">
        <v>5</v>
      </c>
    </row>
    <row r="8" spans="1:6" s="4" customFormat="1" ht="12" x14ac:dyDescent="0.2">
      <c r="A8" s="10" t="s">
        <v>4</v>
      </c>
      <c r="D8" s="2"/>
      <c r="E8" s="2"/>
    </row>
    <row r="9" spans="1:6" s="4" customFormat="1" x14ac:dyDescent="0.2">
      <c r="B9" s="4" t="str">
        <f>[1]RES!O60</f>
        <v>ERBIG</v>
      </c>
      <c r="C9" s="4" t="str">
        <f>[1]RES!O55</f>
        <v>New Biogas+Engine</v>
      </c>
      <c r="D9" s="2" t="s">
        <v>3</v>
      </c>
      <c r="E9" s="11" t="s">
        <v>2</v>
      </c>
    </row>
    <row r="10" spans="1:6" s="4" customFormat="1" x14ac:dyDescent="0.2">
      <c r="B10" s="4" t="str">
        <f>[1]RES!O72</f>
        <v>UBSCBIG</v>
      </c>
      <c r="C10" s="4" t="str">
        <f>[1]RES!O67</f>
        <v>New BioMethane Plant</v>
      </c>
      <c r="D10" s="2" t="s">
        <v>1</v>
      </c>
      <c r="E10" s="11" t="s">
        <v>0</v>
      </c>
    </row>
    <row r="11" spans="1:6" s="4" customFormat="1" x14ac:dyDescent="0.2">
      <c r="D11" s="2"/>
      <c r="E11" s="11"/>
    </row>
    <row r="12" spans="1:6" s="4" customFormat="1" x14ac:dyDescent="0.2">
      <c r="D12" s="2"/>
      <c r="E12" s="11"/>
    </row>
    <row r="13" spans="1:6" s="4" customFormat="1" x14ac:dyDescent="0.2">
      <c r="D13" s="2"/>
      <c r="E13" s="2"/>
    </row>
    <row r="14" spans="1:6" s="4" customFormat="1" x14ac:dyDescent="0.2">
      <c r="D14" s="2"/>
      <c r="E14" s="2"/>
    </row>
    <row r="15" spans="1:6" s="4" customFormat="1" ht="12" x14ac:dyDescent="0.2">
      <c r="A15" s="9"/>
      <c r="B15" s="9"/>
      <c r="C15" s="9"/>
      <c r="D15" s="9"/>
      <c r="E15" s="2"/>
    </row>
    <row r="16" spans="1:6" s="4" customFormat="1" ht="12" x14ac:dyDescent="0.2">
      <c r="A16" s="9"/>
      <c r="B16" s="9"/>
      <c r="C16" s="9"/>
      <c r="D16" s="9"/>
      <c r="E16" s="10"/>
    </row>
    <row r="17" spans="1:10" s="4" customFormat="1" ht="12" x14ac:dyDescent="0.2">
      <c r="A17" s="9"/>
      <c r="D17" s="2"/>
      <c r="E17" s="2"/>
    </row>
    <row r="18" spans="1:10" s="4" customFormat="1" ht="12" x14ac:dyDescent="0.2">
      <c r="A18" s="9"/>
      <c r="D18" s="2"/>
      <c r="E18" s="2"/>
    </row>
    <row r="19" spans="1:10" s="4" customFormat="1" ht="12" x14ac:dyDescent="0.2">
      <c r="A19" s="9"/>
      <c r="D19" s="2"/>
      <c r="E19" s="2"/>
    </row>
    <row r="20" spans="1:10" s="4" customFormat="1" ht="12" x14ac:dyDescent="0.2">
      <c r="A20" s="9"/>
      <c r="D20" s="2"/>
      <c r="E20" s="2"/>
    </row>
    <row r="21" spans="1:10" s="4" customFormat="1" ht="12" x14ac:dyDescent="0.2">
      <c r="A21" s="9"/>
      <c r="D21" s="2"/>
      <c r="E21" s="2"/>
    </row>
    <row r="22" spans="1:10" s="4" customFormat="1" ht="12" x14ac:dyDescent="0.2">
      <c r="A22" s="9"/>
      <c r="B22" s="9"/>
      <c r="C22" s="9"/>
      <c r="D22" s="1"/>
      <c r="E22" s="1"/>
    </row>
    <row r="23" spans="1:10" s="4" customFormat="1" ht="12" x14ac:dyDescent="0.2">
      <c r="A23" s="9"/>
      <c r="D23" s="2"/>
      <c r="E23" s="2"/>
    </row>
    <row r="24" spans="1:10" s="4" customFormat="1" ht="12" x14ac:dyDescent="0.2">
      <c r="A24" s="9"/>
      <c r="D24" s="2"/>
      <c r="E24" s="2"/>
    </row>
    <row r="25" spans="1:10" s="4" customFormat="1" ht="12" x14ac:dyDescent="0.2">
      <c r="A25" s="9"/>
      <c r="D25" s="2"/>
      <c r="E25" s="2"/>
    </row>
    <row r="26" spans="1:10" s="4" customFormat="1" ht="12" x14ac:dyDescent="0.2">
      <c r="A26" s="9"/>
      <c r="D26" s="2"/>
      <c r="E26" s="2"/>
    </row>
    <row r="27" spans="1:10" s="4" customFormat="1" ht="12.75" x14ac:dyDescent="0.2">
      <c r="A27" s="9"/>
      <c r="B27" s="7"/>
      <c r="C27" s="7"/>
      <c r="D27" s="7"/>
      <c r="E27" s="7"/>
      <c r="G27" s="8"/>
      <c r="H27" s="8"/>
      <c r="I27" s="6"/>
      <c r="J27" s="6"/>
    </row>
    <row r="28" spans="1:10" s="4" customFormat="1" x14ac:dyDescent="0.2">
      <c r="A28" s="3"/>
      <c r="B28" s="1"/>
      <c r="C28" s="1"/>
      <c r="D28" s="2"/>
      <c r="E28" s="2"/>
      <c r="F28" s="6"/>
      <c r="G28" s="5"/>
      <c r="H28" s="5"/>
      <c r="I28" s="2"/>
      <c r="J28" s="2"/>
    </row>
    <row r="29" spans="1:10" s="4" customFormat="1" x14ac:dyDescent="0.2">
      <c r="A29" s="3"/>
      <c r="B29" s="1"/>
      <c r="C29" s="1"/>
      <c r="D29" s="2"/>
      <c r="E29" s="2"/>
      <c r="F29" s="6"/>
      <c r="G29" s="5"/>
      <c r="H29" s="5"/>
      <c r="I29" s="2"/>
      <c r="J29" s="2"/>
    </row>
    <row r="30" spans="1:10" s="4" customFormat="1" x14ac:dyDescent="0.2">
      <c r="A30" s="3"/>
      <c r="B30" s="1"/>
      <c r="C30" s="1"/>
      <c r="D30" s="2"/>
      <c r="E30" s="2"/>
      <c r="F30" s="6"/>
      <c r="G30" s="5"/>
      <c r="H30" s="5"/>
      <c r="I30" s="2"/>
      <c r="J30" s="2"/>
    </row>
    <row r="31" spans="1:10" s="4" customFormat="1" x14ac:dyDescent="0.2">
      <c r="A31" s="3"/>
      <c r="B31" s="1"/>
      <c r="C31" s="1"/>
      <c r="D31" s="2"/>
      <c r="E31" s="2"/>
      <c r="F31" s="6"/>
      <c r="G31" s="5"/>
      <c r="H31" s="5"/>
      <c r="I31" s="2"/>
      <c r="J31" s="2"/>
    </row>
    <row r="32" spans="1:10" s="4" customFormat="1" x14ac:dyDescent="0.2">
      <c r="A32" s="6"/>
      <c r="B32" s="1"/>
      <c r="C32" s="1"/>
      <c r="D32" s="2"/>
      <c r="E32" s="2"/>
      <c r="F32" s="6"/>
      <c r="G32" s="5"/>
      <c r="H32" s="5"/>
      <c r="I32" s="2"/>
      <c r="J32" s="2"/>
    </row>
    <row r="33" spans="1:10" s="4" customFormat="1" ht="12" customHeight="1" x14ac:dyDescent="0.2">
      <c r="A33" s="3"/>
      <c r="B33" s="1"/>
      <c r="C33" s="1"/>
      <c r="D33" s="2"/>
      <c r="E33" s="2"/>
      <c r="G33" s="8"/>
      <c r="H33" s="8"/>
      <c r="I33" s="6"/>
      <c r="J33" s="6"/>
    </row>
    <row r="34" spans="1:10" s="4" customFormat="1" x14ac:dyDescent="0.2">
      <c r="A34" s="3"/>
      <c r="B34" s="1"/>
      <c r="C34" s="1"/>
      <c r="D34" s="2"/>
      <c r="E34" s="2"/>
    </row>
    <row r="35" spans="1:10" s="4" customFormat="1" x14ac:dyDescent="0.2">
      <c r="A35" s="3"/>
      <c r="B35" s="1"/>
      <c r="C35" s="1"/>
      <c r="D35" s="2"/>
      <c r="E35" s="2"/>
      <c r="F35" s="5"/>
      <c r="G35" s="5"/>
      <c r="H35" s="5"/>
      <c r="I35" s="2"/>
      <c r="J35" s="2"/>
    </row>
    <row r="36" spans="1:10" s="4" customFormat="1" x14ac:dyDescent="0.2">
      <c r="A36" s="3"/>
      <c r="B36" s="1"/>
      <c r="C36" s="1"/>
      <c r="D36" s="2"/>
      <c r="E36" s="2"/>
      <c r="F36" s="5"/>
      <c r="G36" s="5"/>
      <c r="H36" s="5"/>
      <c r="I36" s="2"/>
      <c r="J36" s="2"/>
    </row>
    <row r="37" spans="1:10" s="4" customFormat="1" x14ac:dyDescent="0.2">
      <c r="A37" s="3"/>
      <c r="B37" s="1"/>
      <c r="C37" s="1"/>
      <c r="D37" s="2"/>
      <c r="E37" s="2"/>
      <c r="F37" s="5"/>
      <c r="G37" s="5"/>
      <c r="H37" s="5"/>
      <c r="I37" s="2"/>
      <c r="J37" s="2"/>
    </row>
    <row r="38" spans="1:10" s="4" customFormat="1" ht="11.45" customHeight="1" x14ac:dyDescent="0.2">
      <c r="A38" s="3"/>
      <c r="B38" s="1"/>
      <c r="C38" s="1"/>
      <c r="D38" s="2"/>
      <c r="E38" s="2"/>
      <c r="F38" s="6"/>
      <c r="G38" s="7"/>
      <c r="H38" s="7"/>
      <c r="I38" s="7"/>
      <c r="J38" s="7"/>
    </row>
    <row r="39" spans="1:10" s="4" customFormat="1" x14ac:dyDescent="0.2">
      <c r="A39" s="3"/>
      <c r="B39" s="1"/>
      <c r="C39" s="1"/>
      <c r="D39" s="2"/>
      <c r="E39" s="2"/>
    </row>
    <row r="40" spans="1:10" s="4" customFormat="1" x14ac:dyDescent="0.2">
      <c r="A40" s="3"/>
      <c r="B40" s="1"/>
      <c r="C40" s="1"/>
      <c r="D40" s="2"/>
      <c r="E40" s="2"/>
      <c r="F40" s="6"/>
      <c r="G40" s="5"/>
      <c r="H40" s="5"/>
      <c r="I40" s="2"/>
      <c r="J40" s="2"/>
    </row>
    <row r="41" spans="1:10" s="4" customFormat="1" x14ac:dyDescent="0.2">
      <c r="A41" s="3"/>
      <c r="B41" s="1"/>
      <c r="C41" s="1"/>
      <c r="D41" s="2"/>
      <c r="E41" s="2"/>
      <c r="F41" s="5"/>
      <c r="G41" s="5"/>
      <c r="H41" s="5"/>
      <c r="I41" s="2"/>
      <c r="J41" s="2"/>
    </row>
    <row r="42" spans="1:10" x14ac:dyDescent="0.2">
      <c r="A42" s="3"/>
      <c r="D42" s="2"/>
      <c r="E42" s="2"/>
    </row>
    <row r="43" spans="1:10" x14ac:dyDescent="0.2">
      <c r="A43" s="3"/>
      <c r="D43" s="2"/>
      <c r="E43" s="2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7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027" r:id="rId4" name="cmdProcUnits"/>
      </mc:Fallback>
    </mc:AlternateContent>
    <mc:AlternateContent xmlns:mc="http://schemas.openxmlformats.org/markup-compatibility/2006">
      <mc:Choice Requires="x14">
        <control shapeId="1026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026" r:id="rId6" name="cmdCheckTechnologiesSheet"/>
      </mc:Fallback>
    </mc:AlternateContent>
    <mc:AlternateContent xmlns:mc="http://schemas.openxmlformats.org/markup-compatibility/2006">
      <mc:Choice Requires="x14">
        <control shapeId="1025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025" r:id="rId8" name="cmdSpecifySets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CC777-DA99-42FD-8B0A-960D74EB30E7}">
  <sheetPr codeName="Sheet33">
    <tabColor rgb="FF00B0F0"/>
  </sheetPr>
  <dimension ref="A1:U32"/>
  <sheetViews>
    <sheetView tabSelected="1" zoomScale="120" zoomScaleNormal="120" workbookViewId="0">
      <pane xSplit="7" ySplit="7" topLeftCell="H8" activePane="bottomRight" state="frozen"/>
      <selection activeCell="D10" sqref="D10"/>
      <selection pane="topRight" activeCell="D10" sqref="D10"/>
      <selection pane="bottomLeft" activeCell="D10" sqref="D10"/>
      <selection pane="bottomRight" activeCell="A2" sqref="A2"/>
    </sheetView>
  </sheetViews>
  <sheetFormatPr defaultColWidth="9.140625" defaultRowHeight="11.25" customHeight="1" x14ac:dyDescent="0.2"/>
  <cols>
    <col min="1" max="1" width="12.28515625" style="1" customWidth="1"/>
    <col min="2" max="2" width="15.28515625" style="1" customWidth="1"/>
    <col min="3" max="3" width="36.140625" style="1" customWidth="1"/>
    <col min="4" max="4" width="8.5703125" style="1" customWidth="1"/>
    <col min="5" max="5" width="12.28515625" style="1" customWidth="1"/>
    <col min="6" max="6" width="10.140625" style="1" customWidth="1"/>
    <col min="7" max="7" width="6.85546875" style="13" customWidth="1"/>
    <col min="8" max="16384" width="9.140625" style="1"/>
  </cols>
  <sheetData>
    <row r="1" spans="1:21" ht="11.25" customHeight="1" x14ac:dyDescent="0.2">
      <c r="A1" s="12" t="s">
        <v>146</v>
      </c>
      <c r="B1" s="6" t="str">
        <f>[1]Commodities_BASE!B1</f>
        <v>REGION1</v>
      </c>
    </row>
    <row r="2" spans="1:21" ht="11.25" customHeight="1" x14ac:dyDescent="0.2">
      <c r="A2"/>
    </row>
    <row r="3" spans="1:21" ht="34.5" customHeight="1" x14ac:dyDescent="0.2">
      <c r="H3" s="27" t="s">
        <v>32</v>
      </c>
      <c r="I3" s="27" t="s">
        <v>31</v>
      </c>
      <c r="J3" s="27" t="s">
        <v>30</v>
      </c>
      <c r="K3" s="27" t="s">
        <v>29</v>
      </c>
      <c r="L3" s="1" t="s">
        <v>28</v>
      </c>
      <c r="M3" s="1" t="s">
        <v>27</v>
      </c>
      <c r="N3" s="1" t="s">
        <v>26</v>
      </c>
      <c r="O3" s="1" t="s">
        <v>25</v>
      </c>
      <c r="S3" s="1" t="s">
        <v>24</v>
      </c>
    </row>
    <row r="4" spans="1:21" ht="21.75" customHeight="1" x14ac:dyDescent="0.2">
      <c r="E4" s="26"/>
      <c r="F4" s="26"/>
      <c r="G4" s="26"/>
      <c r="H4" s="22" t="s">
        <v>17</v>
      </c>
      <c r="I4" s="22" t="s">
        <v>23</v>
      </c>
      <c r="J4" s="22" t="s">
        <v>22</v>
      </c>
      <c r="K4" s="22" t="s">
        <v>21</v>
      </c>
      <c r="L4" s="25" t="s">
        <v>20</v>
      </c>
      <c r="M4" s="25" t="s">
        <v>19</v>
      </c>
      <c r="N4" s="25" t="s">
        <v>18</v>
      </c>
      <c r="O4" s="25" t="s">
        <v>17</v>
      </c>
      <c r="P4" s="25" t="s">
        <v>17</v>
      </c>
      <c r="Q4" s="25" t="s">
        <v>17</v>
      </c>
      <c r="R4" s="25" t="s">
        <v>17</v>
      </c>
      <c r="S4" s="25" t="s">
        <v>17</v>
      </c>
      <c r="T4" s="24" t="s">
        <v>16</v>
      </c>
      <c r="U4" s="24" t="s">
        <v>16</v>
      </c>
    </row>
    <row r="5" spans="1:21" ht="16.5" customHeight="1" x14ac:dyDescent="0.2">
      <c r="H5" s="22" t="s">
        <v>15</v>
      </c>
      <c r="K5" s="23"/>
      <c r="L5" s="22" t="s">
        <v>14</v>
      </c>
      <c r="O5" s="1" t="str">
        <f>E10</f>
        <v>BCS</v>
      </c>
      <c r="P5" s="1" t="str">
        <f>E11</f>
        <v>ISIBML</v>
      </c>
      <c r="Q5" s="1" t="str">
        <f>E12</f>
        <v>BCL</v>
      </c>
      <c r="R5" s="1" t="str">
        <f>E13</f>
        <v>ISIBIB</v>
      </c>
      <c r="S5" s="1" t="str">
        <f>E14</f>
        <v>ISIBFC</v>
      </c>
      <c r="T5" s="24" t="str">
        <f>F9</f>
        <v>ISIELC</v>
      </c>
      <c r="U5" s="24" t="str">
        <f>F15</f>
        <v>ISIBIG</v>
      </c>
    </row>
    <row r="6" spans="1:21" ht="17.25" customHeight="1" x14ac:dyDescent="0.2">
      <c r="H6" s="22" t="s">
        <v>14</v>
      </c>
      <c r="K6" s="23"/>
      <c r="O6" s="22" t="s">
        <v>14</v>
      </c>
      <c r="P6" s="22" t="s">
        <v>14</v>
      </c>
      <c r="Q6" s="22" t="s">
        <v>14</v>
      </c>
      <c r="R6" s="22" t="s">
        <v>14</v>
      </c>
      <c r="S6" s="22" t="s">
        <v>14</v>
      </c>
    </row>
    <row r="7" spans="1:21" ht="21.75" customHeight="1" x14ac:dyDescent="0.2">
      <c r="B7" s="12" t="s">
        <v>9</v>
      </c>
      <c r="C7" s="12" t="s">
        <v>8</v>
      </c>
      <c r="D7" s="21" t="s">
        <v>7</v>
      </c>
      <c r="E7" s="12" t="s">
        <v>13</v>
      </c>
      <c r="F7" s="12" t="s">
        <v>12</v>
      </c>
      <c r="G7" s="21" t="s">
        <v>11</v>
      </c>
      <c r="K7" s="20" t="s">
        <v>10</v>
      </c>
      <c r="N7" s="1" t="s">
        <v>10</v>
      </c>
      <c r="O7" s="13"/>
      <c r="T7" s="20" t="s">
        <v>10</v>
      </c>
      <c r="U7" s="20" t="s">
        <v>10</v>
      </c>
    </row>
    <row r="8" spans="1:21" ht="11.25" customHeight="1" x14ac:dyDescent="0.2">
      <c r="A8" s="10" t="str">
        <f>[1]Processes_BASE!A27</f>
        <v>* Conversion technologies</v>
      </c>
      <c r="B8" s="4"/>
      <c r="F8" s="17"/>
      <c r="O8" s="13"/>
      <c r="T8" s="13"/>
    </row>
    <row r="9" spans="1:21" s="13" customFormat="1" ht="11.25" customHeight="1" x14ac:dyDescent="0.2">
      <c r="A9" s="1"/>
      <c r="B9" s="4" t="str">
        <f>Processes_Biogas!B9</f>
        <v>ERBIG</v>
      </c>
      <c r="C9" s="4" t="str">
        <f>Processes_Biogas!C9</f>
        <v>New Biogas+Engine</v>
      </c>
      <c r="D9" s="4" t="str">
        <f>Processes_Biogas!D9</f>
        <v>PJ,GW</v>
      </c>
      <c r="F9" s="1" t="str">
        <f>[1]RES!T2</f>
        <v>ISIELC</v>
      </c>
      <c r="H9" s="19"/>
      <c r="I9" s="19">
        <f>Biogas!C19</f>
        <v>1785</v>
      </c>
      <c r="J9" s="19">
        <f>Biogas!C18</f>
        <v>22149.472009359146</v>
      </c>
      <c r="K9" s="1">
        <v>31.536000000000001</v>
      </c>
      <c r="L9" s="18">
        <f>Biogas!C24</f>
        <v>0.8</v>
      </c>
      <c r="M9" s="18">
        <f>Biogas!C23</f>
        <v>20</v>
      </c>
      <c r="N9" s="13">
        <v>2025</v>
      </c>
      <c r="T9" s="1">
        <v>1</v>
      </c>
    </row>
    <row r="10" spans="1:21" s="13" customFormat="1" ht="11.25" customHeight="1" x14ac:dyDescent="0.2">
      <c r="A10" s="1"/>
      <c r="B10" s="1"/>
      <c r="C10" s="1"/>
      <c r="D10" s="1"/>
      <c r="E10" s="1" t="str">
        <f>[1]RES!R2</f>
        <v>BCS</v>
      </c>
      <c r="F10" s="17"/>
      <c r="H10" s="1"/>
      <c r="I10" s="1"/>
      <c r="J10" s="1"/>
      <c r="K10" s="1"/>
      <c r="O10" s="14">
        <f>Biogas!C28</f>
        <v>0.34</v>
      </c>
      <c r="S10" s="4"/>
    </row>
    <row r="11" spans="1:21" s="13" customFormat="1" ht="11.25" customHeight="1" x14ac:dyDescent="0.2">
      <c r="A11" s="1"/>
      <c r="B11" s="1"/>
      <c r="C11" s="1"/>
      <c r="D11" s="1"/>
      <c r="E11" s="1" t="str">
        <f>[1]RES!W2</f>
        <v>ISIBML</v>
      </c>
      <c r="F11" s="17"/>
      <c r="H11" s="1"/>
      <c r="I11" s="1"/>
      <c r="J11" s="1"/>
      <c r="K11" s="1"/>
      <c r="P11" s="14">
        <f>Biogas!C29</f>
        <v>0.34</v>
      </c>
      <c r="S11" s="4"/>
    </row>
    <row r="12" spans="1:21" ht="11.25" customHeight="1" x14ac:dyDescent="0.2">
      <c r="E12" s="1" t="str">
        <f>[1]RES!G2</f>
        <v>BCL</v>
      </c>
      <c r="O12" s="13"/>
      <c r="P12" s="13"/>
      <c r="Q12" s="14">
        <f>Biogas!C30</f>
        <v>0.2</v>
      </c>
      <c r="R12" s="13"/>
      <c r="S12" s="4"/>
    </row>
    <row r="13" spans="1:21" ht="11.25" customHeight="1" x14ac:dyDescent="0.2">
      <c r="E13" s="1" t="str">
        <f>[1]RES!Q2</f>
        <v>ISIBIB</v>
      </c>
      <c r="O13" s="13"/>
      <c r="R13" s="15">
        <f>Biogas!C31</f>
        <v>0.2</v>
      </c>
      <c r="S13" s="4"/>
    </row>
    <row r="14" spans="1:21" ht="11.25" customHeight="1" x14ac:dyDescent="0.2">
      <c r="E14" s="1" t="str">
        <f>[1]RES!X2</f>
        <v>ISIBFC</v>
      </c>
      <c r="S14" s="15">
        <f>Biogas!C32</f>
        <v>0.18000000000000002</v>
      </c>
    </row>
    <row r="15" spans="1:21" ht="11.25" customHeight="1" x14ac:dyDescent="0.2">
      <c r="B15" s="1" t="str">
        <f>Processes_Biogas!B10</f>
        <v>UBSCBIG</v>
      </c>
      <c r="C15" s="1" t="str">
        <f>Processes_Biogas!C10</f>
        <v>New BioMethane Plant</v>
      </c>
      <c r="D15" s="1" t="str">
        <f>Processes_Biogas!D10</f>
        <v>PJ,PJa</v>
      </c>
      <c r="F15" s="17" t="str">
        <f>[1]RES!S2</f>
        <v>ISIBIG</v>
      </c>
      <c r="H15" s="15"/>
      <c r="I15" s="1">
        <f>Biogas!C54</f>
        <v>58.507227670148012</v>
      </c>
      <c r="J15" s="1">
        <f>Biogas!C53</f>
        <v>585.07227670148006</v>
      </c>
      <c r="K15" s="1">
        <v>1</v>
      </c>
      <c r="L15" s="15">
        <f>Biogas!C49</f>
        <v>0.8</v>
      </c>
      <c r="M15" s="16">
        <f>Biogas!C52</f>
        <v>20</v>
      </c>
      <c r="N15" s="1">
        <f>N9</f>
        <v>2025</v>
      </c>
      <c r="S15" s="4"/>
      <c r="U15" s="1">
        <v>1</v>
      </c>
    </row>
    <row r="16" spans="1:21" ht="11.25" customHeight="1" x14ac:dyDescent="0.2">
      <c r="E16" s="1" t="str">
        <f>E10</f>
        <v>BCS</v>
      </c>
      <c r="O16" s="15">
        <f>Biogas!C58</f>
        <v>0.68</v>
      </c>
    </row>
    <row r="17" spans="5:19" ht="11.25" customHeight="1" x14ac:dyDescent="0.2">
      <c r="E17" s="1" t="str">
        <f>E11</f>
        <v>ISIBML</v>
      </c>
      <c r="P17" s="15">
        <f>Biogas!C59</f>
        <v>0.68</v>
      </c>
    </row>
    <row r="18" spans="5:19" ht="11.25" customHeight="1" x14ac:dyDescent="0.2">
      <c r="E18" s="1" t="str">
        <f>E12</f>
        <v>BCL</v>
      </c>
      <c r="Q18" s="15">
        <f>Biogas!C60</f>
        <v>0.4</v>
      </c>
    </row>
    <row r="19" spans="5:19" ht="11.25" customHeight="1" x14ac:dyDescent="0.2">
      <c r="E19" s="1" t="str">
        <f>E13</f>
        <v>ISIBIB</v>
      </c>
      <c r="R19" s="15">
        <f>Biogas!C61</f>
        <v>0.4</v>
      </c>
      <c r="S19" s="13"/>
    </row>
    <row r="20" spans="5:19" ht="11.25" customHeight="1" x14ac:dyDescent="0.2">
      <c r="E20" s="1" t="str">
        <f>E14</f>
        <v>ISIBFC</v>
      </c>
      <c r="S20" s="14">
        <f>Biogas!C62</f>
        <v>0.36000000000000004</v>
      </c>
    </row>
    <row r="22" spans="5:19" ht="11.25" customHeight="1" x14ac:dyDescent="0.2">
      <c r="S22" s="13"/>
    </row>
    <row r="23" spans="5:19" ht="11.25" customHeight="1" x14ac:dyDescent="0.2">
      <c r="S23" s="13"/>
    </row>
    <row r="24" spans="5:19" ht="11.25" customHeight="1" x14ac:dyDescent="0.2">
      <c r="S24" s="13"/>
    </row>
    <row r="25" spans="5:19" ht="11.25" customHeight="1" x14ac:dyDescent="0.2">
      <c r="S25" s="13"/>
    </row>
    <row r="26" spans="5:19" ht="11.25" customHeight="1" x14ac:dyDescent="0.2">
      <c r="S26" s="13"/>
    </row>
    <row r="27" spans="5:19" ht="11.25" customHeight="1" x14ac:dyDescent="0.2">
      <c r="S27" s="13"/>
    </row>
    <row r="28" spans="5:19" ht="11.25" customHeight="1" x14ac:dyDescent="0.2">
      <c r="S28" s="13"/>
    </row>
    <row r="29" spans="5:19" ht="11.25" customHeight="1" x14ac:dyDescent="0.2">
      <c r="S29" s="13"/>
    </row>
    <row r="30" spans="5:19" ht="11.25" customHeight="1" x14ac:dyDescent="0.2">
      <c r="S30" s="13"/>
    </row>
    <row r="31" spans="5:19" ht="11.25" customHeight="1" x14ac:dyDescent="0.2">
      <c r="S31" s="13"/>
    </row>
    <row r="32" spans="5:19" ht="11.25" customHeight="1" x14ac:dyDescent="0.2">
      <c r="S32" s="13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6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2056" r:id="rId4" name="cmdAddParamQualifier2"/>
      </mc:Fallback>
    </mc:AlternateContent>
    <mc:AlternateContent xmlns:mc="http://schemas.openxmlformats.org/markup-compatibility/2006">
      <mc:Choice Requires="x14">
        <control shapeId="2055" r:id="rId6" name="cmdCheckTech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2055" r:id="rId6" name="cmdCheckTechDataSheet"/>
      </mc:Fallback>
    </mc:AlternateContent>
    <mc:AlternateContent xmlns:mc="http://schemas.openxmlformats.org/markup-compatibility/2006">
      <mc:Choice Requires="x14">
        <control shapeId="2054" r:id="rId8" name="cmdAddParamQualifier1">
          <controlPr defaultSize="0" autoLine="0" r:id="rId9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2054" r:id="rId8" name="cmdAddParamQualifier1"/>
      </mc:Fallback>
    </mc:AlternateContent>
    <mc:AlternateContent xmlns:mc="http://schemas.openxmlformats.org/markup-compatibility/2006">
      <mc:Choice Requires="x14">
        <control shapeId="2053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2053" r:id="rId10" name="cmdAddParameter"/>
      </mc:Fallback>
    </mc:AlternateContent>
    <mc:AlternateContent xmlns:mc="http://schemas.openxmlformats.org/markup-compatibility/2006">
      <mc:Choice Requires="x14">
        <control shapeId="2052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2052" r:id="rId12" name="cmdCommOUT"/>
      </mc:Fallback>
    </mc:AlternateContent>
    <mc:AlternateContent xmlns:mc="http://schemas.openxmlformats.org/markup-compatibility/2006">
      <mc:Choice Requires="x14">
        <control shapeId="2051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2051" r:id="rId14" name="cmdCommIN"/>
      </mc:Fallback>
    </mc:AlternateContent>
    <mc:AlternateContent xmlns:mc="http://schemas.openxmlformats.org/markup-compatibility/2006">
      <mc:Choice Requires="x14">
        <control shapeId="2050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2050" r:id="rId16" name="cmdTechNameAndDesc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FA0D-937A-40F0-B6B2-3353B6227987}">
  <sheetPr>
    <tabColor theme="9"/>
  </sheetPr>
  <dimension ref="A1:AG131"/>
  <sheetViews>
    <sheetView topLeftCell="A41" zoomScale="90" zoomScaleNormal="90" workbookViewId="0">
      <selection activeCell="D10" sqref="D10"/>
    </sheetView>
  </sheetViews>
  <sheetFormatPr defaultRowHeight="12.75" x14ac:dyDescent="0.2"/>
  <cols>
    <col min="1" max="1" width="30" customWidth="1"/>
    <col min="25" max="25" width="15" customWidth="1"/>
  </cols>
  <sheetData>
    <row r="1" spans="1:17" ht="20.25" thickBot="1" x14ac:dyDescent="0.35">
      <c r="A1" s="46" t="s">
        <v>64</v>
      </c>
    </row>
    <row r="2" spans="1:17" ht="18.75" thickTop="1" thickBot="1" x14ac:dyDescent="0.35">
      <c r="A2" s="38" t="s">
        <v>139</v>
      </c>
    </row>
    <row r="3" spans="1:17" ht="13.5" thickTop="1" x14ac:dyDescent="0.2">
      <c r="A3" s="28" t="s">
        <v>139</v>
      </c>
      <c r="B3" s="28" t="s">
        <v>144</v>
      </c>
      <c r="F3" t="s">
        <v>143</v>
      </c>
      <c r="G3">
        <v>25</v>
      </c>
      <c r="J3" s="28" t="s">
        <v>142</v>
      </c>
      <c r="K3">
        <v>12</v>
      </c>
    </row>
    <row r="4" spans="1:17" x14ac:dyDescent="0.2">
      <c r="A4" s="28" t="s">
        <v>141</v>
      </c>
      <c r="B4" s="28" t="s">
        <v>140</v>
      </c>
      <c r="F4" t="s">
        <v>41</v>
      </c>
      <c r="G4">
        <f>C5*G3</f>
        <v>0.89750000000000008</v>
      </c>
      <c r="J4" s="28" t="s">
        <v>136</v>
      </c>
      <c r="K4">
        <f>K3/0.95</f>
        <v>12.631578947368421</v>
      </c>
    </row>
    <row r="5" spans="1:17" x14ac:dyDescent="0.2">
      <c r="A5" s="28" t="s">
        <v>139</v>
      </c>
      <c r="B5" s="28" t="s">
        <v>138</v>
      </c>
      <c r="C5">
        <v>3.5900000000000001E-2</v>
      </c>
      <c r="D5" s="28" t="s">
        <v>79</v>
      </c>
      <c r="J5" s="28" t="s">
        <v>135</v>
      </c>
    </row>
    <row r="6" spans="1:17" x14ac:dyDescent="0.2">
      <c r="B6" s="28" t="s">
        <v>106</v>
      </c>
      <c r="C6">
        <f>C5*1000000000/1000/1000</f>
        <v>35.9</v>
      </c>
    </row>
    <row r="7" spans="1:17" ht="18" thickBot="1" x14ac:dyDescent="0.35">
      <c r="A7" s="38"/>
    </row>
    <row r="8" spans="1:17" ht="13.5" thickTop="1" x14ac:dyDescent="0.2"/>
    <row r="9" spans="1:17" x14ac:dyDescent="0.2">
      <c r="C9" s="33"/>
    </row>
    <row r="10" spans="1:17" x14ac:dyDescent="0.2">
      <c r="A10" s="28" t="s">
        <v>137</v>
      </c>
      <c r="B10" s="28" t="s">
        <v>136</v>
      </c>
      <c r="C10">
        <v>12</v>
      </c>
    </row>
    <row r="11" spans="1:17" x14ac:dyDescent="0.2">
      <c r="B11" s="28" t="s">
        <v>135</v>
      </c>
      <c r="C11">
        <f>C10*'[2]Condensing Turbine'!C2</f>
        <v>158.88</v>
      </c>
    </row>
    <row r="12" spans="1:17" ht="15" x14ac:dyDescent="0.25">
      <c r="C12">
        <f>C11*2</f>
        <v>317.76</v>
      </c>
      <c r="I12" s="41" t="s">
        <v>134</v>
      </c>
    </row>
    <row r="13" spans="1:17" ht="15" x14ac:dyDescent="0.25">
      <c r="I13" s="41" t="s">
        <v>133</v>
      </c>
      <c r="J13" s="41" t="s">
        <v>132</v>
      </c>
    </row>
    <row r="14" spans="1:17" ht="15" x14ac:dyDescent="0.25">
      <c r="A14" s="28"/>
      <c r="B14" s="28"/>
      <c r="I14" s="41" t="s">
        <v>131</v>
      </c>
      <c r="J14" s="41" t="s">
        <v>130</v>
      </c>
      <c r="K14" s="41">
        <v>1</v>
      </c>
      <c r="L14" s="41">
        <v>2</v>
      </c>
      <c r="M14" s="41">
        <v>5</v>
      </c>
      <c r="N14" s="41">
        <v>6</v>
      </c>
      <c r="O14" s="41">
        <v>10</v>
      </c>
      <c r="P14" s="41" t="s">
        <v>129</v>
      </c>
    </row>
    <row r="15" spans="1:17" ht="18" thickBot="1" x14ac:dyDescent="0.35">
      <c r="A15" s="38" t="s">
        <v>128</v>
      </c>
      <c r="B15" t="s">
        <v>127</v>
      </c>
      <c r="I15" s="41">
        <v>0.68500000000000005</v>
      </c>
      <c r="J15" s="28" t="s">
        <v>75</v>
      </c>
      <c r="K15" s="36">
        <v>16</v>
      </c>
      <c r="L15" s="44">
        <f>$K$15*(L14/$K$14)^$I$15</f>
        <v>25.723231703780847</v>
      </c>
      <c r="M15" s="44">
        <f>$K$15*(M14/$K$14)^$I$15</f>
        <v>48.185285398378355</v>
      </c>
      <c r="N15" s="44">
        <f>$K$15*(N14/$K$14)^$I$15</f>
        <v>54.595090365444136</v>
      </c>
      <c r="O15" s="44">
        <f>$K$15*(O14/$K$14)^$I$15</f>
        <v>77.467578813455916</v>
      </c>
      <c r="P15" s="41"/>
    </row>
    <row r="16" spans="1:17" ht="15.75" thickTop="1" x14ac:dyDescent="0.25">
      <c r="A16" s="28" t="s">
        <v>126</v>
      </c>
      <c r="B16" s="28" t="s">
        <v>84</v>
      </c>
      <c r="C16">
        <v>0.01</v>
      </c>
      <c r="J16" t="s">
        <v>125</v>
      </c>
      <c r="K16" s="36">
        <f>(K15+K17)/2</f>
        <v>40.5</v>
      </c>
      <c r="L16" s="36">
        <f>(L15+L17)/2</f>
        <v>67.519882843381865</v>
      </c>
      <c r="M16" s="36">
        <f>(M15+M17)/2</f>
        <v>132.76294225785773</v>
      </c>
      <c r="N16" s="36">
        <f>(N15+N17)/2</f>
        <v>151.89145051074522</v>
      </c>
      <c r="O16" s="36">
        <f>(O15+O17)/2</f>
        <v>221.49472009359147</v>
      </c>
      <c r="P16" s="41"/>
      <c r="Q16" s="41"/>
    </row>
    <row r="17" spans="1:31" ht="15" x14ac:dyDescent="0.25">
      <c r="A17" t="s">
        <v>81</v>
      </c>
      <c r="B17" s="28" t="s">
        <v>80</v>
      </c>
      <c r="C17" s="33">
        <f>O16</f>
        <v>221.49472009359147</v>
      </c>
      <c r="D17" s="28" t="s">
        <v>124</v>
      </c>
      <c r="I17" s="41">
        <v>0.75</v>
      </c>
      <c r="J17" s="28" t="s">
        <v>73</v>
      </c>
      <c r="K17" s="45">
        <v>65</v>
      </c>
      <c r="L17" s="44">
        <f>$K$17*(L14/$K$14)^$I$17</f>
        <v>109.31653398298289</v>
      </c>
      <c r="M17" s="44">
        <f>$K$17*(M14/$K$14)^$I$17</f>
        <v>217.34059911733712</v>
      </c>
      <c r="N17" s="44">
        <f>$K$17*(N14/$K$14)^$I$17</f>
        <v>249.18781065604628</v>
      </c>
      <c r="O17" s="44">
        <f>$K$17*(O14/$K$14)^$I$17</f>
        <v>365.52186137372701</v>
      </c>
      <c r="Q17" s="41"/>
    </row>
    <row r="18" spans="1:31" ht="15" x14ac:dyDescent="0.25">
      <c r="A18" s="28" t="s">
        <v>123</v>
      </c>
      <c r="B18" s="28" t="s">
        <v>120</v>
      </c>
      <c r="C18" s="36">
        <f>C17/C16</f>
        <v>22149.472009359146</v>
      </c>
      <c r="N18">
        <v>300</v>
      </c>
      <c r="O18" t="s">
        <v>122</v>
      </c>
      <c r="Q18" s="41"/>
    </row>
    <row r="19" spans="1:31" ht="15" x14ac:dyDescent="0.25">
      <c r="A19" s="28" t="s">
        <v>121</v>
      </c>
      <c r="B19" s="28" t="s">
        <v>120</v>
      </c>
      <c r="C19" s="33">
        <f>1700*1.05</f>
        <v>1785</v>
      </c>
      <c r="D19" s="28" t="s">
        <v>119</v>
      </c>
      <c r="I19" s="41"/>
      <c r="J19" s="41" t="s">
        <v>118</v>
      </c>
      <c r="K19" s="41">
        <f>K17</f>
        <v>65</v>
      </c>
      <c r="L19" s="43">
        <f>L17/L14</f>
        <v>54.658266991491445</v>
      </c>
      <c r="M19" s="43">
        <f>M17/M14</f>
        <v>43.468119823467426</v>
      </c>
      <c r="N19" s="43">
        <f>N17/N14</f>
        <v>41.531301776007716</v>
      </c>
      <c r="O19" s="43">
        <f>O17/O14</f>
        <v>36.552186137372701</v>
      </c>
      <c r="P19" s="41"/>
      <c r="Q19" s="41"/>
    </row>
    <row r="20" spans="1:31" ht="15" x14ac:dyDescent="0.25">
      <c r="A20" s="28" t="s">
        <v>117</v>
      </c>
      <c r="B20" s="28" t="s">
        <v>116</v>
      </c>
      <c r="C20">
        <f>0.8*8760</f>
        <v>7008</v>
      </c>
      <c r="L20" s="41"/>
      <c r="M20" s="41"/>
      <c r="N20" s="41"/>
      <c r="O20" s="41"/>
      <c r="P20" s="41"/>
      <c r="Q20" s="41"/>
    </row>
    <row r="21" spans="1:31" ht="15" x14ac:dyDescent="0.25">
      <c r="A21" s="42" t="s">
        <v>115</v>
      </c>
      <c r="I21" s="41"/>
      <c r="J21" s="41"/>
      <c r="K21" s="41"/>
      <c r="L21" s="41"/>
      <c r="M21" s="41"/>
      <c r="N21" s="41"/>
      <c r="O21" s="41"/>
      <c r="P21" s="41"/>
      <c r="Q21" s="41"/>
    </row>
    <row r="22" spans="1:31" ht="15" x14ac:dyDescent="0.25">
      <c r="A22" s="28" t="s">
        <v>114</v>
      </c>
      <c r="B22" s="28" t="s">
        <v>41</v>
      </c>
      <c r="C22">
        <f>C16*31.536/C26</f>
        <v>0.78839999999999999</v>
      </c>
      <c r="I22" s="41"/>
      <c r="J22" s="41"/>
      <c r="K22" s="41"/>
      <c r="L22" s="41"/>
      <c r="M22" s="41"/>
      <c r="N22" s="41"/>
      <c r="O22" s="41"/>
      <c r="P22" s="41"/>
      <c r="Q22" s="41"/>
      <c r="Y22" s="40" t="s">
        <v>113</v>
      </c>
    </row>
    <row r="23" spans="1:31" ht="15" x14ac:dyDescent="0.25">
      <c r="A23" s="28" t="s">
        <v>27</v>
      </c>
      <c r="B23" s="28"/>
      <c r="C23" s="33">
        <v>20</v>
      </c>
      <c r="F23" s="28"/>
      <c r="G23" s="28"/>
      <c r="J23" s="41"/>
      <c r="K23" s="41"/>
      <c r="L23" s="41"/>
      <c r="M23" s="41"/>
      <c r="N23" s="41"/>
      <c r="O23" s="41"/>
      <c r="P23" s="41"/>
      <c r="Q23" s="41"/>
      <c r="Y23" s="40"/>
    </row>
    <row r="24" spans="1:31" ht="15" x14ac:dyDescent="0.2">
      <c r="A24" s="28" t="s">
        <v>112</v>
      </c>
      <c r="C24" s="31">
        <v>0.8</v>
      </c>
      <c r="F24" s="28"/>
      <c r="H24" s="31"/>
      <c r="Y24" s="40" t="s">
        <v>111</v>
      </c>
    </row>
    <row r="25" spans="1:31" ht="15" x14ac:dyDescent="0.2">
      <c r="A25" s="28"/>
      <c r="B25" s="28"/>
      <c r="G25" s="28"/>
      <c r="Y25" s="40" t="s">
        <v>110</v>
      </c>
    </row>
    <row r="26" spans="1:31" ht="15" x14ac:dyDescent="0.2">
      <c r="A26" s="28" t="s">
        <v>109</v>
      </c>
      <c r="C26" s="31">
        <v>0.4</v>
      </c>
      <c r="Q26">
        <v>6</v>
      </c>
      <c r="Y26" s="40" t="s">
        <v>108</v>
      </c>
    </row>
    <row r="27" spans="1:31" x14ac:dyDescent="0.2">
      <c r="A27" s="35" t="s">
        <v>71</v>
      </c>
      <c r="B27" s="28" t="s">
        <v>70</v>
      </c>
      <c r="C27" t="s">
        <v>107</v>
      </c>
    </row>
    <row r="28" spans="1:31" ht="15" x14ac:dyDescent="0.25">
      <c r="A28" s="28" t="s">
        <v>68</v>
      </c>
      <c r="B28" s="34">
        <v>0.85</v>
      </c>
      <c r="C28" s="31">
        <f>B28*$C$26</f>
        <v>0.34</v>
      </c>
    </row>
    <row r="29" spans="1:31" ht="15" x14ac:dyDescent="0.25">
      <c r="A29" s="28" t="s">
        <v>58</v>
      </c>
      <c r="B29" s="34">
        <v>0.85</v>
      </c>
      <c r="C29" s="31">
        <f>B29*$C$26</f>
        <v>0.34</v>
      </c>
      <c r="Q29">
        <v>65</v>
      </c>
    </row>
    <row r="30" spans="1:31" ht="15" x14ac:dyDescent="0.25">
      <c r="A30" s="28" t="s">
        <v>67</v>
      </c>
      <c r="B30" s="34">
        <v>0.5</v>
      </c>
      <c r="C30" s="31">
        <f>B30*$C$26</f>
        <v>0.2</v>
      </c>
      <c r="Q30">
        <v>209</v>
      </c>
      <c r="Y30" s="28" t="s">
        <v>106</v>
      </c>
      <c r="Z30">
        <f>C6</f>
        <v>35.9</v>
      </c>
      <c r="AC30">
        <f>Z30</f>
        <v>35.9</v>
      </c>
      <c r="AE30" t="s">
        <v>105</v>
      </c>
    </row>
    <row r="31" spans="1:31" ht="15" x14ac:dyDescent="0.25">
      <c r="A31" s="28" t="s">
        <v>66</v>
      </c>
      <c r="B31" s="34">
        <v>0.5</v>
      </c>
      <c r="C31" s="31">
        <f>B31*$C$26</f>
        <v>0.2</v>
      </c>
      <c r="F31" s="41" t="s">
        <v>104</v>
      </c>
      <c r="V31" s="28" t="s">
        <v>49</v>
      </c>
      <c r="Y31" s="40" t="s">
        <v>103</v>
      </c>
      <c r="AB31" s="28" t="s">
        <v>102</v>
      </c>
      <c r="AC31" s="31">
        <v>0.65</v>
      </c>
    </row>
    <row r="32" spans="1:31" ht="15" x14ac:dyDescent="0.25">
      <c r="A32" s="28" t="s">
        <v>65</v>
      </c>
      <c r="B32" s="34">
        <v>0.45</v>
      </c>
      <c r="C32" s="31">
        <f>B32*$C$26</f>
        <v>0.18000000000000002</v>
      </c>
      <c r="V32" s="28" t="s">
        <v>101</v>
      </c>
      <c r="W32" s="28" t="s">
        <v>100</v>
      </c>
      <c r="Y32" s="40" t="s">
        <v>99</v>
      </c>
      <c r="Z32" s="28" t="s">
        <v>98</v>
      </c>
      <c r="AC32" s="28" t="s">
        <v>98</v>
      </c>
    </row>
    <row r="33" spans="1:33" x14ac:dyDescent="0.2">
      <c r="V33">
        <f>[1]EB_Exist!G13</f>
        <v>7.1938979999999999</v>
      </c>
      <c r="W33">
        <f>V33*1000000/1000</f>
        <v>7193.8980000000001</v>
      </c>
      <c r="X33" s="28" t="s">
        <v>66</v>
      </c>
      <c r="Y33">
        <v>28.75</v>
      </c>
      <c r="Z33" s="39">
        <f>Y33*$Z$30/$W33</f>
        <v>0.1434722872078531</v>
      </c>
      <c r="AB33">
        <v>275</v>
      </c>
      <c r="AC33" s="39">
        <f>AB33*$AC$31*$AC$30/$W33</f>
        <v>0.89202335090099971</v>
      </c>
    </row>
    <row r="34" spans="1:33" x14ac:dyDescent="0.2">
      <c r="V34">
        <f>V33</f>
        <v>7.1938979999999999</v>
      </c>
      <c r="W34">
        <f>V34*1000000/1000</f>
        <v>7193.8980000000001</v>
      </c>
      <c r="X34" s="28" t="s">
        <v>97</v>
      </c>
      <c r="Y34">
        <v>87.18</v>
      </c>
      <c r="Z34" s="39">
        <f>Y34*$Z$30/$W34</f>
        <v>0.43505787821845682</v>
      </c>
      <c r="AB34">
        <v>215</v>
      </c>
      <c r="AC34" s="39">
        <f>AB34*$AC$31*$AC$30/$W34</f>
        <v>0.69740007434078155</v>
      </c>
    </row>
    <row r="35" spans="1:33" x14ac:dyDescent="0.2">
      <c r="A35" s="28" t="s">
        <v>96</v>
      </c>
      <c r="B35" s="28" t="s">
        <v>88</v>
      </c>
      <c r="C35">
        <v>11657</v>
      </c>
      <c r="D35" s="28" t="s">
        <v>95</v>
      </c>
      <c r="V35">
        <f>W35/1000</f>
        <v>15.09</v>
      </c>
      <c r="W35">
        <v>15090</v>
      </c>
      <c r="X35" s="28" t="s">
        <v>58</v>
      </c>
      <c r="Y35">
        <v>85.32</v>
      </c>
      <c r="Z35" s="39">
        <f>Y35*$Z$30/$W35</f>
        <v>0.20298131212723658</v>
      </c>
      <c r="AC35" s="39">
        <f>AB35*$AC$31*$AC$30/$W35</f>
        <v>0</v>
      </c>
    </row>
    <row r="36" spans="1:33" x14ac:dyDescent="0.2">
      <c r="B36" s="28" t="s">
        <v>87</v>
      </c>
      <c r="C36">
        <f>C35*1.1</f>
        <v>12822.7</v>
      </c>
      <c r="V36">
        <f>W36/1000</f>
        <v>13</v>
      </c>
      <c r="W36">
        <v>13000</v>
      </c>
      <c r="X36" s="28" t="s">
        <v>94</v>
      </c>
      <c r="AB36">
        <v>250</v>
      </c>
      <c r="AC36" s="39">
        <f>AB36*$AC$31*$AC$30/$W36</f>
        <v>0.44874999999999998</v>
      </c>
      <c r="AD36" t="s">
        <v>92</v>
      </c>
      <c r="AE36">
        <v>0.88700000000000001</v>
      </c>
      <c r="AF36" t="s">
        <v>41</v>
      </c>
      <c r="AG36">
        <f>AE36*V36*AC36</f>
        <v>5.1745362500000001</v>
      </c>
    </row>
    <row r="37" spans="1:33" x14ac:dyDescent="0.2">
      <c r="V37">
        <f>W37/1000</f>
        <v>13</v>
      </c>
      <c r="W37">
        <f>W36</f>
        <v>13000</v>
      </c>
      <c r="X37" s="28" t="s">
        <v>93</v>
      </c>
      <c r="AB37">
        <v>260</v>
      </c>
      <c r="AC37" s="39">
        <f>AB37*$AC$31*$AC$30/$W37</f>
        <v>0.46669999999999995</v>
      </c>
      <c r="AD37" t="s">
        <v>92</v>
      </c>
      <c r="AE37">
        <v>3.2000000000000002E-3</v>
      </c>
      <c r="AF37" t="s">
        <v>41</v>
      </c>
      <c r="AG37">
        <f>AE37*V37*AC37</f>
        <v>1.941472E-2</v>
      </c>
    </row>
    <row r="38" spans="1:33" x14ac:dyDescent="0.2">
      <c r="A38" s="28" t="s">
        <v>91</v>
      </c>
      <c r="B38" s="28" t="s">
        <v>90</v>
      </c>
      <c r="C38">
        <v>30</v>
      </c>
    </row>
    <row r="39" spans="1:33" x14ac:dyDescent="0.2">
      <c r="A39" s="28" t="s">
        <v>89</v>
      </c>
      <c r="B39" s="28" t="s">
        <v>88</v>
      </c>
      <c r="C39">
        <v>386</v>
      </c>
    </row>
    <row r="40" spans="1:33" x14ac:dyDescent="0.2">
      <c r="B40" s="28" t="s">
        <v>87</v>
      </c>
      <c r="C40">
        <f>C39*1.1</f>
        <v>424.6</v>
      </c>
    </row>
    <row r="47" spans="1:33" ht="18" thickBot="1" x14ac:dyDescent="0.35">
      <c r="A47" s="38" t="s">
        <v>86</v>
      </c>
    </row>
    <row r="48" spans="1:33" ht="13.5" thickTop="1" x14ac:dyDescent="0.2">
      <c r="A48" s="28" t="s">
        <v>85</v>
      </c>
      <c r="B48" s="28" t="s">
        <v>84</v>
      </c>
      <c r="C48">
        <v>0.01</v>
      </c>
      <c r="K48">
        <v>30</v>
      </c>
      <c r="L48">
        <v>50</v>
      </c>
      <c r="M48">
        <v>90</v>
      </c>
    </row>
    <row r="49" spans="1:15" x14ac:dyDescent="0.2">
      <c r="A49" s="28" t="s">
        <v>62</v>
      </c>
      <c r="C49" s="31">
        <v>0.8</v>
      </c>
      <c r="H49">
        <v>0.68</v>
      </c>
      <c r="L49" s="33">
        <f>$K$48*(L52/$K$52)^$H$49</f>
        <v>48.064192655377326</v>
      </c>
      <c r="M49" s="33">
        <f>$K$48*(M52/$K$52)^$H$49</f>
        <v>89.62328488049225</v>
      </c>
      <c r="N49" s="33">
        <f>$K$48*(N52/$K$52)^$H$49</f>
        <v>101.4528157295901</v>
      </c>
      <c r="O49" s="33">
        <f>$K$48*(O52/$K$52)^$H$49</f>
        <v>143.58902769679153</v>
      </c>
    </row>
    <row r="50" spans="1:15" x14ac:dyDescent="0.2">
      <c r="A50" s="28" t="s">
        <v>83</v>
      </c>
      <c r="B50" s="28" t="s">
        <v>41</v>
      </c>
      <c r="C50" s="33">
        <f>C48*C49*31.536</f>
        <v>0.25228800000000001</v>
      </c>
      <c r="I50" t="s">
        <v>82</v>
      </c>
    </row>
    <row r="51" spans="1:15" x14ac:dyDescent="0.2">
      <c r="A51" t="s">
        <v>81</v>
      </c>
      <c r="B51" s="28" t="s">
        <v>80</v>
      </c>
      <c r="C51" s="36">
        <f>(O54+O53)/2</f>
        <v>184.50839318057876</v>
      </c>
      <c r="D51" s="28" t="s">
        <v>79</v>
      </c>
      <c r="J51" t="s">
        <v>78</v>
      </c>
    </row>
    <row r="52" spans="1:15" x14ac:dyDescent="0.2">
      <c r="A52" s="28" t="s">
        <v>27</v>
      </c>
      <c r="B52" s="28"/>
      <c r="C52" s="36">
        <v>20</v>
      </c>
      <c r="I52" t="s">
        <v>77</v>
      </c>
      <c r="J52" s="28" t="s">
        <v>76</v>
      </c>
      <c r="K52">
        <v>1</v>
      </c>
      <c r="L52">
        <v>2</v>
      </c>
      <c r="M52">
        <v>5</v>
      </c>
      <c r="N52">
        <v>6</v>
      </c>
      <c r="O52">
        <v>10</v>
      </c>
    </row>
    <row r="53" spans="1:15" x14ac:dyDescent="0.2">
      <c r="A53" s="28" t="s">
        <v>30</v>
      </c>
      <c r="B53" s="28" t="s">
        <v>74</v>
      </c>
      <c r="C53" s="37">
        <f>C51/(C48*31.536)</f>
        <v>585.07227670148006</v>
      </c>
      <c r="I53">
        <v>0.56000000000000005</v>
      </c>
      <c r="J53" s="28" t="s">
        <v>75</v>
      </c>
      <c r="K53">
        <v>24</v>
      </c>
      <c r="L53" s="36">
        <f>$K$53*(L52/$K$52)^$I$53</f>
        <v>35.382461214986428</v>
      </c>
      <c r="M53" s="36">
        <f>$K$53*(M52/$K$52)^$I$53</f>
        <v>59.106391236288275</v>
      </c>
      <c r="N53" s="36">
        <f>$K$53*(N52/$K$52)^$I$53</f>
        <v>65.459991100230638</v>
      </c>
      <c r="O53" s="36">
        <f>$K$53*(O52/$K$52)^$I$53</f>
        <v>87.138733144824329</v>
      </c>
    </row>
    <row r="54" spans="1:15" x14ac:dyDescent="0.2">
      <c r="A54" s="28" t="s">
        <v>31</v>
      </c>
      <c r="B54" s="28" t="s">
        <v>74</v>
      </c>
      <c r="C54" s="37">
        <f>C53*10%</f>
        <v>58.507227670148012</v>
      </c>
      <c r="D54" s="28"/>
      <c r="I54">
        <v>0.57499999999999996</v>
      </c>
      <c r="J54" s="28" t="s">
        <v>73</v>
      </c>
      <c r="K54">
        <v>75</v>
      </c>
      <c r="L54" s="36">
        <f>$K$54*(L52/$K$52)^$I$54</f>
        <v>111.72580973420266</v>
      </c>
      <c r="M54" s="36">
        <f>$K$54*(M52/$K$52)^$I$54</f>
        <v>189.2208616927403</v>
      </c>
      <c r="N54" s="36">
        <f>$K$54*(N52/$K$52)^$I$54</f>
        <v>210.13492162517673</v>
      </c>
      <c r="O54" s="36">
        <f>$K$54*(O52/$K$52)^$I$54</f>
        <v>281.87805321633317</v>
      </c>
    </row>
    <row r="55" spans="1:15" x14ac:dyDescent="0.2">
      <c r="A55" s="28"/>
      <c r="L55" s="36"/>
      <c r="M55" s="36"/>
      <c r="N55" s="36"/>
      <c r="O55" s="36"/>
    </row>
    <row r="56" spans="1:15" x14ac:dyDescent="0.2">
      <c r="A56" s="28" t="s">
        <v>72</v>
      </c>
      <c r="C56" s="31">
        <v>0.8</v>
      </c>
      <c r="O56">
        <f>(O53+O54)/2</f>
        <v>184.50839318057876</v>
      </c>
    </row>
    <row r="57" spans="1:15" x14ac:dyDescent="0.2">
      <c r="A57" s="35" t="s">
        <v>71</v>
      </c>
      <c r="B57" s="28" t="s">
        <v>70</v>
      </c>
      <c r="C57" s="28" t="s">
        <v>69</v>
      </c>
    </row>
    <row r="58" spans="1:15" ht="15" x14ac:dyDescent="0.25">
      <c r="A58" s="28" t="s">
        <v>68</v>
      </c>
      <c r="B58" s="34">
        <v>0.85</v>
      </c>
      <c r="C58" s="31">
        <f>B58*$C$56</f>
        <v>0.68</v>
      </c>
    </row>
    <row r="59" spans="1:15" ht="15" x14ac:dyDescent="0.25">
      <c r="A59" s="28" t="s">
        <v>58</v>
      </c>
      <c r="B59" s="34">
        <v>0.85</v>
      </c>
      <c r="C59" s="31">
        <f>B59*$C$56</f>
        <v>0.68</v>
      </c>
    </row>
    <row r="60" spans="1:15" ht="15" x14ac:dyDescent="0.25">
      <c r="A60" s="28" t="s">
        <v>67</v>
      </c>
      <c r="B60" s="34">
        <v>0.5</v>
      </c>
      <c r="C60" s="31">
        <f>B60*$C$56</f>
        <v>0.4</v>
      </c>
    </row>
    <row r="61" spans="1:15" ht="15" x14ac:dyDescent="0.25">
      <c r="A61" s="28" t="s">
        <v>66</v>
      </c>
      <c r="B61" s="34">
        <v>0.5</v>
      </c>
      <c r="C61" s="31">
        <f>B61*$C$56</f>
        <v>0.4</v>
      </c>
      <c r="M61" s="28"/>
    </row>
    <row r="62" spans="1:15" ht="15" x14ac:dyDescent="0.25">
      <c r="A62" s="28" t="s">
        <v>65</v>
      </c>
      <c r="B62" s="34">
        <v>0.45</v>
      </c>
      <c r="C62" s="31">
        <f>B62*$C$56</f>
        <v>0.36000000000000004</v>
      </c>
    </row>
    <row r="64" spans="1:15" x14ac:dyDescent="0.2">
      <c r="A64" t="s">
        <v>46</v>
      </c>
      <c r="B64" t="s">
        <v>41</v>
      </c>
      <c r="C64" s="33">
        <f>[1]EB_Exist!F26</f>
        <v>6.3443984363043731</v>
      </c>
    </row>
    <row r="65" spans="1:17" x14ac:dyDescent="0.2">
      <c r="A65" t="s">
        <v>64</v>
      </c>
      <c r="B65" t="s">
        <v>41</v>
      </c>
      <c r="C65">
        <f>C64*B29</f>
        <v>5.3927386708587166</v>
      </c>
    </row>
    <row r="66" spans="1:17" x14ac:dyDescent="0.2">
      <c r="A66" t="s">
        <v>63</v>
      </c>
      <c r="B66" t="s">
        <v>41</v>
      </c>
      <c r="C66">
        <f>C65*C26</f>
        <v>2.1570954683434866</v>
      </c>
    </row>
    <row r="67" spans="1:17" x14ac:dyDescent="0.2">
      <c r="B67" t="s">
        <v>42</v>
      </c>
      <c r="C67">
        <f>C66/3.6*1000</f>
        <v>599.19318565096842</v>
      </c>
    </row>
    <row r="68" spans="1:17" x14ac:dyDescent="0.2">
      <c r="A68" t="s">
        <v>62</v>
      </c>
      <c r="C68" s="31">
        <v>0.1</v>
      </c>
    </row>
    <row r="69" spans="1:17" x14ac:dyDescent="0.2">
      <c r="A69" t="s">
        <v>61</v>
      </c>
      <c r="B69" t="s">
        <v>60</v>
      </c>
      <c r="C69">
        <f>C67/(8.76*C68)</f>
        <v>684.01048590293203</v>
      </c>
    </row>
    <row r="70" spans="1:17" ht="15" x14ac:dyDescent="0.2">
      <c r="Q70" s="32" t="s">
        <v>59</v>
      </c>
    </row>
    <row r="71" spans="1:17" ht="15" x14ac:dyDescent="0.2">
      <c r="A71" s="28" t="s">
        <v>58</v>
      </c>
      <c r="B71" s="28" t="s">
        <v>57</v>
      </c>
      <c r="C71" s="31">
        <v>0.04</v>
      </c>
      <c r="Q71" s="30" t="s">
        <v>56</v>
      </c>
    </row>
    <row r="72" spans="1:17" ht="15" x14ac:dyDescent="0.2">
      <c r="B72" s="28" t="s">
        <v>50</v>
      </c>
      <c r="C72">
        <f>C71*[1]EB_Exist!F8</f>
        <v>0.76126711307999995</v>
      </c>
      <c r="Q72" s="30" t="s">
        <v>55</v>
      </c>
    </row>
    <row r="73" spans="1:17" ht="15" x14ac:dyDescent="0.2">
      <c r="B73" s="28" t="s">
        <v>49</v>
      </c>
      <c r="C73">
        <v>15.09</v>
      </c>
      <c r="Q73" s="30" t="s">
        <v>54</v>
      </c>
    </row>
    <row r="74" spans="1:17" ht="15" x14ac:dyDescent="0.2">
      <c r="B74" s="28" t="s">
        <v>41</v>
      </c>
      <c r="C74">
        <f>C72*C73</f>
        <v>11.487520736377199</v>
      </c>
      <c r="Q74" s="30" t="s">
        <v>53</v>
      </c>
    </row>
    <row r="75" spans="1:17" ht="15" x14ac:dyDescent="0.2">
      <c r="Q75" s="30" t="s">
        <v>52</v>
      </c>
    </row>
    <row r="77" spans="1:17" x14ac:dyDescent="0.2">
      <c r="A77" s="28" t="s">
        <v>51</v>
      </c>
      <c r="B77" s="28" t="s">
        <v>50</v>
      </c>
      <c r="C77">
        <v>0.88777499999999998</v>
      </c>
    </row>
    <row r="78" spans="1:17" ht="15" x14ac:dyDescent="0.2">
      <c r="B78" s="28" t="s">
        <v>49</v>
      </c>
      <c r="C78">
        <v>13</v>
      </c>
      <c r="Q78" s="30" t="s">
        <v>48</v>
      </c>
    </row>
    <row r="79" spans="1:17" x14ac:dyDescent="0.2">
      <c r="B79" s="28" t="s">
        <v>41</v>
      </c>
      <c r="C79">
        <f>C77*C78</f>
        <v>11.541074999999999</v>
      </c>
    </row>
    <row r="108" spans="1:7" x14ac:dyDescent="0.2">
      <c r="G108" s="29" t="s">
        <v>47</v>
      </c>
    </row>
    <row r="109" spans="1:7" x14ac:dyDescent="0.2">
      <c r="A109" s="28" t="s">
        <v>46</v>
      </c>
    </row>
    <row r="110" spans="1:7" x14ac:dyDescent="0.2">
      <c r="A110" s="28" t="s">
        <v>45</v>
      </c>
      <c r="D110" t="s">
        <v>42</v>
      </c>
      <c r="E110" t="s">
        <v>41</v>
      </c>
    </row>
    <row r="111" spans="1:7" x14ac:dyDescent="0.2">
      <c r="A111" s="28" t="s">
        <v>44</v>
      </c>
      <c r="B111" s="28" t="s">
        <v>42</v>
      </c>
      <c r="C111">
        <v>133.16</v>
      </c>
      <c r="D111">
        <v>39.950000000000003</v>
      </c>
      <c r="E111">
        <f>D111*3.6/1000</f>
        <v>0.14382000000000003</v>
      </c>
      <c r="F111">
        <f>D111/C111</f>
        <v>0.30001501952538301</v>
      </c>
    </row>
    <row r="112" spans="1:7" x14ac:dyDescent="0.2">
      <c r="A112" s="28" t="s">
        <v>43</v>
      </c>
      <c r="B112" s="28" t="s">
        <v>42</v>
      </c>
      <c r="C112">
        <v>15.34</v>
      </c>
    </row>
    <row r="113" spans="1:3" x14ac:dyDescent="0.2">
      <c r="B113" s="28" t="s">
        <v>41</v>
      </c>
      <c r="C113">
        <f>C111/1000*3.6</f>
        <v>0.47937600000000002</v>
      </c>
    </row>
    <row r="114" spans="1:3" x14ac:dyDescent="0.2">
      <c r="B114" s="28" t="s">
        <v>41</v>
      </c>
      <c r="C114">
        <f>C112/1000*3.6</f>
        <v>5.5224000000000002E-2</v>
      </c>
    </row>
    <row r="115" spans="1:3" x14ac:dyDescent="0.2">
      <c r="C115">
        <f>SUM(C113:C114)</f>
        <v>0.53460000000000008</v>
      </c>
    </row>
    <row r="126" spans="1:3" x14ac:dyDescent="0.2">
      <c r="A126" t="s">
        <v>40</v>
      </c>
      <c r="B126" t="s">
        <v>39</v>
      </c>
      <c r="C126" t="s">
        <v>38</v>
      </c>
    </row>
    <row r="127" spans="1:3" x14ac:dyDescent="0.2">
      <c r="A127" t="s">
        <v>37</v>
      </c>
      <c r="B127">
        <v>144</v>
      </c>
      <c r="C127">
        <v>144</v>
      </c>
    </row>
    <row r="128" spans="1:3" x14ac:dyDescent="0.2">
      <c r="A128" t="s">
        <v>36</v>
      </c>
      <c r="B128">
        <v>96</v>
      </c>
      <c r="C128">
        <v>766</v>
      </c>
    </row>
    <row r="129" spans="1:3" x14ac:dyDescent="0.2">
      <c r="A129" t="s">
        <v>35</v>
      </c>
      <c r="B129">
        <v>125</v>
      </c>
      <c r="C129">
        <f>B129*3</f>
        <v>375</v>
      </c>
    </row>
    <row r="130" spans="1:3" x14ac:dyDescent="0.2">
      <c r="A130" t="s">
        <v>34</v>
      </c>
      <c r="B130">
        <v>514</v>
      </c>
      <c r="C130">
        <v>1543</v>
      </c>
    </row>
    <row r="131" spans="1:3" x14ac:dyDescent="0.2">
      <c r="A131" t="s">
        <v>33</v>
      </c>
      <c r="B131">
        <f>B130-B129</f>
        <v>389</v>
      </c>
      <c r="C131">
        <f>C130-C129</f>
        <v>1168</v>
      </c>
    </row>
  </sheetData>
  <hyperlinks>
    <hyperlink ref="G108" r:id="rId1" xr:uid="{32CA6D57-EF08-478B-A93A-8C65FF59E5E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Processes_Biogas</vt:lpstr>
      <vt:lpstr>ProcData_Biogas</vt:lpstr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2020-04-06T09:42:19Z</dcterms:created>
  <dcterms:modified xsi:type="dcterms:W3CDTF">2020-04-06T09:43:00Z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55363953113555</vt:r8>
  </property>
</Properties>
</file>