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dels\SugarModel\Inputs\"/>
    </mc:Choice>
  </mc:AlternateContent>
  <bookViews>
    <workbookView xWindow="5250" yWindow="2925" windowWidth="21600" windowHeight="11385" activeTab="1"/>
  </bookViews>
  <sheets>
    <sheet name="Processes_ETHANOL1GEN" sheetId="1" r:id="rId1"/>
    <sheet name="ProcData_ETHANOL1GEN" sheetId="2" r:id="rId2"/>
    <sheet name="Ethanol 1stGen" sheetId="3" r:id="rId3"/>
  </sheets>
  <externalReferences>
    <externalReference r:id="rId4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4" i="3" l="1"/>
  <c r="P173" i="3"/>
  <c r="H53" i="3"/>
  <c r="H52" i="3"/>
  <c r="F52" i="3"/>
  <c r="F51" i="3"/>
  <c r="I53" i="3" s="1"/>
  <c r="C37" i="3"/>
  <c r="C38" i="3" s="1"/>
  <c r="C35" i="3"/>
  <c r="C47" i="3" s="1"/>
  <c r="C48" i="3" s="1"/>
  <c r="C49" i="3" s="1"/>
  <c r="C33" i="3"/>
  <c r="C34" i="3" s="1"/>
  <c r="C31" i="3"/>
  <c r="C32" i="3" s="1"/>
  <c r="C24" i="3"/>
  <c r="C25" i="3" s="1"/>
  <c r="C22" i="3"/>
  <c r="D22" i="3" s="1"/>
  <c r="D18" i="3"/>
  <c r="D19" i="3" s="1"/>
  <c r="C18" i="3"/>
  <c r="C19" i="3" s="1"/>
  <c r="C20" i="3" s="1"/>
  <c r="C9" i="3"/>
  <c r="C10" i="3" s="1"/>
  <c r="C11" i="3" s="1"/>
  <c r="C8" i="3"/>
  <c r="G6" i="3"/>
  <c r="F6" i="3"/>
  <c r="C5" i="3"/>
  <c r="C6" i="3" s="1"/>
  <c r="F14" i="2"/>
  <c r="S5" i="2" s="1"/>
  <c r="E13" i="2"/>
  <c r="R5" i="2" s="1"/>
  <c r="E12" i="2"/>
  <c r="Q5" i="2" s="1"/>
  <c r="E11" i="2"/>
  <c r="P5" i="2" s="1"/>
  <c r="E10" i="2"/>
  <c r="O5" i="2" s="1"/>
  <c r="L9" i="2"/>
  <c r="F9" i="2"/>
  <c r="T5" i="2" s="1"/>
  <c r="D9" i="2"/>
  <c r="A8" i="2"/>
  <c r="B1" i="2"/>
  <c r="C9" i="1"/>
  <c r="C9" i="2" s="1"/>
  <c r="B9" i="1"/>
  <c r="B9" i="2" s="1"/>
  <c r="B1" i="1"/>
  <c r="C41" i="3" l="1"/>
  <c r="C51" i="3"/>
  <c r="F55" i="3" s="1"/>
  <c r="C28" i="3"/>
  <c r="C26" i="3"/>
  <c r="C46" i="3"/>
  <c r="C39" i="3"/>
  <c r="P11" i="2"/>
  <c r="O10" i="2" s="1"/>
  <c r="E32" i="3"/>
  <c r="D20" i="3"/>
  <c r="J9" i="2"/>
  <c r="C23" i="3"/>
  <c r="C36" i="3"/>
  <c r="R13" i="2" s="1"/>
  <c r="I52" i="3"/>
  <c r="F53" i="3"/>
  <c r="F57" i="3" s="1"/>
  <c r="G5" i="3"/>
  <c r="F5" i="3"/>
  <c r="H56" i="3" l="1"/>
  <c r="F56" i="3"/>
  <c r="H57" i="3"/>
  <c r="C29" i="3"/>
  <c r="I9" i="2" s="1"/>
  <c r="C27" i="3"/>
  <c r="S14" i="2" l="1"/>
  <c r="Q12" i="2"/>
  <c r="C52" i="3"/>
</calcChain>
</file>

<file path=xl/comments1.xml><?xml version="1.0" encoding="utf-8"?>
<comments xmlns="http://schemas.openxmlformats.org/spreadsheetml/2006/main">
  <authors>
    <author>Ken Noble</author>
  </authors>
  <commentList>
    <comment ref="G7" authorId="0" shapeId="0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>
  <authors>
    <author>tc={8F64E3CE-28AB-447F-8A7D-CD8A72ED0013}</author>
    <author>tc={78B360FA-39D7-4F51-AB8F-EF995CC1C230}</author>
    <author>tc={91342960-EF99-4359-9548-EF08F5B3BB67}</author>
  </authors>
  <commentList>
    <comment ref="D17" authorId="0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2011 Rands</t>
        </r>
      </text>
    </comment>
    <comment ref="C35" authorId="1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treatment of CMS</t>
        </r>
      </text>
    </comment>
    <comment ref="C46" authorId="2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Assuming final stage Sugar Refining and ethanol production require same amount of steam (as per Tait 2014).</t>
        </r>
      </text>
    </comment>
  </commentList>
</comments>
</file>

<file path=xl/sharedStrings.xml><?xml version="1.0" encoding="utf-8"?>
<sst xmlns="http://schemas.openxmlformats.org/spreadsheetml/2006/main" count="141" uniqueCount="100">
  <si>
    <t>ProcName</t>
  </si>
  <si>
    <t>ProcDesc</t>
  </si>
  <si>
    <t>ProcUnits</t>
  </si>
  <si>
    <t>Set Memberships</t>
  </si>
  <si>
    <t>Comment</t>
  </si>
  <si>
    <t>* Conversion technologies</t>
  </si>
  <si>
    <t>PJ,PJa</t>
  </si>
  <si>
    <t>PRC,PRE,SEASON</t>
  </si>
  <si>
    <t>Main activity efficiency</t>
  </si>
  <si>
    <t>Fixed Cost</t>
  </si>
  <si>
    <t>Investment Cost</t>
  </si>
  <si>
    <t>Capacity to Activity</t>
  </si>
  <si>
    <t>Seasonal Availability</t>
  </si>
  <si>
    <t>Life</t>
  </si>
  <si>
    <t>First Year</t>
  </si>
  <si>
    <t>Relationship between main activity flow and other flows</t>
  </si>
  <si>
    <t>Main activity flow</t>
  </si>
  <si>
    <t>Variable Cost</t>
  </si>
  <si>
    <t>ACT_EFF</t>
  </si>
  <si>
    <t>NCAP_FOM</t>
  </si>
  <si>
    <t>NCAP_COST</t>
  </si>
  <si>
    <t>PRC_CAPACT</t>
  </si>
  <si>
    <t>NCAP_AFS-UP</t>
  </si>
  <si>
    <t>NCAP_TLIFE</t>
  </si>
  <si>
    <t>NCAP_START</t>
  </si>
  <si>
    <t>PRC_ACTFLO</t>
  </si>
  <si>
    <t>PRC_ACTUNT</t>
  </si>
  <si>
    <t>ACT_COST</t>
  </si>
  <si>
    <t>ACTGRP</t>
  </si>
  <si>
    <t>ANNUAL</t>
  </si>
  <si>
    <t>CommIN</t>
  </si>
  <si>
    <t>CommOUT</t>
  </si>
  <si>
    <t>Activity I/O</t>
  </si>
  <si>
    <t>TID</t>
  </si>
  <si>
    <t>Ethanol 1st Gen Characterization</t>
  </si>
  <si>
    <t>Ethanol CV</t>
  </si>
  <si>
    <t>from Tait 2014</t>
  </si>
  <si>
    <t>MJ/kg</t>
  </si>
  <si>
    <t>Ethanol Density</t>
  </si>
  <si>
    <t>kg/m3</t>
  </si>
  <si>
    <t>R/GJ</t>
  </si>
  <si>
    <t>1b_Letsema SASA ED Presentation 15112013.pdf</t>
  </si>
  <si>
    <t>GJ/m3</t>
  </si>
  <si>
    <t>R/l(eth)</t>
  </si>
  <si>
    <t>MJ/l</t>
  </si>
  <si>
    <t>R/l(pet)</t>
  </si>
  <si>
    <t>Sugar to Ethanol equivalence</t>
  </si>
  <si>
    <t>Source</t>
  </si>
  <si>
    <t>Sugar to ethanol equivalence ratio</t>
  </si>
  <si>
    <t>mm3/mton</t>
  </si>
  <si>
    <t>Tait 2014</t>
  </si>
  <si>
    <t>Export Sugar 2018</t>
  </si>
  <si>
    <t>mtons</t>
  </si>
  <si>
    <t>Ethanol Equivalent</t>
  </si>
  <si>
    <t>mm3</t>
  </si>
  <si>
    <t>PJ</t>
  </si>
  <si>
    <t>Ethanol Plant</t>
  </si>
  <si>
    <t>Letsema 2015</t>
  </si>
  <si>
    <t>Suggested Ethanol plant capacity</t>
  </si>
  <si>
    <t>mm3/a</t>
  </si>
  <si>
    <t>Project Cost</t>
  </si>
  <si>
    <t>2013mR</t>
  </si>
  <si>
    <t>2018mR</t>
  </si>
  <si>
    <t>R/m3/a</t>
  </si>
  <si>
    <t>R/GJ/a</t>
  </si>
  <si>
    <t>Expected Labour Costs</t>
  </si>
  <si>
    <t>2011mR</t>
  </si>
  <si>
    <t>Other Fixed Costs</t>
  </si>
  <si>
    <t>% of capex</t>
  </si>
  <si>
    <t>Total Fixed Costs</t>
  </si>
  <si>
    <t>Availability</t>
  </si>
  <si>
    <t>Expected Output (Ethanol)</t>
  </si>
  <si>
    <t>Expected Equivalent Sugar</t>
  </si>
  <si>
    <t>Expected Input (Sugar Juice)</t>
  </si>
  <si>
    <t>Estimate based on 2018 Energy balance</t>
  </si>
  <si>
    <t>Expected Input (Electricity)</t>
  </si>
  <si>
    <t>MWh/m3</t>
  </si>
  <si>
    <t>Expected Input (Steam)</t>
  </si>
  <si>
    <t>tons/m3</t>
  </si>
  <si>
    <t>PJ/mm3</t>
  </si>
  <si>
    <t>Waste Output</t>
  </si>
  <si>
    <t>Ethanol steam and electricity requirements</t>
  </si>
  <si>
    <t>Steam</t>
  </si>
  <si>
    <t>PJ/mton sugar</t>
  </si>
  <si>
    <t>Electricity</t>
  </si>
  <si>
    <t>MWh/ton sugar</t>
  </si>
  <si>
    <t>A-molasses to ethanol ratio</t>
  </si>
  <si>
    <t>syrup</t>
  </si>
  <si>
    <t>sugar</t>
  </si>
  <si>
    <t>Steam approach 2</t>
  </si>
  <si>
    <t>heat</t>
  </si>
  <si>
    <t>c-molasses</t>
  </si>
  <si>
    <t>syrup:heat</t>
  </si>
  <si>
    <t>filter cake</t>
  </si>
  <si>
    <t>ethanol</t>
  </si>
  <si>
    <t>Source: Tait 2014</t>
  </si>
  <si>
    <t>Check</t>
  </si>
  <si>
    <t>BCS</t>
  </si>
  <si>
    <t>ProcData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</si>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</sst>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rgb="FF800080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5" fillId="0" borderId="0" xfId="0" applyFont="1"/>
    <xf numFmtId="0" fontId="6" fillId="0" borderId="0" xfId="4" applyFont="1"/>
    <xf numFmtId="0" fontId="6" fillId="0" borderId="0" xfId="0" applyFont="1"/>
    <xf numFmtId="0" fontId="7" fillId="0" borderId="0" xfId="5" applyFont="1"/>
    <xf numFmtId="0" fontId="6" fillId="0" borderId="0" xfId="6" applyFont="1"/>
    <xf numFmtId="0" fontId="8" fillId="0" borderId="0" xfId="4" applyFont="1"/>
    <xf numFmtId="0" fontId="9" fillId="0" borderId="0" xfId="4" applyFont="1"/>
    <xf numFmtId="0" fontId="7" fillId="0" borderId="0" xfId="4" applyFont="1"/>
    <xf numFmtId="0" fontId="4" fillId="0" borderId="0" xfId="4"/>
    <xf numFmtId="0" fontId="4" fillId="0" borderId="0" xfId="5"/>
    <xf numFmtId="0" fontId="10" fillId="0" borderId="0" xfId="4" applyFont="1"/>
    <xf numFmtId="0" fontId="6" fillId="0" borderId="0" xfId="5" applyFont="1"/>
    <xf numFmtId="0" fontId="6" fillId="0" borderId="0" xfId="0" applyFont="1" applyAlignment="1">
      <alignment horizontal="center"/>
    </xf>
    <xf numFmtId="0" fontId="6" fillId="0" borderId="0" xfId="6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6" applyFont="1"/>
    <xf numFmtId="0" fontId="9" fillId="0" borderId="0" xfId="6" applyFont="1" applyAlignment="1">
      <alignment wrapText="1"/>
    </xf>
    <xf numFmtId="0" fontId="9" fillId="0" borderId="0" xfId="0" applyFont="1"/>
    <xf numFmtId="0" fontId="11" fillId="0" borderId="0" xfId="6" applyFont="1"/>
    <xf numFmtId="0" fontId="5" fillId="0" borderId="0" xfId="0" applyFont="1" applyAlignment="1">
      <alignment horizontal="center" wrapText="1"/>
    </xf>
    <xf numFmtId="0" fontId="9" fillId="0" borderId="0" xfId="6" applyFont="1" applyAlignment="1">
      <alignment horizontal="center"/>
    </xf>
    <xf numFmtId="0" fontId="6" fillId="0" borderId="0" xfId="6" applyFont="1" applyAlignment="1">
      <alignment horizontal="right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1" fillId="0" borderId="1" xfId="1"/>
    <xf numFmtId="0" fontId="2" fillId="0" borderId="2" xfId="2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0" borderId="0" xfId="0" applyNumberFormat="1"/>
    <xf numFmtId="2" fontId="3" fillId="2" borderId="0" xfId="3" applyNumberFormat="1"/>
  </cellXfs>
  <cellStyles count="7">
    <cellStyle name="Bad" xfId="3" builtinId="27"/>
    <cellStyle name="Heading 1" xfId="1" builtinId="16"/>
    <cellStyle name="Heading 2" xfId="2" builtinId="17"/>
    <cellStyle name="Normal" xfId="0" builtinId="0"/>
    <cellStyle name="Normal 13" xfId="6"/>
    <cellStyle name="Normal 2" xfId="4"/>
    <cellStyle name="Normal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025" name="cmdSpecifySets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ADAA76E5-5485-476D-B9C2-D47B1F3E7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026" name="cmdCheckTechnologiesShee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E8F38FE7-9C87-4783-80A3-22581C894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027" name="cmdProcUnits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6EB5CE23-A341-46C3-836F-AC6BB29D6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2049" name="cmdTechNameAndDesc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B482974-3333-403A-8DD6-BC66FA842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2050" name="cmdCommIN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4629A7E0-FCFC-4522-A8C1-C40E68C65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2051" name="cmdCommOUT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11312D87-5018-4D95-A4E2-FF375FC5C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2052" name="cmdAddParameter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1734D898-47DD-4F1F-A926-0E0690ABA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2053" name="cmdAddParamQualifier1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D0B1CEF1-FBDF-4A37-A7E0-1323B2691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2054" name="cmdCheckTechDataSheet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E553EB3C-8F09-4DE4-9471-BD58C1EBC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2055" name="cmdAddParamQualifier2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xmlns="" id="{96EF8E9B-6046-454B-ADC3-91FE0A58D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30</xdr:col>
      <xdr:colOff>293867</xdr:colOff>
      <xdr:row>51</xdr:row>
      <xdr:rowOff>27624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7C2C67F-F6AC-41B1-8F5D-3851FB08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990600"/>
          <a:ext cx="11266667" cy="76571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61</xdr:row>
      <xdr:rowOff>95250</xdr:rowOff>
    </xdr:from>
    <xdr:to>
      <xdr:col>27</xdr:col>
      <xdr:colOff>513166</xdr:colOff>
      <xdr:row>88</xdr:row>
      <xdr:rowOff>94713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BE9C859-0BB9-48BC-9557-4FA528F7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10334625"/>
          <a:ext cx="9561916" cy="4371438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</xdr:colOff>
      <xdr:row>88</xdr:row>
      <xdr:rowOff>15875</xdr:rowOff>
    </xdr:from>
    <xdr:to>
      <xdr:col>24</xdr:col>
      <xdr:colOff>262589</xdr:colOff>
      <xdr:row>104</xdr:row>
      <xdr:rowOff>133019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9BE8708-843B-4A9D-BF38-11A9C5339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4600" y="14627225"/>
          <a:ext cx="7561914" cy="270794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104</xdr:row>
      <xdr:rowOff>127000</xdr:rowOff>
    </xdr:from>
    <xdr:to>
      <xdr:col>28</xdr:col>
      <xdr:colOff>5143</xdr:colOff>
      <xdr:row>132</xdr:row>
      <xdr:rowOff>110571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48C127DA-4566-4090-8C34-12BDB688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48725" y="17329150"/>
          <a:ext cx="9758743" cy="4517471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</xdr:colOff>
      <xdr:row>132</xdr:row>
      <xdr:rowOff>127000</xdr:rowOff>
    </xdr:from>
    <xdr:to>
      <xdr:col>27</xdr:col>
      <xdr:colOff>205219</xdr:colOff>
      <xdr:row>159</xdr:row>
      <xdr:rowOff>62887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4C90138-5127-40F4-B501-92BAE8CB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4600" y="21863050"/>
          <a:ext cx="9333344" cy="43078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28575</xdr:rowOff>
    </xdr:from>
    <xdr:to>
      <xdr:col>35</xdr:col>
      <xdr:colOff>82200</xdr:colOff>
      <xdr:row>6</xdr:row>
      <xdr:rowOff>124412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B2ECE3D9-8C21-4CB8-A61E-837286C3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25525" y="523875"/>
          <a:ext cx="9226200" cy="7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%20Sugar%20Model_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RES_base"/>
      <sheetName val="RES_eth"/>
      <sheetName val="RES_bio"/>
      <sheetName val="EB_Exist"/>
      <sheetName val="EB_v2"/>
      <sheetName val="LCOE_Checks"/>
      <sheetName val="Costs_Exist"/>
      <sheetName val="Todo"/>
      <sheetName val="Cost of generation"/>
      <sheetName val="Add. Gen. cap"/>
      <sheetName val="Future expansion"/>
      <sheetName val="Constants"/>
      <sheetName val="SugarPrices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Basic"/>
      <sheetName val="ProcData_Demands"/>
      <sheetName val="ProcData_Exist"/>
      <sheetName val="Basic Fuel Price"/>
      <sheetName val="Param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>
        <row r="2">
          <cell r="R2" t="str">
            <v>BCS</v>
          </cell>
          <cell r="T2" t="str">
            <v>ISIELC</v>
          </cell>
          <cell r="V2" t="str">
            <v>ISIHET</v>
          </cell>
          <cell r="W2" t="str">
            <v>ISIBML</v>
          </cell>
          <cell r="X2" t="str">
            <v>ISIBFC</v>
          </cell>
          <cell r="AD2" t="str">
            <v>BIE</v>
          </cell>
        </row>
        <row r="46">
          <cell r="AA46" t="str">
            <v>New Ethanol 1st Gen</v>
          </cell>
        </row>
        <row r="49">
          <cell r="AA49" t="str">
            <v>UBSCBIE1</v>
          </cell>
        </row>
      </sheetData>
      <sheetData sheetId="3"/>
      <sheetData sheetId="4"/>
      <sheetData sheetId="5"/>
      <sheetData sheetId="6">
        <row r="16">
          <cell r="K16">
            <v>47.206842041346803</v>
          </cell>
        </row>
        <row r="30">
          <cell r="F30">
            <v>2.183821</v>
          </cell>
        </row>
        <row r="31">
          <cell r="F31">
            <v>1.0428310000000001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REGION1</v>
          </cell>
        </row>
      </sheetData>
      <sheetData sheetId="19"/>
      <sheetData sheetId="20"/>
      <sheetData sheetId="21"/>
      <sheetData sheetId="22"/>
      <sheetData sheetId="23">
        <row r="27">
          <cell r="A27" t="str">
            <v>* Conversion technologies</v>
          </cell>
        </row>
      </sheetData>
      <sheetData sheetId="24"/>
      <sheetData sheetId="25"/>
      <sheetData sheetId="26"/>
      <sheetData sheetId="27">
        <row r="32">
          <cell r="AF32">
            <v>0.17597823500185439</v>
          </cell>
        </row>
        <row r="33">
          <cell r="AG33">
            <v>1.8197502773331004E-2</v>
          </cell>
        </row>
        <row r="34">
          <cell r="AH34">
            <v>1.3094033777750274</v>
          </cell>
        </row>
        <row r="35">
          <cell r="AI35">
            <v>0.1259719385029496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7DC634C2-22AC-49F3-8C96-D7AE5A185CA9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19-11-13T13:04:06.61" personId="{7DC634C2-22AC-49F3-8C96-D7AE5A185CA9}" id="{8F64E3CE-28AB-447F-8A7D-CD8A72ED0013}">
    <text>2011 Rands</text>
  </threadedComment>
  <threadedComment ref="C35" dT="2019-11-13T13:14:40.37" personId="{7DC634C2-22AC-49F3-8C96-D7AE5A185CA9}" id="{78B360FA-39D7-4F51-AB8F-EF995CC1C230}">
    <text>Includes treatment of CMS</text>
  </threadedComment>
  <threadedComment ref="C46" dT="2019-11-13T14:41:29.31" personId="{7DC634C2-22AC-49F3-8C96-D7AE5A185CA9}" id="{91342960-EF99-4359-9548-EF08F5B3BB67}">
    <text>Assuming final stage Sugar Refining and ethanol production require same amount of steam (as per Tait 2014).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image" Target="../media/image1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10" Type="http://schemas.openxmlformats.org/officeDocument/2006/relationships/control" Target="../activeX/activeX7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00B0F0"/>
  </sheetPr>
  <dimension ref="A1:J43"/>
  <sheetViews>
    <sheetView zoomScale="120" zoomScaleNormal="120" workbookViewId="0">
      <pane ySplit="7" topLeftCell="A9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1" t="s">
        <v>99</v>
      </c>
      <c r="B1" s="2" t="str">
        <f>[1]Commodities_BASE!B1</f>
        <v>REGION1</v>
      </c>
    </row>
    <row r="2" spans="1:6" ht="12.75" x14ac:dyDescent="0.2">
      <c r="A2"/>
    </row>
    <row r="4" spans="1:6" ht="18" customHeight="1" x14ac:dyDescent="0.2"/>
    <row r="7" spans="1:6" x14ac:dyDescent="0.2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1:6" s="5" customFormat="1" ht="12" x14ac:dyDescent="0.2">
      <c r="A8" s="4" t="s">
        <v>5</v>
      </c>
      <c r="D8" s="6"/>
      <c r="E8" s="6"/>
    </row>
    <row r="9" spans="1:6" s="5" customFormat="1" x14ac:dyDescent="0.2">
      <c r="B9" s="5" t="str">
        <f>[1]RES!AA49</f>
        <v>UBSCBIE1</v>
      </c>
      <c r="C9" s="5" t="str">
        <f>[1]RES!AA46</f>
        <v>New Ethanol 1st Gen</v>
      </c>
      <c r="D9" s="6" t="s">
        <v>6</v>
      </c>
      <c r="E9" s="7" t="s">
        <v>7</v>
      </c>
    </row>
    <row r="10" spans="1:6" s="5" customFormat="1" x14ac:dyDescent="0.2">
      <c r="D10" s="6"/>
      <c r="E10" s="7"/>
    </row>
    <row r="11" spans="1:6" s="5" customFormat="1" x14ac:dyDescent="0.2">
      <c r="D11" s="6"/>
      <c r="E11" s="7"/>
    </row>
    <row r="12" spans="1:6" s="5" customFormat="1" x14ac:dyDescent="0.2">
      <c r="D12" s="6"/>
      <c r="E12" s="6"/>
    </row>
    <row r="13" spans="1:6" s="5" customFormat="1" x14ac:dyDescent="0.2">
      <c r="D13" s="6"/>
      <c r="E13" s="6"/>
    </row>
    <row r="14" spans="1:6" s="5" customFormat="1" x14ac:dyDescent="0.2">
      <c r="D14" s="6"/>
      <c r="E14" s="6"/>
    </row>
    <row r="15" spans="1:6" s="5" customFormat="1" ht="12" x14ac:dyDescent="0.2">
      <c r="A15" s="8"/>
      <c r="B15" s="8"/>
      <c r="C15" s="8"/>
      <c r="D15" s="8"/>
      <c r="E15" s="6"/>
    </row>
    <row r="16" spans="1:6" s="5" customFormat="1" ht="12" x14ac:dyDescent="0.2">
      <c r="A16" s="8"/>
      <c r="B16" s="8"/>
      <c r="C16" s="8"/>
      <c r="D16" s="8"/>
      <c r="E16" s="4"/>
    </row>
    <row r="17" spans="1:10" s="5" customFormat="1" ht="12" x14ac:dyDescent="0.2">
      <c r="A17" s="8"/>
      <c r="D17" s="6"/>
      <c r="E17" s="6"/>
    </row>
    <row r="18" spans="1:10" s="5" customFormat="1" ht="12" x14ac:dyDescent="0.2">
      <c r="A18" s="8"/>
      <c r="D18" s="6"/>
      <c r="E18" s="6"/>
    </row>
    <row r="19" spans="1:10" s="5" customFormat="1" ht="12" x14ac:dyDescent="0.2">
      <c r="A19" s="8"/>
      <c r="D19" s="6"/>
      <c r="E19" s="6"/>
    </row>
    <row r="20" spans="1:10" s="5" customFormat="1" ht="12" x14ac:dyDescent="0.2">
      <c r="A20" s="8"/>
      <c r="D20" s="6"/>
      <c r="E20" s="6"/>
    </row>
    <row r="21" spans="1:10" s="5" customFormat="1" ht="12" x14ac:dyDescent="0.2">
      <c r="A21" s="8"/>
      <c r="D21" s="6"/>
      <c r="E21" s="6"/>
    </row>
    <row r="22" spans="1:10" s="5" customFormat="1" ht="12" x14ac:dyDescent="0.2">
      <c r="A22" s="8"/>
      <c r="B22" s="8"/>
      <c r="C22" s="8"/>
      <c r="D22" s="3"/>
      <c r="E22" s="3"/>
    </row>
    <row r="23" spans="1:10" s="5" customFormat="1" ht="12" x14ac:dyDescent="0.2">
      <c r="A23" s="8"/>
      <c r="D23" s="6"/>
      <c r="E23" s="6"/>
    </row>
    <row r="24" spans="1:10" s="5" customFormat="1" ht="12" x14ac:dyDescent="0.2">
      <c r="A24" s="8"/>
      <c r="D24" s="6"/>
      <c r="E24" s="6"/>
    </row>
    <row r="25" spans="1:10" s="5" customFormat="1" ht="12" x14ac:dyDescent="0.2">
      <c r="A25" s="8"/>
      <c r="D25" s="6"/>
      <c r="E25" s="6"/>
    </row>
    <row r="26" spans="1:10" s="5" customFormat="1" ht="12" x14ac:dyDescent="0.2">
      <c r="A26" s="8"/>
      <c r="D26" s="6"/>
      <c r="E26" s="6"/>
    </row>
    <row r="27" spans="1:10" s="5" customFormat="1" ht="12.75" x14ac:dyDescent="0.2">
      <c r="A27" s="8"/>
      <c r="B27" s="9"/>
      <c r="C27" s="9"/>
      <c r="D27" s="9"/>
      <c r="E27" s="9"/>
      <c r="G27" s="10"/>
      <c r="H27" s="10"/>
      <c r="I27" s="2"/>
      <c r="J27" s="2"/>
    </row>
    <row r="28" spans="1:10" s="5" customFormat="1" x14ac:dyDescent="0.2">
      <c r="A28" s="11"/>
      <c r="B28" s="3"/>
      <c r="C28" s="3"/>
      <c r="D28" s="6"/>
      <c r="E28" s="6"/>
      <c r="F28" s="2"/>
      <c r="G28" s="12"/>
      <c r="H28" s="12"/>
      <c r="I28" s="6"/>
      <c r="J28" s="6"/>
    </row>
    <row r="29" spans="1:10" s="5" customFormat="1" x14ac:dyDescent="0.2">
      <c r="A29" s="11"/>
      <c r="B29" s="3"/>
      <c r="C29" s="3"/>
      <c r="D29" s="6"/>
      <c r="E29" s="6"/>
      <c r="F29" s="2"/>
      <c r="G29" s="12"/>
      <c r="H29" s="12"/>
      <c r="I29" s="6"/>
      <c r="J29" s="6"/>
    </row>
    <row r="30" spans="1:10" s="5" customFormat="1" x14ac:dyDescent="0.2">
      <c r="A30" s="11"/>
      <c r="B30" s="3"/>
      <c r="C30" s="3"/>
      <c r="D30" s="6"/>
      <c r="E30" s="6"/>
      <c r="F30" s="2"/>
      <c r="G30" s="12"/>
      <c r="H30" s="12"/>
      <c r="I30" s="6"/>
      <c r="J30" s="6"/>
    </row>
    <row r="31" spans="1:10" s="5" customFormat="1" x14ac:dyDescent="0.2">
      <c r="A31" s="11"/>
      <c r="B31" s="3"/>
      <c r="C31" s="3"/>
      <c r="D31" s="6"/>
      <c r="E31" s="6"/>
      <c r="F31" s="2"/>
      <c r="G31" s="12"/>
      <c r="H31" s="12"/>
      <c r="I31" s="6"/>
      <c r="J31" s="6"/>
    </row>
    <row r="32" spans="1:10" s="5" customFormat="1" x14ac:dyDescent="0.2">
      <c r="A32" s="2"/>
      <c r="B32" s="3"/>
      <c r="C32" s="3"/>
      <c r="D32" s="6"/>
      <c r="E32" s="6"/>
      <c r="F32" s="2"/>
      <c r="G32" s="12"/>
      <c r="H32" s="12"/>
      <c r="I32" s="6"/>
      <c r="J32" s="6"/>
    </row>
    <row r="33" spans="1:10" s="5" customFormat="1" ht="12" customHeight="1" x14ac:dyDescent="0.2">
      <c r="A33" s="11"/>
      <c r="B33" s="3"/>
      <c r="C33" s="3"/>
      <c r="D33" s="6"/>
      <c r="E33" s="6"/>
      <c r="G33" s="10"/>
      <c r="H33" s="10"/>
      <c r="I33" s="2"/>
      <c r="J33" s="2"/>
    </row>
    <row r="34" spans="1:10" s="5" customFormat="1" x14ac:dyDescent="0.2">
      <c r="A34" s="11"/>
      <c r="B34" s="3"/>
      <c r="C34" s="3"/>
      <c r="D34" s="6"/>
      <c r="E34" s="6"/>
    </row>
    <row r="35" spans="1:10" s="5" customFormat="1" x14ac:dyDescent="0.2">
      <c r="A35" s="11"/>
      <c r="B35" s="3"/>
      <c r="C35" s="3"/>
      <c r="D35" s="6"/>
      <c r="E35" s="6"/>
      <c r="F35" s="12"/>
      <c r="G35" s="12"/>
      <c r="H35" s="12"/>
      <c r="I35" s="6"/>
      <c r="J35" s="6"/>
    </row>
    <row r="36" spans="1:10" s="5" customFormat="1" x14ac:dyDescent="0.2">
      <c r="A36" s="11"/>
      <c r="B36" s="3"/>
      <c r="C36" s="3"/>
      <c r="D36" s="6"/>
      <c r="E36" s="6"/>
      <c r="F36" s="12"/>
      <c r="G36" s="12"/>
      <c r="H36" s="12"/>
      <c r="I36" s="6"/>
      <c r="J36" s="6"/>
    </row>
    <row r="37" spans="1:10" s="5" customFormat="1" x14ac:dyDescent="0.2">
      <c r="A37" s="11"/>
      <c r="B37" s="3"/>
      <c r="C37" s="3"/>
      <c r="D37" s="6"/>
      <c r="E37" s="6"/>
      <c r="F37" s="12"/>
      <c r="G37" s="12"/>
      <c r="H37" s="12"/>
      <c r="I37" s="6"/>
      <c r="J37" s="6"/>
    </row>
    <row r="38" spans="1:10" s="5" customFormat="1" ht="11.45" customHeight="1" x14ac:dyDescent="0.2">
      <c r="A38" s="11"/>
      <c r="B38" s="3"/>
      <c r="C38" s="3"/>
      <c r="D38" s="6"/>
      <c r="E38" s="6"/>
      <c r="F38" s="2"/>
      <c r="G38" s="9"/>
      <c r="H38" s="9"/>
      <c r="I38" s="9"/>
      <c r="J38" s="9"/>
    </row>
    <row r="39" spans="1:10" s="5" customFormat="1" x14ac:dyDescent="0.2">
      <c r="A39" s="11"/>
      <c r="B39" s="3"/>
      <c r="C39" s="3"/>
      <c r="D39" s="6"/>
      <c r="E39" s="6"/>
    </row>
    <row r="40" spans="1:10" s="5" customFormat="1" x14ac:dyDescent="0.2">
      <c r="A40" s="11"/>
      <c r="B40" s="3"/>
      <c r="C40" s="3"/>
      <c r="D40" s="6"/>
      <c r="E40" s="6"/>
      <c r="F40" s="2"/>
      <c r="G40" s="12"/>
      <c r="H40" s="12"/>
      <c r="I40" s="6"/>
      <c r="J40" s="6"/>
    </row>
    <row r="41" spans="1:10" s="5" customFormat="1" x14ac:dyDescent="0.2">
      <c r="A41" s="11"/>
      <c r="B41" s="3"/>
      <c r="C41" s="3"/>
      <c r="D41" s="6"/>
      <c r="E41" s="6"/>
      <c r="F41" s="12"/>
      <c r="G41" s="12"/>
      <c r="H41" s="12"/>
      <c r="I41" s="6"/>
      <c r="J41" s="6"/>
    </row>
    <row r="42" spans="1:10" x14ac:dyDescent="0.2">
      <c r="A42" s="11"/>
      <c r="D42" s="6"/>
      <c r="E42" s="6"/>
    </row>
    <row r="43" spans="1:10" x14ac:dyDescent="0.2">
      <c r="A43" s="11"/>
      <c r="D43" s="6"/>
      <c r="E43" s="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025" r:id="rId4" name="cmdSpecifySets"/>
      </mc:Fallback>
    </mc:AlternateContent>
    <mc:AlternateContent xmlns:mc="http://schemas.openxmlformats.org/markup-compatibility/2006">
      <mc:Choice Requires="x14">
        <control shapeId="1026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026" r:id="rId6" name="cmdCheckTechnologiesSheet"/>
      </mc:Fallback>
    </mc:AlternateContent>
    <mc:AlternateContent xmlns:mc="http://schemas.openxmlformats.org/markup-compatibility/2006">
      <mc:Choice Requires="x14">
        <control shapeId="1027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027" r:id="rId8" name="cmdProcUni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rgb="FF00B0F0"/>
  </sheetPr>
  <dimension ref="A1:U33"/>
  <sheetViews>
    <sheetView tabSelected="1" zoomScaleNormal="100" workbookViewId="0">
      <pane xSplit="7" ySplit="7" topLeftCell="H8" activePane="bottomRight" state="frozen"/>
      <selection pane="topRight"/>
      <selection pane="bottomLeft"/>
      <selection pane="bottomRight" activeCell="M10" sqref="M10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13" customWidth="1"/>
    <col min="8" max="18" width="9.140625" style="3"/>
    <col min="20" max="16384" width="9.140625" style="3"/>
  </cols>
  <sheetData>
    <row r="1" spans="1:21" ht="11.25" customHeight="1" x14ac:dyDescent="0.2">
      <c r="A1" s="1" t="s">
        <v>98</v>
      </c>
      <c r="B1" s="2" t="str">
        <f>[1]Commodities_BASE!B1</f>
        <v>REGION1</v>
      </c>
    </row>
    <row r="2" spans="1:21" ht="11.25" customHeight="1" x14ac:dyDescent="0.2">
      <c r="A2"/>
    </row>
    <row r="3" spans="1:21" ht="34.5" customHeight="1" x14ac:dyDescent="0.2">
      <c r="H3" s="14" t="s">
        <v>8</v>
      </c>
      <c r="I3" s="14" t="s">
        <v>9</v>
      </c>
      <c r="J3" s="14" t="s">
        <v>10</v>
      </c>
      <c r="K3" s="14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T3" s="3" t="s">
        <v>16</v>
      </c>
      <c r="U3" s="14" t="s">
        <v>17</v>
      </c>
    </row>
    <row r="4" spans="1:21" ht="21.75" customHeight="1" x14ac:dyDescent="0.2">
      <c r="E4" s="15"/>
      <c r="F4" s="15"/>
      <c r="G4" s="15"/>
      <c r="H4" s="16" t="s">
        <v>18</v>
      </c>
      <c r="I4" s="16" t="s">
        <v>19</v>
      </c>
      <c r="J4" s="16" t="s">
        <v>20</v>
      </c>
      <c r="K4" s="16" t="s">
        <v>21</v>
      </c>
      <c r="L4" s="17" t="s">
        <v>22</v>
      </c>
      <c r="M4" s="17" t="s">
        <v>23</v>
      </c>
      <c r="N4" s="17" t="s">
        <v>24</v>
      </c>
      <c r="O4" s="16" t="s">
        <v>18</v>
      </c>
      <c r="P4" s="16" t="s">
        <v>18</v>
      </c>
      <c r="Q4" s="17" t="s">
        <v>25</v>
      </c>
      <c r="R4" s="17" t="s">
        <v>25</v>
      </c>
      <c r="S4" s="17" t="s">
        <v>25</v>
      </c>
      <c r="T4" s="18" t="s">
        <v>26</v>
      </c>
      <c r="U4" s="16" t="s">
        <v>27</v>
      </c>
    </row>
    <row r="5" spans="1:21" ht="16.5" customHeight="1" x14ac:dyDescent="0.2">
      <c r="H5" s="16" t="s">
        <v>28</v>
      </c>
      <c r="K5" s="19"/>
      <c r="L5" s="16" t="s">
        <v>29</v>
      </c>
      <c r="O5" s="3" t="str">
        <f>E10</f>
        <v>ISIBML</v>
      </c>
      <c r="P5" s="3" t="str">
        <f>E11</f>
        <v>BCS</v>
      </c>
      <c r="Q5" s="3" t="str">
        <f>E12</f>
        <v>ISIHET</v>
      </c>
      <c r="R5" s="3" t="str">
        <f>E13</f>
        <v>ISIELC</v>
      </c>
      <c r="S5" s="3" t="str">
        <f>F14</f>
        <v>ISIBFC</v>
      </c>
      <c r="T5" s="18" t="str">
        <f>F9</f>
        <v>BIE</v>
      </c>
    </row>
    <row r="6" spans="1:21" ht="17.25" customHeight="1" x14ac:dyDescent="0.2">
      <c r="H6" s="16" t="s">
        <v>29</v>
      </c>
      <c r="K6" s="19"/>
      <c r="O6" s="16" t="s">
        <v>29</v>
      </c>
      <c r="P6" s="16" t="s">
        <v>29</v>
      </c>
    </row>
    <row r="7" spans="1:21" ht="21.75" customHeight="1" x14ac:dyDescent="0.2">
      <c r="B7" s="1" t="s">
        <v>0</v>
      </c>
      <c r="C7" s="1" t="s">
        <v>1</v>
      </c>
      <c r="D7" s="20" t="s">
        <v>2</v>
      </c>
      <c r="E7" s="1" t="s">
        <v>30</v>
      </c>
      <c r="F7" s="1" t="s">
        <v>31</v>
      </c>
      <c r="G7" s="20" t="s">
        <v>32</v>
      </c>
      <c r="K7" s="21" t="s">
        <v>33</v>
      </c>
      <c r="N7" s="3" t="s">
        <v>33</v>
      </c>
      <c r="O7" s="13"/>
      <c r="T7" s="21" t="s">
        <v>33</v>
      </c>
    </row>
    <row r="8" spans="1:21" ht="11.25" customHeight="1" x14ac:dyDescent="0.2">
      <c r="A8" s="4" t="str">
        <f>[1]Processes_BASE!A27</f>
        <v>* Conversion technologies</v>
      </c>
      <c r="B8" s="5"/>
      <c r="F8" s="22"/>
      <c r="O8" s="13"/>
      <c r="T8" s="13"/>
    </row>
    <row r="9" spans="1:21" s="13" customFormat="1" ht="11.25" customHeight="1" x14ac:dyDescent="0.2">
      <c r="A9" s="3"/>
      <c r="B9" s="5" t="str">
        <f>Processes_ETHANOL1GEN!B9</f>
        <v>UBSCBIE1</v>
      </c>
      <c r="C9" s="5" t="str">
        <f>Processes_ETHANOL1GEN!C9</f>
        <v>New Ethanol 1st Gen</v>
      </c>
      <c r="D9" s="5" t="str">
        <f>Processes_ETHANOL1GEN!D9</f>
        <v>PJ,PJa</v>
      </c>
      <c r="F9" s="22" t="str">
        <f>[1]RES!AD2</f>
        <v>BIE</v>
      </c>
      <c r="H9" s="23"/>
      <c r="I9" s="23">
        <f>'Ethanol 1stGen'!C29</f>
        <v>50.598246853185685</v>
      </c>
      <c r="J9" s="23">
        <f>'Ethanol 1stGen'!C20</f>
        <v>973.08718104980051</v>
      </c>
      <c r="K9" s="3">
        <v>1</v>
      </c>
      <c r="L9" s="24">
        <f>'Ethanol 1stGen'!C30</f>
        <v>0.8</v>
      </c>
      <c r="M9" s="13">
        <v>40</v>
      </c>
      <c r="N9" s="13">
        <v>2025</v>
      </c>
      <c r="T9" s="3">
        <v>1</v>
      </c>
    </row>
    <row r="10" spans="1:21" s="13" customFormat="1" ht="11.25" customHeight="1" x14ac:dyDescent="0.2">
      <c r="A10" s="3"/>
      <c r="B10" s="3"/>
      <c r="C10" s="3"/>
      <c r="D10" s="3"/>
      <c r="E10" s="3" t="str">
        <f>[1]RES!W2</f>
        <v>ISIBML</v>
      </c>
      <c r="H10" s="3"/>
      <c r="I10" s="3"/>
      <c r="J10" s="3"/>
      <c r="O10" s="13">
        <f>P11</f>
        <v>0.61609084456272256</v>
      </c>
      <c r="T10" s="5"/>
    </row>
    <row r="11" spans="1:21" s="13" customFormat="1" ht="11.25" customHeight="1" x14ac:dyDescent="0.2">
      <c r="A11" s="3"/>
      <c r="B11" s="3"/>
      <c r="C11" s="3"/>
      <c r="D11" s="3"/>
      <c r="E11" s="3" t="str">
        <f>[1]RES!R2</f>
        <v>BCS</v>
      </c>
      <c r="F11" s="22"/>
      <c r="H11" s="3"/>
      <c r="I11" s="3"/>
      <c r="J11" s="3"/>
      <c r="K11" s="3"/>
      <c r="P11" s="13">
        <f>'Ethanol 1stGen'!C32/'Ethanol 1stGen'!C34</f>
        <v>0.61609084456272256</v>
      </c>
      <c r="T11" s="5"/>
    </row>
    <row r="12" spans="1:21" s="13" customFormat="1" ht="11.25" customHeight="1" x14ac:dyDescent="0.2">
      <c r="A12" s="3"/>
      <c r="B12" s="3"/>
      <c r="C12" s="3"/>
      <c r="D12" s="3"/>
      <c r="E12" s="3" t="str">
        <f>[1]RES!V2</f>
        <v>ISIHET</v>
      </c>
      <c r="F12" s="22"/>
      <c r="H12" s="3"/>
      <c r="I12" s="3"/>
      <c r="J12" s="3"/>
      <c r="K12" s="3"/>
      <c r="Q12" s="13">
        <f>'Ethanol 1stGen'!F56</f>
        <v>0.15615489426271986</v>
      </c>
      <c r="T12" s="5"/>
    </row>
    <row r="13" spans="1:21" ht="11.25" customHeight="1" x14ac:dyDescent="0.2">
      <c r="E13" s="3" t="str">
        <f>[1]RES!T2</f>
        <v>ISIELC</v>
      </c>
      <c r="O13" s="13"/>
      <c r="R13" s="3">
        <f>'Ethanol 1stGen'!C36/'Ethanol 1stGen'!C32</f>
        <v>3.6047415328226144E-3</v>
      </c>
      <c r="T13" s="5"/>
    </row>
    <row r="14" spans="1:21" ht="11.25" customHeight="1" x14ac:dyDescent="0.2">
      <c r="F14" s="3" t="str">
        <f>[1]RES!X2</f>
        <v>ISIBFC</v>
      </c>
      <c r="S14" s="3">
        <f>'Ethanol 1stGen'!H57+'Ethanol 1stGen'!H56</f>
        <v>0.24070036677223733</v>
      </c>
      <c r="T14" s="5"/>
    </row>
    <row r="15" spans="1:21" ht="11.25" customHeight="1" x14ac:dyDescent="0.2">
      <c r="T15" s="5"/>
    </row>
    <row r="20" spans="20:20" ht="11.25" customHeight="1" x14ac:dyDescent="0.2">
      <c r="T20" s="13"/>
    </row>
    <row r="21" spans="20:20" ht="11.25" customHeight="1" x14ac:dyDescent="0.2">
      <c r="T21" s="13"/>
    </row>
    <row r="23" spans="20:20" ht="11.25" customHeight="1" x14ac:dyDescent="0.2">
      <c r="T23" s="13"/>
    </row>
    <row r="24" spans="20:20" ht="11.25" customHeight="1" x14ac:dyDescent="0.2">
      <c r="T24" s="13"/>
    </row>
    <row r="25" spans="20:20" ht="11.25" customHeight="1" x14ac:dyDescent="0.2">
      <c r="T25" s="13"/>
    </row>
    <row r="26" spans="20:20" ht="11.25" customHeight="1" x14ac:dyDescent="0.2">
      <c r="T26" s="13"/>
    </row>
    <row r="27" spans="20:20" ht="11.25" customHeight="1" x14ac:dyDescent="0.2">
      <c r="T27" s="13"/>
    </row>
    <row r="28" spans="20:20" ht="11.25" customHeight="1" x14ac:dyDescent="0.2">
      <c r="T28" s="13"/>
    </row>
    <row r="29" spans="20:20" ht="11.25" customHeight="1" x14ac:dyDescent="0.2">
      <c r="T29" s="13"/>
    </row>
    <row r="30" spans="20:20" ht="11.25" customHeight="1" x14ac:dyDescent="0.2">
      <c r="T30" s="13"/>
    </row>
    <row r="31" spans="20:20" ht="11.25" customHeight="1" x14ac:dyDescent="0.2">
      <c r="T31" s="13"/>
    </row>
    <row r="32" spans="20:20" ht="11.25" customHeight="1" x14ac:dyDescent="0.2">
      <c r="T32" s="13"/>
    </row>
    <row r="33" spans="20:20" ht="11.25" customHeight="1" x14ac:dyDescent="0.2">
      <c r="T33" s="13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2049" r:id="rId4" name="cmdTechNameAndDesc"/>
      </mc:Fallback>
    </mc:AlternateContent>
    <mc:AlternateContent xmlns:mc="http://schemas.openxmlformats.org/markup-compatibility/2006">
      <mc:Choice Requires="x14">
        <control shapeId="20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0" r:id="rId6" name="cmdCommIN"/>
      </mc:Fallback>
    </mc:AlternateContent>
    <mc:AlternateContent xmlns:mc="http://schemas.openxmlformats.org/markup-compatibility/2006">
      <mc:Choice Requires="x14">
        <control shapeId="20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1" r:id="rId8" name="cmdCommOUT"/>
      </mc:Fallback>
    </mc:AlternateContent>
    <mc:AlternateContent xmlns:mc="http://schemas.openxmlformats.org/markup-compatibility/2006">
      <mc:Choice Requires="x14">
        <control shapeId="2052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2052" r:id="rId10" name="cmdAddParameter"/>
      </mc:Fallback>
    </mc:AlternateContent>
    <mc:AlternateContent xmlns:mc="http://schemas.openxmlformats.org/markup-compatibility/2006">
      <mc:Choice Requires="x14">
        <control shapeId="2053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2053" r:id="rId12" name="cmdAddParamQualifier1"/>
      </mc:Fallback>
    </mc:AlternateContent>
    <mc:AlternateContent xmlns:mc="http://schemas.openxmlformats.org/markup-compatibility/2006">
      <mc:Choice Requires="x14">
        <control shapeId="2054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2054" r:id="rId14" name="cmdCheckTechDataSheet"/>
      </mc:Fallback>
    </mc:AlternateContent>
    <mc:AlternateContent xmlns:mc="http://schemas.openxmlformats.org/markup-compatibility/2006">
      <mc:Choice Requires="x14">
        <control shapeId="2055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2055" r:id="rId16" name="cmdAddParamQualifier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74"/>
  <sheetViews>
    <sheetView topLeftCell="A4" zoomScaleNormal="100" workbookViewId="0"/>
  </sheetViews>
  <sheetFormatPr defaultRowHeight="12.75" x14ac:dyDescent="0.2"/>
  <cols>
    <col min="1" max="1" width="30" customWidth="1"/>
    <col min="3" max="3" width="11.28515625" customWidth="1"/>
  </cols>
  <sheetData>
    <row r="1" spans="1:21" ht="20.25" thickBot="1" x14ac:dyDescent="0.35">
      <c r="A1" s="25" t="s">
        <v>34</v>
      </c>
    </row>
    <row r="2" spans="1:21" ht="18.75" thickTop="1" thickBot="1" x14ac:dyDescent="0.35">
      <c r="A2" s="26" t="s">
        <v>35</v>
      </c>
      <c r="U2" t="s">
        <v>36</v>
      </c>
    </row>
    <row r="3" spans="1:21" ht="13.5" thickTop="1" x14ac:dyDescent="0.2">
      <c r="A3" s="27" t="s">
        <v>35</v>
      </c>
      <c r="B3" s="27" t="s">
        <v>37</v>
      </c>
      <c r="C3">
        <v>29.3</v>
      </c>
    </row>
    <row r="4" spans="1:21" x14ac:dyDescent="0.2">
      <c r="A4" s="27" t="s">
        <v>38</v>
      </c>
      <c r="B4" s="27" t="s">
        <v>39</v>
      </c>
      <c r="C4">
        <v>789</v>
      </c>
      <c r="E4" s="27" t="s">
        <v>40</v>
      </c>
      <c r="F4">
        <v>365</v>
      </c>
      <c r="G4">
        <v>465</v>
      </c>
      <c r="M4" t="s">
        <v>41</v>
      </c>
    </row>
    <row r="5" spans="1:21" x14ac:dyDescent="0.2">
      <c r="A5" s="27" t="s">
        <v>35</v>
      </c>
      <c r="B5" s="27" t="s">
        <v>42</v>
      </c>
      <c r="C5">
        <f>C3*C4/1000</f>
        <v>23.117699999999999</v>
      </c>
      <c r="E5" s="27" t="s">
        <v>43</v>
      </c>
      <c r="F5" s="28">
        <f>F4*$C5/1000</f>
        <v>8.4379604999999991</v>
      </c>
      <c r="G5" s="28">
        <f>G4*$C5/1000</f>
        <v>10.7497305</v>
      </c>
    </row>
    <row r="6" spans="1:21" x14ac:dyDescent="0.2">
      <c r="B6" s="27" t="s">
        <v>44</v>
      </c>
      <c r="C6">
        <f>C5</f>
        <v>23.117699999999999</v>
      </c>
      <c r="E6" s="27" t="s">
        <v>45</v>
      </c>
      <c r="F6" s="28">
        <f>F4*H6/1000</f>
        <v>12.483000000000002</v>
      </c>
      <c r="G6" s="28">
        <f>G4*H6/1000</f>
        <v>15.903000000000002</v>
      </c>
      <c r="H6">
        <v>34.200000000000003</v>
      </c>
    </row>
    <row r="7" spans="1:21" ht="18" thickBot="1" x14ac:dyDescent="0.35">
      <c r="A7" s="26" t="s">
        <v>46</v>
      </c>
      <c r="D7" t="s">
        <v>47</v>
      </c>
    </row>
    <row r="8" spans="1:21" ht="13.5" thickTop="1" x14ac:dyDescent="0.2">
      <c r="A8" t="s">
        <v>48</v>
      </c>
      <c r="B8" t="s">
        <v>49</v>
      </c>
      <c r="C8">
        <f>0.265/0.46</f>
        <v>0.57608695652173914</v>
      </c>
      <c r="D8" t="s">
        <v>50</v>
      </c>
    </row>
    <row r="9" spans="1:21" x14ac:dyDescent="0.2">
      <c r="A9" t="s">
        <v>51</v>
      </c>
      <c r="B9" t="s">
        <v>52</v>
      </c>
      <c r="C9" s="29">
        <f>[1]EB_Exist!F31</f>
        <v>1.0428310000000001</v>
      </c>
    </row>
    <row r="10" spans="1:21" x14ac:dyDescent="0.2">
      <c r="A10" t="s">
        <v>53</v>
      </c>
      <c r="B10" t="s">
        <v>54</v>
      </c>
      <c r="C10">
        <f>C9*C8</f>
        <v>0.60076133695652179</v>
      </c>
    </row>
    <row r="11" spans="1:21" x14ac:dyDescent="0.2">
      <c r="B11" s="27" t="s">
        <v>55</v>
      </c>
      <c r="C11">
        <f>C10/C5</f>
        <v>2.5987072111694581E-2</v>
      </c>
    </row>
    <row r="14" spans="1:21" x14ac:dyDescent="0.2">
      <c r="A14" s="27"/>
      <c r="B14" s="27"/>
    </row>
    <row r="15" spans="1:21" ht="18" thickBot="1" x14ac:dyDescent="0.35">
      <c r="A15" s="26" t="s">
        <v>56</v>
      </c>
      <c r="C15" t="s">
        <v>57</v>
      </c>
      <c r="D15" t="s">
        <v>50</v>
      </c>
    </row>
    <row r="16" spans="1:21" ht="13.5" thickTop="1" x14ac:dyDescent="0.2">
      <c r="A16" t="s">
        <v>58</v>
      </c>
      <c r="B16" t="s">
        <v>59</v>
      </c>
      <c r="C16">
        <v>0.49299999999999999</v>
      </c>
      <c r="D16">
        <v>6.5000000000000002E-2</v>
      </c>
    </row>
    <row r="17" spans="1:5" x14ac:dyDescent="0.2">
      <c r="A17" t="s">
        <v>60</v>
      </c>
      <c r="B17" t="s">
        <v>61</v>
      </c>
      <c r="C17">
        <v>8531</v>
      </c>
      <c r="D17">
        <v>743</v>
      </c>
    </row>
    <row r="18" spans="1:5" x14ac:dyDescent="0.2">
      <c r="B18" t="s">
        <v>62</v>
      </c>
      <c r="C18" s="30">
        <f>C17*1.3</f>
        <v>11090.300000000001</v>
      </c>
      <c r="D18" s="30">
        <f>D17*1.452</f>
        <v>1078.836</v>
      </c>
    </row>
    <row r="19" spans="1:5" x14ac:dyDescent="0.2">
      <c r="A19" t="s">
        <v>10</v>
      </c>
      <c r="B19" t="s">
        <v>63</v>
      </c>
      <c r="C19" s="30">
        <f>C18/C16</f>
        <v>22495.537525354972</v>
      </c>
      <c r="D19" s="30">
        <f>D18/D16</f>
        <v>16597.476923076923</v>
      </c>
    </row>
    <row r="20" spans="1:5" x14ac:dyDescent="0.2">
      <c r="B20" s="27" t="s">
        <v>64</v>
      </c>
      <c r="C20" s="29">
        <f>C19/C5</f>
        <v>973.08718104980051</v>
      </c>
      <c r="D20">
        <f>C20*0.8</f>
        <v>778.46974483984047</v>
      </c>
    </row>
    <row r="21" spans="1:5" x14ac:dyDescent="0.2">
      <c r="A21" t="s">
        <v>65</v>
      </c>
      <c r="B21" t="s">
        <v>66</v>
      </c>
      <c r="C21">
        <v>7.62</v>
      </c>
      <c r="D21" t="s">
        <v>50</v>
      </c>
    </row>
    <row r="22" spans="1:5" x14ac:dyDescent="0.2">
      <c r="B22" t="s">
        <v>62</v>
      </c>
      <c r="C22" s="31">
        <f>C21*1.452</f>
        <v>11.06424</v>
      </c>
      <c r="D22">
        <f>5.1%*C18+C22</f>
        <v>576.6695400000001</v>
      </c>
    </row>
    <row r="23" spans="1:5" x14ac:dyDescent="0.2">
      <c r="B23" s="27" t="s">
        <v>63</v>
      </c>
      <c r="C23" s="31">
        <f>C22/C16</f>
        <v>22.442677484787019</v>
      </c>
    </row>
    <row r="24" spans="1:5" x14ac:dyDescent="0.2">
      <c r="A24" t="s">
        <v>67</v>
      </c>
      <c r="B24" s="27" t="s">
        <v>68</v>
      </c>
      <c r="C24">
        <f>2+1.6+0.3+0.3+0.4+0.3+0.2</f>
        <v>5.1000000000000005</v>
      </c>
      <c r="D24" t="s">
        <v>50</v>
      </c>
    </row>
    <row r="25" spans="1:5" x14ac:dyDescent="0.2">
      <c r="B25" t="s">
        <v>63</v>
      </c>
      <c r="C25" s="30">
        <f>C24/100*C19</f>
        <v>1147.2724137931036</v>
      </c>
    </row>
    <row r="26" spans="1:5" x14ac:dyDescent="0.2">
      <c r="B26" s="27" t="s">
        <v>64</v>
      </c>
      <c r="C26" s="29">
        <f>C25/C5</f>
        <v>49.627446233539828</v>
      </c>
    </row>
    <row r="27" spans="1:5" x14ac:dyDescent="0.2">
      <c r="A27" s="27" t="s">
        <v>69</v>
      </c>
      <c r="B27" t="s">
        <v>62</v>
      </c>
      <c r="C27" s="29">
        <f>C28*C16</f>
        <v>576.6695400000001</v>
      </c>
    </row>
    <row r="28" spans="1:5" x14ac:dyDescent="0.2">
      <c r="A28" s="27"/>
      <c r="B28" s="27" t="s">
        <v>63</v>
      </c>
      <c r="C28" s="29">
        <f>C25+C23</f>
        <v>1169.7150912778907</v>
      </c>
    </row>
    <row r="29" spans="1:5" x14ac:dyDescent="0.2">
      <c r="A29" s="27"/>
      <c r="B29" s="27" t="s">
        <v>64</v>
      </c>
      <c r="C29" s="29">
        <f>C28/C5</f>
        <v>50.598246853185685</v>
      </c>
    </row>
    <row r="30" spans="1:5" x14ac:dyDescent="0.2">
      <c r="A30" t="s">
        <v>70</v>
      </c>
      <c r="C30" s="32">
        <v>0.8</v>
      </c>
      <c r="D30" t="s">
        <v>50</v>
      </c>
    </row>
    <row r="31" spans="1:5" x14ac:dyDescent="0.2">
      <c r="A31" t="s">
        <v>71</v>
      </c>
      <c r="B31" t="s">
        <v>59</v>
      </c>
      <c r="C31">
        <f>C30*C16</f>
        <v>0.39440000000000003</v>
      </c>
    </row>
    <row r="32" spans="1:5" x14ac:dyDescent="0.2">
      <c r="B32" s="27" t="s">
        <v>55</v>
      </c>
      <c r="C32" s="31">
        <f>C31*C5</f>
        <v>9.1176208800000005</v>
      </c>
      <c r="E32">
        <f>14/C32*C16</f>
        <v>0.75699572189274877</v>
      </c>
    </row>
    <row r="33" spans="1:4" x14ac:dyDescent="0.2">
      <c r="A33" t="s">
        <v>72</v>
      </c>
      <c r="B33" t="s">
        <v>52</v>
      </c>
      <c r="C33">
        <f>C31/C8</f>
        <v>0.68461886792452831</v>
      </c>
    </row>
    <row r="34" spans="1:4" x14ac:dyDescent="0.2">
      <c r="A34" t="s">
        <v>73</v>
      </c>
      <c r="B34" t="s">
        <v>55</v>
      </c>
      <c r="C34" s="31">
        <f>[1]EB_Exist!K16/[1]EB_Exist!F30*C33</f>
        <v>14.799150093638113</v>
      </c>
      <c r="D34" t="s">
        <v>74</v>
      </c>
    </row>
    <row r="35" spans="1:4" x14ac:dyDescent="0.2">
      <c r="A35" t="s">
        <v>75</v>
      </c>
      <c r="B35" t="s">
        <v>76</v>
      </c>
      <c r="C35">
        <f>0.2+0.1</f>
        <v>0.30000000000000004</v>
      </c>
      <c r="D35" t="s">
        <v>50</v>
      </c>
    </row>
    <row r="36" spans="1:4" x14ac:dyDescent="0.2">
      <c r="B36" t="s">
        <v>55</v>
      </c>
      <c r="C36">
        <f>C35/3.6*C31</f>
        <v>3.2866666666666676E-2</v>
      </c>
    </row>
    <row r="37" spans="1:4" x14ac:dyDescent="0.2">
      <c r="A37" t="s">
        <v>77</v>
      </c>
      <c r="B37" t="s">
        <v>78</v>
      </c>
      <c r="C37">
        <f>2.4+3.1</f>
        <v>5.5</v>
      </c>
    </row>
    <row r="38" spans="1:4" x14ac:dyDescent="0.2">
      <c r="B38" t="s">
        <v>79</v>
      </c>
      <c r="C38">
        <f>C37*2.7</f>
        <v>14.850000000000001</v>
      </c>
    </row>
    <row r="39" spans="1:4" x14ac:dyDescent="0.2">
      <c r="B39" t="s">
        <v>55</v>
      </c>
      <c r="C39" s="29">
        <f>C38*C31</f>
        <v>5.8568400000000009</v>
      </c>
    </row>
    <row r="41" spans="1:4" x14ac:dyDescent="0.2">
      <c r="A41" s="27" t="s">
        <v>80</v>
      </c>
      <c r="B41" s="27" t="s">
        <v>55</v>
      </c>
      <c r="C41" s="31">
        <f>C34-C32</f>
        <v>5.6815292136381128</v>
      </c>
    </row>
    <row r="45" spans="1:4" x14ac:dyDescent="0.2">
      <c r="A45" s="27" t="s">
        <v>81</v>
      </c>
    </row>
    <row r="46" spans="1:4" ht="15" x14ac:dyDescent="0.25">
      <c r="A46" t="s">
        <v>82</v>
      </c>
      <c r="B46" t="s">
        <v>83</v>
      </c>
      <c r="C46" s="33">
        <f>C38*C8</f>
        <v>8.5548913043478265</v>
      </c>
    </row>
    <row r="47" spans="1:4" x14ac:dyDescent="0.2">
      <c r="A47" t="s">
        <v>84</v>
      </c>
      <c r="B47" t="s">
        <v>85</v>
      </c>
      <c r="C47">
        <f>C35*C8</f>
        <v>0.17282608695652177</v>
      </c>
    </row>
    <row r="48" spans="1:4" x14ac:dyDescent="0.2">
      <c r="B48" t="s">
        <v>83</v>
      </c>
      <c r="C48">
        <f>C47*3.6</f>
        <v>0.62217391304347835</v>
      </c>
    </row>
    <row r="49" spans="1:13" x14ac:dyDescent="0.2">
      <c r="B49" t="s">
        <v>55</v>
      </c>
      <c r="C49">
        <f>C48*[1]EB_Exist!F30</f>
        <v>1.358716456956522</v>
      </c>
    </row>
    <row r="51" spans="1:13" x14ac:dyDescent="0.2">
      <c r="A51" s="27" t="s">
        <v>86</v>
      </c>
      <c r="C51">
        <f>C34/C32</f>
        <v>1.6231372513087112</v>
      </c>
      <c r="E51" s="27" t="s">
        <v>87</v>
      </c>
      <c r="F51">
        <f>[1]ProcData_Exist!AH34</f>
        <v>1.3094033777750274</v>
      </c>
      <c r="G51" s="27" t="s">
        <v>88</v>
      </c>
      <c r="H51">
        <v>1</v>
      </c>
    </row>
    <row r="52" spans="1:13" x14ac:dyDescent="0.2">
      <c r="A52" s="27" t="s">
        <v>89</v>
      </c>
      <c r="B52" s="27"/>
      <c r="C52">
        <f>F56</f>
        <v>0.15615489426271986</v>
      </c>
      <c r="E52" s="27" t="s">
        <v>90</v>
      </c>
      <c r="F52">
        <f>[1]ProcData_Exist!AI35</f>
        <v>0.1259719385029496</v>
      </c>
      <c r="G52" s="27" t="s">
        <v>91</v>
      </c>
      <c r="H52">
        <f>[1]ProcData_Exist!AF32</f>
        <v>0.17597823500185439</v>
      </c>
      <c r="I52">
        <f>F51/H52</f>
        <v>7.4407120730653391</v>
      </c>
    </row>
    <row r="53" spans="1:13" x14ac:dyDescent="0.2">
      <c r="E53" s="27" t="s">
        <v>92</v>
      </c>
      <c r="F53">
        <f>F51/F52</f>
        <v>10.394405240849476</v>
      </c>
      <c r="G53" s="27" t="s">
        <v>93</v>
      </c>
      <c r="H53">
        <f>[1]ProcData_Exist!AG33</f>
        <v>1.8197502773331004E-2</v>
      </c>
      <c r="I53">
        <f>F51/H53</f>
        <v>71.955113516674274</v>
      </c>
    </row>
    <row r="55" spans="1:13" x14ac:dyDescent="0.2">
      <c r="E55" s="27" t="s">
        <v>87</v>
      </c>
      <c r="F55">
        <f>C51</f>
        <v>1.6231372513087112</v>
      </c>
      <c r="G55" s="27" t="s">
        <v>94</v>
      </c>
      <c r="H55">
        <v>1</v>
      </c>
    </row>
    <row r="56" spans="1:13" x14ac:dyDescent="0.2">
      <c r="E56" s="27" t="s">
        <v>90</v>
      </c>
      <c r="F56">
        <f>F55/F57</f>
        <v>0.15615489426271986</v>
      </c>
      <c r="G56" s="27" t="s">
        <v>91</v>
      </c>
      <c r="H56">
        <f>F55/I52</f>
        <v>0.21814273087979197</v>
      </c>
    </row>
    <row r="57" spans="1:13" x14ac:dyDescent="0.2">
      <c r="E57" s="27" t="s">
        <v>92</v>
      </c>
      <c r="F57">
        <f>F53</f>
        <v>10.394405240849476</v>
      </c>
      <c r="G57" s="27" t="s">
        <v>93</v>
      </c>
      <c r="H57">
        <f>F55/I53</f>
        <v>2.255763589244535E-2</v>
      </c>
    </row>
    <row r="61" spans="1:13" x14ac:dyDescent="0.2">
      <c r="M61" s="27" t="s">
        <v>95</v>
      </c>
    </row>
    <row r="172" spans="13:16" x14ac:dyDescent="0.2">
      <c r="M172" s="27" t="s">
        <v>96</v>
      </c>
      <c r="N172" s="27" t="s">
        <v>97</v>
      </c>
      <c r="O172">
        <v>3.1</v>
      </c>
      <c r="P172">
        <v>24</v>
      </c>
    </row>
    <row r="173" spans="13:16" x14ac:dyDescent="0.2">
      <c r="O173">
        <v>1.94</v>
      </c>
      <c r="P173">
        <f>P172/O174</f>
        <v>38.350515463917532</v>
      </c>
    </row>
    <row r="174" spans="13:16" x14ac:dyDescent="0.2">
      <c r="O174">
        <f>O173/O172</f>
        <v>0.62580645161290316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Processes_ETHANOL1GEN</vt:lpstr>
      <vt:lpstr>ProcData_ETHANOL1GEN</vt:lpstr>
      <vt:lpstr>Ethanol 1stGen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Fadiel Ahjum</cp:lastModifiedBy>
  <dcterms:created xsi:type="dcterms:W3CDTF">2020-04-06T09:39:36Z</dcterms:created>
  <dcterms:modified xsi:type="dcterms:W3CDTF">2020-04-19T21:51:32Z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757041394710540</vt:r8>
  </property>
</Properties>
</file>