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12EFD855-7BBC-4B92-94DA-BFE4E000D9D1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eHP Calc" sheetId="1" r:id="rId1"/>
    <sheet name="Ship Stats" sheetId="2" r:id="rId2"/>
    <sheet name="Background Tables" sheetId="4" r:id="rId3"/>
  </sheets>
  <definedNames>
    <definedName name="Application">'Background Tables'!$K$29:$K$30</definedName>
    <definedName name="Hull_Class" localSheetId="1">'Ship Stats'!$C$2:$C$406</definedName>
    <definedName name="Hull_Class">'Background Tables'!$B$29:$B$34</definedName>
    <definedName name="Hull_Class_2">'Background Tables'!$J$29:$J$42</definedName>
    <definedName name="Ship_Armor">'Background Tables'!$I$29:$I$32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8" i="1" l="1"/>
  <c r="S18" i="1"/>
  <c r="R18" i="1"/>
  <c r="Q18" i="1"/>
  <c r="P18" i="1"/>
  <c r="O18" i="1"/>
  <c r="N18" i="1"/>
  <c r="M18" i="1"/>
  <c r="L18" i="1"/>
  <c r="U17" i="1"/>
  <c r="S17" i="1"/>
  <c r="R17" i="1"/>
  <c r="Q17" i="1"/>
  <c r="P17" i="1"/>
  <c r="O17" i="1"/>
  <c r="N17" i="1"/>
  <c r="M17" i="1"/>
  <c r="L17" i="1"/>
  <c r="U16" i="1"/>
  <c r="T16" i="1"/>
  <c r="S16" i="1"/>
  <c r="R16" i="1"/>
  <c r="Q16" i="1"/>
  <c r="P16" i="1"/>
  <c r="O16" i="1"/>
  <c r="N16" i="1"/>
  <c r="M16" i="1"/>
  <c r="L16" i="1"/>
  <c r="U15" i="1"/>
  <c r="T15" i="1"/>
  <c r="S15" i="1"/>
  <c r="R15" i="1"/>
  <c r="Q15" i="1"/>
  <c r="P15" i="1"/>
  <c r="O15" i="1"/>
  <c r="N15" i="1"/>
  <c r="M15" i="1"/>
  <c r="L15" i="1"/>
  <c r="U14" i="1"/>
  <c r="T14" i="1"/>
  <c r="S14" i="1"/>
  <c r="R14" i="1"/>
  <c r="Q14" i="1"/>
  <c r="P14" i="1"/>
  <c r="O14" i="1"/>
  <c r="N14" i="1"/>
  <c r="M14" i="1"/>
  <c r="L14" i="1"/>
  <c r="U13" i="1"/>
  <c r="T13" i="1"/>
  <c r="S13" i="1"/>
  <c r="R13" i="1"/>
  <c r="Q13" i="1"/>
  <c r="P13" i="1"/>
  <c r="O13" i="1"/>
  <c r="N13" i="1"/>
  <c r="M13" i="1"/>
  <c r="L13" i="1"/>
  <c r="U12" i="1"/>
  <c r="T12" i="1"/>
  <c r="S12" i="1"/>
  <c r="R12" i="1"/>
  <c r="Q12" i="1"/>
  <c r="P12" i="1"/>
  <c r="O12" i="1"/>
  <c r="N12" i="1"/>
  <c r="M12" i="1"/>
  <c r="L12" i="1"/>
  <c r="U11" i="1"/>
  <c r="T11" i="1"/>
  <c r="S11" i="1"/>
  <c r="R11" i="1"/>
  <c r="Q11" i="1"/>
  <c r="P11" i="1"/>
  <c r="O11" i="1"/>
  <c r="N11" i="1"/>
  <c r="M11" i="1"/>
  <c r="L11" i="1"/>
  <c r="U10" i="1"/>
  <c r="T10" i="1"/>
  <c r="S10" i="1"/>
  <c r="R10" i="1"/>
  <c r="Q10" i="1"/>
  <c r="P10" i="1"/>
  <c r="O10" i="1"/>
  <c r="N10" i="1"/>
  <c r="M10" i="1"/>
  <c r="L10" i="1"/>
  <c r="U9" i="1"/>
  <c r="T9" i="1"/>
  <c r="S9" i="1"/>
  <c r="R9" i="1"/>
  <c r="Q9" i="1"/>
  <c r="P9" i="1"/>
  <c r="O9" i="1"/>
  <c r="N9" i="1"/>
  <c r="M9" i="1"/>
  <c r="L9" i="1"/>
  <c r="N3" i="1"/>
  <c r="P6" i="1"/>
  <c r="P5" i="1"/>
  <c r="K16" i="4" l="1"/>
  <c r="L2" i="1" l="1"/>
  <c r="N2" i="1" l="1"/>
  <c r="K12" i="1"/>
  <c r="L3" i="1" l="1"/>
  <c r="P4" i="1" l="1"/>
  <c r="B9" i="1" l="1"/>
  <c r="B3" i="1"/>
  <c r="P3" i="1" l="1"/>
  <c r="R5" i="1" l="1"/>
  <c r="K13" i="4" s="1"/>
  <c r="R4" i="1"/>
  <c r="K12" i="4" s="1"/>
  <c r="R3" i="1"/>
  <c r="K11" i="4" s="1"/>
  <c r="K7" i="4" l="1" a="1"/>
  <c r="K7" i="4" s="1"/>
  <c r="K8" i="4"/>
  <c r="K9" i="4" a="1"/>
  <c r="K9" i="4" s="1"/>
  <c r="N6" i="1"/>
  <c r="N5" i="1"/>
  <c r="N4" i="1"/>
  <c r="L6" i="1"/>
  <c r="L5" i="1"/>
  <c r="L4" i="1"/>
  <c r="K4" i="4" l="1"/>
  <c r="K2" i="4" s="1"/>
  <c r="K3" i="4"/>
  <c r="B12" i="1" l="1"/>
  <c r="B11" i="1"/>
  <c r="B10" i="1"/>
  <c r="B8" i="1"/>
  <c r="B7" i="1"/>
  <c r="B6" i="1"/>
  <c r="B5" i="1"/>
  <c r="B4" i="1"/>
  <c r="K9" i="1"/>
  <c r="L8" i="1"/>
  <c r="U8" i="1"/>
  <c r="K18" i="1"/>
  <c r="K17" i="1"/>
  <c r="T8" i="1"/>
  <c r="S8" i="1"/>
  <c r="K16" i="1"/>
  <c r="K15" i="1"/>
  <c r="R8" i="1"/>
  <c r="K14" i="1"/>
  <c r="Q8" i="1"/>
  <c r="K13" i="1"/>
  <c r="P8" i="1"/>
  <c r="O8" i="1"/>
  <c r="K11" i="1"/>
  <c r="N8" i="1"/>
  <c r="K10" i="1"/>
  <c r="M8" i="1"/>
  <c r="G14" i="4" l="1"/>
  <c r="G13" i="4"/>
  <c r="G12" i="4"/>
  <c r="G11" i="4"/>
  <c r="G10" i="4"/>
  <c r="G9" i="4"/>
  <c r="G8" i="4"/>
  <c r="H3" i="4" l="1" a="1"/>
  <c r="H3" i="4" s="1"/>
  <c r="H2" i="4" l="1" a="1"/>
  <c r="H2" i="4" s="1"/>
</calcChain>
</file>

<file path=xl/sharedStrings.xml><?xml version="1.0" encoding="utf-8"?>
<sst xmlns="http://schemas.openxmlformats.org/spreadsheetml/2006/main" count="2837" uniqueCount="562">
  <si>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</si>
  <si>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</si>
  <si>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</si>
  <si>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</si>
  <si>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</si>
  <si>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</si>
  <si>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</si>
  <si>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</si>
  <si>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</si>
  <si>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</si>
  <si>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</si>
  <si>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</si>
  <si>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</si>
  <si>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</si>
  <si>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</si>
  <si>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</si>
  <si>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</si>
  <si>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</si>
  <si>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</si>
  <si>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</si>
  <si>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</si>
  <si>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</si>
  <si>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</si>
  <si>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</si>
  <si>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</si>
  <si>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</si>
  <si>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</si>
  <si>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</si>
  <si>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</si>
  <si>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</si>
  <si>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</si>
  <si>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</si>
  <si>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</si>
  <si>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</si>
  <si>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</si>
  <si>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</si>
  <si>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</si>
  <si>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</si>
  <si>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</si>
  <si>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</si>
  <si>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</si>
  <si>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</si>
  <si>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</si>
  <si>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</si>
  <si>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</si>
  <si>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</si>
  <si>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</si>
  <si>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</si>
  <si>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</si>
  <si>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</si>
  <si>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</si>
  <si>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</si>
  <si>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</si>
  <si>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</si>
  <si>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</si>
  <si>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</si>
  <si>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</si>
  <si>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</si>
  <si>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</si>
  <si>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</si>
  <si>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</si>
  <si>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</si>
  <si>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</si>
  <si>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</si>
  <si>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</si>
  <si>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</si>
  <si>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</si>
  <si>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</si>
  <si>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</si>
  <si>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</si>
  <si>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</si>
  <si>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</si>
  <si>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</si>
  <si>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</si>
  <si>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</si>
  <si>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</si>
  <si>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</si>
  <si>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</si>
  <si>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</si>
  <si>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</si>
  <si>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</si>
  <si>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</si>
  <si>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</si>
  <si>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</si>
  <si>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</si>
  <si>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</si>
  <si>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</si>
  <si>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</si>
  <si>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</si>
  <si>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</si>
  <si>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</si>
  <si>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</si>
  <si>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</si>
  <si>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</si>
  <si>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</si>
  <si>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</si>
  <si>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</si>
  <si>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</si>
  <si>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</si>
  <si>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</si>
  <si>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</si>
  <si>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</si>
  <si>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</si>
  <si>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</si>
  <si>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</si>
  <si>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</si>
  <si>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</si>
  <si>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</si>
  <si>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</si>
  <si>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</si>
  <si>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</si>
  <si>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</si>
  <si>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</si>
  <si>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</si>
  <si>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</si>
  <si>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</si>
  <si>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</si>
  <si>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</si>
  <si>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</si>
  <si>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</si>
  <si>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</si>
  <si>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</si>
  <si>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</si>
  <si>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</si>
  <si>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</si>
  <si>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</si>
  <si>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</si>
  <si>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</si>
  <si>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</si>
  <si>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</si>
  <si>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</si>
  <si>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</si>
  <si>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</si>
  <si>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</si>
  <si>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</si>
  <si>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</si>
  <si>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</si>
  <si>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</si>
  <si>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</si>
  <si>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</si>
  <si>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</si>
  <si>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</si>
  <si>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</si>
  <si>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</si>
  <si>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</si>
  <si>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</si>
  <si>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</si>
  <si>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</si>
  <si>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</si>
  <si>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</si>
  <si>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</si>
  <si>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</si>
  <si>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</si>
  <si>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</si>
  <si>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</si>
  <si>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</si>
  <si>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</si>
  <si>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</si>
  <si>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</si>
  <si>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</si>
  <si>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</si>
  <si>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</si>
  <si>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</si>
  <si>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</si>
  <si>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</si>
  <si>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</si>
  <si>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</si>
  <si>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</si>
  <si>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</si>
  <si>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</si>
  <si>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</si>
  <si>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</si>
  <si>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</si>
  <si>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</si>
  <si>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</si>
  <si>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</si>
  <si>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</si>
  <si>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</si>
  <si>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</si>
  <si>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</si>
  <si>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</si>
  <si>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</si>
  <si>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</si>
  <si>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</si>
  <si>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</si>
  <si>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</si>
  <si>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</si>
  <si>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</si>
  <si>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</si>
  <si>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</si>
  <si>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</si>
  <si>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</si>
  <si>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</si>
  <si>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</si>
  <si>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</si>
  <si>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</si>
  <si>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</si>
  <si>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</si>
  <si>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</si>
  <si>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</si>
  <si>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</si>
  <si>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</si>
  <si>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</si>
  <si>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</si>
  <si>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</si>
  <si>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</si>
  <si>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</si>
  <si>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</si>
  <si>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</si>
  <si>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</si>
  <si>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</si>
  <si>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</si>
  <si>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</si>
  <si>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</si>
  <si>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</si>
  <si>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</si>
  <si>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</si>
  <si>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</si>
  <si>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</si>
  <si>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</si>
  <si>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</si>
  <si>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</si>
  <si>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</si>
  <si>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</si>
  <si>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</si>
  <si>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</si>
  <si>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</si>
  <si>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</si>
  <si>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</si>
  <si>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</si>
  <si>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</si>
  <si>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</si>
  <si>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</si>
  <si>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</si>
  <si>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</si>
  <si>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</si>
  <si>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</si>
  <si>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</si>
  <si>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</si>
  <si>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</si>
  <si>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</si>
  <si>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</si>
  <si>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</si>
  <si>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</si>
  <si>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</si>
  <si>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</si>
  <si>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</si>
  <si>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</si>
  <si>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</si>
  <si>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</si>
  <si>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</si>
  <si>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</si>
  <si>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</si>
  <si>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</si>
  <si>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</si>
  <si>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</si>
  <si>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</si>
  <si>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</si>
  <si>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</si>
  <si>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</si>
  <si>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</si>
  <si>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</si>
  <si>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</si>
  <si>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</si>
  <si>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</si>
  <si>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</si>
  <si>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</si>
  <si>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</si>
  <si>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</si>
  <si>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</si>
  <si>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</si>
  <si>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</si>
  <si>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</si>
  <si>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</si>
  <si>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</si>
  <si>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</si>
  <si>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</si>
  <si>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</si>
  <si>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</si>
  <si>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</si>
  <si>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</si>
  <si>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</si>
  <si>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</si>
  <si>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</si>
  <si>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</si>
  <si>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</si>
  <si>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</si>
  <si>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</si>
  <si>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</si>
  <si>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</si>
  <si>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</si>
  <si>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</si>
  <si>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</si>
  <si>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</si>
  <si>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</si>
  <si>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</si>
  <si>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</si>
  <si>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</si>
  <si>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</si>
  <si>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</si>
  <si>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</si>
  <si>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</si>
  <si>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</si>
  <si>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</si>
  <si>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</si>
  <si>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</si>
  <si>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</si>
  <si>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</si>
  <si>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</si>
  <si>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</si>
  <si>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</si>
  <si>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</si>
  <si>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</si>
  <si>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</si>
  <si>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</si>
  <si>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</si>
  <si>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</si>
  <si>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</si>
  <si>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</si>
  <si>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</si>
  <si>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</si>
  <si>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</si>
  <si>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</si>
  <si>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</si>
  <si>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</si>
  <si>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</si>
  <si>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</si>
  <si>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</si>
  <si>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</si>
  <si>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</si>
  <si>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</si>
  <si>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</si>
  <si>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</si>
  <si>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</si>
  <si>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</si>
  <si>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</si>
  <si>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</si>
  <si>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</si>
  <si>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</si>
  <si>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</si>
  <si>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</si>
  <si>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</si>
  <si>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</si>
  <si>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</si>
  <si>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</si>
  <si>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</si>
  <si>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</si>
  <si>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</si>
  <si>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</si>
  <si>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</si>
  <si>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</si>
  <si>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</si>
  <si>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</si>
  <si>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</si>
  <si>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</si>
  <si>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</si>
  <si>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</si>
  <si>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</si>
  <si>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</si>
  <si>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</si>
  <si>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</si>
  <si>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</si>
  <si>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</si>
  <si>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</si>
  <si>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</si>
  <si>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</si>
  <si>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</si>
  <si>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</si>
  <si>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</si>
  <si>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</si>
  <si>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</si>
  <si>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</si>
  <si>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</si>
  <si>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</si>
  <si>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</si>
  <si>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</si>
  <si>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</si>
  <si>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</si>
  <si>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</si>
  <si>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</si>
  <si>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</si>
  <si>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</si>
  <si>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</si>
  <si>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</si>
  <si>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</si>
  <si>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</si>
  <si>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</si>
  <si>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</si>
  <si>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</si>
  <si>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</si>
  <si>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</si>
  <si>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</si>
  <si>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</si>
  <si>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</si>
  <si>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</si>
  <si>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</si>
  <si>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</si>
  <si>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</si>
  <si>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</si>
  <si>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</si>
  <si>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</si>
  <si>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</si>
  <si>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</si>
  <si>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</si>
  <si>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</si>
  <si>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</si>
  <si>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</si>
  <si>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</si>
  <si>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</si>
  <si>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</si>
  <si>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</si>
  <si>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</si>
  <si>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</si>
  <si>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</si>
  <si>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</si>
  <si>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</si>
  <si>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</si>
  <si>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</si>
  <si>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</si>
  <si>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</si>
  <si>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</si>
  <si>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</si>
  <si>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</si>
  <si>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</si>
  <si>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</si>
  <si>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Torpedo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</si>
  <si>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</si>
  <si>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</si>
  <si>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</si>
  <si>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</si>
  <si>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</si>
  <si>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</si>
  <si>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</si>
  <si>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</si>
  <si>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</si>
  <si>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</si>
  <si>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</si>
  <si>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</si>
  <si>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</si>
  <si>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</si>
  <si>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</si>
  <si>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</si>
  <si>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</si>
  <si>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</si>
  <si>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</si>
  <si>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</si>
  <si>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</si>
  <si>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</si>
  <si>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</si>
  <si>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</si>
  <si>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</si>
  <si>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</si>
  <si>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</si>
  <si>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</si>
  <si>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</si>
  <si>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</si>
  <si>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</si>
  <si>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</si>
  <si>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</si>
  <si>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</si>
  <si>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</si>
  <si>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</si>
  <si>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</si>
  <si>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</si>
  <si>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</si>
  <si>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</si>
  <si>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</si>
  <si>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</si>
  <si>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</si>
  <si>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</si>
  <si>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Off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</si>
  <si>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</si>
  <si>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</si>
  <si>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</si>
  <si>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</si>
  <si>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</si>
  <si>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</si>
  <si>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</si>
  <si>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</si>
  <si>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</si>
  <si>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</si>
  <si>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</si>
  <si>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</si>
  <si>
    <t>Level Difference</t>
  </si>
  <si>
    <t>Danger Level</t>
  </si>
  <si>
    <t>DNG LVL Status</t>
  </si>
  <si>
    <t>Non-Safe</t>
  </si>
  <si>
    <t>Map Settings</t>
  </si>
  <si>
    <t>Uh….</t>
  </si>
  <si>
    <t>Koln Kai</t>
  </si>
  <si>
    <t>Bismarck</t>
  </si>
  <si>
    <t>King George V</t>
  </si>
  <si>
    <t>U-556</t>
  </si>
  <si>
    <t>U-73</t>
  </si>
  <si>
    <t>Z36</t>
  </si>
  <si>
    <t>Echo</t>
  </si>
  <si>
    <t>Southampton</t>
  </si>
  <si>
    <t>Lena</t>
  </si>
  <si>
    <t>Clevelad</t>
  </si>
  <si>
    <t>Li'l Sandy</t>
  </si>
  <si>
    <t>Z1 Kai</t>
  </si>
  <si>
    <t>Leipzig Kai</t>
  </si>
  <si>
    <t>Curacoa Kai</t>
  </si>
  <si>
    <t>Curacao Kai</t>
  </si>
  <si>
    <t>Curlew Kai</t>
  </si>
  <si>
    <t>Swiftsure</t>
  </si>
  <si>
    <t>Fire</t>
  </si>
  <si>
    <t>Ammo Type</t>
  </si>
  <si>
    <t>Fire Probability</t>
  </si>
  <si>
    <t>Burn Coefficient</t>
  </si>
  <si>
    <t>Fire Time Reduc.</t>
  </si>
  <si>
    <t>WIP</t>
  </si>
  <si>
    <t>Fire Proc Reduc.</t>
  </si>
  <si>
    <t>Fproc Red</t>
  </si>
  <si>
    <t>Ftime Red</t>
  </si>
  <si>
    <t>Fdmg Red</t>
  </si>
  <si>
    <t>Shell Resis</t>
  </si>
  <si>
    <t>ShDmg Red</t>
  </si>
  <si>
    <t>Manual</t>
  </si>
  <si>
    <t>Shells on Target</t>
  </si>
  <si>
    <t>Gun Fire Rate</t>
  </si>
  <si>
    <t>Fire Settings</t>
  </si>
  <si>
    <t>Armor Modifier</t>
  </si>
  <si>
    <t>Auto</t>
  </si>
  <si>
    <t>Safe</t>
  </si>
  <si>
    <t>Modifier</t>
  </si>
  <si>
    <t>Danger Level &amp; Level Advantage</t>
  </si>
  <si>
    <t>Fire Stuff</t>
  </si>
  <si>
    <t>Shell Probability</t>
  </si>
  <si>
    <t>Fire Extinguisher Fire Stuff</t>
  </si>
  <si>
    <t>Coefficients</t>
  </si>
  <si>
    <t>Reset Chances</t>
  </si>
  <si>
    <t>Emile Bertin Kai</t>
  </si>
  <si>
    <t>LCK</t>
  </si>
  <si>
    <t>Le Malin</t>
  </si>
  <si>
    <t>L'Opiniatre</t>
  </si>
  <si>
    <t>London Kai</t>
  </si>
  <si>
    <t>Equipment Settings</t>
  </si>
  <si>
    <t>Ship Stat Input Settings</t>
  </si>
  <si>
    <t>All</t>
  </si>
  <si>
    <t>AA</t>
  </si>
  <si>
    <t>Lowest</t>
  </si>
  <si>
    <t>Highest</t>
  </si>
  <si>
    <t>Color Scale</t>
  </si>
  <si>
    <t>Baltimore</t>
  </si>
  <si>
    <t>Kisaragi Kai</t>
  </si>
  <si>
    <t>BBV</t>
  </si>
  <si>
    <t>I-25</t>
  </si>
  <si>
    <t>I-56</t>
  </si>
  <si>
    <t>I-168</t>
  </si>
  <si>
    <t>U-101</t>
  </si>
  <si>
    <t>U-522</t>
  </si>
  <si>
    <t>Aviation DMG Reduc</t>
  </si>
  <si>
    <t>AA Buff</t>
  </si>
  <si>
    <t>ShAmmo</t>
  </si>
  <si>
    <t>Name/Level</t>
  </si>
  <si>
    <t>Column1</t>
  </si>
  <si>
    <t>Avia. Dmg. Reduc.</t>
  </si>
  <si>
    <t>Fire Dmg. Reduc.</t>
  </si>
  <si>
    <t>Dmg. Reduc.</t>
  </si>
  <si>
    <t>AviaDmg Red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</si>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</sst>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;;;"/>
  </numFmts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theme="0"/>
      <name val="Arial"/>
    </font>
    <font>
      <sz val="10"/>
      <color theme="1"/>
      <name val="Arial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3F3F3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rgb="FFFFC000"/>
        <bgColor rgb="FFCFE2F3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rgb="FFEFEFEF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CFE2F3"/>
      </patternFill>
    </fill>
    <fill>
      <patternFill patternType="solid">
        <fgColor theme="8" tint="-0.249977111117893"/>
        <bgColor rgb="FFCFE2F3"/>
      </patternFill>
    </fill>
    <fill>
      <patternFill patternType="solid">
        <fgColor rgb="FFB80000"/>
        <bgColor rgb="FFE6B8AF"/>
      </patternFill>
    </fill>
    <fill>
      <patternFill patternType="solid">
        <fgColor rgb="FF6C5000"/>
        <bgColor indexed="64"/>
      </patternFill>
    </fill>
    <fill>
      <patternFill patternType="solid">
        <fgColor rgb="FF7A2300"/>
        <bgColor indexed="64"/>
      </patternFill>
    </fill>
    <fill>
      <patternFill patternType="solid">
        <fgColor rgb="FF7A2300"/>
        <bgColor rgb="FFE6B8AF"/>
      </patternFill>
    </fill>
    <fill>
      <patternFill patternType="solid">
        <fgColor rgb="FF36476E"/>
        <bgColor rgb="FFCFE2F3"/>
      </patternFill>
    </fill>
    <fill>
      <patternFill patternType="solid">
        <fgColor rgb="FF767070"/>
        <bgColor rgb="FFF3F3F3"/>
      </patternFill>
    </fill>
    <fill>
      <patternFill patternType="solid">
        <fgColor rgb="FF2F75B5"/>
        <bgColor rgb="FFCFE2F3"/>
      </patternFill>
    </fill>
    <fill>
      <patternFill patternType="solid">
        <fgColor rgb="FF2F75B5"/>
        <bgColor indexed="64"/>
      </patternFill>
    </fill>
    <fill>
      <patternFill patternType="solid">
        <fgColor theme="8" tint="0.39997558519241921"/>
        <bgColor rgb="FFCFE2F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rgb="FFF3F3F3"/>
      </patternFill>
    </fill>
    <fill>
      <patternFill patternType="solid">
        <fgColor rgb="FFB80000"/>
        <bgColor rgb="FFF3F3F3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2" borderId="1" xfId="0" applyFont="1" applyFill="1" applyBorder="1" applyAlignment="1">
      <alignment horizontal="right"/>
    </xf>
    <xf numFmtId="0" fontId="0" fillId="0" borderId="0" xfId="0" applyFont="1" applyFill="1" applyAlignment="1"/>
    <xf numFmtId="0" fontId="2" fillId="0" borderId="0" xfId="0" applyFont="1" applyFill="1" applyAlignment="1"/>
    <xf numFmtId="9" fontId="0" fillId="0" borderId="0" xfId="0" applyNumberFormat="1" applyFont="1" applyAlignment="1"/>
    <xf numFmtId="0" fontId="6" fillId="5" borderId="4" xfId="0" applyFont="1" applyFill="1" applyBorder="1"/>
    <xf numFmtId="0" fontId="6" fillId="0" borderId="4" xfId="0" applyFont="1" applyBorder="1"/>
    <xf numFmtId="0" fontId="5" fillId="4" borderId="0" xfId="0" applyFont="1" applyFill="1" applyBorder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4" fillId="0" borderId="0" xfId="0" quotePrefix="1" applyFont="1" applyAlignment="1"/>
    <xf numFmtId="9" fontId="4" fillId="0" borderId="0" xfId="0" applyNumberFormat="1" applyFont="1" applyAlignment="1"/>
    <xf numFmtId="0" fontId="0" fillId="2" borderId="1" xfId="0" applyFont="1" applyFill="1" applyBorder="1" applyAlignment="1">
      <alignment horizontal="right"/>
    </xf>
    <xf numFmtId="0" fontId="0" fillId="0" borderId="0" xfId="0" applyFont="1" applyAlignment="1"/>
    <xf numFmtId="0" fontId="2" fillId="9" borderId="2" xfId="0" applyFont="1" applyFill="1" applyBorder="1" applyAlignment="1"/>
    <xf numFmtId="0" fontId="2" fillId="8" borderId="1" xfId="0" applyFont="1" applyFill="1" applyBorder="1" applyAlignment="1"/>
    <xf numFmtId="0" fontId="2" fillId="10" borderId="2" xfId="0" applyFont="1" applyFill="1" applyBorder="1" applyAlignment="1"/>
    <xf numFmtId="0" fontId="2" fillId="10" borderId="3" xfId="0" applyFont="1" applyFill="1" applyBorder="1" applyAlignment="1"/>
    <xf numFmtId="0" fontId="2" fillId="10" borderId="1" xfId="0" applyFont="1" applyFill="1" applyBorder="1" applyAlignment="1"/>
    <xf numFmtId="164" fontId="7" fillId="0" borderId="3" xfId="0" applyNumberFormat="1" applyFont="1" applyBorder="1"/>
    <xf numFmtId="164" fontId="7" fillId="3" borderId="1" xfId="0" applyNumberFormat="1" applyFont="1" applyFill="1" applyBorder="1"/>
    <xf numFmtId="164" fontId="7" fillId="0" borderId="1" xfId="0" applyNumberFormat="1" applyFont="1" applyBorder="1"/>
    <xf numFmtId="164" fontId="7" fillId="0" borderId="3" xfId="0" applyNumberFormat="1" applyFont="1" applyBorder="1" applyAlignment="1"/>
    <xf numFmtId="0" fontId="7" fillId="11" borderId="0" xfId="0" applyFont="1" applyFill="1" applyAlignment="1"/>
    <xf numFmtId="0" fontId="7" fillId="13" borderId="1" xfId="0" applyFont="1" applyFill="1" applyBorder="1" applyAlignment="1"/>
    <xf numFmtId="0" fontId="0" fillId="0" borderId="0" xfId="0" applyFont="1" applyAlignment="1"/>
    <xf numFmtId="0" fontId="7" fillId="15" borderId="0" xfId="0" applyFont="1" applyFill="1" applyBorder="1" applyAlignment="1"/>
    <xf numFmtId="0" fontId="7" fillId="22" borderId="0" xfId="0" applyFont="1" applyFill="1" applyBorder="1" applyAlignment="1">
      <alignment horizontal="left"/>
    </xf>
    <xf numFmtId="0" fontId="7" fillId="11" borderId="0" xfId="0" applyFont="1" applyFill="1" applyBorder="1" applyAlignment="1"/>
    <xf numFmtId="0" fontId="7" fillId="0" borderId="0" xfId="0" applyFont="1" applyFill="1" applyBorder="1" applyAlignment="1"/>
    <xf numFmtId="0" fontId="7" fillId="16" borderId="0" xfId="0" applyFont="1" applyFill="1" applyBorder="1" applyAlignment="1"/>
    <xf numFmtId="0" fontId="7" fillId="17" borderId="0" xfId="0" applyFont="1" applyFill="1" applyBorder="1" applyAlignment="1"/>
    <xf numFmtId="0" fontId="7" fillId="18" borderId="0" xfId="0" applyFont="1" applyFill="1" applyBorder="1" applyAlignment="1">
      <alignment horizontal="left"/>
    </xf>
    <xf numFmtId="0" fontId="7" fillId="18" borderId="0" xfId="0" applyFont="1" applyFill="1" applyBorder="1" applyAlignment="1"/>
    <xf numFmtId="0" fontId="7" fillId="19" borderId="0" xfId="0" applyFont="1" applyFill="1" applyBorder="1" applyAlignment="1"/>
    <xf numFmtId="0" fontId="7" fillId="20" borderId="0" xfId="0" applyFont="1" applyFill="1" applyBorder="1" applyAlignment="1"/>
    <xf numFmtId="0" fontId="7" fillId="21" borderId="0" xfId="0" applyFont="1" applyFill="1" applyBorder="1" applyAlignment="1"/>
    <xf numFmtId="164" fontId="7" fillId="0" borderId="5" xfId="0" applyNumberFormat="1" applyFont="1" applyBorder="1"/>
    <xf numFmtId="164" fontId="7" fillId="3" borderId="6" xfId="0" applyNumberFormat="1" applyFont="1" applyFill="1" applyBorder="1"/>
    <xf numFmtId="164" fontId="7" fillId="0" borderId="6" xfId="0" applyNumberFormat="1" applyFont="1" applyBorder="1"/>
    <xf numFmtId="0" fontId="7" fillId="13" borderId="0" xfId="0" applyFont="1" applyFill="1" applyBorder="1" applyAlignment="1"/>
    <xf numFmtId="0" fontId="7" fillId="14" borderId="0" xfId="0" applyFont="1" applyFill="1" applyBorder="1" applyAlignment="1"/>
    <xf numFmtId="0" fontId="7" fillId="12" borderId="0" xfId="0" applyFont="1" applyFill="1" applyBorder="1" applyAlignment="1"/>
    <xf numFmtId="0" fontId="7" fillId="23" borderId="0" xfId="0" applyFont="1" applyFill="1" applyBorder="1" applyAlignment="1"/>
    <xf numFmtId="0" fontId="7" fillId="21" borderId="7" xfId="0" applyFont="1" applyFill="1" applyBorder="1" applyAlignment="1"/>
    <xf numFmtId="0" fontId="7" fillId="24" borderId="0" xfId="0" applyFont="1" applyFill="1" applyBorder="1" applyAlignment="1"/>
    <xf numFmtId="0" fontId="0" fillId="0" borderId="0" xfId="0" applyFont="1" applyAlignment="1"/>
    <xf numFmtId="0" fontId="9" fillId="25" borderId="1" xfId="0" quotePrefix="1" applyFont="1" applyFill="1" applyBorder="1" applyAlignment="1"/>
    <xf numFmtId="0" fontId="0" fillId="26" borderId="1" xfId="0" applyFont="1" applyFill="1" applyBorder="1" applyAlignment="1"/>
    <xf numFmtId="0" fontId="8" fillId="5" borderId="4" xfId="0" applyFont="1" applyFill="1" applyBorder="1" applyAlignment="1"/>
    <xf numFmtId="165" fontId="7" fillId="0" borderId="9" xfId="0" applyNumberFormat="1" applyFont="1" applyBorder="1" applyAlignment="1">
      <alignment horizontal="right"/>
    </xf>
    <xf numFmtId="0" fontId="0" fillId="0" borderId="0" xfId="0" applyFont="1" applyAlignment="1"/>
    <xf numFmtId="0" fontId="7" fillId="27" borderId="9" xfId="0" applyFont="1" applyFill="1" applyBorder="1" applyAlignment="1">
      <alignment horizontal="center" vertical="center"/>
    </xf>
    <xf numFmtId="0" fontId="7" fillId="28" borderId="9" xfId="0" applyFont="1" applyFill="1" applyBorder="1" applyAlignment="1">
      <alignment horizontal="center" vertical="center"/>
    </xf>
    <xf numFmtId="0" fontId="7" fillId="21" borderId="8" xfId="0" applyFont="1" applyFill="1" applyBorder="1" applyAlignment="1"/>
    <xf numFmtId="0" fontId="7" fillId="22" borderId="7" xfId="0" applyFont="1" applyFill="1" applyBorder="1" applyAlignment="1">
      <alignment horizontal="left"/>
    </xf>
    <xf numFmtId="0" fontId="7" fillId="13" borderId="10" xfId="0" applyFont="1" applyFill="1" applyBorder="1" applyAlignment="1"/>
    <xf numFmtId="0" fontId="7" fillId="13" borderId="11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9" borderId="2" xfId="0" applyFont="1" applyFill="1" applyBorder="1" applyAlignment="1"/>
    <xf numFmtId="0" fontId="2" fillId="9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59">
    <dxf>
      <fill>
        <patternFill>
          <bgColor rgb="FF7030A0"/>
        </patternFill>
      </fill>
    </dxf>
    <dxf>
      <fill>
        <patternFill>
          <bgColor rgb="FF2F75B5"/>
        </patternFill>
      </fill>
    </dxf>
    <dxf>
      <fill>
        <patternFill>
          <bgColor theme="1" tint="0.14996795556505021"/>
        </patternFill>
      </fill>
    </dxf>
    <dxf>
      <fill>
        <patternFill>
          <bgColor rgb="FF7030A0"/>
        </patternFill>
      </fill>
    </dxf>
    <dxf>
      <fill>
        <patternFill>
          <bgColor rgb="FF2F75B5"/>
        </patternFill>
      </fill>
    </dxf>
    <dxf>
      <fill>
        <patternFill>
          <bgColor rgb="FF7030A0"/>
        </patternFill>
      </fill>
    </dxf>
    <dxf>
      <fill>
        <patternFill>
          <bgColor rgb="FF2F75B5"/>
        </patternFill>
      </fill>
    </dxf>
    <dxf>
      <fill>
        <patternFill>
          <bgColor rgb="FF7030A0"/>
        </patternFill>
      </fill>
    </dxf>
    <dxf>
      <fill>
        <patternFill>
          <bgColor rgb="FF2F75B5"/>
        </patternFill>
      </fill>
    </dxf>
    <dxf>
      <fill>
        <patternFill>
          <bgColor theme="3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7030A0"/>
        </patternFill>
      </fill>
    </dxf>
    <dxf>
      <fill>
        <patternFill>
          <bgColor rgb="FF2F75B5"/>
        </patternFill>
      </fill>
    </dxf>
    <dxf>
      <fill>
        <patternFill>
          <bgColor rgb="FF4533B3"/>
        </patternFill>
      </fill>
    </dxf>
    <dxf>
      <fill>
        <patternFill>
          <bgColor rgb="FF7030A0"/>
        </patternFill>
      </fill>
    </dxf>
    <dxf>
      <fill>
        <patternFill>
          <bgColor rgb="FF2F75B5"/>
        </patternFill>
      </fill>
    </dxf>
    <dxf>
      <fill>
        <patternFill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80000"/>
      <color rgb="FF7A2300"/>
      <color rgb="FF2F75B5"/>
      <color rgb="FF4533B3"/>
      <color rgb="FF767070"/>
      <color rgb="FF36476E"/>
      <color rgb="FF6C5000"/>
      <color rgb="FF283E1A"/>
      <color rgb="FFF3F3F3"/>
      <color rgb="FF2B2B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3FD80BA-86A2-4651-AEEC-4FD133149A5B}" name="Table15" displayName="Table15" ref="A1:S412" totalsRowShown="0" headerRowDxfId="40">
  <autoFilter ref="A1:S412" xr:uid="{EFA545F2-85E2-4157-9BCE-98B468FE020B}"/>
  <tableColumns count="19">
    <tableColumn id="1" xr3:uid="{9395B482-6421-4F23-9D2B-A03EB06325A6}" name="# Lvl 120" dataDxfId="44"/>
    <tableColumn id="2" xr3:uid="{677C90C4-771E-4645-A451-55DC832FBD13}" name="Name" dataDxfId="43"/>
    <tableColumn id="3" xr3:uid="{D31CDC7C-E60C-47A4-91C1-B516029BE072}" name="Hull Class" dataDxfId="42"/>
    <tableColumn id="4" xr3:uid="{1AB19BBF-C4CC-4EAC-B98C-B9C643C7C37E}" name="Armor" dataDxfId="41"/>
    <tableColumn id="5" xr3:uid="{D6E7EFA2-17E1-49B0-AC70-D69280C11CBA}" name="HP"/>
    <tableColumn id="6" xr3:uid="{7441D964-845F-4990-9064-D7AC4B57FD48}" name="EVA"/>
    <tableColumn id="7" xr3:uid="{48D09738-F75D-427C-883F-60494B11BB17}" name="AA"/>
    <tableColumn id="8" xr3:uid="{82A542EB-4C30-4BD9-A9CD-123307E83723}" name="LCK"/>
    <tableColumn id="9" xr3:uid="{69A83D32-33DE-46E4-ACA7-DB1D8D1801F4}" name="EVA Rate"/>
    <tableColumn id="10" xr3:uid="{1B40021E-CDD4-4DF8-852D-29199F192C8F}" name="EVA Stat"/>
    <tableColumn id="11" xr3:uid="{DBF92010-D72F-4E2C-851E-82811CDA487E}" name="DMG Red"/>
    <tableColumn id="12" xr3:uid="{FCEA844F-5A2C-4D04-AE33-EBE64CD18DC4}" name="Heal"/>
    <tableColumn id="13" xr3:uid="{6132DF35-B7E1-402E-ABCA-D52D8A408CD5}" name="AA Buff"/>
    <tableColumn id="20" xr3:uid="{3EFD124E-14C1-4BA8-B643-FE58D545254A}" name="AviaDmg Red" dataDxfId="34"/>
    <tableColumn id="14" xr3:uid="{EF955474-745C-4A7A-9F42-DA8FD3A2AA16}" name="Fproc Red"/>
    <tableColumn id="15" xr3:uid="{0E690A29-1AB4-4B18-A960-A8AEC50067B2}" name="Ftime Red"/>
    <tableColumn id="16" xr3:uid="{4E5880DF-B527-4D45-87D7-93ACE45B7453}" name="Fdmg Red"/>
    <tableColumn id="17" xr3:uid="{12BFE7B6-1129-4DE5-9E74-5D8015359289}" name="ShAmmo"/>
    <tableColumn id="18" xr3:uid="{A5C4CB70-AA9E-4922-8761-0BFFFC1A8CD7}" name="ShDmg 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BD6D0BA-5052-4066-BB44-4267F0287F16}" name="Table16" displayName="Table16" ref="U1:AM412" totalsRowShown="0" headerRowDxfId="35">
  <autoFilter ref="U1:AM412" xr:uid="{B2474359-EBEA-4EE1-BD21-7F2DB12F6185}"/>
  <tableColumns count="19">
    <tableColumn id="1" xr3:uid="{62B5A73A-3876-406E-B6FB-EAAD17B4CF5D}" name="# Lvl 100" dataDxfId="39"/>
    <tableColumn id="2" xr3:uid="{2C8F1F0F-6EC9-4E5E-A40C-5B3E1837BFB5}" name="Name" dataDxfId="38"/>
    <tableColumn id="3" xr3:uid="{8F9772BD-EEE4-4D02-8D37-24FCA5433CBB}" name="Column1" dataDxfId="37"/>
    <tableColumn id="4" xr3:uid="{BE8D917B-AE60-4459-AC35-005DB28BC908}" name="Armor" dataDxfId="36"/>
    <tableColumn id="5" xr3:uid="{7CE25860-892A-43F9-85AE-FF415DD5BE66}" name="HP"/>
    <tableColumn id="6" xr3:uid="{518D3460-7EEF-43DD-8328-30CF61397350}" name="EVA"/>
    <tableColumn id="7" xr3:uid="{C9F902F0-2CF2-4460-AA77-5736850E3668}" name="AA"/>
    <tableColumn id="8" xr3:uid="{44BDAA02-9A2F-4DE3-9050-477A470D2E58}" name="LCK"/>
    <tableColumn id="9" xr3:uid="{0DC4471B-2FF5-4D27-B6BE-39CEF77C7741}" name="EVA Rate"/>
    <tableColumn id="10" xr3:uid="{F280377B-791C-4194-AD63-6D61229FA938}" name="EVA Stat"/>
    <tableColumn id="11" xr3:uid="{A6EAAB90-ECCE-491A-A589-BF52132C50C1}" name="DMG Red"/>
    <tableColumn id="12" xr3:uid="{C64DAE4D-641C-4587-BBA6-C8999CA3713E}" name="Heal"/>
    <tableColumn id="13" xr3:uid="{58CE1B7F-D204-4CDA-8E3E-47402963FB06}" name="AA Buff"/>
    <tableColumn id="19" xr3:uid="{0CCB48B9-DCBB-4A1E-99BE-C0B64358AFFA}" name="AviaDmg Red" dataDxfId="33"/>
    <tableColumn id="14" xr3:uid="{63B37832-275D-4C4D-AB70-9852B211FA9A}" name="Fproc Red"/>
    <tableColumn id="15" xr3:uid="{AA19B437-C684-4E9C-AAE8-18320CF20277}" name="Ftime Red"/>
    <tableColumn id="16" xr3:uid="{DE94DCAC-E3EB-448E-AA12-3F3A8A1FFD0D}" name="Fdmg Red"/>
    <tableColumn id="17" xr3:uid="{CE38E3DB-97C3-4ED7-9755-35F8DA3140BB}" name="Shell Resis"/>
    <tableColumn id="18" xr3:uid="{DB15F3F5-456B-4653-8623-88F95A6197F2}" name="ShDmg R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58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57"/>
    <tableColumn id="4" xr3:uid="{0A4F5395-51BB-4099-91EE-E8F0FA8305F2}" name="Medium" dataDxfId="56"/>
    <tableColumn id="5" xr3:uid="{84F3AB1E-A0A5-4425-84CF-282C7369C5A3}" name="Heavy" dataDxfId="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4" totalsRowShown="0" headerRowDxfId="54" dataDxfId="53" tableBorderDxfId="52">
  <autoFilter ref="B28:B34" xr:uid="{4F7E1C47-FB5E-4E98-A28A-321A928E5123}"/>
  <tableColumns count="1">
    <tableColumn id="1" xr3:uid="{EB97A1AF-8DD2-4D44-92D2-3BB09BA6DF6E}" name="Hull Class" dataDxfId="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I28:I32" totalsRowShown="0">
  <autoFilter ref="I28:I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J28:J42" totalsRowShown="0" headerRowDxfId="50" dataDxfId="49">
  <autoFilter ref="J28:J42" xr:uid="{2025355D-0CBF-42F6-84F7-CCF0141134A5}"/>
  <tableColumns count="1">
    <tableColumn id="1" xr3:uid="{F7AA5280-9281-4AA3-953C-F277228E6B80}" name="Hull Class 2" dataDxfId="4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K28:K30" totalsRowShown="0">
  <autoFilter ref="K28:K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DD2B30-84B7-40CD-B1DC-6692ACC06F87}" name="Table10" displayName="Table10" ref="A39:D48" totalsRowShown="0">
  <autoFilter ref="A39:D48" xr:uid="{A713FCD5-DC92-4869-9640-89E8ABEE4152}"/>
  <tableColumns count="4">
    <tableColumn id="1" xr3:uid="{C11F7719-A9C4-44CF-BF24-22B20D9B55D4}" name="Gun Type"/>
    <tableColumn id="2" xr3:uid="{EF724F30-7C82-4284-B155-53B1DFD0E0B4}" name="Ammo Type"/>
    <tableColumn id="3" xr3:uid="{6755595F-CB6E-40C6-B5C7-387BF487DAAB}" name="Fire Probability"/>
    <tableColumn id="4" xr3:uid="{8570F958-BB95-4D47-A5A2-F84E4E89F8AE}" name="Burn Coeffici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EE7F2D0-DC9E-4E2B-90F3-169E4CD9FA13}" name="Table13" displayName="Table13" ref="H28:H29" totalsRowShown="0" headerRowDxfId="47" dataDxfId="46">
  <autoFilter ref="H28:H29" xr:uid="{EA1D6AF4-CBB2-491B-A5DB-C15202F43D1B}"/>
  <tableColumns count="1">
    <tableColumn id="1" xr3:uid="{8E1A455C-56D0-413D-BDE4-681E94D27D21}" name="CV" dataDxfId="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46"/>
  <sheetViews>
    <sheetView tabSelected="1" topLeftCell="H1" zoomScaleNormal="100" workbookViewId="0">
      <selection activeCell="N13" sqref="N13"/>
    </sheetView>
  </sheetViews>
  <sheetFormatPr defaultColWidth="14.42578125" defaultRowHeight="15.75" customHeight="1" x14ac:dyDescent="0.2"/>
  <cols>
    <col min="1" max="1" width="3.7109375" style="48" customWidth="1"/>
    <col min="2" max="3" width="15.85546875" style="15" customWidth="1"/>
    <col min="4" max="4" width="3.7109375" style="15" customWidth="1"/>
    <col min="5" max="6" width="15.85546875" customWidth="1"/>
    <col min="7" max="7" width="3.7109375" customWidth="1"/>
    <col min="8" max="9" width="15.85546875" customWidth="1"/>
    <col min="10" max="10" width="3.7109375" customWidth="1"/>
    <col min="11" max="27" width="15.85546875" customWidth="1"/>
  </cols>
  <sheetData>
    <row r="1" spans="1:29" s="48" customFormat="1" ht="15.75" customHeight="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ht="15.75" customHeight="1" x14ac:dyDescent="0.2">
      <c r="A2" s="25"/>
      <c r="B2" s="44" t="s">
        <v>537</v>
      </c>
      <c r="C2" s="44"/>
      <c r="D2" s="25"/>
      <c r="E2" s="43" t="s">
        <v>465</v>
      </c>
      <c r="F2" s="43"/>
      <c r="G2" s="25"/>
      <c r="H2" s="33" t="s">
        <v>464</v>
      </c>
      <c r="I2" s="33"/>
      <c r="J2" s="25"/>
      <c r="K2" s="38" t="s">
        <v>0</v>
      </c>
      <c r="L2" s="57" t="str">
        <f>IF(C16="Automatic",F23,F3)</f>
        <v>Baltimore</v>
      </c>
      <c r="M2" s="46" t="s">
        <v>395</v>
      </c>
      <c r="N2" s="57">
        <f>IF(C16="Automatic",F24,F4)</f>
        <v>120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29" ht="15.75" customHeight="1" x14ac:dyDescent="0.2">
      <c r="A3" s="25"/>
      <c r="B3" s="31" t="str">
        <f>IF('Background Tables'!N2="Off","No Gear","naked")</f>
        <v>No Gear</v>
      </c>
      <c r="C3" s="29" t="s">
        <v>439</v>
      </c>
      <c r="D3" s="25"/>
      <c r="E3" s="28" t="s">
        <v>0</v>
      </c>
      <c r="F3" s="29"/>
      <c r="G3" s="25"/>
      <c r="H3" s="33" t="s">
        <v>12</v>
      </c>
      <c r="I3" s="29">
        <v>50</v>
      </c>
      <c r="J3" s="25"/>
      <c r="K3" s="56" t="s">
        <v>423</v>
      </c>
      <c r="L3" s="29" t="str">
        <f>_xlfn.IFS(C33="Manual",IFERROR(F5,"General"),C33="Automatic",IFERROR(INDEX(IF(F24=120,'Ship Stats'!C2:C1000,IF(F24=100,'Ship Stats'!W2:W1000,0)),MATCH(F23,'Ship Stats'!B2:B1000,0)),"General"),C33="Mixed",IF(C18="Manual",F5,IFERROR(INDEX(IF(F24=120,'Ship Stats'!C2:C1000,IF(F24=100,'Ship Stats'!W2:W1000,"General")),MATCH(F23,'Ship Stats'!B2:B1000,0)),"General")))</f>
        <v>CA</v>
      </c>
      <c r="M3" s="38" t="s">
        <v>540</v>
      </c>
      <c r="N3" s="29">
        <f>_xlfn.IFS(C33="Manual",F9,C33="Automatic",IFERROR(INDEX(IF(F24=120,'Ship Stats'!G2:G1000,IF(F24=100,'Ship Stats'!AA2:AA1000,0)),MATCH(F23,'Ship Stats'!B2:B1000,0)),0),C33="Mixed",IF(C21="Manual",F9,IFERROR(INDEX(IF(F24=120,'Ship Stats'!G2:G1000,IF(F24=100,'Ship Stats'!AA2:AA1000,0)),MATCH(F23,'Ship Stats'!B2:B1000,0)),0)))</f>
        <v>260</v>
      </c>
      <c r="O3" s="38" t="s">
        <v>559</v>
      </c>
      <c r="P3" s="29">
        <f>_xlfn.IFS(C33="Manual",F13,C33="Automatic",IFERROR(INDEX(IF(F24=120,'Ship Stats'!K2:K1000,IF(F24=100,'Ship Stats'!AE2:AE1000,0)),MATCH(F23,'Ship Stats'!B2:B1000,0)),0),C33="Mixed",IF(C25="Manual",F13,IFERROR(INDEX(IF(F24=120,'Ship Stats'!K2:K1000,IF(F24=100,'Ship Stats'!AE2:AE1000,0)),MATCH(F23,'Ship Stats'!B2:B1000,0)),0)))</f>
        <v>0</v>
      </c>
      <c r="Q3" s="38" t="s">
        <v>512</v>
      </c>
      <c r="R3" s="29">
        <f>_xlfn.IFS(C33="Manual",F17,C33="Automatic",IFERROR(INDEX(IF(F24=120,'Ship Stats'!O2:O1000,IF(F24=100,'Ship Stats'!AI2:AI1000,0)),MATCH(F23,'Ship Stats'!B2:B1000,0)),0),C33="Mixed",IF(C29="Manual",F17,IFERROR(INDEX(IF(F24=120,'Ship Stats'!O2:O1000,IF(F24=100,'Ship Stats'!AI2:AI1000,0)),MATCH(F23,'Ship Stats'!B2:B1000,0)),0)))</f>
        <v>0</v>
      </c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5.75" customHeight="1" x14ac:dyDescent="0.2">
      <c r="A4" s="25"/>
      <c r="B4" s="31" t="str">
        <f>IF('Background Tables'!N2="Off","Fire Extin.","Bottle")</f>
        <v>Fire Extin.</v>
      </c>
      <c r="C4" s="29" t="s">
        <v>439</v>
      </c>
      <c r="D4" s="25"/>
      <c r="E4" s="28" t="s">
        <v>395</v>
      </c>
      <c r="F4" s="29"/>
      <c r="G4" s="25"/>
      <c r="H4" s="33" t="s">
        <v>13</v>
      </c>
      <c r="I4" s="29">
        <v>0</v>
      </c>
      <c r="J4" s="25"/>
      <c r="K4" s="38" t="s">
        <v>418</v>
      </c>
      <c r="L4" s="29" t="str">
        <f>_xlfn.IFS(C33="Manual",IFERROR(F6,"General"),C33="Automatic",IFERROR(INDEX(IF(F24=120,'Ship Stats'!D2:D1000,IF(F24=100,'Ship Stats'!X2:X1000,0)),MATCH(F23,'Ship Stats'!B2:B1000,0)),"General"),C33="Mixed",IF(C18="Manual",F6,IFERROR(INDEX(IF(F24=120,'Ship Stats'!D2:D1000,IF(F24=100,'Ship Stats'!X2:X1000,"General")),MATCH(F23,'Ship Stats'!B2:B1000,0)),"General")))</f>
        <v>Medium</v>
      </c>
      <c r="M4" s="38" t="s">
        <v>533</v>
      </c>
      <c r="N4" s="29">
        <f>_xlfn.IFS(C33="Manual",F10,C33="Automatic",IFERROR(INDEX(IF(F24=120,'Ship Stats'!H2:H1000,IF(F24=100,'Ship Stats'!AB2:AB1000,0)),MATCH(F23,'Ship Stats'!B2:B1000,0)),0),C33="Mixed",IF(C22="Manual",F10,IFERROR(INDEX(IF(F24=120,'Ship Stats'!H2:H1000,IF(F24=100,'Ship Stats'!AB2:AB1000,0)),MATCH(F23,'Ship Stats'!B2:B1000,0)),0)))</f>
        <v>56</v>
      </c>
      <c r="O4" s="38" t="s">
        <v>469</v>
      </c>
      <c r="P4" s="29">
        <f>_xlfn.IFS(C33="Manual",F14,C33="Automatic",IFERROR(INDEX(IF(F24=120,'Ship Stats'!L2:L1000,IF(F24=100,'Ship Stats'!AF2:AF1000,0)),MATCH(F23,'Ship Stats'!B2:B1000,0)),0),C33="Mixed",IF(C26="Manual",F14,IFERROR(INDEX(IF(F24=120,'Ship Stats'!L2:L1000,IF(F24=100,'Ship Stats'!AF2:AF1000,0)),MATCH(F23,'Ship Stats'!B2:B1000,0)),0)))</f>
        <v>0</v>
      </c>
      <c r="Q4" s="38" t="s">
        <v>510</v>
      </c>
      <c r="R4" s="29">
        <f>_xlfn.IFS(C33="Manual",F18,C33="Automatic",IFERROR(INDEX(IF(F24=120,'Ship Stats'!P2:P1000,IF(F24=100,'Ship Stats'!AJ2:AJ1000,0)),MATCH(F23,'Ship Stats'!B2:B1000,0)),0),C33="Mixed",IF(C30="Manual",F18,IFERROR(INDEX(IF(F24=120,'Ship Stats'!P2:P1000,IF(F24=100,'Ship Stats'!AJ2:AJ1000,0)),MATCH(F23,'Ship Stats'!B2:B1000,0)),0)))</f>
        <v>0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 ht="15.75" customHeight="1" x14ac:dyDescent="0.2">
      <c r="A5" s="25"/>
      <c r="B5" s="31" t="str">
        <f>IF('Background Tables'!N2="Off","Naval Camo.","Blue Paint")</f>
        <v>Naval Camo.</v>
      </c>
      <c r="C5" s="29" t="s">
        <v>439</v>
      </c>
      <c r="D5" s="25"/>
      <c r="E5" s="28" t="s">
        <v>423</v>
      </c>
      <c r="F5" s="29"/>
      <c r="G5" s="25"/>
      <c r="H5" s="33" t="s">
        <v>420</v>
      </c>
      <c r="I5" s="29" t="s">
        <v>424</v>
      </c>
      <c r="J5" s="25"/>
      <c r="K5" s="38" t="s">
        <v>1</v>
      </c>
      <c r="L5" s="29">
        <f>_xlfn.IFS(C33="Manual",F7,C33="Automatic",IFERROR(INDEX(IF(F24=120,'Ship Stats'!E2:E1000,IF(F24=100,'Ship Stats'!Y2:Y1000,0)),MATCH(F23,'Ship Stats'!B2:B1000,0)),0),C33="Mixed",IF(C19="Manual",F7,IFERROR(INDEX(IF(F24=120,'Ship Stats'!E2:E1000,IF(F24=100,'Ship Stats'!Y2:Y1000,0)),MATCH(F23,'Ship Stats'!B2:B1000,0)),0)))</f>
        <v>4591</v>
      </c>
      <c r="M5" s="38" t="s">
        <v>3</v>
      </c>
      <c r="N5" s="29">
        <f>_xlfn.IFS(C33="Manual",F11,C33="Automatic",IFERROR(INDEX(IF(F24=120,'Ship Stats'!I2:I1000,IF(F24=100,'Ship Stats'!AC2:AC1000,0)),MATCH(F23,'Ship Stats'!B2:B1000,0)),0),C33="Mixed",IF(C23="Manual",F11,IFERROR(INDEX(IF(F24=120,'Ship Stats'!I2:I1000,IF(F24=100,'Ship Stats'!AC2:AC1000,0)),MATCH(F23,'Ship Stats'!B2:B1000,0)),0)))</f>
        <v>0</v>
      </c>
      <c r="O5" s="38" t="s">
        <v>553</v>
      </c>
      <c r="P5" s="29">
        <f>_xlfn.IFS(C33="Manual",F15,C33="Automatic",IFERROR(INDEX(IF(F24=120,'Ship Stats'!M2:M1000,IF(F24=100,'Ship Stats'!AG2:AG1000,0)),MATCH(F23,'Ship Stats'!B2:B1000,0)),0),C33="Mixed",IF(C29="Manual",F15,IFERROR(INDEX(IF(F24=120,'Ship Stats'!M2:M1000,IF(F24=100,'Ship Stats'!AG2:AG1000,0)),MATCH(F23,'Ship Stats'!B2:B1000,0)),0)))</f>
        <v>0</v>
      </c>
      <c r="Q5" s="38" t="s">
        <v>558</v>
      </c>
      <c r="R5" s="29">
        <f>_xlfn.IFS(C33="Manual",F19,C33="Automatic",IFERROR(INDEX(IF(F24=120,'Ship Stats'!Q2:Q1000,IF(F24=100,'Ship Stats'!AK2:AK1000,0)),MATCH(F23,'Ship Stats'!B2:B1000,0)),0),C33="Mixed",IF(C31="Manual",F19,IFERROR(INDEX(IF(F24=120,'Ship Stats'!Q2:Q1000,IF(F24=100,'Ship Stats'!AK2:AK1000,0)),MATCH(F23,'Ship Stats'!B2:B1000,0)),0)))</f>
        <v>0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15.75" customHeight="1" x14ac:dyDescent="0.2">
      <c r="A6" s="25"/>
      <c r="B6" s="31" t="str">
        <f>IF('Background Tables'!N2="Off","Adv. Boiler","gottagofast.jpg")</f>
        <v>Adv. Boiler</v>
      </c>
      <c r="C6" s="29" t="s">
        <v>439</v>
      </c>
      <c r="D6" s="25"/>
      <c r="E6" s="28" t="s">
        <v>418</v>
      </c>
      <c r="F6" s="29"/>
      <c r="G6" s="25"/>
      <c r="H6" s="33" t="s">
        <v>421</v>
      </c>
      <c r="I6" s="29" t="s">
        <v>424</v>
      </c>
      <c r="J6" s="25"/>
      <c r="K6" s="38" t="s">
        <v>2</v>
      </c>
      <c r="L6" s="29">
        <f>_xlfn.IFS(C33="Manual",F8,C33="Automatic",IFERROR(INDEX(IF(F24=120,'Ship Stats'!F2:F1000,IF(F24=100,'Ship Stats'!Z2:Z1000,0)),MATCH(F23,'Ship Stats'!B2:B1000,0)),0),C33="Mixed",IF(C20="Manual",F8,IFERROR(INDEX(IF(F24=120,'Ship Stats'!F2:F1000,IF(F24=100,'Ship Stats'!Z2:Z1000,0)),MATCH(F23,'Ship Stats'!B2:B1000,0)),0)))</f>
        <v>57</v>
      </c>
      <c r="M6" s="38" t="s">
        <v>4</v>
      </c>
      <c r="N6" s="29">
        <f>_xlfn.IFS(C33="Manual",F12,C33="Automatic",IFERROR(INDEX(IF(F24=120,'Ship Stats'!J2:J1000,IF(F24=100,'Ship Stats'!AD2:AD1000,0)),MATCH(F23,'Ship Stats'!B2:B1000,0)),0),C33="Mixed",IF(C24="Manual",F12,IFERROR(INDEX(IF(F24=120,'Ship Stats'!J2:J1000,IF(F24=100,'Ship Stats'!AD2:AD1000,0)),MATCH(F23,'Ship Stats'!B2:B1000,0)),0)))</f>
        <v>0</v>
      </c>
      <c r="O6" s="38" t="s">
        <v>557</v>
      </c>
      <c r="P6" s="29">
        <f>_xlfn.IFS(C33="Manual",F16,C33="Automatic",IFERROR(INDEX(IF(F24=120,'Ship Stats'!N2:N1000,IF(F24=100,'Ship Stats'!AH2:AH1000,0)),MATCH(F23,'Ship Stats'!B2:B1000,0)),0),C33="Mixed",IF(C28="Manual",F16,IFERROR(INDEX(IF(F24=120,'Ship Stats'!N2:N1000,IF(F24=100,'Ship Stats'!AH2:AH1000,0)),MATCH(F23,'Ship Stats'!B2:B1000,0)),0)))</f>
        <v>0</v>
      </c>
      <c r="Q6" s="38" t="s">
        <v>511</v>
      </c>
      <c r="R6" s="29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5.75" customHeight="1" x14ac:dyDescent="0.2">
      <c r="A7" s="25"/>
      <c r="B7" s="31" t="str">
        <f>IF('Background Tables'!N2="Off","Fuel Filter","Coca Cola")</f>
        <v>Fuel Filter</v>
      </c>
      <c r="C7" s="29" t="s">
        <v>439</v>
      </c>
      <c r="D7" s="25"/>
      <c r="E7" s="28" t="s">
        <v>1</v>
      </c>
      <c r="F7" s="2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15.75" customHeight="1" x14ac:dyDescent="0.2">
      <c r="A8" s="25"/>
      <c r="B8" s="31" t="str">
        <f>IF('Background Tables'!N2="Off","Torp. Bulge","owo what's this")</f>
        <v>Torp. Bulge</v>
      </c>
      <c r="C8" s="29" t="s">
        <v>439</v>
      </c>
      <c r="D8" s="25"/>
      <c r="E8" s="28" t="s">
        <v>2</v>
      </c>
      <c r="F8" s="29"/>
      <c r="G8" s="25"/>
      <c r="H8" s="34" t="s">
        <v>487</v>
      </c>
      <c r="I8" s="34"/>
      <c r="J8" s="25"/>
      <c r="K8" s="30"/>
      <c r="L8" s="59" t="str">
        <f>IF('Background Tables'!N2="Off","No Gear","naked")</f>
        <v>No Gear</v>
      </c>
      <c r="M8" s="59" t="str">
        <f>IF('Background Tables'!N2="Off","Fire Extin.","Bottle")</f>
        <v>Fire Extin.</v>
      </c>
      <c r="N8" s="59" t="str">
        <f>IF('Background Tables'!N2="Off","Naval Camo.","Blue Paint")</f>
        <v>Naval Camo.</v>
      </c>
      <c r="O8" s="59" t="str">
        <f>IF('Background Tables'!N2="Off","Adv. Boiler","gottagofast.jpg")</f>
        <v>Adv. Boiler</v>
      </c>
      <c r="P8" s="59" t="str">
        <f>IF('Background Tables'!N2="Off","Fuel Filter","Coca Cola")</f>
        <v>Fuel Filter</v>
      </c>
      <c r="Q8" s="59" t="str">
        <f>IF('Background Tables'!N2="Off","Torp. Bulge","owo what's this")</f>
        <v>Torp. Bulge</v>
      </c>
      <c r="R8" s="59" t="str">
        <f>IF('Background Tables'!N2="Off","Repair Toolkit","Lunchkit")</f>
        <v>Repair Toolkit</v>
      </c>
      <c r="S8" s="59" t="str">
        <f>IF('Background Tables'!N2="Off","SG Radar","Helena's hairpin")</f>
        <v>SG Radar</v>
      </c>
      <c r="T8" s="59" t="str">
        <f>IF('Background Tables'!N2="Off","Beaver Badge","gottagofast2.jpg")</f>
        <v>Beaver Badge</v>
      </c>
      <c r="U8" s="59" t="str">
        <f>IF('Background Tables'!N2="Off","Imp. Rudder","Washing Machine")</f>
        <v>Imp. Rudder</v>
      </c>
      <c r="V8" s="25"/>
      <c r="W8" s="25"/>
      <c r="X8" s="25"/>
      <c r="Y8" s="25"/>
      <c r="Z8" s="25"/>
      <c r="AA8" s="25"/>
      <c r="AB8" s="25"/>
      <c r="AC8" s="25"/>
    </row>
    <row r="9" spans="1:29" ht="15.75" customHeight="1" x14ac:dyDescent="0.2">
      <c r="A9" s="25"/>
      <c r="B9" s="31" t="str">
        <f>IF('Background Tables'!N2="Off","Repair Toolkit","Lunchkit")</f>
        <v>Repair Toolkit</v>
      </c>
      <c r="C9" s="29" t="s">
        <v>439</v>
      </c>
      <c r="D9" s="25"/>
      <c r="E9" s="28" t="s">
        <v>540</v>
      </c>
      <c r="F9" s="29"/>
      <c r="G9" s="25"/>
      <c r="H9" s="35" t="s">
        <v>399</v>
      </c>
      <c r="I9" s="29">
        <v>60</v>
      </c>
      <c r="J9" s="25"/>
      <c r="K9" s="58" t="str">
        <f>IF('Background Tables'!N2="Off","No Gear","naked")</f>
        <v>No Gear</v>
      </c>
      <c r="L9" s="39">
        <f>IF($C$3="Yes",ROUND(((L5+(L5*P4))/(1-P3)/(1-IF(I5="CV",P6,0))/MIN(MAX((0.1+($I$3/($I$3+(L6*(1+N6)+2)))+(($I$4-N4+I10)/1000)-(N5)),0.1),1))/'Background Tables'!$H$2/'Background Tables'!K2/'Background Tables'!K16/(IF(I15="Yes",1+(1-(1-'Background Tables'!K7)^((I17*(MIN(MAX((0.1+($I$3/($I$3+(L6*(1+N6)+2)))+(($I$4-N4+I10)/1000)-(N5)),0.1),1)))*'Background Tables'!K8))*'Background Tables'!K9,1)),0),"Calc. Off")</f>
        <v>9132</v>
      </c>
      <c r="M9" s="40">
        <f>IF($C$4="Yes",IF($C$3="Yes",ROUND(((L5+266+(L5+266)*P4)/(1-P3)/(1-IF(I5="CV",P6,0))/MIN(MAX((0.1+($I$3/($I$3+(L6*(1+N6)+2)))+(($I$4-N4+I10)/1000)-(N5)),0.1),1))/'Background Tables'!$H$2/'Background Tables'!K2/'Background Tables'!K16/(IF(I15="Yes",1+(1-(1-'Background Tables'!K11)^((I17*(MIN(MAX((0.1+($I$3/($I$3+(L6*(1+N6)+2)))+(($I$4-N4+I10)/1000)-(N5)),0.1),1)))*'Background Tables'!K12))*'Background Tables'!K13,1)),0),"Calc. Off"),"Calc. Off")</f>
        <v>9662</v>
      </c>
      <c r="N9" s="41">
        <f>IF($C$5="Yes",IF($C$3="Yes",ROUND(((L5+44+(L5+44)*P4)/(1-P3)/(1-IF(I5="CV",P6,0))/MIN(MAX((0.1+($I$3/($I$3+((L6+17)*(1+N6)+2)))+(($I$4-N4+I10)/1000)-(N5)),0.1),1))/'Background Tables'!$H$2/'Background Tables'!K2/'Background Tables'!K16/(IF(I15="Yes",1+(1-(1-'Background Tables'!K7)^((I17*(MIN(MAX((0.1+($I$3/($I$3+((L6+17)*(1+N6)+2)))+(($I$4-N4+I10)/1000)-(N5)),0.1),1)))*'Background Tables'!K8))*'Background Tables'!K9,1)),0),"Calc. Off"),"Calc. Off")</f>
        <v>10514</v>
      </c>
      <c r="O9" s="40">
        <f>IF($C$6="Yes",IF($C$3="Yes",ROUND(((L5+245+(L5+245)*P4)/(1-P3)/(1-IF(I5="CV",P6,0))/MIN(MAX((0.1+($I$3/($I$3+(L6*(1+N6)+2)))+(($I$4-N4+I10)/1000)-(N5)),0.1),1))/'Background Tables'!$H$2/'Background Tables'!K2/'Background Tables'!K16/(IF(I15="Yes",1+(1-(1-'Background Tables'!K7)^((I17*(MIN(MAX((0.1+($I$3/($I$3+(L6*(1+N6)+2)))+(($I$4-N4+I10)/1000)-(N5)),0.1),1)))*'Background Tables'!K8))*'Background Tables'!K9,1)),0),"Calc. Off"),"Calc. Off")</f>
        <v>9620</v>
      </c>
      <c r="P9" s="40">
        <f>IF($C$7="Yes",IF($C$3="Yes",ROUND(((L5+350+(L5+350)*P4)/(1-P3)/(1-IF(I5="CV",P6,0))/MIN(MAX((0.1+($I$3/($I$3+((L6+5)*(1+N6)+2)))+(($I$4-N4+I10)/1000)-(N5)),0.1),1))/'Background Tables'!$H$2/'Background Tables'!K2/'Background Tables'!K16/(IF(I15="Yes",1+(1-(1-'Background Tables'!K7)^((I17*(MIN(MAX((0.1+($I$3/($I$3+((L6+5)*(1+N6)+2)))+(($I$4-N4+I10)/1000)-(N5)),0.1),1)))*'Background Tables'!K8))*'Background Tables'!K9,1)),0),"Calc. Off"),"Calc. Off")</f>
        <v>10238</v>
      </c>
      <c r="Q9" s="40">
        <f>IF($C$8="Yes",IF($C$3="Yes",IFERROR(_xlfn.IFS(L3="DD","N/A",L3="SS","N/A",L3="SSV","N/A",L3="CB","N/A"),ROUND(((L5+350+(L5+350)*P4)/(1-P3)/(1-IF(I5="CV",P6,0))/MIN(MAX((0.1+($I$3/($I$3+(L6*(1+N6)+2)))+(($I$4-N4+I10)/1000)-(N5)),0.1),1))/'Background Tables'!$H$2/IF($C$13="Yes",IF(I6="Torpedo",0.7,1),1)/'Background Tables'!K2/'Background Tables'!K16/(IF(I15="Yes",1+(1-(1-'Background Tables'!K7)^((I17*(MIN(MAX((0.1+($I$3/($I$3+(L6*(1+N6)+2)))+(($I$4-N4+I10)/1000)-(N5)),0.1),1)))*'Background Tables'!K8))*'Background Tables'!K9,1)),0)),"Calc. Off"),"Calc. Off")</f>
        <v>9829</v>
      </c>
      <c r="R9" s="40">
        <f>IF($C$9="Yes",IF($C$3="Yes",ROUND(((L5+500+(L5+500)*P4+IF($C$13="Yes",ROUNDDOWN($I$9/15,0)*0.01*(L5+500),0))/(1-P3)/(1-IF(I5="CV",P6,0))/MIN(MAX((0.1+($I$3/($I$3+(L6*(1+N6)+2)))+(($I$4-N4+I10)/1000)-(N5)),0.1),1))/'Background Tables'!$H$2/'Background Tables'!K2/'Background Tables'!K16/(IF(I15="Yes",1+(1-(1-'Background Tables'!K7)^((I17*(MIN(MAX((0.1+($I$3/($I$3+(L6*(1+N6)+2)))+(($I$4-N4+I10)/1000)-(N5)),0.1),1)))*'Background Tables'!K8))*'Background Tables'!K9,1)),0),"Calc. Off"),"Calc. Off")</f>
        <v>10532</v>
      </c>
      <c r="S9" s="40">
        <f>IF($C$10="Yes",IF($C$3="Yes",ROUND(((L5+L5*P4)/(1-P3)/(1-IF(I5="CV",P6,0))/MIN(MAX((0.1+($I$3/($I$3+((L6+15)*(1+N6)+2)))+(($I$4-N4+I10)/1000)-(N5)),0.1),1))/'Background Tables'!$H$2/'Background Tables'!K2/'Background Tables'!K16/(IF(I15="Yes",1+(1-(1-'Background Tables'!K7)^((I17*(MIN(MAX((0.1+($I$3/($I$3+((L6+15)*(1+N6)+2)))+(($I$4-N4+I10)/1000)-(N5)),0.1),1)))*'Background Tables'!K8))*'Background Tables'!K9,1)),0),"Calc. Off"),"Calc. Off")</f>
        <v>10266</v>
      </c>
      <c r="T9" s="40">
        <f>IF($C$11="Yes",IF($C$3="Yes",ROUND(((L5+75+(L5+75)*P4)/(1-P3)/(1-IF(I5="CV",P6,0))/MIN(MAX((0.1+($I$3/($I$3+((L6+35)*(1+N6)+2)))+(($I$4-N4+I10)/1000)-(N5)),0.1),1))/'Background Tables'!$H$2/'Background Tables'!K2/'Background Tables'!K16/(IF(I15="Yes",1+(1-(1-'Background Tables'!K7)^((I17*(MIN(MAX((0.1+($I$3/($I$3+((L6+35)*(1+N6)+2)))+(($I$4-N4+I10)/1000)-(N5)),0.1),1)))*'Background Tables'!K8))*'Background Tables'!K9,1)),0),"Calc. Off"),"Calc. Off")</f>
        <v>11927</v>
      </c>
      <c r="U9" s="40">
        <f>IF($C$12="Yes",IF($C$3="Yes",ROUND((((L5+60+(L5+60)*P4)/(1-P3)/(1-IF(I5="CV",P6,0))/MIN(MAX((0.1+($I$3/($I$3+((L6+40)*(1+N6)+2)))+(($I$4-N4+I10)/1000)-(N5)),0.1),1))/'Background Tables'!$H$2)/IF($C$13="Yes",0.97,1)/'Background Tables'!K2/'Background Tables'!K16/(IF(I15="Yes",1+(1-(1-'Background Tables'!K7)^((I17*(MIN(MAX((0.1+($I$3/($I$3+((L6+40)*(1+N6)+2)))+(($I$4-N4+I10)/1000)-(N5)),0.1),1)))*'Background Tables'!K8))*'Background Tables'!K9,1)),0),"Calc. Off"),"Calc. Off")</f>
        <v>12632</v>
      </c>
      <c r="V9" s="25"/>
      <c r="W9" s="25"/>
      <c r="X9" s="25"/>
      <c r="Y9" s="25"/>
      <c r="Z9" s="25"/>
      <c r="AA9" s="25"/>
      <c r="AB9" s="25"/>
      <c r="AC9" s="25"/>
    </row>
    <row r="10" spans="1:29" ht="15.75" customHeight="1" x14ac:dyDescent="0.2">
      <c r="A10" s="25"/>
      <c r="B10" s="31" t="str">
        <f>IF('Background Tables'!N2="Off","SG Radar","Helena's hairpin")</f>
        <v>SG Radar</v>
      </c>
      <c r="C10" s="29" t="s">
        <v>439</v>
      </c>
      <c r="D10" s="25"/>
      <c r="E10" s="28" t="s">
        <v>533</v>
      </c>
      <c r="F10" s="29"/>
      <c r="G10" s="25"/>
      <c r="H10" s="35" t="s">
        <v>483</v>
      </c>
      <c r="I10" s="29">
        <v>0</v>
      </c>
      <c r="J10" s="25"/>
      <c r="K10" s="58" t="str">
        <f>IF('Background Tables'!N2="Off","Fire Extin.","Bottle")</f>
        <v>Fire Extin.</v>
      </c>
      <c r="L10" s="21">
        <f>IF($C$3="Yes",IF($C$4="Yes",ROUND((((L5+266)+(L5+266)*P4)/(1-P3)/(1-IF(I5="CV",P6,0))/MIN(MAX((0.1+($I$3/($I$3+(L6*(1+N6)+2)))+(($I$4-N4+I10)/1000)-(N5)),0.1),1))/'Background Tables'!$H$2/'Background Tables'!K2/'Background Tables'!K16/(IF(I15="Yes",1+(1-(1-'Background Tables'!K11)^((I17*(MIN(MAX((0.1+($I$3/($I$3+(L6*(1+N6)+2)))+(($I$4-N4+I10)/1000)-(N5)),0.1),1)))*'Background Tables'!K12))*'Background Tables'!K13,1)),0),"Calc. Off"),"Calc. Off")</f>
        <v>9662</v>
      </c>
      <c r="M10" s="22">
        <f>IF($C$4="Yes",ROUND(((L5+266+266+(L5+266+266)*P4)/(1-P3)/(1-IF(I5="CV",P6,0))/MIN(MAX((0.1+($I$3/($I$3+(L6*(1+N6)+2)))+(($I$4-N4+I10)/1000)-(N5)),0.1),1))/'Background Tables'!$H$2/'Background Tables'!K2/'Background Tables'!K16/(IF(I15="Yes",1+(1-(1-'Background Tables'!K11)^((I17*(MIN(MAX((0.1+($I$3/($I$3+(L6*(1+N6)+2)))+(($I$4-N4+I10)/1000)-(N5)),0.1),1)))*'Background Tables'!K12))*'Background Tables'!K13,1)),0),"Calc. Off")</f>
        <v>10191</v>
      </c>
      <c r="N10" s="22">
        <f>IF($C$5="Yes",IF($C$4="Yes",ROUND(((L5+266+44+(L5+266+44)*P4)/(1-P3)/(1-IF(I5="CV",P6,0))/MIN(MAX((0.1+($I$3/($I$3+((L6+17)*(1+N6)+2)))+(($I$4-N4+I10)/1000)-(N5)),0.1),1))/'Background Tables'!$H$2/'Background Tables'!K2/'Background Tables'!K16/(IF(I15="Yes",1+(1-(1-'Background Tables'!K11)^((I17*(MIN(MAX((0.1+($I$3/($I$3+((L6+17)*(1+N6)+2)))+(($I$4-N4+I10)/1000)-(N5)),0.1),1)))*'Background Tables'!K12))*'Background Tables'!K13,1)),0),"Calc. Off"),"Calc. Off")</f>
        <v>11118</v>
      </c>
      <c r="O10" s="22">
        <f>IF($C$6="Yes",IF($C$4="Yes",ROUND(((L5+266+245+(L5+266+245)*P4)/(1-P3)/(1-IF(I5="CV",P6,0))/MIN(MAX((0.1+($I$3/($I$3+(L6*(1+N6)+2)))+(($I$4-N4+I10)/1000)-(N5)),0.1),1))/'Background Tables'!$H$2/'Background Tables'!K2/'Background Tables'!K16/(IF(I15="Yes",1+(1-(1-'Background Tables'!K11)^((I17*(MIN(MAX((0.1+($I$3/($I$3+(L6*(1+N6)+2)))+(($I$4-N4+I10)/1000)-(N5)),0.1),1)))*'Background Tables'!K12))*'Background Tables'!K13,1)),0),"Calc. Off"),"Calc. Off")</f>
        <v>10149</v>
      </c>
      <c r="P10" s="22">
        <f>IF($C$7="Yes",IF($C$4="Yes",ROUND(((L5+266+350+(L5+266+350)*P4)/(1-P3)/(1-IF(I5="CV",P6,0))/MIN(MAX((0.1+($I$3/($I$3+((L6+5)*(1+N6)+2)))+(($I$4-N4+I10)/1000)-(N5)),0.1),1))/'Background Tables'!$H$2/'Background Tables'!K2/'Background Tables'!K16/(IF(I15="Yes",1+(1-(1-'Background Tables'!K11)^((I17*(MIN(MAX((0.1+($I$3/($I$3+((L6+5)*(1+N6)+2)))+(($I$4-N4+I10)/1000)-(N5)),0.1),1)))*'Background Tables'!K12))*'Background Tables'!K13,1)),0),"Calc. Off"),"Calc. Off")</f>
        <v>10790</v>
      </c>
      <c r="Q10" s="22">
        <f>IF($C$8="Yes",IF($C$4="Yes",IFERROR(_xlfn.IFS(L3="DD","N/A",L3="SS","N/A",L3="SSV","N/A",L3="CB","N/A"),ROUND(((L5+266+350+(L5+266+350)*P4)/(1-P3)/(1-IF(I5="CV",P6,0))/MIN(MAX((0.1+($I$3/($I$3+(L6*(1+N6)+2)))+(($I$4-N4+I10)/1000)-(N5)),0.1),1))/'Background Tables'!$H$2/IF($C$13="Yes",IF(I6="Torpedo",0.7,1),1)/'Background Tables'!K2/'Background Tables'!K16/(IF(I15="Yes",1+(1-(1-'Background Tables'!K11)^((I17*(MIN(MAX((0.1+($I$3/($I$3+(L6*(1+N6)+2)))+(($I$4-N4+I10)/1000)-(N5)),0.1),1)))*'Background Tables'!K12))*'Background Tables'!K13,1)),0)),"Calc. Off"),"Calc. Off")</f>
        <v>10358</v>
      </c>
      <c r="R10" s="22">
        <f>IF($C$9="Yes",IF($C$4="Yes",ROUND(((L5+266+500+(L5+266+500)*P4+IF($C$13="Yes",ROUNDDOWN($I$9/15,0)*0.01*(L5+266+500),0))/(1-P3)/(1-IF(I5="CV",P6,0))/MIN(MAX((0.1+($I$3/($I$3+(L6*(1+N6)+2)))+(($I$4-N4+I10)/1000)-(N5)),0.1),1))/'Background Tables'!$H$2/'Background Tables'!K2/'Background Tables'!K16/(IF(I15="Yes",1+(1-(1-'Background Tables'!K11)^((I17*(MIN(MAX((0.1+($I$3/($I$3+(L6*(1+N6)+2)))+(($I$4-N4+I10)/1000)-(N5)),0.1),1)))*'Background Tables'!K12))*'Background Tables'!K13,1)),0),"Calc. Off"),"Calc. Off")</f>
        <v>11082</v>
      </c>
      <c r="S10" s="22">
        <f>IF($C$10="Yes",IF($C$4="Yes",ROUND(((L5+266+(L5+266)*P4)/(1-P3)/(1-IF(I5="CV",P6,0))/MIN(MAX((0.1+($I$3/($I$3+((L6+15)*(1+N6)+2)))+(($I$4-N4+I10)/1000)-(N5)),0.1),1))/'Background Tables'!$H$2/'Background Tables'!K2/'Background Tables'!K16/(IF(I15="Yes",1+(1-(1-'Background Tables'!K11)^((I17*(MIN(MAX((0.1+($I$3/($I$3+((L6+15)*(1+N6)+2)))+(($I$4-N4+I10)/1000)-(N5)),0.1),1)))*'Background Tables'!K12))*'Background Tables'!K13,1)),0),"Calc. Off"),"Calc. Off")</f>
        <v>10860</v>
      </c>
      <c r="T10" s="22">
        <f>IF($C$11="Yes",IF($C$4="Yes",ROUND(((L5+266+75+(L5+266+75)*P4)/(1-P3)/(1-IF(I5="CV",P6,0))/MIN(MAX((0.1+($I$3/($I$3+((L6+35)*(1+N6)+2)))+(($I$4-N4+I10)/1000)-(N5)),0.1),1))/'Background Tables'!$H$2/'Background Tables'!K2/'Background Tables'!K16/(IF(I15="Yes",1+(1-(1-'Background Tables'!K11)^((I17*(MIN(MAX((0.1+($I$3/($I$3+((L6+35)*(1+N6)+2)))+(($I$4-N4+I10)/1000)-(N5)),0.1),1)))*'Background Tables'!K12))*'Background Tables'!K13,1)),0),"Calc. Off"),"Calc. Off")</f>
        <v>12607</v>
      </c>
      <c r="U10" s="22">
        <f>IF($C$12="Yes",IF($C$4="Yes",ROUND((((L5+266+60+(L5+266+60)*P4)/(1-P3)/(1-IF(I5="CV",P6,0))/MIN(MAX((0.1+($I$3/($I$3+((L6+40)*(1+N6)+2)))+(($I$4-N4+I10)/1000)-(N5)),0.1),1))/'Background Tables'!$H$2)/IF($C$13="Yes",0.97,1)/'Background Tables'!K2/'Background Tables'!K16/(IF(I15="Yes",1+(1-(1-'Background Tables'!K11)^((I17*(MIN(MAX((0.1+($I$3/($I$3+((L6+40)*(1+N6)+2)))+(($I$4-N4+I10)/1000)-(N5)),0.1),1)))*'Background Tables'!K12))*'Background Tables'!K13,1)),0),"Calc. Off"),"Calc. Off")</f>
        <v>13355</v>
      </c>
      <c r="V10" s="25"/>
      <c r="W10" s="25"/>
      <c r="X10" s="25"/>
      <c r="Y10" s="25"/>
      <c r="Z10" s="25"/>
      <c r="AA10" s="25"/>
      <c r="AB10" s="25"/>
      <c r="AC10" s="25"/>
    </row>
    <row r="11" spans="1:29" ht="15.75" customHeight="1" x14ac:dyDescent="0.2">
      <c r="A11" s="25"/>
      <c r="B11" s="31" t="str">
        <f>IF('Background Tables'!N2="Off","Beaver Badge","gottagofast2.jpg")</f>
        <v>Beaver Badge</v>
      </c>
      <c r="C11" s="29" t="s">
        <v>439</v>
      </c>
      <c r="D11" s="25"/>
      <c r="E11" s="28" t="s">
        <v>3</v>
      </c>
      <c r="F11" s="29"/>
      <c r="G11" s="25"/>
      <c r="H11" s="35" t="s">
        <v>485</v>
      </c>
      <c r="I11" s="29" t="s">
        <v>486</v>
      </c>
      <c r="J11" s="25"/>
      <c r="K11" s="58" t="str">
        <f>IF('Background Tables'!N2="Off","Naval Camo.","Blue Paint")</f>
        <v>Naval Camo.</v>
      </c>
      <c r="L11" s="21">
        <f>IF($C$5="Yes",IF($C$3="Yes",ROUND(((L5+44+(L5+44)*P4)/(1-P3)/(1-IF(I5="CV",P6,0))/MIN(MAX((0.1+($I$3/($I$3+((L6+17)*(1+N6)+2)))+(($I$4-N4+I10)/1000)-(N5)),0.1),1))/'Background Tables'!$H$2/'Background Tables'!K2/'Background Tables'!K16/(IF(I15="Yes",1+(1-(1-'Background Tables'!K7)^((I17*(MIN(MAX((0.1+($I$3/($I$3+((L6+17)*(1+N6)+2)))+(($I$4-N4+I10)/1000)-(N5)),0.1),1)))*'Background Tables'!K8))*'Background Tables'!K9,1)),0),"Calc. Off"),"Calc. Off")</f>
        <v>10514</v>
      </c>
      <c r="M11" s="23">
        <f>IF($C$5="Yes",IF($C$4="Yes",ROUND(((L5+266+44+(L5+266+44)*P4)/(1-P3)/(1-IF(I5="CV",P6,0))/MIN(MAX((0.1+($I$3/($I$3+((L6+17)*(1+N6)+2)))+(($I$4-N4+I10)/1000)-(N5)),0.1),1))/'Background Tables'!$H$2/'Background Tables'!K2/'Background Tables'!K16/(IF(I15="Yes",1+(1-(1-'Background Tables'!K11)^((I17*(MIN(MAX((0.1+($I$3/($I$3+((L6+17)*(1+N6)+2)))+(($I$4-N4+I10)/1000)-(N5)),0.1),1)))*'Background Tables'!K12))*'Background Tables'!K13,1)),0),"Calc. Off"),"Calc. Off")</f>
        <v>11118</v>
      </c>
      <c r="N11" s="23">
        <f>IF($C$5="Yes",ROUND(((L5+44+44+(L5+44+44)*P4)/(1-P3)/(1-IF(I5="CV",P6,0))/MIN(MAX((0.1+($I$3/($I$3+((L6+17+17)*(1+N6)+2)))+(($I$4-N4+I10)/1000)-(N5)),0.1),1))/'Background Tables'!$H$2/'Background Tables'!K2/'Background Tables'!K16/(IF(I15="Yes",1+(1-(1-'Background Tables'!K7)^((I17*(MIN(MAX((0.1+($I$3/($I$3+((L6+17+17)*(1+N6)+2)))+(($I$4-N4+I10)/1000)-(N5)),0.1),1)))*'Background Tables'!K8))*'Background Tables'!K9,1)),0),"Calc. Off")</f>
        <v>11886</v>
      </c>
      <c r="O11" s="23">
        <f>IF($C$5="Yes",IF($C$6="Yes",ROUND(((L5+44+245+(L5+44+245)*P4)/(1-P3)/(1-IF(I5="CV",P6,0))/MIN(MAX((0.1+($I$3/($I$3+((L6+17)*(1+N6)+2)))+(($I$4-N4+I10)/1000)-(N5)),0.1),1))/'Background Tables'!$H$2/'Background Tables'!K2/'Background Tables'!K16/(IF(I15="Yes",1+(1-(1-'Background Tables'!K7)^((I17*(MIN(MAX((0.1+($I$3/($I$3+((L6+17)*(1+N6)+2)))+(($I$4-N4+I10)/1000)-(N5)),0.1),1)))*'Background Tables'!K8))*'Background Tables'!K9,1)),0),"Calc. Off"),"Calc. Off")</f>
        <v>11070</v>
      </c>
      <c r="P11" s="23">
        <f>IF($C$5="Yes",IF($C$7="Yes",ROUND(((L5+44+350+(L5+44+350)*P4)/(1-P3)/(1-IF(I5="CV",P6,0))/MIN(MAX((0.1+($I$3/($I$3+((L6+17+5)*(1+N6)+2)))+(($I$4-N4+I10)/1000)-(N5)),0.1),1))/'Background Tables'!$H$2/'Background Tables'!K2/'Background Tables'!K16/(IF(I15="Yes",1+(1-(1-'Background Tables'!K7)^((I17*(MIN(MAX((0.1+($I$3/($I$3+((L6+17+5)*(1+N6)+2)))+(($I$4-N4+I10)/1000)-(N5)),0.1),1)))*'Background Tables'!K8))*'Background Tables'!K9,1)),0),"Calc. Off"),"Calc. Off")</f>
        <v>11711</v>
      </c>
      <c r="Q11" s="23">
        <f>IF($C$5="Yes",IF($C$8="Yes",IFERROR(_xlfn.IFS(L3="DD","N/A",L3="SS","N/A",L3="SSV","N/A",L3="CB","N/A"),ROUND(((L5+44+350+(L5+350+44)*P4)/(1-P3)/(1-IF(I5="CV",P6,0))/MIN(MAX((0.1+($I$3/($I$3+((L6+17)*(1+N6)+2)))+(($I$4-N4+I10)/1000)-N5),0.1),1))/'Background Tables'!$H$2/IF($C$13="Yes",IF(I6="Torpedo",0.7,1),1)/'Background Tables'!K2/'Background Tables'!K16/(IF(I15="Yes",1+(1-(1-'Background Tables'!K7)^((I17*(MIN(MAX((0.1+($I$3/($I$3+((L6+17)*(1+N6)+2)))+(($I$4-N4+I10)/1000)-(N5)),0.1),1)))*'Background Tables'!K8))*'Background Tables'!K9,1)),0)),"Calc. Off"),"Calc. Off")</f>
        <v>11308</v>
      </c>
      <c r="R11" s="23">
        <f>IF($C$5="Yes",IF($C$9="Yes",ROUND(((L5+44+500+(L5+500+44)*P4+IF($C$13="Yes",ROUNDDOWN($I$9/15,0)*0.01*(L5+44+500),0))/(1-P3)/(1-IF(I5="CV",P6,0))/MIN(MAX((0.1+($I$3/($I$3+((L6+17)*(1+N6)+2)))+(($I$4-N4+I10)/1000)-N5),0.1),1))/'Background Tables'!$H$2/'Background Tables'!K2/'Background Tables'!K16/(IF(I15="Yes",1+(1-(1-'Background Tables'!K7)^((I17*(MIN(MAX((0.1+($I$3/($I$3+((L6+17)*(1+N6)+2)))+(($I$4-N4+I10)/1000)-(N5)),0.1),1)))*'Background Tables'!K8))*'Background Tables'!K9,1)),0),"Calc. Off"),"Calc. Off")</f>
        <v>12115</v>
      </c>
      <c r="S11" s="23">
        <f>IF($C$5="Yes",IF($C$10="Yes",ROUND(((L5+44+(L5+44)*P4)/(1-P3)/(1-IF(I5="CV",P6,0))/MIN(MAX((0.1+($I$3/($I$3+((L6+17+15)*(1+N6)+2)))+(($I$4-N4+I10)/1000)-N5),0.1),1))/'Background Tables'!$H$2/'Background Tables'!K2/'Background Tables'!K16/(IF(I15="Yes",1+(1-(1-'Background Tables'!K7)^((I17*(MIN(MAX((0.1+($I$3/($I$3+((L6+17+15)*(1+N6)+2)))+(($I$4-N4+I10)/1000)-(N5)),0.1),1)))*'Background Tables'!K8))*'Background Tables'!K9,1)),0),"Calc. Off"),"Calc. Off")</f>
        <v>11628</v>
      </c>
      <c r="T11" s="23">
        <f>IF($C$5="Yes",IF($C$11="Yes",ROUND(((L5+44+75+(L5+75+44)*P4)/(1-P3)/(1-IF(I5="CV",P6,0))/MIN(MAX((0.1+($I$3/($I$3+((L6+17+35)*(1+N6)+2)))+(($I$4-N4+I10)/1000)-N5),0.1),1))/'Background Tables'!$H$2/'Background Tables'!K2/'Background Tables'!K16/(IF(I15="Yes",1+(1-(1-'Background Tables'!K7)^((I17*(MIN(MAX((0.1+($I$3/($I$3+((L6+17+35)*(1+N6)+2)))+(($I$4-N4+I10)/1000)-(N5)),0.1),1)))*'Background Tables'!K8))*'Background Tables'!K9,1)),0),"Calc. Off"),"Calc. Off")</f>
        <v>13284</v>
      </c>
      <c r="U11" s="23">
        <f>IF($C$5="Yes",IF($C$12="Yes",ROUND((((L5+44+60+(L5+60+44)*P4)/(1-P3)/(1-IF(I5="CV",P6,0))/MIN(MAX((0.1+($I$3/($I$3+((L6+17+40)*(1+N6)+2)))+(($I$4-N4+I10)/1000)-N5),0.1),1))/'Background Tables'!$H$2)/IF($C$13="Yes",0.97,1)/'Background Tables'!K2/'Background Tables'!K16/(IF(I15="Yes",1+(1-(1-'Background Tables'!K7)^((I17*(MIN(MAX((0.1+($I$3/($I$3+((L6+17+40)*(1+N6)+2)))+(($I$4-N4+I10)/1000)-(N5)),0.1),1)))*'Background Tables'!K8))*'Background Tables'!K9,1)),0),"Calc. Off"),"Calc. Off")</f>
        <v>14021</v>
      </c>
      <c r="V11" s="25"/>
      <c r="W11" s="25"/>
      <c r="X11" s="25"/>
      <c r="Y11" s="25"/>
      <c r="Z11" s="25"/>
      <c r="AA11" s="25"/>
      <c r="AB11" s="25"/>
      <c r="AC11" s="25"/>
    </row>
    <row r="12" spans="1:29" ht="15.75" customHeight="1" x14ac:dyDescent="0.2">
      <c r="A12" s="25"/>
      <c r="B12" s="31" t="str">
        <f>IF('Background Tables'!N2="Off","Imp. Rudder","Washing Machine")</f>
        <v>Imp. Rudder</v>
      </c>
      <c r="C12" s="29" t="s">
        <v>439</v>
      </c>
      <c r="D12" s="25"/>
      <c r="E12" s="28" t="s">
        <v>4</v>
      </c>
      <c r="F12" s="29"/>
      <c r="G12" s="25"/>
      <c r="H12" s="35" t="s">
        <v>484</v>
      </c>
      <c r="I12" s="29">
        <v>0</v>
      </c>
      <c r="J12" s="25"/>
      <c r="K12" s="58" t="str">
        <f>IF('Background Tables'!N2="Off","Adv. Boiler","gottagofast.jpg")</f>
        <v>Adv. Boiler</v>
      </c>
      <c r="L12" s="21">
        <f>IF($C$3="Yes",IF($C$6="Yes",ROUND(((L5+245+(L5+245)*P4)/(1-P3)/(1-IF(I5="CV",P6,0))/MIN(MAX((0.1+($I$3/($I$3+(L6*(1+N6)+2)))+(($I$4-N4+I10)/1000)-(N5)),0.1),1))/'Background Tables'!$H$2/'Background Tables'!K2/'Background Tables'!K16/(IF(I15="Yes",1+(1-(1-'Background Tables'!K7)^((I17*(MIN(MAX((0.1+($I$3/($I$3+(L6*(1+N6)+2)))+(($I$4-N4+I10)/1000)-(N5)),0.1),1)))*'Background Tables'!K8))*'Background Tables'!K9,1)),0),"Calc. Off"),"Calc. Off")</f>
        <v>9620</v>
      </c>
      <c r="M12" s="23">
        <f>IF($C$4="Yes",IF($C$6="Yes",ROUND(((L5+266+245+(L5+266+245)*P4)/(1-P3)/(1-IF(I5="CV",P6,0))/MIN(MAX((0.1+($I$3/($I$3+(L6*(1+N6)+2)))+(($I$4-N4+I10)/1000)-(N5)),0.1),1))/'Background Tables'!$H$2/'Background Tables'!K2/'Background Tables'!K16/(IF(I15="Yes",1+(1-(1-'Background Tables'!K11)^((I17*(MIN(MAX((0.1+($I$3/($I$3+(L6*(1+N6)+2)))+(($I$4-N4+I10)/1000)-(N5)),0.1),1)))*'Background Tables'!K12))*'Background Tables'!K13,1)),0),"Calc. Off"),"Calc. Off")</f>
        <v>10149</v>
      </c>
      <c r="N12" s="23">
        <f>IF($C$5="Yes",IF($C$6="Yes",ROUND(((L5+44+245+(L5+44+245)*P4)/(1-P3)/(1-IF(I5="CV",P6,0))/MIN(MAX((0.1+($I$3/($I$3+((L6+17)*(1+N6)+2)))+(($I$4-N4+I10)/1000)-(N5)),0.1),1))/'Background Tables'!$H$2/'Background Tables'!K2/'Background Tables'!K16/(IF(I15="Yes",1+(1-(1-'Background Tables'!K7)^((I17*(MIN(MAX((0.1+($I$3/($I$3+((L6+17)*(1+N6)+2)))+(($I$4-N4+I10)/1000)-(N5)),0.1),1)))*'Background Tables'!K8))*'Background Tables'!K9,1)),0),"Calc. Off"),"Calc. Off")</f>
        <v>11070</v>
      </c>
      <c r="O12" s="23">
        <f>IF($C$6="Yes",ROUND(((L5+245+245+(L5+245+245)*P4)/(1-P3)/(1-IF(I5="CV",P6,0))/MIN(MAX((0.1+($I$3/($I$3+((L6+0)*(1+N6)+2)))+(($I$4-N4+I10)/1000)-N5),0.1),1))/'Background Tables'!$H$2/'Background Tables'!K2/'Background Tables'!K16/(IF(I15="Yes",1+(1-(1-'Background Tables'!K7)^((I17*(MIN(MAX((0.1+($I$3/($I$3+(L6*(1+N6)+2)))+(($I$4-N4+I10)/1000)-(N5)),0.1),1)))*'Background Tables'!K8))*'Background Tables'!K9,1)),0),"Calc. Off")</f>
        <v>10107</v>
      </c>
      <c r="P12" s="23">
        <f>IF($C$7="Yes",IF($C$6="Yes",ROUND(((L5+245+350+(L5+245+350)*P4)/(1-P3)/(1-IF(I5="CV",P6,0))/MIN(MAX((0.1+($I$3/($I$3+((L6+5)*(1+N6)+2)))+(($I$4-N4+I10)/1000)-N5),0.1),1))/'Background Tables'!$H$2/'Background Tables'!K2/'Background Tables'!K16/(IF(I15="Yes",1+(1-(1-'Background Tables'!K7)^((I17*(MIN(MAX((0.1+($I$3/($I$3+((L6+5)*(1+N6)+2)))+(($I$4-N4+I10)/1000)-(N5)),0.1),1)))*'Background Tables'!K8))*'Background Tables'!K9,1)),0),"Calc. Off"),"Calc. Off")</f>
        <v>10746</v>
      </c>
      <c r="Q12" s="23">
        <f>IF($C$8="Yes",IF($C$6="Yes",IFERROR(_xlfn.IFS(L3="DD","N/A",L3="SS","N/A",L3="SSV","N/A",L3="CB","N/A"),ROUND(((L5+245+350+(L5+245+350)*P4)/(1-P3)/(1-IF(I5="CV",P6,0))/MIN(MAX((0.1+($I$3/($I$3+((L6+0)*(1+N6)+2)))+(($I$4-N4+I10)/1000)-N5),0.1),1))/'Background Tables'!$H$2/IF($C$13="Yes",IF(I6="Torpedo",0.7,1),1)/'Background Tables'!K2/'Background Tables'!K16/(IF(I15="Yes",1+(1-(1-'Background Tables'!K7)^((I17*(MIN(MAX((0.1+($I$3/($I$3+(L6*(1+N6)+2)))+(($I$4-N4+I10)/1000)-(N5)),0.1),1)))*'Background Tables'!K8))*'Background Tables'!K9,1)),0)),"Calc. Off"),"Calc. Off")</f>
        <v>10316</v>
      </c>
      <c r="R12" s="23">
        <f>IF($C$9="Yes",IF($C$6="Yes",ROUND(((L5+245+500+(L5+245+500)*P4+IF($C$13="Yes",ROUNDDOWN($I$9/15,0)*0.01*(L5+245+500),0))/(1-P3)/(1-IF(I5="CV",P6,0))/MIN(MAX((0.1+($I$3/($I$3+((L6+0)*(1+N6)+2)))+(($I$4-N4+I10)/1000)-N5),0.1),1))/'Background Tables'!$H$2/'Background Tables'!K2/'Background Tables'!K16/(IF(I15="Yes",1+(1-(1-'Background Tables'!K7)^((I17*(MIN(MAX((0.1+($I$3/($I$3+(L6*(1+N6)+2)))+(($I$4-N4+I10)/1000)-(N5)),0.1),1)))*'Background Tables'!K8))*'Background Tables'!K9,1)),0),"Calc. Off"),"Calc. Off")</f>
        <v>11039</v>
      </c>
      <c r="S12" s="23">
        <f>IF($C$10="Yes",IF($C$6="Yes",ROUND(((L5+245+(L5+245)*P4)/(1-P3)/(1-IF(I5="CV",P6,0))/MIN(MAX((0.1+($I$3/($I$3+((L6+15)*(1+N6)+2)))+(($I$4-N4+I10)/1000)-N5),0.1),1))/'Background Tables'!$H$2/'Background Tables'!K2/'Background Tables'!K16/(IF(I15="Yes",1+(1-(1-'Background Tables'!K7)^((I17*(MIN(MAX((0.1+($I$3/($I$3+((L6+15)*(1+N6)+2)))+(($I$4-N4+I10)/1000)-(N5)),0.1),1)))*'Background Tables'!K8))*'Background Tables'!K9,1)),0),"Calc. Off"),"Calc. Off")</f>
        <v>10813</v>
      </c>
      <c r="T12" s="23">
        <f>IF($C$11="Yes",IF($C$6="Yes",ROUND(((L5+245+75+(L5+245+75)*P4)/(1-P3)/(1-IF(I5="CV",P6,0))/MIN(MAX((0.1+($I$3/($I$3+((L6+35)*(1+N6)+2)))+(($I$4-N4+I10)/1000)-N5),0.1),1))/'Background Tables'!$H$2/'Background Tables'!K2/'Background Tables'!K16/(IF(I15="Yes",1+(1-(1-'Background Tables'!K7)^((I17*(MIN(MAX((0.1+($I$3/($I$3+((L6+35)*(1+N6)+2)))+(($I$4-N4+I10)/1000)-(N5)),0.1),1)))*'Background Tables'!K8))*'Background Tables'!K9,1)),0),"Calc. Off"),"Calc. Off")</f>
        <v>12553</v>
      </c>
      <c r="U12" s="23">
        <f>IF($C$12="Yes",IF($C$6="Yes",ROUND((((L5+245+60+(L5+245+60)*P4)/(1-P3)/(1-IF(I5="CV",P6,0))/MIN(MAX((0.1+($I$3/($I$3+((L6+40)*(1+N6)+2)))+(($I$4-N4+I10)/1000)-N5),0.1),1))/'Background Tables'!$H$2)/IF($C$13="Yes",0.97,1)/'Background Tables'!K2/'Background Tables'!K16/(IF(I15="Yes",1+(1-(1-'Background Tables'!K7)^((I17*(MIN(MAX((0.1+($I$3/($I$3+((L6+40)*(1+N6)+2)))+(($I$4-N4+I10)/1000)-(N5)),0.1),1)))*'Background Tables'!K8))*'Background Tables'!K9,1)),0),"Calc. Off"),"Calc. Off")</f>
        <v>13298</v>
      </c>
      <c r="V12" s="25"/>
      <c r="W12" s="25"/>
      <c r="X12" s="25"/>
      <c r="Y12" s="25"/>
      <c r="Z12" s="25"/>
      <c r="AA12" s="25"/>
      <c r="AB12" s="25"/>
      <c r="AC12" s="25"/>
    </row>
    <row r="13" spans="1:29" ht="15.75" customHeight="1" x14ac:dyDescent="0.2">
      <c r="A13" s="25"/>
      <c r="B13" s="31" t="s">
        <v>438</v>
      </c>
      <c r="C13" s="29" t="s">
        <v>439</v>
      </c>
      <c r="D13" s="25"/>
      <c r="E13" s="28" t="s">
        <v>559</v>
      </c>
      <c r="F13" s="29"/>
      <c r="G13" s="25"/>
      <c r="H13" s="25"/>
      <c r="I13" s="25"/>
      <c r="J13" s="25"/>
      <c r="K13" s="58" t="str">
        <f>IF('Background Tables'!N2="Off","Fuel Filter","Coca Cola")</f>
        <v>Fuel Filter</v>
      </c>
      <c r="L13" s="21">
        <f>IF($C$7="Yes",IF($C$3="Yes",ROUND(((L5+350+(L5+350)*P4)/(1-P3)/(1-IF(I5="CV",P6,0))/MIN(MAX((0.1+($I$3/($I$3+((L6+5)*(1+N6)+2)))+(($I$4-N4+I10)/1000)-(N5)),0.1),1))/'Background Tables'!$H$2/'Background Tables'!K2/'Background Tables'!K16/(IF(I15="Yes",1+(1-(1-'Background Tables'!K7)^((I17*(MIN(MAX((0.1+($I$3/($I$3+((L6+5)*(1+N6)+2)))+(($I$4-N4+I10)/1000)-(N5)),0.1),1)))*'Background Tables'!K8))*'Background Tables'!K9,1)),0),"Calc. Off"),"Calc. Off")</f>
        <v>10238</v>
      </c>
      <c r="M13" s="23">
        <f>IF($C$7="Yes",IF($C$4="Yes",ROUND(((L5+266+350+(L5+266+350)*P4)/(1-P3)/(1-IF(I5="CV",P6,0))/MIN(MAX((0.1+($I$3/($I$3+((L6+5)*(1+N6)+2)))+(($I$4-N4+I10)/1000)-(N5)),0.1),1))/'Background Tables'!$H$2/'Background Tables'!K2/'Background Tables'!K16/(IF(I15="Yes",1+(1-(1-'Background Tables'!K11)^((I17*(MIN(MAX((0.1+($I$3/($I$3+((L6+5)*(1+N6)+2)))+(($I$4-N4+I10)/1000)-(N5)),0.1),1)))*'Background Tables'!K12))*'Background Tables'!K13,1)),0),"Calc. Off"),"Calc. Off")</f>
        <v>10790</v>
      </c>
      <c r="N13" s="23">
        <f>IF($C$5="Yes",IF($C$7="Yes",ROUND(((L5+44+350+(L5+44+350)*P4)/(1-P3)/(1-IF(I5="CV",P6,0))/MIN(MAX((0.1+($I$3/($I$3+((L6+17+5)*(1+N6)+2)))+(($I$4-N4+I10)/1000)-(N5)),0.1),1))/'Background Tables'!$H$2/'Background Tables'!K2/'Background Tables'!K16/(IF(I15="Yes",1+(1-(1-'Background Tables'!K7)^((I17*(MIN(MAX((0.1+($I$3/($I$3+((L6+17+5)*(1+N6)+2)))+(($I$4-N4+I10)/1000)-(N5)),0.1),1)))*'Background Tables'!K8))*'Background Tables'!K9,1)),0),"Calc. Off"),"Calc. Off")</f>
        <v>11711</v>
      </c>
      <c r="O13" s="23">
        <f>IF($C$7="Yes",IF($C$6="Yes",ROUND(((L5+245+350+(L5+245+350)*P4)/(1-P3)/(1-IF(I5="CV",P6,0))/MIN(MAX((0.1+($I$3/($I$3+((L6+5)*(1+N6)+2)))+(($I$4-N4+I10)/1000)-N5),0.1),1))/'Background Tables'!$H$2/'Background Tables'!K2/'Background Tables'!K16/(IF(I15="Yes",1+(1-(1-'Background Tables'!K7)^((I17*(MIN(MAX((0.1+($I$3/($I$3+((L6+5)*(1+N6)+2)))+(($I$4-N4+I10)/1000)-(N5)),0.1),1)))*'Background Tables'!K8))*'Background Tables'!K9,1)),0),"Calc. Off"),"Calc. Off")</f>
        <v>10746</v>
      </c>
      <c r="P13" s="23">
        <f>IF($C$7="Yes",ROUND(((L5+350+350+(L5+350+350)*P4)/(1-P3)/(1-IF(I5="CV",P6,0))/MIN(MAX((0.1+($I$3/($I$3+((L6+5+5)*(1+N6)+2)))+(($I$4-N4+I10)/1000)-N5),0.1),1))/'Background Tables'!$H$2/'Background Tables'!K2/'Background Tables'!K16/(IF(I15="Yes",1+(1-(1-'Background Tables'!K7)^((I17*(MIN(MAX((0.1+($I$3/($I$3+((L6+5+5)*(1+N6)+2)))+(($I$4-N4+I10)/1000)-(N5)),0.1),1)))*'Background Tables'!K8))*'Background Tables'!K9,1)),0),"Calc. Off")</f>
        <v>11399</v>
      </c>
      <c r="Q13" s="23">
        <f>IF($C$7="Yes",IF($C$8="Yes",IFERROR(_xlfn.IFS(L3="DD","N/A",L3="SS","N/A",L3="SSV","N/A",L3="CB","N/A"),ROUND(((L5+350+350+(L5+350+350)*P4)/(1-P3)/(1-IF(I5="CV",P6,0))/MIN(MAX((0.1+($I$3/($I$3+((L6+5)*(1+N6)+2)))+(($I$4-N4+I10)/1000)-N5),0.1),1))/'Background Tables'!$H$2/IF($C$13="Yes",IF(I6="Torpedo",0.7,1),1)/'Background Tables'!K2/'Background Tables'!K16/(IF(I15="Yes",1+(1-(1-'Background Tables'!K7)^((I17*(MIN(MAX((0.1+($I$3/($I$3+((L6+5)*(1+N6)+2)))+(($I$4-N4+I10)/1000)-(N5)),0.1),1)))*'Background Tables'!K8))*'Background Tables'!K9,1)),0)),"Calc. Off"),"Calc. Off")</f>
        <v>10964</v>
      </c>
      <c r="R13" s="23">
        <f>IF($C$7="Yes",IF($C$9="Yes",ROUND(((L5+350+500+(L5+500+350)*P4+IF($C$13="Yes",ROUNDDOWN($I$9/15,0)*0.01*(L5+350+500),0))/(1-P3)/(1-IF(I5="CV",P6,0))/MIN(MAX((0.1+($I$3/($I$3+((L6+5)*(1+N6)+2)))+(($I$4-N4+I10)/1000)-N5),0.1),1))/'Background Tables'!$H$2/'Background Tables'!K2/'Background Tables'!K16/(IF(I15="Yes",1+(1-(1-'Background Tables'!K7)^((I17*(MIN(MAX((0.1+($I$3/($I$3+((L6+5)*(1+N6)+2)))+(($I$4-N4+I10)/1000)-(N5)),0.1),1)))*'Background Tables'!K8))*'Background Tables'!K9,1)),0),"Calc. Off"),"Calc. Off")</f>
        <v>11725</v>
      </c>
      <c r="S13" s="23">
        <f>IF($C$7="Yes",IF($C$10="Yes",ROUND(((L5+350+(L5+350)*P4)/(1-P3)/(1-IF(I5="CV",P6,0))/MIN(MAX((0.1+($I$3/($I$3+((L6+5+15)*(1+N6)+2)))+(($I$4-N4+I10)/1000)-N5),0.1),1))/'Background Tables'!$H$2/'Background Tables'!K2/'Background Tables'!K16/(IF(I15="Yes",1+(1-(1-'Background Tables'!K7)^((I17*(MIN(MAX((0.1+($I$3/($I$3+((L6+5+15)*(1+N6)+2)))+(($I$4-N4+I10)/1000)-(N5)),0.1),1)))*'Background Tables'!K8))*'Background Tables'!K9,1)),0),"Calc. Off"),"Calc. Off")</f>
        <v>11448</v>
      </c>
      <c r="T13" s="23">
        <f>IF($C$7="Yes",IF($C$11="Yes",ROUND(((L5+350+75+(L5+350+75)*P4)/(1-P3)/(1-IF(I5="CV",P6,0))/MIN(MAX((0.1+($I$3/($I$3+((L6+5+35)*(1+N6)+2)))+(($I$4-N4+I10)/1000)-N5),0.1),1))/'Background Tables'!$H$2/'Background Tables'!K2/'Background Tables'!K16/(IF(I15="Yes",1+(1-(1-'Background Tables'!K7)^((I17*(MIN(MAX((0.1+($I$3/($I$3+((L6+5+35)*(1+N6)+2)))+(($I$4-N4+I10)/1000)-(N5)),0.1),1)))*'Background Tables'!K8))*'Background Tables'!K9,1)),0),"Calc. Off"),"Calc. Off")</f>
        <v>13215</v>
      </c>
      <c r="U13" s="23">
        <f>IF($C$7="Yes",IF($C$12="Yes",ROUND((((L5+350+60+(L5+60+350)*P4)/(1-P3)/(1-IF(I5="CV",P6,0))/MIN(MAX((0.1+($I$3/($I$3+((L6+5+40)*(1+N6)+2)))+(($I$4-N4+I10)/1000)-N5),0.1),1))/'Background Tables'!$H$2)/IF($C$13="Yes",0.97,1)/'Background Tables'!K2/'Background Tables'!K16/(IF(I15="Yes",1+(1-(1-'Background Tables'!K7)^((I17*(MIN(MAX((0.1+($I$3/($I$3+((L6+5+40)*(1+N6)+2)))+(($I$4-N4+I10)/1000)-(N5)),0.1),1)))*'Background Tables'!K8))*'Background Tables'!K9,1)),0),"Calc. Off"),"Calc. Off")</f>
        <v>13984</v>
      </c>
      <c r="V13" s="25"/>
      <c r="W13" s="25"/>
      <c r="X13" s="25"/>
      <c r="Y13" s="25"/>
      <c r="Z13" s="25"/>
      <c r="AA13" s="25"/>
      <c r="AB13" s="25"/>
      <c r="AC13" s="25"/>
    </row>
    <row r="14" spans="1:29" ht="15.75" customHeight="1" x14ac:dyDescent="0.2">
      <c r="A14" s="25"/>
      <c r="B14" s="25"/>
      <c r="C14" s="25"/>
      <c r="D14" s="25"/>
      <c r="E14" s="28" t="s">
        <v>469</v>
      </c>
      <c r="F14" s="29"/>
      <c r="G14" s="25"/>
      <c r="H14" s="36" t="s">
        <v>521</v>
      </c>
      <c r="I14" s="36"/>
      <c r="J14" s="25"/>
      <c r="K14" s="58" t="str">
        <f>IF('Background Tables'!N2="Off","Torp. Bulge","owo what's this")</f>
        <v>Torp. Bulge</v>
      </c>
      <c r="L14" s="21">
        <f>IF($C$3="Yes",IF($C$8="Yes",IFERROR(_xlfn.IFS(L3="DD","N/A",L3="SS","N/A",L3="SSV","N/A",L3="CB","N/A"),ROUND(((L5+350+(L5+350)*P4)/(1-P3)/(1-IF(I5="CV",P6,0))/MIN(MAX((0.1+($I$3/($I$3+(L6*(1+N6)+2)))+(($I$4-N4+I10)/1000)-(N5)),0.1),1))/'Background Tables'!$H$2/IF($C$13="Yes",IF(I6="Torpedo",0.7,1),1)/'Background Tables'!K2/'Background Tables'!K16/(IF(I15="Yes",1+(1-(1-'Background Tables'!K7)^((I17*(MIN(MAX((0.1+($I$3/($I$3+(L6*(1+N6)+2)))+(($I$4-N4+I10)/1000)-(N5)),0.1),1)))*'Background Tables'!K8))*'Background Tables'!K9,1)),0)),"Calc. Off"),"Calc. Off")</f>
        <v>9829</v>
      </c>
      <c r="M14" s="23">
        <f>IF($C$4="Yes",IF($C$8="Yes",IFERROR(_xlfn.IFS(L3="DD","N/A",L3="SS","N/A",L3="SSV","N/A",L3="CB","N/A"),ROUND(((L5+266+350+(L5+350+266)*P4)/(1-P3)/(1-IF(I5="CV",P6,0))/MIN(MAX((0.1+($I$3/($I$3+(L6*(1+N6)+2)))+(($I$4-N4+I10)/1000)-(N5)),0.1),1))/'Background Tables'!$H$2/IF($C$13="Yes",IF(I6="Torpedo",0.7,1),1)/'Background Tables'!K2/'Background Tables'!K16/(IF(I15="Yes",1+(1-(1-'Background Tables'!K11)^((I17*(MIN(MAX((0.1+($I$3/($I$3+(L6*(1+N6)+2)))+(($I$4-N4+I10)/1000)-(N5)),0.1),1)))*'Background Tables'!K12))*'Background Tables'!K13,1)),0)),"Calc. Off"),"Calc. Off")</f>
        <v>10358</v>
      </c>
      <c r="N14" s="23">
        <f>IF($C$5="Yes",IF($C$8="Yes",IFERROR(_xlfn.IFS(L3="DD","N/A",L3="SS","N/A",L3="SSV","N/A",L3="CB","N/A"),ROUND(((L5+44+350+(L5+350+44)*P4)/(1-P3)/(1-IF(I5="CV",P6,0))/MIN(MAX((0.1+($I$3/($I$3+((L6+17)*(1+N6)+2)))+(($I$4-N4+I10)/1000)-N5),0.1),1))/'Background Tables'!$H$2/IF($C$13="Yes",IF(I6="Torpedo",0.7,1),1)/'Background Tables'!K2/'Background Tables'!K16/(IF(I15="Yes",1+(1-(1-'Background Tables'!K7)^((I17*(MIN(MAX((0.1+($I$3/($I$3+((L6+17)*(1+N6)+2)))+(($I$4-N4+I10)/1000)-(N5)),0.1),1)))*'Background Tables'!K8))*'Background Tables'!K9,1)),0)),"Calc. Off"),"Calc. Off")</f>
        <v>11308</v>
      </c>
      <c r="O14" s="23">
        <f>IF($C$8="Yes",IF($C$6="Yes",IFERROR(_xlfn.IFS(L3="DD","N/A",L3="SS","N/A",L3="SSV","N/A",L3="CB","N/A"),ROUND(((L5+245+350+(L5+245+350)*P4)/(1-P3)/(1-IF(I5="CV",P6,0))/MIN(MAX((0.1+($I$3/($I$3+((L6+0)*(1+N6)+2)))+(($I$4-N4+I10)/1000)-N5),0.1),1))/'Background Tables'!$H$2/IF($C$13="Yes",IF(I6="Torpedo",0.7,1),1)/'Background Tables'!K2/'Background Tables'!K16/(IF(I15="Yes",1+(1-(1-'Background Tables'!K7)^((I17*(MIN(MAX((0.1+($I$3/($I$3+(L6*(1+N6)+2)))+(($I$4-N4+I10)/1000)-(N5)),0.1),1)))*'Background Tables'!K8))*'Background Tables'!K9,1)),0)),"Calc. Off"),"Calc. Off")</f>
        <v>10316</v>
      </c>
      <c r="P14" s="23">
        <f>IF($C$7="Yes",IF($C$8="Yes",IFERROR(_xlfn.IFS(L3="DD","N/A",L3="SS","N/A",L3="SSV","N/A",L3="CB","N/A"),ROUND(((L5+350+350+(L5+350+350)*P4)/(1-P3)/(1-IF(I5="CV",P6,0))/MIN(MAX((0.1+($I$3/($I$3+((L6+5)*(1+N6)+2)))+(($I$4-N4+I10)/1000)-N5),0.1),1))/'Background Tables'!$H$2/IF($C$13="Yes",IF(I6="Torpedo",0.7,1),1)/'Background Tables'!K2/'Background Tables'!K16/(IF(I15="Yes",1+(1-(1-'Background Tables'!K7)^((I17*(MIN(MAX((0.1+($I$3/($I$3+((L6+5)*(1+N6)+2)))+(($I$4-N4+I10)/1000)-(N5)),0.1),1)))*'Background Tables'!K8))*'Background Tables'!K9,1)),0)),"Calc. Off"),"Calc. Off")</f>
        <v>10964</v>
      </c>
      <c r="Q14" s="23">
        <f>IF($C$8="Yes",IFERROR(_xlfn.IFS(L3="DD","N/A",L3="SS","N/A",L3="SSV","N/A",L3="CB","N/A"),ROUND(((L5+350+350+(L5+350+350)*P4)/(1-P3)/(1-IF(I5="CV",P6,0))/MIN(MAX((0.1+($I$3/($I$3+((L6+0)*(1+N6)+2)))+(($I$4-N4+I10)/1000)-N5),0.1),1))/'Background Tables'!$H$2/IF($C$13="Yes",IF(I6="Torpedo",0.7,1),1)/'Background Tables'!K2/'Background Tables'!K16/(IF(I15="Yes",1+(1-(1-'Background Tables'!K7)^((I17*(MIN(MAX((0.1+($I$3/($I$3+(L6*(1+N6)+2)))+(($I$4-N4+I10)/1000)-(N5)),0.1),1)))*'Background Tables'!K8))*'Background Tables'!K9,1)),0)),"Calc. Off")</f>
        <v>10525</v>
      </c>
      <c r="R14" s="23">
        <f>IF($C$9="Yes",IF($C$8="Yes",IFERROR(_xlfn.IFS(L3="DD","N/A",L3="SS","N/A",L3="SSV","N/A",L3="CB","N/A"),ROUND(((L5+350+500+(L5+350+500)*P4+IF($C$13="Yes",ROUNDDOWN($I$9/15,0)*0.01*(L5+350+500),0))/(1-P3)/(1-IF(I5="CV",P6,0))/MIN(MAX((0.1+($I$3/($I$3+((L6+0)*(1+N6)+2)))+(($I$4-N4+I10)/1000)-N5),0.1),1))/'Background Tables'!$H$2/IF($C$13="Yes",IF(I6="Torpedo",0.7,1),1)/'Background Tables'!K2/'Background Tables'!K16/(IF(I15="Yes",1+(1-(1-'Background Tables'!K7)^((I17*(MIN(MAX((0.1+($I$3/($I$3+(L6*(1+N6)+2)))+(($I$4-N4+I10)/1000)-(N5)),0.1),1)))*'Background Tables'!K8))*'Background Tables'!K9,1)),0)),"Calc. Off"),"Calc. Off")</f>
        <v>11256</v>
      </c>
      <c r="S14" s="23">
        <f>IF($C$10="Yes",IF($C$8="Yes",IFERROR(_xlfn.IFS(L3="DD","N/A",L3="SS","N/A",L3="SSV","N/A",L3="CB","N/A"),ROUND(((L5+350+(L5+350)*P4)/(1-P3)/(1-IF(I5="CV",P6,0))/MIN(MAX((0.1+($I$3/($I$3+((L6+15)*(1+N6)+2)))+(($I$4-N4+I10)/1000)-N5),0.1),1))/'Background Tables'!$H$2/IF($C$13="Yes",IF(I6="Torpedo",0.7,1),1)/'Background Tables'!K2/'Background Tables'!K16/(IF(I15="Yes",1+(1-(1-'Background Tables'!K7)^((I17*(MIN(MAX((0.1+($I$3/($I$3+((L6+15)*(1+N6)+2)))+(($I$4-N4+I10)/1000)-(N5)),0.1),1)))*'Background Tables'!K8))*'Background Tables'!K9,1)),0)),"Calc. Off"),"Calc. Off")</f>
        <v>11048</v>
      </c>
      <c r="T14" s="23">
        <f>IF($C$11="Yes",IF($C$8="Yes",IFERROR(_xlfn.IFS(L3="DD","N/A",L3="SS","N/A",L3="SSV","N/A",L3="CB","N/A"),ROUND(((L5+350+75+(L5+350+75)*P4)/(1-P3)/(1-IF(I5="CV",P6,0))/MIN(MAX((0.1+($I$3/($I$3+((L6+35)*(1+N6)+2)))+(($I$4-N4+I10)/1000)-N5),0.1),1))/'Background Tables'!$H$2/IF($C$13="Yes",IF(I6="Torpedo",0.7,1),1)/'Background Tables'!K2/'Background Tables'!K16/(IF(I15="Yes",1+(1-(1-'Background Tables'!K7)^((I17*(MIN(MAX((0.1+($I$3/($I$3+((L6+35)*(1+N6)+2)))+(($I$4-N4+I10)/1000)-(N5)),0.1),1)))*'Background Tables'!K8))*'Background Tables'!K9,1)),0)),"Calc. Off"),"Calc. Off")</f>
        <v>12821</v>
      </c>
      <c r="U14" s="23">
        <f>IF($C$12="Yes",IF($C$8="Yes",IFERROR(_xlfn.IFS(L3="DD","N/A",L3="SS","N/A",L3="SSV","N/A",L3="CB","N/A"),ROUND((((L5+350+60+(L5+350+60)*P4)/(1-P3)/(1-IF(I5="CV",P6,0))/MIN(MAX((0.1+($I$3/($I$3+((L6+40)*(1+N6)+2)))+(($I$4-N4+I10)/1000)-N5),0.1),1))/'Background Tables'!$H$2/IF($C$13="Yes",IF(I6="Torpedo",0.7,1),1))/IF($C$13="Yes",0.97,1)/'Background Tables'!K2/'Background Tables'!K16/(IF(I15="Yes",1+(1-(1-'Background Tables'!K7)^((I17*(MIN(MAX((0.1+($I$3/($I$3+((L6+40)*(1+N6)+2)))+(($I$4-N4+I10)/1000)-(N5)),0.1),1)))*'Background Tables'!K8))*'Background Tables'!K9,1)),0)),"Calc. Off"),"Calc. Off")</f>
        <v>13583</v>
      </c>
      <c r="V14" s="25"/>
      <c r="W14" s="25"/>
      <c r="X14" s="25"/>
      <c r="Y14" s="25"/>
      <c r="Z14" s="25"/>
      <c r="AA14" s="25"/>
      <c r="AB14" s="25"/>
      <c r="AC14" s="25"/>
    </row>
    <row r="15" spans="1:29" ht="15.75" customHeight="1" x14ac:dyDescent="0.2">
      <c r="A15" s="25"/>
      <c r="B15" s="47" t="s">
        <v>538</v>
      </c>
      <c r="C15" s="47"/>
      <c r="D15" s="25"/>
      <c r="E15" s="28" t="s">
        <v>553</v>
      </c>
      <c r="F15" s="29"/>
      <c r="G15" s="25"/>
      <c r="H15" s="36" t="s">
        <v>506</v>
      </c>
      <c r="I15" s="29" t="s">
        <v>440</v>
      </c>
      <c r="J15" s="25"/>
      <c r="K15" s="58" t="str">
        <f>IF('Background Tables'!N2="Off","Repair Toolkit","Lunchkit")</f>
        <v>Repair Toolkit</v>
      </c>
      <c r="L15" s="21">
        <f>IF($C$3="Yes",IF($C$9="Yes",ROUND(((L5+500+(L5+500)*P4+IF($C$13="Yes",ROUNDDOWN($I$9/15,0)*0.01*(L5+500),0))/(1-P3)/(1-IF(I5="CV",P6,0))/MIN(MAX((0.1+($I$3/($I$3+(L6*(1+N6)+2)))+(($I$4-N4+I10)/1000)-(N5)),0.1),1))/'Background Tables'!$H$2/'Background Tables'!K2/'Background Tables'!K16/(IF(I15="Yes",1+(1-(1-'Background Tables'!K7)^((I17*(MIN(MAX((0.1+($I$3/($I$3+(L6*(1+N6)+2)))+(($I$4-N4+I10)/1000)-(N5)),0.1),1)))*'Background Tables'!K8))*'Background Tables'!K9,1)),0),"Calc. Off"),"Calc. Off")</f>
        <v>10532</v>
      </c>
      <c r="M15" s="23">
        <f>IF($C$4="Yes",IF($C$9="Yes",ROUND(((L5+266+500+(L5+500+266)*P4+IF($C$13="Yes",ROUNDDOWN($I$9/15,0)*0.01*(L5+266+500),0))/(1-P3)/(1-IF(I5="CV",P6,0))/MIN(MAX((0.1+($I$3/($I$3+(L6*(1+N6)+2)))+(($I$4-N4+I10)/1000)-(N5)),0.1),1))/'Background Tables'!$H$2/'Background Tables'!K2/'Background Tables'!K16/(IF(I15="Yes",1+(1-(1-'Background Tables'!K11)^((I17*(MIN(MAX((0.1+($I$3/($I$3+(L6*(1+N6)+2)))+(($I$4-N4+I10)/1000)-(N5)),0.1),1)))*'Background Tables'!K12))*'Background Tables'!K13,1)),0),"Calc. Off"),"Calc. Off")</f>
        <v>11082</v>
      </c>
      <c r="N15" s="23">
        <f>IF($C$5="Yes",IF($C$9="Yes",ROUND(((L5+44+500+(L5+500+44)*P4+IF($C$13="Yes",ROUNDDOWN($I$9/15,0)*0.01*(L5+44+500),0))/(1-P3)/(1-IF(I5="CV",P6,0))/MIN(MAX((0.1+($I$3/($I$3+((L6+17)*(1+N6)+2)))+(($I$4-N4+I10)/1000)-N5),0.1),1))/'Background Tables'!$H$2/'Background Tables'!K2/'Background Tables'!K16/(IF(I15="Yes",1+(1-(1-'Background Tables'!K7)^((I17*(MIN(MAX((0.1+($I$3/($I$3+((L6+17)*(1+N6)+2)))+(($I$4-N4+I10)/1000)-(N5)),0.1),1)))*'Background Tables'!K8))*'Background Tables'!K9,1)),0),"Calc. Off"),"Calc. Off")</f>
        <v>12115</v>
      </c>
      <c r="O15" s="23">
        <f>IF($C$9="Yes",IF($C$6="Yes",ROUND(((L5+245+500+(L5+245+500)*P4+IF($C$13="Yes",ROUNDDOWN($I$9/15,0)*0.01*(L5+245+500),0))/(1-P3)/(1-IF(I5="CV",P6,0))/MIN(MAX((0.1+($I$3/($I$3+((L6+0)*(1+N6)+2)))+(($I$4-N4+I10)/1000)-N5),0.1),1))/'Background Tables'!$H$2/'Background Tables'!K2/'Background Tables'!K16/(IF(I15="Yes",1+(1-(1-'Background Tables'!K7)^((I17*(MIN(MAX((0.1+($I$3/($I$3+(L6*(1+N6)+2)))+(($I$4-N4+I10)/1000)-(N5)),0.1),1)))*'Background Tables'!K8))*'Background Tables'!K9,1)),0),"Calc. Off"),"Calc. Off")</f>
        <v>11039</v>
      </c>
      <c r="P15" s="23">
        <f>IF($C$7="Yes",IF($C$9="Yes",ROUND(((L5+350+500+(L5+500+350)*P4+IF($C$13="Yes",ROUNDDOWN($I$9/15,0)*0.01*(L5+350+500),0))/(1-P3)/(1-IF(I5="CV",P6,0))/MIN(MAX((0.1+($I$3/($I$3+((L6+5)*(1+N6)+2)))+(($I$4-N4+I10)/1000)-N5),0.1),1))/'Background Tables'!$H$2/'Background Tables'!K2/'Background Tables'!K16/(IF(I15="Yes",1+(1-(1-'Background Tables'!K7)^((I17*(MIN(MAX((0.1+($I$3/($I$3+((L6+5)*(1+N6)+2)))+(($I$4-N4+I10)/1000)-(N5)),0.1),1)))*'Background Tables'!K8))*'Background Tables'!K9,1)),0),"Calc. Off"),"Calc. Off")</f>
        <v>11725</v>
      </c>
      <c r="Q15" s="23">
        <f>IF($C$8="Yes",IF($C$9="Yes",IFERROR(_xlfn.IFS(L3="DD","N/A",L3="SS","N/A",L3="SSV","N/A",L3="CB","N/A"),ROUND(((L5+350+500+(L5+500+350)*P4+IF($C$13="Yes",ROUNDDOWN($I$9/15,0)*0.01*(L5+350+500),0))/(1-P3)/(1-IF(I5="CV",P6,0))/MIN(MAX((0.1+($I$3/($I$3+((L6+0)*(1+N6)+2)))+(($I$4-N4+I10)/1000)-N5),0.1),1))/'Background Tables'!$H$2/IF($C$13="Yes",IF(I6="Torpedo",0.7,1),1)/'Background Tables'!K2/'Background Tables'!K16/(IF(I15="Yes",1+(1-(1-'Background Tables'!K7)^((I17*(MIN(MAX((0.1+($I$3/($I$3+(L6*(1+N6)+2)))+(($I$4-N4+I10)/1000)-(N5)),0.1),1)))*'Background Tables'!K8))*'Background Tables'!K9,1)),0)),"Calc. Off"),"Calc. Off")</f>
        <v>11256</v>
      </c>
      <c r="R15" s="23">
        <f>IF($C$9="Yes",ROUND(((L5+500+500+(L5+500+500)*P4+IF($C$13="Yes",ROUNDDOWN($I$9/15,0)*0.01*(L5+500+500),0))/(1-P3)/(1-IF(I5="CV",P6,0))/MIN(MAX((0.1+($I$3/($I$3+((L6+0)*(1+N6)+2)))+(($I$4-N4+I10)/1000)-N5),0.1),1))/'Background Tables'!$H$2/'Background Tables'!K2/'Background Tables'!K16/(IF(I15="Yes",1+(1-(1-'Background Tables'!K7)^((I17*(MIN(MAX((0.1+($I$3/($I$3+(L6*(1+N6)+2)))+(($I$4-N4+I10)/1000)-(N5)),0.1),1)))*'Background Tables'!K8))*'Background Tables'!K9,1)),0),"Calc. Off")</f>
        <v>11566</v>
      </c>
      <c r="S15" s="23">
        <f>IF($C$10="Yes",IF($C$9="Yes",ROUND(((L5+500+(L5+500)*P4+IF($C$13="Yes",ROUNDDOWN($I$9/15,0)*0.01*(L5+500),0))/(1-P3)/(1-IF(I5="CV",P6,0))/MIN(MAX((0.1+($I$3/($I$3+((L6+15)*(1+N6)+2)))+(($I$4-N4+I10)/1000)-N5),0.1),1))/'Background Tables'!$H$2/'Background Tables'!K2/'Background Tables'!K16/(IF(I15="Yes",1+(1-(1-'Background Tables'!K7)^((I17*(MIN(MAX((0.1+($I$3/($I$3+((L6+15)*(1+N6)+2)))+(($I$4-N4+I10)/1000)-(N5)),0.1),1)))*'Background Tables'!K8))*'Background Tables'!K9,1)),0),"Calc. Off"),"Calc. Off")</f>
        <v>11839</v>
      </c>
      <c r="T15" s="23">
        <f>IF($C$11="Yes",IF($C$9="Yes",ROUND(((L5+500+75+(L5+500+75)*P4+IF($C$13="Yes",ROUNDDOWN($I$9/15,0)*0.01*(L5+500+75),0))/(1-P3)/(1-IF(I5="CV",P6,0))/MIN(MAX((0.1+($I$3/($I$3+((L6+35)*(1+N6)+2)))+(($I$4-N4+I10)/1000)-N5),0.1),1))/'Background Tables'!$H$2/'Background Tables'!K2/'Background Tables'!K16/(IF(I15="Yes",1+(1-(1-'Background Tables'!K7)^((I17*(MIN(MAX((0.1+($I$3/($I$3+((L6+35)*(1+N6)+2)))+(($I$4-N4+I10)/1000)-(N5)),0.1),1)))*'Background Tables'!K8))*'Background Tables'!K9,1)),0),"Calc. Off"),"Calc. Off")</f>
        <v>13733</v>
      </c>
      <c r="U15" s="23">
        <f>IF($C$12="Yes",IF($C$9="Yes",ROUND((((L5+500+60+(L5+500+60)*P4+IF($C$13="Yes",ROUNDDOWN($I$9/15,0)*0.01*(L5+500+60),0))/(1-P3)/(1-IF(I5="CV",P6,0))/MIN(MAX((0.1+($I$3/($I$3+((L6+40)*(1+N6)+2)))+(($I$4-N4+I10)/1000)-N5),0.1),1))/'Background Tables'!$H$2)/IF($C$13="Yes",0.97,1)/'Background Tables'!K2/'Background Tables'!K16/(IF(I15="Yes",1+(1-(1-'Background Tables'!K7)^((I17*(MIN(MAX((0.1+($I$3/($I$3+((L6+40)*(1+N6)+2)))+(($I$4-N4+I10)/1000)-(N5)),0.1),1)))*'Background Tables'!K8))*'Background Tables'!K9,1)),0),"Calc. Off"),"Calc. Off")</f>
        <v>14550</v>
      </c>
      <c r="V15" s="25"/>
      <c r="W15" s="25"/>
      <c r="X15" s="25"/>
      <c r="Y15" s="25"/>
      <c r="Z15" s="25"/>
      <c r="AA15" s="25"/>
      <c r="AB15" s="25"/>
      <c r="AC15" s="25"/>
    </row>
    <row r="16" spans="1:29" ht="15.75" customHeight="1" x14ac:dyDescent="0.2">
      <c r="A16" s="25"/>
      <c r="B16" s="31" t="s">
        <v>555</v>
      </c>
      <c r="C16" s="29" t="s">
        <v>462</v>
      </c>
      <c r="D16" s="25"/>
      <c r="E16" s="28" t="s">
        <v>557</v>
      </c>
      <c r="F16" s="29"/>
      <c r="G16" s="25"/>
      <c r="H16" s="37" t="s">
        <v>520</v>
      </c>
      <c r="I16" s="29"/>
      <c r="J16" s="25"/>
      <c r="K16" s="58" t="str">
        <f>IF('Background Tables'!N2="Off","SG Radar","Helena's hairpin")</f>
        <v>SG Radar</v>
      </c>
      <c r="L16" s="21">
        <f>IF($C$10="Yes",IF($C$3="Yes",ROUND(((L5+L5*P4)/(1-P3)/(1-IF(I5="CV",P6,0))/MIN(MAX((0.1+($I$3/($I$3+((L6+15)*(1+N6)+2)))+(($I$4-N4+I10)/1000)-(N5)),0.1),1))/'Background Tables'!$H$2/'Background Tables'!K2/'Background Tables'!K16/(IF(I15="Yes",1+(1-(1-'Background Tables'!K7)^((I17*(MIN(MAX((0.1+($I$3/($I$3+((L6+15)*(1+N6)+2)))+(($I$4-N4+I10)/1000)-(N5)),0.1),1)))*'Background Tables'!K8))*'Background Tables'!K9,1)),0),"Calc. Off"),"Calc. Off")</f>
        <v>10266</v>
      </c>
      <c r="M16" s="23">
        <f>IF($C$10="Yes",IF($C$4="Yes",ROUND(((L5+266+(L5+266)*P4)/(1-P3)/(1-IF(I5="CV",P6,0))/MIN(MAX((0.1+($I$3/($I$3+((L6+15)*(1+N6)+2)))+(($I$4-N4+I10)/1000)-(N5)),0.1),1))/'Background Tables'!$H$2/'Background Tables'!K2/'Background Tables'!K16/(IF(I15="Yes",1+(1-(1-'Background Tables'!K11)^((I17*(MIN(MAX((0.1+($I$3/($I$3+((L6+15)*(1+N6)+2)))+(($I$4-N4+I10)/1000)-(N5)),0.1),1)))*'Background Tables'!K12))*'Background Tables'!K13,1)),0),"Calc. Off"),"Calc. Off")</f>
        <v>10860</v>
      </c>
      <c r="N16" s="23">
        <f>IF($C$5="Yes",IF($C$10="Yes",ROUND(((L5+44+(L5+44)*P4)/(1-P3)/(1-IF(I5="CV",P6,0))/MIN(MAX((0.1+($I$3/($I$3+((L6+17+15)*(1+N6)+2)))+(($I$4-N4+I10)/1000)-N5),0.1),1))/'Background Tables'!$H$2/'Background Tables'!K2/'Background Tables'!K16/(IF(I15="Yes",1+(1-(1-'Background Tables'!K7)^((I17*(MIN(MAX((0.1+($I$3/($I$3+((L6+17+15)*(1+N6)+2)))+(($I$4-N4+I10)/1000)-(N5)),0.1),1)))*'Background Tables'!K8))*'Background Tables'!K9,1)),0),"Calc. Off"),"Calc. Off")</f>
        <v>11628</v>
      </c>
      <c r="O16" s="23">
        <f>IF($C$10="Yes",IF($C$6="Yes",ROUND(((L5+245+(L5+245)*P4)/(1-P3)/(1-IF(I5="CV",P6,0))/MIN(MAX((0.1+($I$3/($I$3+((L6+15)*(1+N6)+2)))+(($I$4-N4+I10)/1000)-N5),0.1),1))/'Background Tables'!$H$2/'Background Tables'!K2/'Background Tables'!K16/(IF(I15="Yes",1+(1-(1-'Background Tables'!K7)^((I17*(MIN(MAX((0.1+($I$3/($I$3+((L6+15)*(1+N6)+2)))+(($I$4-N4+I10)/1000)-(N5)),0.1),1)))*'Background Tables'!K8))*'Background Tables'!K9,1)),0),"Calc. Off"),"Calc. Off")</f>
        <v>10813</v>
      </c>
      <c r="P16" s="23">
        <f>IF($C$7="Yes",IF($C$10="Yes",ROUND(((L5+350+(L5+350)*P4)/(1-P3)/(1-IF(I5="CV",P6,0))/MIN(MAX((0.1+($I$3/($I$3+((L6+5+15)*(1+N6)+2)))+(($I$4-N4+I10)/1000)-N5),0.1),1))/'Background Tables'!$H$2/'Background Tables'!K2/'Background Tables'!K16/(IF(I15="Yes",1+(1-(1-'Background Tables'!K7)^((I17*(MIN(MAX((0.1+($I$3/($I$3+((L6+5+15)*(1+N6)+2)))+(($I$4-N4+I10)/1000)-(N5)),0.1),1)))*'Background Tables'!K8))*'Background Tables'!K9,1)),0),"Calc. Off"),"Calc. Off")</f>
        <v>11448</v>
      </c>
      <c r="Q16" s="23">
        <f>IF($C$10="Yes",IF($C$8="Yes",IFERROR(_xlfn.IFS(L3="DD","N/A",L3="SS","N/A",L3="SSV","N/A",L3="CB","N/A"),ROUND(((L5+350+(L5+350)*P4)/(1-P3)/(1-IF(I5="CV",P6,0))/MIN(MAX((0.1+($I$3/($I$3+((L6+15)*(1+N6)+2)))+(($I$4-N4+I10)/1000)-N5),0.1),1))/'Background Tables'!$H$2/IF($C$13="Yes",IF(I6="Torpedo",0.7,1),1)/'Background Tables'!K2/'Background Tables'!K16/(IF(I15="Yes",1+(1-(1-'Background Tables'!K7)^((I17*(MIN(MAX((0.1+($I$3/($I$3+((L6+15)*(1+N6)+2)))+(($I$4-N4+I10)/1000)-(N5)),0.1),1)))*'Background Tables'!K8))*'Background Tables'!K9,1)),0)),"Calc. Off"),"Calc. Off")</f>
        <v>11048</v>
      </c>
      <c r="R16" s="23">
        <f>IF($C$10="Yes",IF($C$9="Yes",ROUND(((L5+500+(L5+500)*P4+IF($C$13="Yes",ROUNDDOWN($I$9/15,0)*0.01*(L5+500),0))/(1-P3)/(1-IF(I5="CV",P6,0))/MIN(MAX((0.1+($I$3/($I$3+((L6+15)*(1+N6)+2)))+(($I$4-N4+I10)/1000)-N5),0.1),1))/'Background Tables'!$H$2/'Background Tables'!K2/'Background Tables'!K16/(IF(I15="Yes",1+(1-(1-'Background Tables'!K7)^((I17*(MIN(MAX((0.1+($I$3/($I$3+((L6+15)*(1+N6)+2)))+(($I$4-N4+I10)/1000)-(N5)),0.1),1)))*'Background Tables'!K8))*'Background Tables'!K9,1)),0),"Calc. Off"),"Calc. Off")</f>
        <v>11839</v>
      </c>
      <c r="S16" s="23">
        <f>IF($C$10="Yes",ROUND(((L5+(L5)*P4)/(1-P3)/(1-IF(I5="CV",P6,0))/MIN(MAX((0.1+($I$3/($I$3+((L6+15+15)*(1+N6)+2)))+(($I$4-N4+I10)/1000)-N5),0.1),1))/'Background Tables'!$H$2/'Background Tables'!K2/'Background Tables'!K16/(IF(I15="Yes",1+(1-(1-'Background Tables'!K7)^((I17*(MIN(MAX((0.1+($I$3/($I$3+((L6+15+15)*(1+N6)+2)))+(($I$4-N4+I10)/1000)-(N5)),0.1),1)))*'Background Tables'!K8))*'Background Tables'!K9,1)),0),"Calc. Off")</f>
        <v>11372</v>
      </c>
      <c r="T16" s="23">
        <f>IF($C$10="Yes",IF($C$11="Yes",ROUND(((L5+75+(L5+75)*P4)/(1-P3)/(1-IF(I5="CV",P6,0))/MIN(MAX((0.1+($I$3/($I$3+((L6+15+35)*(1+N6)+2)))+(($I$4-N4+I10)/1000)-N5),0.1),1))/'Background Tables'!$H$2/'Background Tables'!K2/'Background Tables'!K16/(IF(I15="Yes",1+(1-(1-'Background Tables'!K7)^((I17*(MIN(MAX((0.1+($I$3/($I$3+((L6+15+35)*(1+N6)+2)))+(($I$4-N4+I10)/1000)-(N5)),0.1),1)))*'Background Tables'!K8))*'Background Tables'!K9,1)),0),"Calc. Off"),"Calc. Off")</f>
        <v>13017</v>
      </c>
      <c r="U16" s="23">
        <f>IF($C$10="Yes",IF($C$12="Yes",ROUND((((L5+60+(L5+60)*P4)/(1-P3)/(1-IF(I5="CV",P6,0))/MIN(MAX((0.1+($I$3/($I$3+((L6+15+40)*(1+N6)+2)))+(($I$4-N4+I10)/1000)-N5),0.1),1))/'Background Tables'!$H$2)/IF($C$13="Yes",0.97,1)/'Background Tables'!K2/'Background Tables'!K16/(IF(I15="Yes",1+(1-(1-'Background Tables'!K7)^((I17*(MIN(MAX((0.1+($I$3/($I$3+((L6+15+40)*(1+N6)+2)))+(($I$4-N4+I10)/1000)-(N5)),0.1),1)))*'Background Tables'!K8))*'Background Tables'!K9,1)),0),"Calc. Off"),"Calc. Off")</f>
        <v>13744</v>
      </c>
      <c r="V16" s="25"/>
      <c r="W16" s="25"/>
      <c r="X16" s="25"/>
      <c r="Y16" s="25"/>
      <c r="Z16" s="25"/>
      <c r="AA16" s="25"/>
      <c r="AB16" s="25"/>
      <c r="AC16" s="25"/>
    </row>
    <row r="17" spans="1:29" ht="15.75" customHeight="1" x14ac:dyDescent="0.2">
      <c r="A17" s="25"/>
      <c r="B17" s="31" t="s">
        <v>423</v>
      </c>
      <c r="C17" s="29" t="s">
        <v>462</v>
      </c>
      <c r="D17" s="25"/>
      <c r="E17" s="28" t="s">
        <v>512</v>
      </c>
      <c r="F17" s="29"/>
      <c r="G17" s="25"/>
      <c r="H17" s="37" t="s">
        <v>519</v>
      </c>
      <c r="I17" s="29"/>
      <c r="J17" s="25"/>
      <c r="K17" s="58" t="str">
        <f>IF('Background Tables'!N2="Off","Beaver Badge","gottagofast2.jpg")</f>
        <v>Beaver Badge</v>
      </c>
      <c r="L17" s="24">
        <f>IF($C$11="Yes",IF($C$3="Yes",ROUND(((L5+75+(L5+75)*P4)/(1-P3)/(1-IF(I5="CV",P6,0))/MIN(MAX((0.1+($I$3/($I$3+((L6+35)*(1+N6)+2)))+(($I$4-N4+I10)/1000)-(N5)),0.1),1))/'Background Tables'!$H$2/'Background Tables'!K2/'Background Tables'!K16/(IF(I15="Yes",1+(1-(1-'Background Tables'!K7)^((I17*(MIN(MAX((0.1+($I$3/($I$3+((L6+35)*(1+N6)+2)))+(($I$4-N4+I10)/1000)-(N5)),0.1),1)))*'Background Tables'!K8))*'Background Tables'!K9,1)),0),"Calc. Off"),"Calc. Off")</f>
        <v>11927</v>
      </c>
      <c r="M17" s="23">
        <f>IF($C$11="Yes",IF($C$4="Yes",ROUND(((L5+266+75+(L5+266+75)*P4)/(1-P3)/(1-IF(I5="CV",P6,0))/MIN(MAX((0.1+($I$3/($I$3+((L6+35)*(1+N6)+2)))+(($I$4-N4+I10)/1000)-(N5)),0.1),1))/'Background Tables'!$H$2/'Background Tables'!K2/'Background Tables'!K16/(IF(I15="Yes",1+(1-(1-'Background Tables'!K11)^((I17*(MIN(MAX((0.1+($I$3/($I$3+((L6+35)*(1+N6)+2)))+(($I$4-N4+I10)/1000)-(N5)),0.1),1)))*'Background Tables'!K12))*'Background Tables'!K13,1)),0),"Calc. Off"),"Calc. Off")</f>
        <v>12607</v>
      </c>
      <c r="N17" s="23">
        <f>IF($C$5="Yes",IF($C$11="Yes",ROUND(((L5+44+75+(L5+75+44)*P4)/(1-P3)/(1-IF(I5="CV",P6,0))/MIN(MAX((0.1+($I$3/($I$3+((L6+17+35)*(1+N6)+2)))+(($I$4-N4+I10)/1000)-N5),0.1),1))/'Background Tables'!$H$2/'Background Tables'!K2/'Background Tables'!K16/(IF(I15="Yes",1+(1-(1-'Background Tables'!K7)^((I17*(MIN(MAX((0.1+($I$3/($I$3+((L6+17+35)*(1+N6)+2)))+(($I$4-N4+I10)/1000)-(N5)),0.1),1)))*'Background Tables'!K8))*'Background Tables'!K9,1)),0),"Calc. Off"),"Calc. Off")</f>
        <v>13284</v>
      </c>
      <c r="O17" s="23">
        <f>IF($C$11="Yes",IF($C$6="Yes",ROUND(((L5+245+75+(L5+245+75)*P4)/(1-P3)/(1-IF(I5="CV",P6,0))/MIN(MAX((0.1+($I$3/($I$3+((L6+35)*(1+N6)+2)))+(($I$4-N4+I10)/1000)-N5),0.1),1))/'Background Tables'!$H$2/'Background Tables'!K2/'Background Tables'!K16/(IF(I15="Yes",1+(1-(1-'Background Tables'!K7)^((I17*(MIN(MAX((0.1+($I$3/($I$3+((L6+35)*(1+N6)+2)))+(($I$4-N4+I10)/1000)-(N5)),0.1),1)))*'Background Tables'!K8))*'Background Tables'!K9,1)),0),"Calc. Off"),"Calc. Off")</f>
        <v>12553</v>
      </c>
      <c r="P17" s="23">
        <f>IF($C$7="Yes",IF($C$11="Yes",ROUND(((L5+350+75+(L5+350+75)*P4)/(1-P3)/(1-IF(I5="CV",P6,0))/MIN(MAX((0.1+($I$3/($I$3+((L6+5+35)*(1+N6)+2)))+(($I$4-N4+I10)/1000)-N5),0.1),1))/'Background Tables'!$H$2/'Background Tables'!K2/'Background Tables'!K16/(IF(I15="Yes",1+(1-(1-'Background Tables'!K7)^((I17*(MIN(MAX((0.1+($I$3/($I$3+((L6+5+35)*(1+N6)+2)))+(($I$4-N4+I10)/1000)-(N5)),0.1),1)))*'Background Tables'!K8))*'Background Tables'!K9,1)),0),"Calc. Off"),"Calc. Off")</f>
        <v>13215</v>
      </c>
      <c r="Q17" s="23">
        <f>IF($C$11="Yes",IF($C$8="Yes",IFERROR(_xlfn.IFS(L3="DD","N/A",L3="SS","N/A",L3="SSV","N/A",L3="CB","N/A"),ROUND(((L5+350+75+(L5+350+75)*P4)/(1-P3)/(1-IF(I5="CV",P6,0))/MIN(MAX((0.1+($I$3/($I$3+((L6+35)*(1+N6)+2)))+(($I$4-N4+I10)/1000)-N5),0.1),1))/'Background Tables'!$H$2/IF($C$13="Yes",IF(I6="Torpedo",0.7,1),1)/'Background Tables'!K2/'Background Tables'!K16/(IF(I15="Yes",1+(1-(1-'Background Tables'!K7)^((I17*(MIN(MAX((0.1+($I$3/($I$3+((L6+35)*(1+N6)+2)))+(($I$4-N4+I10)/1000)-(N5)),0.1),1)))*'Background Tables'!K8))*'Background Tables'!K9,1)),0)),"Calc. Off"),"Calc. Off")</f>
        <v>12821</v>
      </c>
      <c r="R17" s="23">
        <f>IF($C$11="Yes",IF($C$9="Yes",ROUND(((L5+500+75+(L5+500+75)*P4+IF($C$13="Yes",ROUNDDOWN($I$9/15,0)*0.01*(L5+500+75),0))/(1-P3)/(1-IF(I5="CV",P6,0))/MIN(MAX((0.1+($I$3/($I$3+((L6+35)*(1+N6)+2)))+(($I$4-N4+I10)/1000)-N5),0.1),1))/'Background Tables'!$H$2/'Background Tables'!K2/'Background Tables'!K16/(IF(I15="Yes",1+(1-(1-'Background Tables'!K7)^((I17*(MIN(MAX((0.1+($I$3/($I$3+((L6+35)*(1+N6)+2)))+(($I$4-N4+I10)/1000)-(N5)),0.1),1)))*'Background Tables'!K8))*'Background Tables'!K9,1)),0),"Calc. Off"),"Calc. Off")</f>
        <v>13733</v>
      </c>
      <c r="S17" s="23">
        <f>IF($C$10="Yes",IF($C$11="Yes",ROUND(((L5+75+(L5+75)*P4)/(1-P3)/(1-IF(I5="CV",P6,0))/MIN(MAX((0.1+($I$3/($I$3+((L6+15+35)*(1+N6)+2)))+(($I$4-N4+I10)/1000)-N5),0.1),1))/'Background Tables'!$H$2/'Background Tables'!K2/'Background Tables'!K16/(IF(I15="Yes",1+(1-(1-'Background Tables'!K7)^((I17*(MIN(MAX((0.1+($I$3/($I$3+((L6+15+35)*(1+N6)+2)))+(($I$4-N4+I10)/1000)-(N5)),0.1),1)))*'Background Tables'!K8))*'Background Tables'!K9,1)),0),"Calc. Off"),"Calc. Off")</f>
        <v>13017</v>
      </c>
      <c r="T17" s="26" t="s">
        <v>25</v>
      </c>
      <c r="U17" s="23">
        <f>IF($C$11="Yes",IF($C$12="Yes",ROUND((((L5+75+60+(L5+60+75)*P4)/(1-P3)/(1-IF(I5="CV",P6,0))/MIN(MAX((0.1+($I$3/($I$3+((L6+35+40)*(1+N6)+2)))+(($I$4-N4+I10)/1000)-N5),0.1),1))/'Background Tables'!$H$2)/IF($C$13="Yes",0.97,1)/'Background Tables'!K2/'Background Tables'!K16/(IF(I15="Yes",1+(1-(1-'Background Tables'!K7)^((I17*(MIN(MAX((0.1+($I$3/($I$3+((L6+35+40)*(1+N6)+2)))+(($I$4-N4+I10)/1000)-(N5)),0.1),1)))*'Background Tables'!K8))*'Background Tables'!K9,1)),0),"Calc. Off"),"Calc. Off")</f>
        <v>15431</v>
      </c>
      <c r="V17" s="25"/>
      <c r="W17" s="25"/>
      <c r="X17" s="25"/>
      <c r="Y17" s="25"/>
      <c r="Z17" s="25"/>
      <c r="AA17" s="25"/>
      <c r="AB17" s="25"/>
      <c r="AC17" s="25"/>
    </row>
    <row r="18" spans="1:29" ht="15.75" customHeight="1" x14ac:dyDescent="0.2">
      <c r="A18" s="25"/>
      <c r="B18" s="31" t="s">
        <v>418</v>
      </c>
      <c r="C18" s="29" t="s">
        <v>462</v>
      </c>
      <c r="D18" s="25"/>
      <c r="E18" s="28" t="s">
        <v>510</v>
      </c>
      <c r="F18" s="29"/>
      <c r="G18" s="25"/>
      <c r="H18" s="25"/>
      <c r="I18" s="25"/>
      <c r="J18" s="25"/>
      <c r="K18" s="58" t="str">
        <f>IF('Background Tables'!N2="Off","Imp. Rudder","Washing Machine")</f>
        <v>Imp. Rudder</v>
      </c>
      <c r="L18" s="21">
        <f>IF($C$12="Yes",IF($C$3="Yes",ROUND((((L5+60+(L5+60)*P4)/(1-P3)/(1-IF(I5="CV",P6,0))/MIN(MAX((0.1+($I$3/($I$3+((L6+40)*(1+N6)+2)))+(($I$4-N4+I10)/1000)-(N5)),0.1),1))/'Background Tables'!$H$2)/IF($C$13="Yes",0.97,1)/'Background Tables'!K2/'Background Tables'!K16/(IF(I15="Yes",1+(1-(1-'Background Tables'!K7)^((I17*(MIN(MAX((0.1+($I$3/($I$3+((L6+40)*(1+N6)+2)))+(($I$4-N4+I10)/1000)-(N5)),0.1),1)))*'Background Tables'!K8))*'Background Tables'!K9,1)),0),"Calc. Off"),"Calc. Off")</f>
        <v>12632</v>
      </c>
      <c r="M18" s="23">
        <f>IF($C$12="Yes",IF($C$4="Yes",ROUND((((L5+266+60+(L5+266+60)*P4)/(1-P3)/(1-IF(I5="CV",P6,0))/MIN(MAX((0.1+($I$3/($I$3+((L6+40)*(1+N6)+2)))+(($I$4-N4+I10)/1000)-(N5)),0.1),1))/'Background Tables'!$H$2)/IF($C$13="Yes",0.97,1)/'Background Tables'!K2/'Background Tables'!K16/(IF(I15="Yes",1+(1-(1-'Background Tables'!K11)^((I17*(MIN(MAX((0.1+($I$3/($I$3+((L6+40)*(1+N6)+2)))+(($I$4-N4+I10)/1000)-(N5)),0.1),1)))*'Background Tables'!K12))*'Background Tables'!K13,1)),0),"Calc. Off"),"Calc. Off")</f>
        <v>13355</v>
      </c>
      <c r="N18" s="23">
        <f>IF($C$5="Yes",IF($C$12="Yes",ROUND((((L5+44+60+(L5+60+44)*P4)/(1-P3)/(1-IF(I5="CV",P6,0))/MIN(MAX((0.1+($I$3/($I$3+((L6+17+40)*(1+N6)+2)))+(($I$4-N4+I10)/1000)-N5),0.1),1))/'Background Tables'!$H$2)/IF($C$13="Yes",0.97,1)/'Background Tables'!K2/'Background Tables'!K16/(IF(I15="Yes",1+(1-(1-'Background Tables'!K7)^((I17*(MIN(MAX((0.1+($I$3/($I$3+((L6+17+40)*(1+N6)+2)))+(($I$4-N4+I10)/1000)-(N5)),0.1),1)))*'Background Tables'!K8))*'Background Tables'!K9,1)),0),"Calc. Off"),"Calc. Off")</f>
        <v>14021</v>
      </c>
      <c r="O18" s="23">
        <f>IF($C$12="Yes",IF($C$6="Yes",ROUND((((L5+245+60+(L5+245+60)*P4)/(1-P3)/(1-IF(I5="CV",P6,0))/MIN(MAX((0.1+($I$3/($I$3+((L6+40)*(1+N6)+2)))+(($I$4-N4+I10)/1000)-N5),0.1),1))/'Background Tables'!$H$2)/IF($C$13="Yes",0.97,1)/'Background Tables'!K2/'Background Tables'!K16/(IF(I15="Yes",1+(1-(1-'Background Tables'!K7)^((I17*(MIN(MAX((0.1+($I$3/($I$3+((L6+40)*(1+N6)+2)))+(($I$4-N4+I10)/1000)-(N5)),0.1),1)))*'Background Tables'!K8))*'Background Tables'!K9,1)),0),"Calc. Off"),"Calc. Off")</f>
        <v>13298</v>
      </c>
      <c r="P18" s="23">
        <f>IF($C$7="Yes",IF($C$12="Yes",ROUND((((L5+350+60+(L5+60+350)*P4)/(1-P3)/(1-IF(I5="CV",P6,0))/MIN(MAX((0.1+($I$3/($I$3+((L6+5+40)*(1+N6)+2)))+(($I$4-N4+I10)/1000)-N5),0.1),1))/'Background Tables'!$H$2)/IF($C$13="Yes",0.97,1)/'Background Tables'!K2/'Background Tables'!K16/(IF(I15="Yes",1+(1-(1-'Background Tables'!K7)^((I17*(MIN(MAX((0.1+($I$3/($I$3+((L6+5+40)*(1+N6)+2)))+(($I$4-N4+I10)/1000)-(N5)),0.1),1)))*'Background Tables'!K8))*'Background Tables'!K9,1)),0),"Calc. Off"),"Calc. Off")</f>
        <v>13984</v>
      </c>
      <c r="Q18" s="23">
        <f>IF($C$12="Yes",IF($C$8="Yes",IFERROR(_xlfn.IFS(L3="DD","N/A",L3="SS","N/A",L3="SSV","N/A",L3="CB","N/A"),ROUND((((L5+350+60+(L5+350+60)*P4)/(1-P3)/(1-IF(I5="CV",P6,0))/MIN(MAX((0.1+($I$3/($I$3+((L6+40)*(1+N6)+2)))+(($I$4-N4+I10)/1000)-N5),0.1),1))/'Background Tables'!$H$2/IF($C$13="Yes",IF(I6="Torpedo",0.7,1),1))/IF($C$13="Yes",0.97,1)/'Background Tables'!K2/'Background Tables'!K16/(IF(I15="Yes",1+(1-(1-'Background Tables'!K7)^((I17*(MIN(MAX((0.1+($I$3/($I$3+((L6+40)*(1+N6)+2)))+(($I$4-N4+I10)/1000)-(N5)),0.1),1)))*'Background Tables'!K8))*'Background Tables'!K9,1)),0)),"Calc. Off"),"Calc. Off")</f>
        <v>13583</v>
      </c>
      <c r="R18" s="23">
        <f>IF($C$12="Yes",IF($C$9="Yes",ROUND((((L5+500+60+(L5+500+60)*P4+IF($C$13="Yes",ROUNDDOWN($I$9/15,0)*0.01*(L5+500+60),0))/(1-P3)/(1-IF(I5="CV",P6,0))/MIN(MAX((0.1+($I$3/($I$3+((L6+40)*(1+N6)+2)))+(($I$4-N4+I10)/1000)-N5),0.1),1))/'Background Tables'!$H$2)/IF($C$13="Yes",0.97,1)/'Background Tables'!K2/'Background Tables'!K16/(IF(I15="Yes",1+(1-(1-'Background Tables'!K7)^((I17*(MIN(MAX((0.1+($I$3/($I$3+((L6+40)*(1+N6)+2)))+(($I$4-N4+I10)/1000)-(N5)),0.1),1)))*'Background Tables'!K8))*'Background Tables'!K9,1)),0),"Calc. Off"),"Calc. Off")</f>
        <v>14550</v>
      </c>
      <c r="S18" s="23">
        <f>IF($C$10="Yes",IF($C$12="Yes",ROUND((((L5+60+(L5+60)*P4)/(1-P3)/(1-IF(I5="CV",P6,0))/MIN(MAX((0.1+($I$3/($I$3+((L6+15+40)*(1+N6)+2)))+(($I$4-N4+I10)/1000)-N5),0.1),1))/'Background Tables'!$H$2)/IF($C$13="Yes",0.97,1)/'Background Tables'!K2/'Background Tables'!K16/(IF(I15="Yes",1+(1-(1-'Background Tables'!K7)^((I17*(MIN(MAX((0.1+($I$3/($I$3+((L6+15+40)*(1+N6)+2)))+(($I$4-N4+I10)/1000)-(N5)),0.1),1)))*'Background Tables'!K8))*'Background Tables'!K9,1)),0),"Calc. Off"),"Calc. Off")</f>
        <v>13744</v>
      </c>
      <c r="T18" s="23">
        <f>IF($C$11="Yes",IF($C$12="Yes",ROUND((((L5+75+60+(L5+60+75)*P4)/(1-P3)/(1-IF(I5="CV",P6,0))/MIN(MAX((0.1+($I$3/($I$3+((L6+35+40)*(1+N6)+2)))+(($I$4-N4+I10)/1000)-N5),0.1),1))/'Background Tables'!$H$2)/IF($C$13="Yes",0.97,1)/'Background Tables'!K2/'Background Tables'!K16/(IF(I15="Yes",1+(1-(1-'Background Tables'!K7)^((I17*(MIN(MAX((0.1+($I$3/($I$3+((L6+35+40)*(1+N6)+2)))+(($I$4-N4+I10)/1000)-(N5)),0.1),1)))*'Background Tables'!K8))*'Background Tables'!K9,1)),0),"Calc. Off"),"Calc. Off")</f>
        <v>15431</v>
      </c>
      <c r="U18" s="26" t="s">
        <v>25</v>
      </c>
      <c r="V18" s="25"/>
      <c r="W18" s="25"/>
      <c r="X18" s="25"/>
      <c r="Y18" s="25"/>
      <c r="Z18" s="25"/>
      <c r="AA18" s="25"/>
      <c r="AB18" s="25"/>
      <c r="AC18" s="25"/>
    </row>
    <row r="19" spans="1:29" ht="15.75" customHeight="1" x14ac:dyDescent="0.2">
      <c r="A19" s="25"/>
      <c r="B19" s="31" t="s">
        <v>1</v>
      </c>
      <c r="C19" s="29" t="s">
        <v>462</v>
      </c>
      <c r="D19" s="25"/>
      <c r="E19" s="28" t="s">
        <v>558</v>
      </c>
      <c r="F19" s="29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1:29" ht="15.75" customHeight="1" x14ac:dyDescent="0.2">
      <c r="A20" s="25"/>
      <c r="B20" s="31" t="s">
        <v>2</v>
      </c>
      <c r="C20" s="29" t="s">
        <v>462</v>
      </c>
      <c r="D20" s="25"/>
      <c r="E20" s="28" t="s">
        <v>511</v>
      </c>
      <c r="F20" s="29"/>
      <c r="G20" s="25"/>
      <c r="H20" s="25"/>
      <c r="I20" s="25"/>
      <c r="J20" s="25"/>
      <c r="K20" s="42" t="s">
        <v>543</v>
      </c>
      <c r="L20" s="55" t="s">
        <v>541</v>
      </c>
      <c r="M20" s="52">
        <v>1</v>
      </c>
      <c r="N20" s="52">
        <v>2</v>
      </c>
      <c r="O20" s="52">
        <v>3</v>
      </c>
      <c r="P20" s="52">
        <v>4</v>
      </c>
      <c r="Q20" s="52">
        <v>5</v>
      </c>
      <c r="R20" s="52">
        <v>6</v>
      </c>
      <c r="S20" s="52">
        <v>7</v>
      </c>
      <c r="T20" s="52">
        <v>8</v>
      </c>
      <c r="U20" s="54" t="s">
        <v>542</v>
      </c>
      <c r="V20" s="25"/>
      <c r="W20" s="25"/>
      <c r="X20" s="25"/>
      <c r="Y20" s="25"/>
      <c r="Z20" s="25"/>
      <c r="AA20" s="25"/>
      <c r="AB20" s="25"/>
      <c r="AC20" s="25"/>
    </row>
    <row r="21" spans="1:29" ht="15.75" customHeight="1" x14ac:dyDescent="0.2">
      <c r="A21" s="25"/>
      <c r="B21" s="31" t="s">
        <v>540</v>
      </c>
      <c r="C21" s="29" t="s">
        <v>462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ht="15.75" customHeight="1" x14ac:dyDescent="0.2">
      <c r="A22" s="25"/>
      <c r="B22" s="31" t="s">
        <v>533</v>
      </c>
      <c r="C22" s="29" t="s">
        <v>462</v>
      </c>
      <c r="D22" s="25"/>
      <c r="E22" s="32" t="s">
        <v>463</v>
      </c>
      <c r="F22" s="3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5.75" customHeight="1" x14ac:dyDescent="0.2">
      <c r="A23" s="25"/>
      <c r="B23" s="31" t="s">
        <v>3</v>
      </c>
      <c r="C23" s="29" t="s">
        <v>462</v>
      </c>
      <c r="D23" s="25"/>
      <c r="E23" s="32" t="s">
        <v>7</v>
      </c>
      <c r="F23" s="29" t="s">
        <v>544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1:29" ht="15.75" customHeight="1" x14ac:dyDescent="0.2">
      <c r="A24" s="25"/>
      <c r="B24" s="31" t="s">
        <v>4</v>
      </c>
      <c r="C24" s="29" t="s">
        <v>462</v>
      </c>
      <c r="D24" s="25"/>
      <c r="E24" s="45" t="s">
        <v>395</v>
      </c>
      <c r="F24" s="29">
        <v>120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ht="15.75" customHeight="1" x14ac:dyDescent="0.2">
      <c r="A25" s="25"/>
      <c r="B25" s="31" t="s">
        <v>559</v>
      </c>
      <c r="C25" s="29" t="s">
        <v>462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ht="15.75" customHeight="1" x14ac:dyDescent="0.2">
      <c r="A26" s="25"/>
      <c r="B26" s="31" t="s">
        <v>469</v>
      </c>
      <c r="C26" s="29" t="s">
        <v>462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ht="15.75" customHeight="1" x14ac:dyDescent="0.2">
      <c r="A27" s="25"/>
      <c r="B27" s="31" t="s">
        <v>553</v>
      </c>
      <c r="C27" s="29" t="s">
        <v>462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ht="15.75" customHeight="1" x14ac:dyDescent="0.2">
      <c r="A28" s="25"/>
      <c r="B28" s="31" t="s">
        <v>557</v>
      </c>
      <c r="C28" s="29" t="s">
        <v>462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spans="1:29" ht="15.75" customHeight="1" x14ac:dyDescent="0.2">
      <c r="A29" s="25"/>
      <c r="B29" s="31" t="s">
        <v>512</v>
      </c>
      <c r="C29" s="29" t="s">
        <v>462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ht="15.75" customHeight="1" x14ac:dyDescent="0.2">
      <c r="A30" s="25"/>
      <c r="B30" s="31" t="s">
        <v>510</v>
      </c>
      <c r="C30" s="29" t="s">
        <v>462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ht="15.75" customHeight="1" x14ac:dyDescent="0.2">
      <c r="A31" s="25"/>
      <c r="B31" s="31" t="s">
        <v>558</v>
      </c>
      <c r="C31" s="29" t="s">
        <v>462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spans="1:29" ht="15.75" customHeight="1" x14ac:dyDescent="0.2">
      <c r="A32" s="25"/>
      <c r="B32" s="31" t="s">
        <v>511</v>
      </c>
      <c r="C32" s="29" t="s">
        <v>462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ht="15.75" customHeight="1" x14ac:dyDescent="0.2">
      <c r="A33" s="25"/>
      <c r="B33" s="31" t="s">
        <v>539</v>
      </c>
      <c r="C33" s="29" t="s">
        <v>466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 ht="15.7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1:29" ht="15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ht="15.7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ht="15.7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ht="15.7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ht="15.7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 ht="15.7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5.7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ht="15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ht="15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1:29" ht="15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ht="15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ht="15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15.7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 ht="15.7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ht="15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 spans="1:29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spans="1:29" ht="12.75" x14ac:dyDescent="0.2">
      <c r="B79" s="61"/>
      <c r="C79" s="61"/>
      <c r="N79" s="4"/>
      <c r="O79" s="4"/>
      <c r="P79" s="4"/>
      <c r="Q79" s="4"/>
      <c r="R79" s="4"/>
      <c r="S79" s="4"/>
      <c r="T79" s="4"/>
      <c r="U79" s="5"/>
      <c r="V79" s="5"/>
      <c r="W79" s="5"/>
      <c r="X79" s="5"/>
      <c r="Y79" s="5"/>
      <c r="Z79" s="4"/>
      <c r="AA79" s="4"/>
      <c r="AB79" s="4"/>
    </row>
    <row r="80" spans="1:29" ht="12.75" x14ac:dyDescent="0.2">
      <c r="B80" s="61"/>
      <c r="C80" s="61"/>
      <c r="N80" s="4"/>
      <c r="O80" s="4"/>
      <c r="P80" s="4"/>
      <c r="Q80" s="4"/>
      <c r="R80" s="4"/>
      <c r="S80" s="4"/>
      <c r="T80" s="4"/>
      <c r="U80" s="5"/>
      <c r="V80" s="5"/>
      <c r="W80" s="5"/>
      <c r="X80" s="5"/>
      <c r="Y80" s="5"/>
      <c r="Z80" s="4"/>
      <c r="AA80" s="4"/>
      <c r="AB80" s="4"/>
    </row>
    <row r="81" spans="2:28" ht="12.75" x14ac:dyDescent="0.2">
      <c r="B81" s="61"/>
      <c r="C81" s="61"/>
      <c r="N81" s="4"/>
      <c r="O81" s="4"/>
      <c r="P81" s="4"/>
      <c r="Q81" s="4"/>
      <c r="R81" s="4"/>
      <c r="S81" s="4"/>
      <c r="T81" s="4"/>
      <c r="U81" s="5"/>
      <c r="V81" s="5"/>
      <c r="W81" s="5"/>
      <c r="X81" s="5"/>
      <c r="Y81" s="5"/>
      <c r="Z81" s="4"/>
      <c r="AA81" s="4"/>
      <c r="AB81" s="4"/>
    </row>
    <row r="82" spans="2:28" ht="12.75" x14ac:dyDescent="0.2">
      <c r="B82" s="61"/>
      <c r="C82" s="61"/>
      <c r="N82" s="4"/>
      <c r="O82" s="4"/>
      <c r="P82" s="4"/>
      <c r="Q82" s="4"/>
      <c r="R82" s="4"/>
      <c r="S82" s="4"/>
      <c r="T82" s="4"/>
      <c r="U82" s="5"/>
      <c r="V82" s="5"/>
      <c r="W82" s="5"/>
      <c r="X82" s="5"/>
      <c r="Y82" s="5"/>
      <c r="Z82" s="4"/>
      <c r="AA82" s="4"/>
      <c r="AB82" s="4"/>
    </row>
    <row r="83" spans="2:28" ht="12.75" x14ac:dyDescent="0.2">
      <c r="B83" s="61"/>
      <c r="C83" s="61"/>
      <c r="N83" s="4"/>
      <c r="O83" s="4"/>
      <c r="P83" s="4"/>
      <c r="Q83" s="4"/>
      <c r="R83" s="4"/>
      <c r="S83" s="4"/>
      <c r="T83" s="4"/>
      <c r="U83" s="5"/>
      <c r="V83" s="5"/>
      <c r="W83" s="5"/>
      <c r="X83" s="5"/>
      <c r="Y83" s="5"/>
      <c r="Z83" s="4"/>
      <c r="AA83" s="4"/>
      <c r="AB83" s="4"/>
    </row>
    <row r="84" spans="2:28" ht="12.75" x14ac:dyDescent="0.2">
      <c r="B84" s="61"/>
      <c r="C84" s="61"/>
      <c r="N84" s="4"/>
      <c r="O84" s="4"/>
      <c r="P84" s="4"/>
      <c r="Q84" s="4"/>
      <c r="R84" s="4"/>
      <c r="S84" s="4"/>
      <c r="T84" s="4"/>
      <c r="U84" s="5"/>
      <c r="V84" s="5"/>
      <c r="W84" s="5"/>
      <c r="X84" s="5"/>
      <c r="Y84" s="5"/>
      <c r="Z84" s="4"/>
      <c r="AA84" s="4"/>
      <c r="AB84" s="4"/>
    </row>
    <row r="85" spans="2:28" ht="12.75" x14ac:dyDescent="0.2">
      <c r="B85" s="61"/>
      <c r="C85" s="61"/>
      <c r="N85" s="4"/>
      <c r="O85" s="4"/>
      <c r="P85" s="4"/>
      <c r="Q85" s="4"/>
      <c r="R85" s="4"/>
      <c r="S85" s="4"/>
      <c r="T85" s="4"/>
      <c r="U85" s="5"/>
      <c r="V85" s="5"/>
      <c r="W85" s="5"/>
      <c r="X85" s="5"/>
      <c r="Y85" s="5"/>
      <c r="Z85" s="4"/>
      <c r="AA85" s="4"/>
      <c r="AB85" s="4"/>
    </row>
    <row r="86" spans="2:28" ht="12.75" x14ac:dyDescent="0.2">
      <c r="B86" s="61"/>
      <c r="C86" s="61"/>
      <c r="N86" s="4"/>
      <c r="O86" s="4"/>
      <c r="P86" s="4"/>
      <c r="Q86" s="4"/>
      <c r="R86" s="4"/>
      <c r="S86" s="4"/>
      <c r="T86" s="4"/>
      <c r="U86" s="5"/>
      <c r="V86" s="5"/>
      <c r="W86" s="5"/>
      <c r="X86" s="5"/>
      <c r="Y86" s="5"/>
      <c r="Z86" s="4"/>
      <c r="AA86" s="4"/>
      <c r="AB86" s="4"/>
    </row>
    <row r="87" spans="2:28" ht="12.75" x14ac:dyDescent="0.2">
      <c r="B87" s="61"/>
      <c r="C87" s="61"/>
      <c r="N87" s="4"/>
      <c r="O87" s="4"/>
      <c r="P87" s="4"/>
      <c r="Q87" s="4"/>
      <c r="R87" s="4"/>
      <c r="S87" s="4"/>
      <c r="T87" s="4"/>
      <c r="U87" s="5"/>
      <c r="V87" s="5"/>
      <c r="W87" s="5"/>
      <c r="X87" s="5"/>
      <c r="Y87" s="5"/>
      <c r="Z87" s="4"/>
      <c r="AA87" s="4"/>
      <c r="AB87" s="4"/>
    </row>
    <row r="88" spans="2:28" ht="12.75" x14ac:dyDescent="0.2">
      <c r="B88" s="61"/>
      <c r="C88" s="61"/>
      <c r="N88" s="4"/>
      <c r="O88" s="4"/>
      <c r="P88" s="4"/>
      <c r="Q88" s="4"/>
      <c r="R88" s="4"/>
      <c r="S88" s="4"/>
      <c r="T88" s="4"/>
      <c r="U88" s="5"/>
      <c r="V88" s="5"/>
      <c r="W88" s="5"/>
      <c r="X88" s="5"/>
      <c r="Y88" s="5"/>
      <c r="Z88" s="4"/>
      <c r="AA88" s="4"/>
      <c r="AB88" s="4"/>
    </row>
    <row r="89" spans="2:28" ht="12.75" x14ac:dyDescent="0.2">
      <c r="B89" s="61"/>
      <c r="C89" s="61"/>
      <c r="N89" s="4"/>
      <c r="O89" s="4"/>
      <c r="P89" s="4"/>
      <c r="Q89" s="4"/>
      <c r="R89" s="4"/>
      <c r="S89" s="4"/>
      <c r="T89" s="4"/>
      <c r="U89" s="5"/>
      <c r="V89" s="5"/>
      <c r="W89" s="5"/>
      <c r="X89" s="5"/>
      <c r="Y89" s="5"/>
      <c r="Z89" s="4"/>
      <c r="AA89" s="4"/>
      <c r="AB89" s="4"/>
    </row>
    <row r="90" spans="2:28" ht="12.75" x14ac:dyDescent="0.2">
      <c r="B90" s="61"/>
      <c r="C90" s="61"/>
      <c r="N90" s="4"/>
      <c r="O90" s="4"/>
      <c r="P90" s="4"/>
      <c r="Q90" s="4"/>
      <c r="R90" s="4"/>
      <c r="S90" s="4"/>
      <c r="T90" s="4"/>
      <c r="U90" s="5"/>
      <c r="V90" s="5"/>
      <c r="W90" s="5"/>
      <c r="X90" s="5"/>
      <c r="Y90" s="5"/>
      <c r="Z90" s="4"/>
      <c r="AA90" s="4"/>
      <c r="AB90" s="4"/>
    </row>
    <row r="91" spans="2:28" ht="12.75" x14ac:dyDescent="0.2">
      <c r="B91" s="61"/>
      <c r="C91" s="61"/>
      <c r="N91" s="4"/>
      <c r="O91" s="4"/>
      <c r="P91" s="4"/>
      <c r="Q91" s="4"/>
      <c r="R91" s="4"/>
      <c r="S91" s="4"/>
      <c r="T91" s="4"/>
      <c r="U91" s="5"/>
      <c r="V91" s="5"/>
      <c r="W91" s="5"/>
      <c r="X91" s="5"/>
      <c r="Y91" s="5"/>
      <c r="Z91" s="4"/>
      <c r="AA91" s="4"/>
      <c r="AB91" s="4"/>
    </row>
    <row r="92" spans="2:28" ht="12.75" x14ac:dyDescent="0.2">
      <c r="B92" s="61"/>
      <c r="C92" s="61"/>
      <c r="N92" s="4"/>
      <c r="O92" s="4"/>
      <c r="P92" s="4"/>
      <c r="Q92" s="4"/>
      <c r="R92" s="4"/>
      <c r="S92" s="4"/>
      <c r="T92" s="4"/>
      <c r="U92" s="5"/>
      <c r="V92" s="5"/>
      <c r="W92" s="5"/>
      <c r="X92" s="5"/>
      <c r="Y92" s="5"/>
      <c r="Z92" s="4"/>
      <c r="AA92" s="4"/>
      <c r="AB92" s="4"/>
    </row>
    <row r="93" spans="2:28" ht="12.75" x14ac:dyDescent="0.2">
      <c r="B93" s="61"/>
      <c r="C93" s="61"/>
      <c r="N93" s="4"/>
      <c r="O93" s="4"/>
      <c r="P93" s="4"/>
      <c r="Q93" s="4"/>
      <c r="R93" s="4"/>
      <c r="S93" s="4"/>
      <c r="T93" s="4"/>
      <c r="U93" s="5"/>
      <c r="V93" s="5"/>
      <c r="W93" s="5"/>
      <c r="X93" s="5"/>
      <c r="Y93" s="5"/>
      <c r="Z93" s="4"/>
      <c r="AA93" s="4"/>
      <c r="AB93" s="4"/>
    </row>
    <row r="94" spans="2:28" ht="12.75" x14ac:dyDescent="0.2">
      <c r="B94" s="61"/>
      <c r="C94" s="61"/>
      <c r="N94" s="4"/>
      <c r="O94" s="4"/>
      <c r="P94" s="4"/>
      <c r="Q94" s="4"/>
      <c r="R94" s="4"/>
      <c r="S94" s="4"/>
      <c r="T94" s="4"/>
      <c r="U94" s="5"/>
      <c r="V94" s="5"/>
      <c r="W94" s="5"/>
      <c r="X94" s="5"/>
      <c r="Y94" s="5"/>
      <c r="Z94" s="4"/>
      <c r="AA94" s="4"/>
      <c r="AB94" s="4"/>
    </row>
    <row r="95" spans="2:28" ht="12.75" x14ac:dyDescent="0.2">
      <c r="B95" s="61"/>
      <c r="C95" s="61"/>
      <c r="N95" s="4"/>
      <c r="O95" s="4"/>
      <c r="P95" s="4"/>
      <c r="Q95" s="4"/>
      <c r="R95" s="4"/>
      <c r="S95" s="4"/>
      <c r="T95" s="4"/>
      <c r="U95" s="5"/>
      <c r="V95" s="5"/>
      <c r="W95" s="5"/>
      <c r="X95" s="5"/>
      <c r="Y95" s="5"/>
      <c r="Z95" s="4"/>
      <c r="AA95" s="4"/>
      <c r="AB95" s="4"/>
    </row>
    <row r="96" spans="2:28" ht="12.75" x14ac:dyDescent="0.2">
      <c r="B96" s="61"/>
      <c r="C96" s="61"/>
      <c r="N96" s="4"/>
      <c r="O96" s="4"/>
      <c r="P96" s="4"/>
      <c r="Q96" s="4"/>
      <c r="R96" s="4"/>
      <c r="S96" s="4"/>
      <c r="T96" s="4"/>
      <c r="U96" s="5"/>
      <c r="V96" s="5"/>
      <c r="W96" s="5"/>
      <c r="X96" s="5"/>
      <c r="Y96" s="5"/>
      <c r="Z96" s="4"/>
      <c r="AA96" s="4"/>
      <c r="AB96" s="4"/>
    </row>
    <row r="97" spans="2:28" ht="12.75" x14ac:dyDescent="0.2">
      <c r="B97" s="61"/>
      <c r="C97" s="61"/>
      <c r="N97" s="4"/>
      <c r="O97" s="4"/>
      <c r="P97" s="4"/>
      <c r="Q97" s="4"/>
      <c r="R97" s="4"/>
      <c r="S97" s="4"/>
      <c r="T97" s="4"/>
      <c r="U97" s="5"/>
      <c r="V97" s="5"/>
      <c r="W97" s="5"/>
      <c r="X97" s="5"/>
      <c r="Y97" s="5"/>
      <c r="Z97" s="4"/>
      <c r="AA97" s="4"/>
      <c r="AB97" s="4"/>
    </row>
    <row r="98" spans="2:28" ht="12.75" x14ac:dyDescent="0.2">
      <c r="B98" s="61"/>
      <c r="C98" s="61"/>
      <c r="N98" s="4"/>
      <c r="O98" s="4"/>
      <c r="P98" s="4"/>
      <c r="Q98" s="4"/>
      <c r="R98" s="4"/>
      <c r="S98" s="4"/>
      <c r="T98" s="4"/>
      <c r="U98" s="5"/>
      <c r="V98" s="5"/>
      <c r="W98" s="5"/>
      <c r="X98" s="5"/>
      <c r="Y98" s="5"/>
      <c r="Z98" s="4"/>
      <c r="AA98" s="4"/>
      <c r="AB98" s="4"/>
    </row>
    <row r="99" spans="2:28" ht="12.75" x14ac:dyDescent="0.2">
      <c r="B99" s="61"/>
      <c r="C99" s="61"/>
      <c r="N99" s="4"/>
      <c r="O99" s="4"/>
      <c r="P99" s="4"/>
      <c r="Q99" s="4"/>
      <c r="R99" s="4"/>
      <c r="S99" s="4"/>
      <c r="T99" s="4"/>
      <c r="U99" s="5"/>
      <c r="V99" s="5"/>
      <c r="W99" s="5"/>
      <c r="X99" s="5"/>
      <c r="Y99" s="5"/>
      <c r="Z99" s="4"/>
      <c r="AA99" s="4"/>
      <c r="AB99" s="4"/>
    </row>
    <row r="100" spans="2:28" ht="12.75" x14ac:dyDescent="0.2">
      <c r="B100" s="61"/>
      <c r="C100" s="61"/>
      <c r="N100" s="4"/>
      <c r="O100" s="4"/>
      <c r="P100" s="4"/>
      <c r="Q100" s="4"/>
      <c r="R100" s="4"/>
      <c r="S100" s="4"/>
      <c r="T100" s="4"/>
      <c r="U100" s="5"/>
      <c r="V100" s="5"/>
      <c r="W100" s="5"/>
      <c r="X100" s="5"/>
      <c r="Y100" s="5"/>
      <c r="Z100" s="4"/>
      <c r="AA100" s="5"/>
      <c r="AB100" s="4"/>
    </row>
    <row r="101" spans="2:28" ht="12.75" x14ac:dyDescent="0.2">
      <c r="B101" s="61"/>
      <c r="C101" s="61"/>
      <c r="N101" s="4"/>
      <c r="O101" s="4"/>
      <c r="P101" s="4"/>
      <c r="Q101" s="4"/>
      <c r="R101" s="4"/>
      <c r="S101" s="4"/>
      <c r="T101" s="4"/>
      <c r="U101" s="5"/>
      <c r="V101" s="5"/>
      <c r="W101" s="5"/>
      <c r="X101" s="5"/>
      <c r="Y101" s="5"/>
      <c r="Z101" s="4"/>
      <c r="AA101" s="4"/>
      <c r="AB101" s="4"/>
    </row>
    <row r="102" spans="2:28" ht="12.75" x14ac:dyDescent="0.2">
      <c r="B102" s="61"/>
      <c r="C102" s="61"/>
      <c r="N102" s="4"/>
      <c r="O102" s="4"/>
      <c r="P102" s="4"/>
      <c r="Q102" s="4"/>
      <c r="R102" s="4"/>
      <c r="S102" s="4"/>
      <c r="T102" s="4"/>
      <c r="U102" s="5"/>
      <c r="V102" s="5"/>
      <c r="W102" s="5"/>
      <c r="X102" s="5"/>
      <c r="Y102" s="5"/>
      <c r="Z102" s="4"/>
      <c r="AA102" s="4"/>
      <c r="AB102" s="4"/>
    </row>
    <row r="103" spans="2:28" ht="12.75" x14ac:dyDescent="0.2">
      <c r="B103" s="61"/>
      <c r="C103" s="61"/>
      <c r="N103" s="4"/>
      <c r="O103" s="4"/>
      <c r="P103" s="4"/>
      <c r="Q103" s="4"/>
      <c r="R103" s="4"/>
      <c r="S103" s="4"/>
      <c r="T103" s="4"/>
      <c r="U103" s="5"/>
      <c r="V103" s="5"/>
      <c r="W103" s="5"/>
      <c r="X103" s="5"/>
      <c r="Y103" s="5"/>
      <c r="Z103" s="4"/>
      <c r="AA103" s="4"/>
      <c r="AB103" s="4"/>
    </row>
    <row r="104" spans="2:28" ht="12.75" x14ac:dyDescent="0.2">
      <c r="B104" s="61"/>
      <c r="C104" s="61"/>
      <c r="N104" s="4"/>
      <c r="O104" s="4"/>
      <c r="P104" s="4"/>
      <c r="Q104" s="4"/>
      <c r="R104" s="4"/>
      <c r="S104" s="4"/>
      <c r="T104" s="4"/>
      <c r="U104" s="5"/>
      <c r="V104" s="5"/>
      <c r="W104" s="5"/>
      <c r="X104" s="5"/>
      <c r="Y104" s="5"/>
      <c r="Z104" s="4"/>
      <c r="AA104" s="4"/>
      <c r="AB104" s="4"/>
    </row>
    <row r="105" spans="2:28" ht="12.75" x14ac:dyDescent="0.2">
      <c r="B105" s="61"/>
      <c r="C105" s="61"/>
      <c r="N105" s="4"/>
      <c r="O105" s="4"/>
      <c r="P105" s="4"/>
      <c r="Q105" s="4"/>
      <c r="R105" s="4"/>
      <c r="S105" s="4"/>
      <c r="T105" s="4"/>
      <c r="U105" s="5"/>
      <c r="V105" s="5"/>
      <c r="W105" s="5"/>
      <c r="X105" s="5"/>
      <c r="Y105" s="5"/>
      <c r="Z105" s="4"/>
      <c r="AA105" s="4"/>
      <c r="AB105" s="4"/>
    </row>
    <row r="106" spans="2:28" ht="12.75" x14ac:dyDescent="0.2">
      <c r="B106" s="61"/>
      <c r="C106" s="61"/>
      <c r="N106" s="4"/>
      <c r="O106" s="4"/>
      <c r="P106" s="4"/>
      <c r="Q106" s="4"/>
      <c r="R106" s="4"/>
      <c r="S106" s="4"/>
      <c r="T106" s="4"/>
      <c r="U106" s="5"/>
      <c r="V106" s="5"/>
      <c r="W106" s="5"/>
      <c r="X106" s="5"/>
      <c r="Y106" s="5"/>
      <c r="Z106" s="4"/>
      <c r="AA106" s="4"/>
      <c r="AB106" s="4"/>
    </row>
    <row r="107" spans="2:28" ht="12.75" x14ac:dyDescent="0.2">
      <c r="B107" s="61"/>
      <c r="C107" s="61"/>
      <c r="N107" s="4"/>
      <c r="O107" s="4"/>
      <c r="P107" s="4"/>
      <c r="Q107" s="4"/>
      <c r="R107" s="4"/>
      <c r="S107" s="4"/>
      <c r="T107" s="4"/>
      <c r="U107" s="5"/>
      <c r="V107" s="5"/>
      <c r="W107" s="5"/>
      <c r="X107" s="5"/>
      <c r="Y107" s="5"/>
      <c r="Z107" s="4"/>
      <c r="AA107" s="4"/>
      <c r="AB107" s="4"/>
    </row>
    <row r="108" spans="2:28" ht="12.75" x14ac:dyDescent="0.2">
      <c r="B108" s="61"/>
      <c r="C108" s="61"/>
      <c r="N108" s="4"/>
      <c r="O108" s="4"/>
      <c r="P108" s="4"/>
      <c r="Q108" s="4"/>
      <c r="R108" s="4"/>
      <c r="S108" s="4"/>
      <c r="T108" s="4"/>
      <c r="U108" s="5"/>
      <c r="V108" s="5"/>
      <c r="W108" s="5"/>
      <c r="X108" s="5"/>
      <c r="Y108" s="5"/>
      <c r="Z108" s="4"/>
      <c r="AA108" s="4"/>
      <c r="AB108" s="4"/>
    </row>
    <row r="109" spans="2:28" ht="12.75" x14ac:dyDescent="0.2">
      <c r="B109" s="61"/>
      <c r="C109" s="61"/>
      <c r="N109" s="4"/>
      <c r="O109" s="4"/>
      <c r="P109" s="4"/>
      <c r="Q109" s="4"/>
      <c r="R109" s="4"/>
      <c r="S109" s="4"/>
      <c r="T109" s="4"/>
      <c r="U109" s="5"/>
      <c r="V109" s="5"/>
      <c r="W109" s="5"/>
      <c r="X109" s="5"/>
      <c r="Y109" s="5"/>
      <c r="Z109" s="4"/>
      <c r="AA109" s="4"/>
      <c r="AB109" s="4"/>
    </row>
    <row r="110" spans="2:28" ht="12.75" x14ac:dyDescent="0.2">
      <c r="B110" s="61"/>
      <c r="C110" s="61"/>
      <c r="N110" s="4"/>
      <c r="O110" s="4"/>
      <c r="P110" s="4"/>
      <c r="Q110" s="4"/>
      <c r="R110" s="4"/>
      <c r="S110" s="4"/>
      <c r="T110" s="4"/>
      <c r="U110" s="5"/>
      <c r="V110" s="5"/>
      <c r="W110" s="5"/>
      <c r="X110" s="5"/>
      <c r="Y110" s="5"/>
      <c r="Z110" s="4"/>
      <c r="AA110" s="4"/>
      <c r="AB110" s="4"/>
    </row>
    <row r="111" spans="2:28" ht="12.75" x14ac:dyDescent="0.2">
      <c r="B111" s="61"/>
      <c r="C111" s="61"/>
      <c r="N111" s="4"/>
      <c r="O111" s="4"/>
      <c r="P111" s="4"/>
      <c r="Q111" s="4"/>
      <c r="R111" s="4"/>
      <c r="S111" s="4"/>
      <c r="T111" s="4"/>
      <c r="U111" s="5"/>
      <c r="V111" s="5"/>
      <c r="W111" s="5"/>
      <c r="X111" s="5"/>
      <c r="Y111" s="5"/>
      <c r="Z111" s="4"/>
      <c r="AA111" s="4"/>
      <c r="AB111" s="4"/>
    </row>
    <row r="112" spans="2:28" ht="12.75" x14ac:dyDescent="0.2">
      <c r="B112" s="61"/>
      <c r="C112" s="61"/>
      <c r="N112" s="4"/>
      <c r="O112" s="4"/>
      <c r="P112" s="4"/>
      <c r="Q112" s="4"/>
      <c r="R112" s="4"/>
      <c r="S112" s="4"/>
      <c r="T112" s="4"/>
      <c r="U112" s="5"/>
      <c r="V112" s="5"/>
      <c r="W112" s="5"/>
      <c r="X112" s="5"/>
      <c r="Y112" s="5"/>
      <c r="Z112" s="4"/>
      <c r="AA112" s="4"/>
      <c r="AB112" s="4"/>
    </row>
    <row r="113" spans="2:28" ht="12.75" x14ac:dyDescent="0.2">
      <c r="B113" s="61"/>
      <c r="C113" s="61"/>
      <c r="N113" s="4"/>
      <c r="O113" s="4"/>
      <c r="P113" s="4"/>
      <c r="Q113" s="4"/>
      <c r="R113" s="4"/>
      <c r="S113" s="4"/>
      <c r="T113" s="4"/>
      <c r="U113" s="5"/>
      <c r="V113" s="5"/>
      <c r="W113" s="5"/>
      <c r="X113" s="5"/>
      <c r="Y113" s="5"/>
      <c r="Z113" s="4"/>
      <c r="AA113" s="4"/>
      <c r="AB113" s="4"/>
    </row>
    <row r="114" spans="2:28" ht="12.75" x14ac:dyDescent="0.2">
      <c r="B114" s="61"/>
      <c r="C114" s="61"/>
      <c r="N114" s="4"/>
      <c r="O114" s="4"/>
      <c r="P114" s="4"/>
      <c r="Q114" s="4"/>
      <c r="R114" s="4"/>
      <c r="S114" s="4"/>
      <c r="T114" s="4"/>
      <c r="U114" s="5"/>
      <c r="V114" s="5"/>
      <c r="W114" s="5"/>
      <c r="X114" s="5"/>
      <c r="Y114" s="5"/>
      <c r="Z114" s="4"/>
      <c r="AA114" s="4"/>
      <c r="AB114" s="4"/>
    </row>
    <row r="115" spans="2:28" ht="12.75" x14ac:dyDescent="0.2">
      <c r="B115" s="61"/>
      <c r="C115" s="61"/>
      <c r="N115" s="4"/>
      <c r="O115" s="4"/>
      <c r="P115" s="4"/>
      <c r="Q115" s="4"/>
      <c r="R115" s="4"/>
      <c r="S115" s="4"/>
      <c r="T115" s="4"/>
      <c r="U115" s="5"/>
      <c r="V115" s="5"/>
      <c r="W115" s="5"/>
      <c r="X115" s="5"/>
      <c r="Y115" s="5"/>
      <c r="Z115" s="4"/>
      <c r="AA115" s="4"/>
      <c r="AB115" s="4"/>
    </row>
    <row r="116" spans="2:28" ht="12.75" x14ac:dyDescent="0.2">
      <c r="B116" s="61"/>
      <c r="C116" s="61"/>
      <c r="N116" s="4"/>
      <c r="O116" s="4"/>
      <c r="P116" s="4"/>
      <c r="Q116" s="4"/>
      <c r="R116" s="4"/>
      <c r="S116" s="4"/>
      <c r="T116" s="4"/>
      <c r="U116" s="5"/>
      <c r="V116" s="5"/>
      <c r="W116" s="5"/>
      <c r="X116" s="5"/>
      <c r="Y116" s="5"/>
      <c r="Z116" s="4"/>
      <c r="AA116" s="4"/>
      <c r="AB116" s="4"/>
    </row>
    <row r="117" spans="2:28" ht="12.75" x14ac:dyDescent="0.2">
      <c r="B117" s="61"/>
      <c r="C117" s="61"/>
      <c r="N117" s="4"/>
      <c r="O117" s="4"/>
      <c r="P117" s="4"/>
      <c r="Q117" s="4"/>
      <c r="R117" s="4"/>
      <c r="S117" s="4"/>
      <c r="T117" s="4"/>
      <c r="U117" s="5"/>
      <c r="V117" s="5"/>
      <c r="W117" s="5"/>
      <c r="X117" s="5"/>
      <c r="Y117" s="5"/>
      <c r="Z117" s="4"/>
      <c r="AA117" s="4"/>
      <c r="AB117" s="4"/>
    </row>
    <row r="118" spans="2:28" ht="12.75" x14ac:dyDescent="0.2">
      <c r="B118" s="61"/>
      <c r="C118" s="61"/>
      <c r="N118" s="4"/>
      <c r="O118" s="4"/>
      <c r="P118" s="4"/>
      <c r="Q118" s="4"/>
      <c r="R118" s="4"/>
      <c r="S118" s="4"/>
      <c r="T118" s="4"/>
      <c r="U118" s="5"/>
      <c r="V118" s="5"/>
      <c r="W118" s="5"/>
      <c r="X118" s="5"/>
      <c r="Y118" s="5"/>
      <c r="Z118" s="4"/>
      <c r="AA118" s="4"/>
      <c r="AB118" s="4"/>
    </row>
    <row r="119" spans="2:28" ht="12.75" x14ac:dyDescent="0.2">
      <c r="B119" s="61"/>
      <c r="C119" s="61"/>
      <c r="N119" s="4"/>
      <c r="O119" s="4"/>
      <c r="P119" s="4"/>
      <c r="Q119" s="4"/>
      <c r="R119" s="4"/>
      <c r="S119" s="4"/>
      <c r="T119" s="4"/>
      <c r="U119" s="5"/>
      <c r="V119" s="5"/>
      <c r="W119" s="5"/>
      <c r="X119" s="5"/>
      <c r="Y119" s="5"/>
      <c r="Z119" s="4"/>
      <c r="AA119" s="4"/>
      <c r="AB119" s="4"/>
    </row>
    <row r="120" spans="2:28" ht="12.75" x14ac:dyDescent="0.2">
      <c r="B120" s="61"/>
      <c r="C120" s="61"/>
      <c r="N120" s="4"/>
      <c r="O120" s="4"/>
      <c r="P120" s="4"/>
      <c r="Q120" s="4"/>
      <c r="R120" s="4"/>
      <c r="S120" s="4"/>
      <c r="T120" s="4"/>
      <c r="U120" s="5"/>
      <c r="V120" s="5"/>
      <c r="W120" s="5"/>
      <c r="X120" s="5"/>
      <c r="Y120" s="5"/>
      <c r="Z120" s="4"/>
      <c r="AA120" s="4"/>
      <c r="AB120" s="4"/>
    </row>
    <row r="121" spans="2:28" ht="12.75" x14ac:dyDescent="0.2">
      <c r="B121" s="61"/>
      <c r="C121" s="61"/>
      <c r="N121" s="4"/>
      <c r="O121" s="4"/>
      <c r="P121" s="4"/>
      <c r="Q121" s="4"/>
      <c r="R121" s="4"/>
      <c r="S121" s="4"/>
      <c r="T121" s="4"/>
      <c r="U121" s="5"/>
      <c r="V121" s="5"/>
      <c r="W121" s="5"/>
      <c r="X121" s="5"/>
      <c r="Y121" s="5"/>
      <c r="Z121" s="4"/>
      <c r="AA121" s="4"/>
      <c r="AB121" s="4"/>
    </row>
    <row r="122" spans="2:28" ht="12.75" x14ac:dyDescent="0.2">
      <c r="B122" s="61"/>
      <c r="C122" s="61"/>
      <c r="N122" s="4"/>
      <c r="O122" s="4"/>
      <c r="P122" s="4"/>
      <c r="Q122" s="4"/>
      <c r="R122" s="4"/>
      <c r="S122" s="4"/>
      <c r="T122" s="4"/>
      <c r="U122" s="5"/>
      <c r="V122" s="5"/>
      <c r="W122" s="5"/>
      <c r="X122" s="5"/>
      <c r="Y122" s="5"/>
      <c r="Z122" s="4"/>
      <c r="AA122" s="4"/>
      <c r="AB122" s="4"/>
    </row>
    <row r="123" spans="2:28" ht="12.75" x14ac:dyDescent="0.2">
      <c r="B123" s="61"/>
      <c r="C123" s="61"/>
      <c r="N123" s="4"/>
      <c r="O123" s="4"/>
      <c r="P123" s="4"/>
      <c r="Q123" s="4"/>
      <c r="R123" s="4"/>
      <c r="S123" s="4"/>
      <c r="T123" s="4"/>
      <c r="U123" s="5"/>
      <c r="V123" s="5"/>
      <c r="W123" s="5"/>
      <c r="X123" s="5"/>
      <c r="Y123" s="5"/>
      <c r="Z123" s="4"/>
      <c r="AA123" s="4"/>
      <c r="AB123" s="4"/>
    </row>
    <row r="124" spans="2:28" ht="12.75" x14ac:dyDescent="0.2">
      <c r="B124" s="61"/>
      <c r="C124" s="61"/>
      <c r="N124" s="4"/>
      <c r="O124" s="4"/>
      <c r="P124" s="4"/>
      <c r="Q124" s="4"/>
      <c r="R124" s="4"/>
      <c r="S124" s="4"/>
      <c r="T124" s="4"/>
      <c r="U124" s="5"/>
      <c r="V124" s="5"/>
      <c r="W124" s="5"/>
      <c r="X124" s="5"/>
      <c r="Y124" s="5"/>
      <c r="Z124" s="4"/>
      <c r="AA124" s="4"/>
      <c r="AB124" s="4"/>
    </row>
    <row r="125" spans="2:28" ht="12.75" x14ac:dyDescent="0.2">
      <c r="B125" s="61"/>
      <c r="C125" s="61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4"/>
      <c r="AA125" s="4"/>
      <c r="AB125" s="4"/>
    </row>
    <row r="126" spans="2:28" ht="12.75" x14ac:dyDescent="0.2">
      <c r="B126" s="61"/>
      <c r="C126" s="61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4"/>
      <c r="AA126" s="4"/>
      <c r="AB126" s="4"/>
    </row>
    <row r="127" spans="2:28" ht="12.75" x14ac:dyDescent="0.2">
      <c r="B127" s="61"/>
      <c r="C127" s="61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4"/>
      <c r="AA127" s="4"/>
      <c r="AB127" s="4"/>
    </row>
    <row r="128" spans="2:28" ht="12.75" x14ac:dyDescent="0.2">
      <c r="B128" s="61"/>
      <c r="C128" s="61"/>
      <c r="N128" s="4"/>
      <c r="O128" s="4"/>
      <c r="P128" s="4"/>
      <c r="Q128" s="4"/>
      <c r="R128" s="4"/>
      <c r="S128" s="4"/>
      <c r="T128" s="4"/>
      <c r="U128" s="5"/>
      <c r="V128" s="5"/>
      <c r="W128" s="5"/>
      <c r="X128" s="5"/>
      <c r="Y128" s="5"/>
      <c r="Z128" s="4"/>
      <c r="AA128" s="4"/>
      <c r="AB128" s="4"/>
    </row>
    <row r="129" spans="2:28" ht="12.75" x14ac:dyDescent="0.2">
      <c r="B129" s="61"/>
      <c r="C129" s="61"/>
      <c r="N129" s="4"/>
      <c r="O129" s="4"/>
      <c r="P129" s="4"/>
      <c r="Q129" s="4"/>
      <c r="R129" s="4"/>
      <c r="S129" s="4"/>
      <c r="T129" s="4"/>
      <c r="U129" s="5"/>
      <c r="V129" s="5"/>
      <c r="W129" s="5"/>
      <c r="X129" s="5"/>
      <c r="Y129" s="5"/>
      <c r="Z129" s="4"/>
      <c r="AA129" s="4"/>
      <c r="AB129" s="4"/>
    </row>
    <row r="130" spans="2:28" ht="12.75" x14ac:dyDescent="0.2">
      <c r="B130" s="61"/>
      <c r="C130" s="61"/>
      <c r="N130" s="4"/>
      <c r="O130" s="4"/>
      <c r="P130" s="4"/>
      <c r="Q130" s="4"/>
      <c r="R130" s="4"/>
      <c r="S130" s="4"/>
      <c r="T130" s="4"/>
      <c r="U130" s="5"/>
      <c r="V130" s="5"/>
      <c r="W130" s="5"/>
      <c r="X130" s="5"/>
      <c r="Y130" s="5"/>
      <c r="Z130" s="4"/>
      <c r="AA130" s="4"/>
      <c r="AB130" s="4"/>
    </row>
    <row r="131" spans="2:28" ht="12.75" x14ac:dyDescent="0.2">
      <c r="B131" s="61"/>
      <c r="C131" s="61"/>
      <c r="N131" s="4"/>
      <c r="O131" s="4"/>
      <c r="P131" s="4"/>
      <c r="Q131" s="4"/>
      <c r="R131" s="4"/>
      <c r="S131" s="4"/>
      <c r="T131" s="4"/>
      <c r="U131" s="5"/>
      <c r="V131" s="5"/>
      <c r="W131" s="5"/>
      <c r="X131" s="5"/>
      <c r="Y131" s="5"/>
      <c r="Z131" s="4"/>
      <c r="AA131" s="4"/>
      <c r="AB131" s="4"/>
    </row>
    <row r="132" spans="2:28" ht="12.75" x14ac:dyDescent="0.2">
      <c r="B132" s="61"/>
      <c r="C132" s="61"/>
      <c r="N132" s="4"/>
      <c r="O132" s="4"/>
      <c r="P132" s="4"/>
      <c r="Q132" s="4"/>
      <c r="R132" s="4"/>
      <c r="S132" s="4"/>
      <c r="T132" s="4"/>
      <c r="U132" s="5"/>
      <c r="V132" s="5"/>
      <c r="W132" s="5"/>
      <c r="X132" s="5"/>
      <c r="Y132" s="5"/>
      <c r="Z132" s="4"/>
      <c r="AA132" s="4"/>
      <c r="AB132" s="4"/>
    </row>
    <row r="133" spans="2:28" ht="12.75" x14ac:dyDescent="0.2">
      <c r="B133" s="61"/>
      <c r="C133" s="61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4"/>
      <c r="AA133" s="4"/>
      <c r="AB133" s="4"/>
    </row>
    <row r="134" spans="2:28" ht="12.75" x14ac:dyDescent="0.2">
      <c r="B134" s="61"/>
      <c r="C134" s="61"/>
      <c r="N134" s="4"/>
      <c r="O134" s="4"/>
      <c r="P134" s="4"/>
      <c r="Q134" s="4"/>
      <c r="R134" s="4"/>
      <c r="S134" s="4"/>
      <c r="T134" s="4"/>
      <c r="U134" s="5"/>
      <c r="V134" s="5"/>
      <c r="W134" s="5"/>
      <c r="X134" s="5"/>
      <c r="Y134" s="5"/>
      <c r="Z134" s="4"/>
      <c r="AA134" s="4"/>
      <c r="AB134" s="4"/>
    </row>
    <row r="135" spans="2:28" ht="12.75" x14ac:dyDescent="0.2">
      <c r="B135" s="61"/>
      <c r="C135" s="61"/>
      <c r="N135" s="4"/>
      <c r="O135" s="4"/>
      <c r="P135" s="4"/>
      <c r="Q135" s="4"/>
      <c r="R135" s="4"/>
      <c r="S135" s="4"/>
      <c r="T135" s="4"/>
      <c r="U135" s="5"/>
      <c r="V135" s="5"/>
      <c r="W135" s="5"/>
      <c r="X135" s="5"/>
      <c r="Y135" s="5"/>
      <c r="Z135" s="4"/>
      <c r="AA135" s="4"/>
      <c r="AB135" s="4"/>
    </row>
    <row r="136" spans="2:28" ht="12.75" x14ac:dyDescent="0.2">
      <c r="B136" s="61"/>
      <c r="C136" s="61"/>
      <c r="N136" s="4"/>
      <c r="O136" s="4"/>
      <c r="P136" s="4"/>
      <c r="Q136" s="4"/>
      <c r="R136" s="4"/>
      <c r="S136" s="4"/>
      <c r="T136" s="4"/>
      <c r="U136" s="5"/>
      <c r="V136" s="5"/>
      <c r="W136" s="5"/>
      <c r="X136" s="5"/>
      <c r="Y136" s="5"/>
      <c r="Z136" s="4"/>
      <c r="AA136" s="4"/>
      <c r="AB136" s="4"/>
    </row>
    <row r="137" spans="2:28" ht="12.75" x14ac:dyDescent="0.2">
      <c r="B137" s="61"/>
      <c r="C137" s="61"/>
      <c r="N137" s="4"/>
      <c r="O137" s="4"/>
      <c r="P137" s="4"/>
      <c r="Q137" s="4"/>
      <c r="R137" s="4"/>
      <c r="S137" s="4"/>
      <c r="T137" s="4"/>
      <c r="U137" s="5"/>
      <c r="V137" s="5"/>
      <c r="W137" s="5"/>
      <c r="X137" s="5"/>
      <c r="Y137" s="5"/>
      <c r="Z137" s="4"/>
      <c r="AA137" s="4"/>
      <c r="AB137" s="4"/>
    </row>
    <row r="138" spans="2:28" ht="12.75" x14ac:dyDescent="0.2">
      <c r="B138" s="61"/>
      <c r="C138" s="61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5"/>
      <c r="Y138" s="5"/>
      <c r="Z138" s="4"/>
      <c r="AA138" s="4"/>
      <c r="AB138" s="4"/>
    </row>
    <row r="139" spans="2:28" ht="12.75" x14ac:dyDescent="0.2">
      <c r="B139" s="61"/>
      <c r="C139" s="61"/>
      <c r="N139" s="4"/>
      <c r="O139" s="4"/>
      <c r="P139" s="4"/>
      <c r="Q139" s="4"/>
      <c r="R139" s="4"/>
      <c r="S139" s="4"/>
      <c r="T139" s="4"/>
      <c r="U139" s="5"/>
      <c r="V139" s="5"/>
      <c r="W139" s="5"/>
      <c r="X139" s="5"/>
      <c r="Y139" s="5"/>
      <c r="Z139" s="4"/>
      <c r="AA139" s="4"/>
      <c r="AB139" s="4"/>
    </row>
    <row r="140" spans="2:28" ht="12.75" x14ac:dyDescent="0.2">
      <c r="B140" s="61"/>
      <c r="C140" s="61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4"/>
      <c r="AA140" s="4"/>
      <c r="AB140" s="4"/>
    </row>
    <row r="141" spans="2:28" ht="12.75" x14ac:dyDescent="0.2">
      <c r="B141" s="61"/>
      <c r="C141" s="61"/>
      <c r="N141" s="4"/>
      <c r="O141" s="4"/>
      <c r="P141" s="4"/>
      <c r="Q141" s="4"/>
      <c r="R141" s="4"/>
      <c r="S141" s="4"/>
      <c r="T141" s="4"/>
      <c r="U141" s="5"/>
      <c r="V141" s="5"/>
      <c r="W141" s="5"/>
      <c r="X141" s="5"/>
      <c r="Y141" s="5"/>
      <c r="Z141" s="4"/>
      <c r="AA141" s="4"/>
      <c r="AB141" s="4"/>
    </row>
    <row r="142" spans="2:28" ht="12.75" x14ac:dyDescent="0.2">
      <c r="B142" s="61"/>
      <c r="C142" s="61"/>
      <c r="N142" s="4"/>
      <c r="O142" s="4"/>
      <c r="P142" s="4"/>
      <c r="Q142" s="4"/>
      <c r="R142" s="4"/>
      <c r="S142" s="4"/>
      <c r="T142" s="4"/>
      <c r="U142" s="5"/>
      <c r="V142" s="5"/>
      <c r="W142" s="5"/>
      <c r="X142" s="5"/>
      <c r="Y142" s="5"/>
      <c r="Z142" s="4"/>
      <c r="AA142" s="4"/>
      <c r="AB142" s="4"/>
    </row>
    <row r="143" spans="2:28" ht="12.75" x14ac:dyDescent="0.2">
      <c r="B143" s="61"/>
      <c r="C143" s="61"/>
      <c r="N143" s="4"/>
      <c r="O143" s="4"/>
      <c r="P143" s="4"/>
      <c r="Q143" s="4"/>
      <c r="R143" s="4"/>
      <c r="S143" s="4"/>
      <c r="T143" s="4"/>
      <c r="U143" s="5"/>
      <c r="V143" s="5"/>
      <c r="W143" s="5"/>
      <c r="X143" s="5"/>
      <c r="Y143" s="5"/>
      <c r="Z143" s="4"/>
      <c r="AA143" s="5"/>
      <c r="AB143" s="4"/>
    </row>
    <row r="144" spans="2:28" ht="12.75" x14ac:dyDescent="0.2">
      <c r="B144" s="61"/>
      <c r="C144" s="61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5"/>
      <c r="Y144" s="5"/>
      <c r="Z144" s="4"/>
      <c r="AA144" s="4"/>
      <c r="AB144" s="4"/>
    </row>
    <row r="145" spans="2:28" ht="12.75" x14ac:dyDescent="0.2">
      <c r="B145" s="61"/>
      <c r="C145" s="61"/>
      <c r="N145" s="4"/>
      <c r="O145" s="4"/>
      <c r="P145" s="4"/>
      <c r="Q145" s="4"/>
      <c r="R145" s="4"/>
      <c r="S145" s="4"/>
      <c r="T145" s="4"/>
      <c r="U145" s="5"/>
      <c r="V145" s="5"/>
      <c r="W145" s="5"/>
      <c r="X145" s="5"/>
      <c r="Y145" s="5"/>
      <c r="Z145" s="4"/>
      <c r="AA145" s="4"/>
      <c r="AB145" s="4"/>
    </row>
    <row r="146" spans="2:28" ht="12.75" x14ac:dyDescent="0.2">
      <c r="B146" s="61"/>
      <c r="C146" s="61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4"/>
      <c r="AA146" s="4"/>
      <c r="AB146" s="4"/>
    </row>
    <row r="147" spans="2:28" ht="12.75" x14ac:dyDescent="0.2">
      <c r="B147" s="61"/>
      <c r="C147" s="61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4"/>
      <c r="AA147" s="4"/>
      <c r="AB147" s="4"/>
    </row>
    <row r="148" spans="2:28" ht="12.75" x14ac:dyDescent="0.2">
      <c r="B148" s="61"/>
      <c r="C148" s="61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4"/>
      <c r="AA148" s="4"/>
      <c r="AB148" s="4"/>
    </row>
    <row r="149" spans="2:28" ht="12.75" x14ac:dyDescent="0.2">
      <c r="B149" s="61"/>
      <c r="C149" s="61"/>
      <c r="N149" s="4"/>
      <c r="O149" s="4"/>
      <c r="P149" s="4"/>
      <c r="Q149" s="4"/>
      <c r="R149" s="4"/>
      <c r="S149" s="4"/>
      <c r="T149" s="4"/>
      <c r="U149" s="5"/>
      <c r="V149" s="5"/>
      <c r="W149" s="5"/>
      <c r="X149" s="5"/>
      <c r="Y149" s="5"/>
      <c r="Z149" s="4"/>
      <c r="AA149" s="4"/>
      <c r="AB149" s="4"/>
    </row>
    <row r="150" spans="2:28" ht="12.75" x14ac:dyDescent="0.2">
      <c r="B150" s="61"/>
      <c r="C150" s="61"/>
      <c r="N150" s="4"/>
      <c r="O150" s="4"/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4"/>
      <c r="AA150" s="4"/>
      <c r="AB150" s="4"/>
    </row>
    <row r="151" spans="2:28" ht="12.75" x14ac:dyDescent="0.2">
      <c r="B151" s="61"/>
      <c r="C151" s="61"/>
      <c r="N151" s="4"/>
      <c r="O151" s="4"/>
      <c r="P151" s="4"/>
      <c r="Q151" s="4"/>
      <c r="R151" s="4"/>
      <c r="S151" s="4"/>
      <c r="T151" s="4"/>
      <c r="U151" s="5"/>
      <c r="V151" s="5"/>
      <c r="W151" s="5"/>
      <c r="X151" s="5"/>
      <c r="Y151" s="5"/>
      <c r="Z151" s="4"/>
      <c r="AA151" s="4"/>
      <c r="AB151" s="4"/>
    </row>
    <row r="152" spans="2:28" ht="12.75" x14ac:dyDescent="0.2">
      <c r="B152" s="61"/>
      <c r="C152" s="61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4"/>
      <c r="AA152" s="4"/>
      <c r="AB152" s="4"/>
    </row>
    <row r="153" spans="2:28" ht="12.75" x14ac:dyDescent="0.2">
      <c r="B153" s="61"/>
      <c r="C153" s="61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5"/>
      <c r="Y153" s="5"/>
      <c r="Z153" s="4"/>
      <c r="AA153" s="4"/>
      <c r="AB153" s="4"/>
    </row>
    <row r="154" spans="2:28" ht="12.75" x14ac:dyDescent="0.2">
      <c r="B154" s="61"/>
      <c r="C154" s="61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4"/>
      <c r="AA154" s="4"/>
      <c r="AB154" s="4"/>
    </row>
    <row r="155" spans="2:28" ht="12.75" x14ac:dyDescent="0.2">
      <c r="B155" s="61"/>
      <c r="C155" s="61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4"/>
      <c r="AA155" s="4"/>
      <c r="AB155" s="4"/>
    </row>
    <row r="156" spans="2:28" ht="12.75" x14ac:dyDescent="0.2">
      <c r="B156" s="61"/>
      <c r="C156" s="61"/>
      <c r="N156" s="4"/>
      <c r="O156" s="4"/>
      <c r="P156" s="4"/>
      <c r="Q156" s="4"/>
      <c r="R156" s="4"/>
      <c r="S156" s="4"/>
      <c r="T156" s="4"/>
      <c r="U156" s="5"/>
      <c r="V156" s="5"/>
      <c r="W156" s="5"/>
      <c r="X156" s="5"/>
      <c r="Y156" s="5"/>
      <c r="Z156" s="4"/>
      <c r="AA156" s="5"/>
      <c r="AB156" s="4"/>
    </row>
    <row r="157" spans="2:28" ht="12.75" x14ac:dyDescent="0.2">
      <c r="B157" s="61"/>
      <c r="C157" s="61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4"/>
      <c r="AA157" s="4"/>
      <c r="AB157" s="4"/>
    </row>
    <row r="158" spans="2:28" ht="12.75" x14ac:dyDescent="0.2">
      <c r="B158" s="61"/>
      <c r="C158" s="61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4"/>
      <c r="AA158" s="4"/>
      <c r="AB158" s="4"/>
    </row>
    <row r="159" spans="2:28" ht="12.75" x14ac:dyDescent="0.2">
      <c r="B159" s="61"/>
      <c r="C159" s="61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4"/>
      <c r="AA159" s="4"/>
      <c r="AB159" s="4"/>
    </row>
    <row r="160" spans="2:28" ht="12.75" x14ac:dyDescent="0.2">
      <c r="B160" s="61"/>
      <c r="C160" s="61"/>
      <c r="N160" s="4"/>
      <c r="O160" s="4"/>
      <c r="P160" s="4"/>
      <c r="Q160" s="4"/>
      <c r="R160" s="4"/>
      <c r="S160" s="4"/>
      <c r="T160" s="4"/>
      <c r="U160" s="5"/>
      <c r="V160" s="5"/>
      <c r="W160" s="5"/>
      <c r="X160" s="5"/>
      <c r="Y160" s="5"/>
      <c r="Z160" s="4"/>
      <c r="AA160" s="4"/>
      <c r="AB160" s="4"/>
    </row>
    <row r="161" spans="2:28" ht="12.75" x14ac:dyDescent="0.2">
      <c r="B161" s="61"/>
      <c r="C161" s="61"/>
      <c r="N161" s="4"/>
      <c r="O161" s="4"/>
      <c r="P161" s="4"/>
      <c r="Q161" s="4"/>
      <c r="R161" s="4"/>
      <c r="S161" s="4"/>
      <c r="T161" s="4"/>
      <c r="U161" s="5"/>
      <c r="V161" s="5"/>
      <c r="W161" s="5"/>
      <c r="X161" s="5"/>
      <c r="Y161" s="5"/>
      <c r="Z161" s="4"/>
      <c r="AA161" s="4"/>
      <c r="AB161" s="4"/>
    </row>
    <row r="162" spans="2:28" ht="12.75" x14ac:dyDescent="0.2">
      <c r="B162" s="61"/>
      <c r="C162" s="61"/>
      <c r="N162" s="4"/>
      <c r="O162" s="4"/>
      <c r="P162" s="4"/>
      <c r="Q162" s="4"/>
      <c r="R162" s="4"/>
      <c r="S162" s="4"/>
      <c r="T162" s="4"/>
      <c r="U162" s="5"/>
      <c r="V162" s="5"/>
      <c r="W162" s="5"/>
      <c r="X162" s="5"/>
      <c r="Y162" s="5"/>
      <c r="Z162" s="4"/>
      <c r="AA162" s="4"/>
      <c r="AB162" s="4"/>
    </row>
    <row r="163" spans="2:28" ht="12.75" x14ac:dyDescent="0.2">
      <c r="B163" s="61"/>
      <c r="C163" s="61"/>
      <c r="N163" s="4"/>
      <c r="O163" s="4"/>
      <c r="P163" s="4"/>
      <c r="Q163" s="4"/>
      <c r="R163" s="4"/>
      <c r="S163" s="4"/>
      <c r="T163" s="4"/>
      <c r="U163" s="5"/>
      <c r="V163" s="5"/>
      <c r="W163" s="5"/>
      <c r="X163" s="5"/>
      <c r="Y163" s="5"/>
      <c r="Z163" s="4"/>
      <c r="AA163" s="4"/>
      <c r="AB163" s="4"/>
    </row>
    <row r="164" spans="2:28" ht="12.75" x14ac:dyDescent="0.2">
      <c r="B164" s="61"/>
      <c r="C164" s="61"/>
      <c r="N164" s="4"/>
      <c r="O164" s="4"/>
      <c r="P164" s="4"/>
      <c r="Q164" s="4"/>
      <c r="R164" s="4"/>
      <c r="S164" s="4"/>
      <c r="T164" s="4"/>
      <c r="U164" s="5"/>
      <c r="V164" s="5"/>
      <c r="W164" s="5"/>
      <c r="X164" s="5"/>
      <c r="Y164" s="5"/>
      <c r="Z164" s="4"/>
      <c r="AA164" s="4"/>
      <c r="AB164" s="4"/>
    </row>
    <row r="165" spans="2:28" ht="12.75" x14ac:dyDescent="0.2">
      <c r="B165" s="61"/>
      <c r="C165" s="61"/>
      <c r="N165" s="4"/>
      <c r="O165" s="4"/>
      <c r="P165" s="4"/>
      <c r="Q165" s="4"/>
      <c r="R165" s="4"/>
      <c r="S165" s="4"/>
      <c r="T165" s="4"/>
      <c r="U165" s="5"/>
      <c r="V165" s="5"/>
      <c r="W165" s="5"/>
      <c r="X165" s="5"/>
      <c r="Y165" s="5"/>
      <c r="Z165" s="4"/>
      <c r="AA165" s="4"/>
      <c r="AB165" s="4"/>
    </row>
    <row r="166" spans="2:28" ht="12.75" x14ac:dyDescent="0.2">
      <c r="B166" s="61"/>
      <c r="C166" s="61"/>
      <c r="N166" s="4"/>
      <c r="O166" s="4"/>
      <c r="P166" s="4"/>
      <c r="Q166" s="4"/>
      <c r="R166" s="4"/>
      <c r="S166" s="4"/>
      <c r="T166" s="4"/>
      <c r="U166" s="5"/>
      <c r="V166" s="5"/>
      <c r="W166" s="5"/>
      <c r="X166" s="5"/>
      <c r="Y166" s="5"/>
      <c r="Z166" s="4"/>
      <c r="AA166" s="4"/>
      <c r="AB166" s="4"/>
    </row>
    <row r="167" spans="2:28" ht="12.75" x14ac:dyDescent="0.2">
      <c r="B167" s="61"/>
      <c r="C167" s="61"/>
      <c r="N167" s="4"/>
      <c r="O167" s="4"/>
      <c r="P167" s="4"/>
      <c r="Q167" s="4"/>
      <c r="R167" s="4"/>
      <c r="S167" s="4"/>
      <c r="T167" s="4"/>
      <c r="U167" s="5"/>
      <c r="V167" s="5"/>
      <c r="W167" s="5"/>
      <c r="X167" s="5"/>
      <c r="Y167" s="5"/>
      <c r="Z167" s="4"/>
      <c r="AA167" s="4"/>
      <c r="AB167" s="4"/>
    </row>
    <row r="168" spans="2:28" ht="12.75" x14ac:dyDescent="0.2">
      <c r="B168" s="61"/>
      <c r="C168" s="61"/>
      <c r="N168" s="4"/>
      <c r="O168" s="4"/>
      <c r="P168" s="4"/>
      <c r="Q168" s="4"/>
      <c r="R168" s="4"/>
      <c r="S168" s="4"/>
      <c r="T168" s="4"/>
      <c r="U168" s="5"/>
      <c r="V168" s="5"/>
      <c r="W168" s="5"/>
      <c r="X168" s="5"/>
      <c r="Y168" s="5"/>
      <c r="Z168" s="4"/>
      <c r="AA168" s="4"/>
      <c r="AB168" s="4"/>
    </row>
    <row r="169" spans="2:28" ht="12.75" x14ac:dyDescent="0.2">
      <c r="B169" s="61"/>
      <c r="C169" s="61"/>
      <c r="N169" s="4"/>
      <c r="O169" s="4"/>
      <c r="P169" s="4"/>
      <c r="Q169" s="4"/>
      <c r="R169" s="4"/>
      <c r="S169" s="4"/>
      <c r="T169" s="4"/>
      <c r="U169" s="5"/>
      <c r="V169" s="5"/>
      <c r="W169" s="5"/>
      <c r="X169" s="5"/>
      <c r="Y169" s="5"/>
      <c r="Z169" s="4"/>
      <c r="AA169" s="4"/>
      <c r="AB169" s="4"/>
    </row>
    <row r="170" spans="2:28" ht="12.75" x14ac:dyDescent="0.2">
      <c r="B170" s="61"/>
      <c r="C170" s="61"/>
      <c r="N170" s="4"/>
      <c r="O170" s="4"/>
      <c r="P170" s="4"/>
      <c r="Q170" s="4"/>
      <c r="R170" s="4"/>
      <c r="S170" s="4"/>
      <c r="T170" s="4"/>
      <c r="U170" s="5"/>
      <c r="V170" s="5"/>
      <c r="W170" s="5"/>
      <c r="X170" s="5"/>
      <c r="Y170" s="5"/>
      <c r="Z170" s="4"/>
      <c r="AA170" s="4"/>
      <c r="AB170" s="4"/>
    </row>
    <row r="171" spans="2:28" ht="12.75" x14ac:dyDescent="0.2">
      <c r="B171" s="61"/>
      <c r="C171" s="61"/>
      <c r="N171" s="4"/>
      <c r="O171" s="4"/>
      <c r="P171" s="4"/>
      <c r="Q171" s="4"/>
      <c r="R171" s="4"/>
      <c r="S171" s="4"/>
      <c r="T171" s="4"/>
      <c r="U171" s="5"/>
      <c r="V171" s="5"/>
      <c r="W171" s="5"/>
      <c r="X171" s="5"/>
      <c r="Y171" s="5"/>
      <c r="Z171" s="4"/>
      <c r="AA171" s="4"/>
      <c r="AB171" s="4"/>
    </row>
    <row r="172" spans="2:28" ht="12.75" x14ac:dyDescent="0.2">
      <c r="B172" s="61"/>
      <c r="C172" s="61"/>
      <c r="N172" s="4"/>
      <c r="O172" s="4"/>
      <c r="P172" s="4"/>
      <c r="Q172" s="4"/>
      <c r="R172" s="4"/>
      <c r="S172" s="4"/>
      <c r="T172" s="4"/>
      <c r="U172" s="5"/>
      <c r="V172" s="5"/>
      <c r="W172" s="5"/>
      <c r="X172" s="5"/>
      <c r="Y172" s="5"/>
      <c r="Z172" s="4"/>
      <c r="AA172" s="4"/>
      <c r="AB172" s="4"/>
    </row>
    <row r="173" spans="2:28" ht="12.75" x14ac:dyDescent="0.2">
      <c r="B173" s="61"/>
      <c r="C173" s="61"/>
      <c r="N173" s="4"/>
      <c r="O173" s="4"/>
      <c r="P173" s="4"/>
      <c r="Q173" s="4"/>
      <c r="R173" s="4"/>
      <c r="S173" s="4"/>
      <c r="T173" s="4"/>
      <c r="U173" s="5"/>
      <c r="V173" s="5"/>
      <c r="W173" s="5"/>
      <c r="X173" s="5"/>
      <c r="Y173" s="5"/>
      <c r="Z173" s="4"/>
      <c r="AA173" s="4"/>
      <c r="AB173" s="4"/>
    </row>
    <row r="174" spans="2:28" ht="12.75" x14ac:dyDescent="0.2">
      <c r="B174" s="61"/>
      <c r="C174" s="61"/>
      <c r="N174" s="4"/>
      <c r="O174" s="4"/>
      <c r="P174" s="4"/>
      <c r="Q174" s="4"/>
      <c r="R174" s="4"/>
      <c r="S174" s="4"/>
      <c r="T174" s="4"/>
      <c r="U174" s="5"/>
      <c r="V174" s="5"/>
      <c r="W174" s="5"/>
      <c r="X174" s="5"/>
      <c r="Y174" s="5"/>
      <c r="Z174" s="4"/>
      <c r="AA174" s="4"/>
      <c r="AB174" s="4"/>
    </row>
    <row r="175" spans="2:28" ht="12.75" x14ac:dyDescent="0.2">
      <c r="B175" s="61"/>
      <c r="C175" s="61"/>
      <c r="N175" s="4"/>
      <c r="O175" s="4"/>
      <c r="P175" s="4"/>
      <c r="Q175" s="4"/>
      <c r="R175" s="4"/>
      <c r="S175" s="4"/>
      <c r="T175" s="4"/>
      <c r="U175" s="5"/>
      <c r="V175" s="5"/>
      <c r="W175" s="5"/>
      <c r="X175" s="5"/>
      <c r="Y175" s="5"/>
      <c r="Z175" s="4"/>
      <c r="AA175" s="4"/>
      <c r="AB175" s="4"/>
    </row>
    <row r="176" spans="2:28" ht="12.75" x14ac:dyDescent="0.2">
      <c r="B176" s="61"/>
      <c r="C176" s="61"/>
      <c r="N176" s="4"/>
      <c r="O176" s="4"/>
      <c r="P176" s="4"/>
      <c r="Q176" s="4"/>
      <c r="R176" s="4"/>
      <c r="S176" s="4"/>
      <c r="T176" s="4"/>
      <c r="U176" s="5"/>
      <c r="V176" s="5"/>
      <c r="W176" s="5"/>
      <c r="X176" s="5"/>
      <c r="Y176" s="5"/>
      <c r="Z176" s="4"/>
      <c r="AA176" s="4"/>
      <c r="AB176" s="4"/>
    </row>
    <row r="177" spans="2:28" ht="12.75" x14ac:dyDescent="0.2">
      <c r="B177" s="61"/>
      <c r="C177" s="61"/>
      <c r="N177" s="4"/>
      <c r="O177" s="4"/>
      <c r="P177" s="4"/>
      <c r="Q177" s="4"/>
      <c r="R177" s="4"/>
      <c r="S177" s="4"/>
      <c r="T177" s="4"/>
      <c r="U177" s="5"/>
      <c r="V177" s="5"/>
      <c r="W177" s="5"/>
      <c r="X177" s="5"/>
      <c r="Y177" s="5"/>
      <c r="Z177" s="4"/>
      <c r="AA177" s="4"/>
      <c r="AB177" s="4"/>
    </row>
    <row r="178" spans="2:28" ht="12.75" x14ac:dyDescent="0.2">
      <c r="B178" s="61"/>
      <c r="C178" s="61"/>
      <c r="N178" s="4"/>
      <c r="O178" s="4"/>
      <c r="P178" s="4"/>
      <c r="Q178" s="4"/>
      <c r="R178" s="4"/>
      <c r="S178" s="4"/>
      <c r="T178" s="4"/>
      <c r="U178" s="5"/>
      <c r="V178" s="5"/>
      <c r="W178" s="5"/>
      <c r="X178" s="5"/>
      <c r="Y178" s="5"/>
      <c r="Z178" s="4"/>
      <c r="AA178" s="4"/>
      <c r="AB178" s="4"/>
    </row>
    <row r="179" spans="2:28" ht="12.75" x14ac:dyDescent="0.2">
      <c r="B179" s="61"/>
      <c r="C179" s="61"/>
      <c r="N179" s="4"/>
      <c r="O179" s="4"/>
      <c r="P179" s="4"/>
      <c r="Q179" s="4"/>
      <c r="R179" s="4"/>
      <c r="S179" s="4"/>
      <c r="T179" s="4"/>
      <c r="U179" s="5"/>
      <c r="V179" s="5"/>
      <c r="W179" s="5"/>
      <c r="X179" s="5"/>
      <c r="Y179" s="5"/>
      <c r="Z179" s="4"/>
      <c r="AA179" s="4"/>
      <c r="AB179" s="4"/>
    </row>
    <row r="180" spans="2:28" ht="12.75" x14ac:dyDescent="0.2">
      <c r="B180" s="61"/>
      <c r="C180" s="61"/>
      <c r="N180" s="4"/>
      <c r="O180" s="4"/>
      <c r="P180" s="4"/>
      <c r="Q180" s="4"/>
      <c r="R180" s="4"/>
      <c r="S180" s="4"/>
      <c r="T180" s="4"/>
      <c r="U180" s="5"/>
      <c r="V180" s="5"/>
      <c r="W180" s="5"/>
      <c r="X180" s="5"/>
      <c r="Y180" s="5"/>
      <c r="Z180" s="4"/>
      <c r="AA180" s="4"/>
      <c r="AB180" s="4"/>
    </row>
    <row r="181" spans="2:28" ht="12.75" x14ac:dyDescent="0.2">
      <c r="B181" s="61"/>
      <c r="C181" s="61"/>
      <c r="N181" s="4"/>
      <c r="O181" s="4"/>
      <c r="P181" s="4"/>
      <c r="Q181" s="4"/>
      <c r="R181" s="4"/>
      <c r="S181" s="4"/>
      <c r="T181" s="4"/>
      <c r="U181" s="5"/>
      <c r="V181" s="5"/>
      <c r="W181" s="5"/>
      <c r="X181" s="5"/>
      <c r="Y181" s="5"/>
      <c r="Z181" s="4"/>
      <c r="AA181" s="4"/>
      <c r="AB181" s="4"/>
    </row>
    <row r="182" spans="2:28" ht="12.75" x14ac:dyDescent="0.2">
      <c r="B182" s="61"/>
      <c r="C182" s="61"/>
      <c r="N182" s="4"/>
      <c r="O182" s="4"/>
      <c r="P182" s="4"/>
      <c r="Q182" s="4"/>
      <c r="R182" s="4"/>
      <c r="S182" s="4"/>
      <c r="T182" s="4"/>
      <c r="U182" s="5"/>
      <c r="V182" s="5"/>
      <c r="W182" s="4"/>
      <c r="X182" s="4"/>
      <c r="Y182" s="5"/>
      <c r="Z182" s="4"/>
      <c r="AA182" s="4"/>
      <c r="AB182" s="4"/>
    </row>
    <row r="183" spans="2:28" ht="12.75" x14ac:dyDescent="0.2">
      <c r="B183" s="61"/>
      <c r="C183" s="61"/>
      <c r="N183" s="4"/>
      <c r="O183" s="4"/>
      <c r="P183" s="4"/>
      <c r="Q183" s="4"/>
      <c r="R183" s="4"/>
      <c r="S183" s="4"/>
      <c r="T183" s="4"/>
      <c r="U183" s="5"/>
      <c r="V183" s="5"/>
      <c r="W183" s="5"/>
      <c r="X183" s="5"/>
      <c r="Y183" s="5"/>
      <c r="Z183" s="4"/>
      <c r="AA183" s="4"/>
      <c r="AB183" s="4"/>
    </row>
    <row r="184" spans="2:28" ht="12.75" x14ac:dyDescent="0.2">
      <c r="B184" s="61"/>
      <c r="C184" s="61"/>
      <c r="N184" s="4"/>
      <c r="O184" s="4"/>
      <c r="P184" s="4"/>
      <c r="Q184" s="4"/>
      <c r="R184" s="4"/>
      <c r="S184" s="4"/>
      <c r="T184" s="4"/>
      <c r="U184" s="5"/>
      <c r="V184" s="5"/>
      <c r="W184" s="5"/>
      <c r="X184" s="5"/>
      <c r="Y184" s="5"/>
      <c r="Z184" s="4"/>
      <c r="AA184" s="4"/>
      <c r="AB184" s="4"/>
    </row>
    <row r="185" spans="2:28" ht="12.75" x14ac:dyDescent="0.2">
      <c r="B185" s="61"/>
      <c r="C185" s="61"/>
      <c r="N185" s="4"/>
      <c r="O185" s="4"/>
      <c r="P185" s="4"/>
      <c r="Q185" s="4"/>
      <c r="R185" s="4"/>
      <c r="S185" s="4"/>
      <c r="T185" s="4"/>
      <c r="U185" s="5"/>
      <c r="V185" s="5"/>
      <c r="W185" s="5"/>
      <c r="X185" s="5"/>
      <c r="Y185" s="5"/>
      <c r="Z185" s="4"/>
      <c r="AA185" s="4"/>
      <c r="AB185" s="4"/>
    </row>
    <row r="186" spans="2:28" ht="12.75" x14ac:dyDescent="0.2">
      <c r="B186" s="61"/>
      <c r="C186" s="61"/>
      <c r="N186" s="4"/>
      <c r="O186" s="4"/>
      <c r="P186" s="4"/>
      <c r="Q186" s="4"/>
      <c r="R186" s="4"/>
      <c r="S186" s="4"/>
      <c r="T186" s="4"/>
      <c r="U186" s="5"/>
      <c r="V186" s="5"/>
      <c r="W186" s="5"/>
      <c r="X186" s="5"/>
      <c r="Y186" s="5"/>
      <c r="Z186" s="4"/>
      <c r="AA186" s="4"/>
      <c r="AB186" s="4"/>
    </row>
    <row r="187" spans="2:28" ht="12.75" x14ac:dyDescent="0.2">
      <c r="B187" s="61"/>
      <c r="C187" s="61"/>
      <c r="N187" s="4"/>
      <c r="O187" s="4"/>
      <c r="P187" s="4"/>
      <c r="Q187" s="4"/>
      <c r="R187" s="4"/>
      <c r="S187" s="4"/>
      <c r="T187" s="4"/>
      <c r="U187" s="5"/>
      <c r="V187" s="5"/>
      <c r="W187" s="5"/>
      <c r="X187" s="5"/>
      <c r="Y187" s="5"/>
      <c r="Z187" s="4"/>
      <c r="AA187" s="4"/>
      <c r="AB187" s="4"/>
    </row>
    <row r="188" spans="2:28" ht="12.75" x14ac:dyDescent="0.2">
      <c r="B188" s="61"/>
      <c r="C188" s="61"/>
      <c r="N188" s="4"/>
      <c r="O188" s="4"/>
      <c r="P188" s="4"/>
      <c r="Q188" s="4"/>
      <c r="R188" s="4"/>
      <c r="S188" s="4"/>
      <c r="T188" s="4"/>
      <c r="U188" s="5"/>
      <c r="V188" s="5"/>
      <c r="W188" s="5"/>
      <c r="X188" s="5"/>
      <c r="Y188" s="5"/>
      <c r="Z188" s="4"/>
      <c r="AA188" s="4"/>
      <c r="AB188" s="4"/>
    </row>
    <row r="189" spans="2:28" ht="12.75" x14ac:dyDescent="0.2">
      <c r="B189" s="61"/>
      <c r="C189" s="61"/>
      <c r="N189" s="4"/>
      <c r="O189" s="4"/>
      <c r="P189" s="4"/>
      <c r="Q189" s="4"/>
      <c r="R189" s="4"/>
      <c r="S189" s="4"/>
      <c r="T189" s="4"/>
      <c r="U189" s="5"/>
      <c r="V189" s="5"/>
      <c r="W189" s="5"/>
      <c r="X189" s="5"/>
      <c r="Y189" s="5"/>
      <c r="Z189" s="4"/>
      <c r="AA189" s="4"/>
      <c r="AB189" s="4"/>
    </row>
    <row r="190" spans="2:28" ht="12.75" x14ac:dyDescent="0.2">
      <c r="B190" s="61"/>
      <c r="C190" s="61"/>
      <c r="N190" s="4"/>
      <c r="O190" s="4"/>
      <c r="P190" s="4"/>
      <c r="Q190" s="4"/>
      <c r="R190" s="4"/>
      <c r="S190" s="4"/>
      <c r="T190" s="4"/>
      <c r="U190" s="5"/>
      <c r="V190" s="5"/>
      <c r="W190" s="5"/>
      <c r="X190" s="5"/>
      <c r="Y190" s="5"/>
      <c r="Z190" s="4"/>
      <c r="AA190" s="4"/>
      <c r="AB190" s="4"/>
    </row>
    <row r="191" spans="2:28" ht="12.75" x14ac:dyDescent="0.2">
      <c r="B191" s="61"/>
      <c r="C191" s="61"/>
      <c r="N191" s="4"/>
      <c r="O191" s="4"/>
      <c r="P191" s="4"/>
      <c r="Q191" s="4"/>
      <c r="R191" s="4"/>
      <c r="S191" s="4"/>
      <c r="T191" s="4"/>
      <c r="U191" s="5"/>
      <c r="V191" s="5"/>
      <c r="W191" s="5"/>
      <c r="X191" s="5"/>
      <c r="Y191" s="5"/>
      <c r="Z191" s="4"/>
      <c r="AA191" s="4"/>
      <c r="AB191" s="4"/>
    </row>
    <row r="192" spans="2:28" ht="12.75" x14ac:dyDescent="0.2">
      <c r="B192" s="61"/>
      <c r="C192" s="61"/>
      <c r="N192" s="4"/>
      <c r="O192" s="4"/>
      <c r="P192" s="4"/>
      <c r="Q192" s="4"/>
      <c r="R192" s="4"/>
      <c r="S192" s="4"/>
      <c r="T192" s="4"/>
      <c r="U192" s="5"/>
      <c r="V192" s="5"/>
      <c r="W192" s="5"/>
      <c r="X192" s="5"/>
      <c r="Y192" s="5"/>
      <c r="Z192" s="4"/>
      <c r="AA192" s="4"/>
      <c r="AB192" s="4"/>
    </row>
    <row r="193" spans="2:28" ht="12.75" x14ac:dyDescent="0.2">
      <c r="B193" s="61"/>
      <c r="C193" s="61"/>
      <c r="N193" s="4"/>
      <c r="O193" s="4"/>
      <c r="P193" s="4"/>
      <c r="Q193" s="4"/>
      <c r="R193" s="4"/>
      <c r="S193" s="4"/>
      <c r="T193" s="4"/>
      <c r="U193" s="5"/>
      <c r="V193" s="5"/>
      <c r="W193" s="5"/>
      <c r="X193" s="5"/>
      <c r="Y193" s="5"/>
      <c r="Z193" s="4"/>
      <c r="AA193" s="4"/>
      <c r="AB193" s="4"/>
    </row>
    <row r="194" spans="2:28" ht="12.75" x14ac:dyDescent="0.2">
      <c r="B194" s="61"/>
      <c r="C194" s="61"/>
      <c r="N194" s="4"/>
      <c r="O194" s="4"/>
      <c r="P194" s="4"/>
      <c r="Q194" s="4"/>
      <c r="R194" s="4"/>
      <c r="S194" s="4"/>
      <c r="T194" s="4"/>
      <c r="U194" s="5"/>
      <c r="V194" s="5"/>
      <c r="W194" s="5"/>
      <c r="X194" s="5"/>
      <c r="Y194" s="5"/>
      <c r="Z194" s="4"/>
      <c r="AA194" s="4"/>
      <c r="AB194" s="4"/>
    </row>
    <row r="195" spans="2:28" ht="12.75" x14ac:dyDescent="0.2">
      <c r="B195" s="61"/>
      <c r="C195" s="61"/>
      <c r="N195" s="4"/>
      <c r="O195" s="4"/>
      <c r="P195" s="4"/>
      <c r="Q195" s="4"/>
      <c r="R195" s="4"/>
      <c r="S195" s="4"/>
      <c r="T195" s="4"/>
      <c r="U195" s="5"/>
      <c r="V195" s="5"/>
      <c r="W195" s="5"/>
      <c r="X195" s="5"/>
      <c r="Y195" s="5"/>
      <c r="Z195" s="4"/>
      <c r="AA195" s="4"/>
      <c r="AB195" s="4"/>
    </row>
    <row r="196" spans="2:28" ht="12.75" x14ac:dyDescent="0.2">
      <c r="B196" s="61"/>
      <c r="C196" s="61"/>
      <c r="N196" s="4"/>
      <c r="O196" s="4"/>
      <c r="P196" s="4"/>
      <c r="Q196" s="4"/>
      <c r="R196" s="4"/>
      <c r="S196" s="4"/>
      <c r="T196" s="4"/>
      <c r="U196" s="5"/>
      <c r="V196" s="5"/>
      <c r="W196" s="5"/>
      <c r="X196" s="5"/>
      <c r="Y196" s="5"/>
      <c r="Z196" s="4"/>
      <c r="AA196" s="4"/>
      <c r="AB196" s="4"/>
    </row>
    <row r="197" spans="2:28" ht="12.75" x14ac:dyDescent="0.2">
      <c r="B197" s="61"/>
      <c r="C197" s="61"/>
      <c r="N197" s="4"/>
      <c r="O197" s="4"/>
      <c r="P197" s="4"/>
      <c r="Q197" s="4"/>
      <c r="R197" s="4"/>
      <c r="S197" s="4"/>
      <c r="T197" s="4"/>
      <c r="U197" s="5"/>
      <c r="V197" s="5"/>
      <c r="W197" s="5"/>
      <c r="X197" s="5"/>
      <c r="Y197" s="5"/>
      <c r="Z197" s="4"/>
      <c r="AA197" s="4"/>
      <c r="AB197" s="4"/>
    </row>
    <row r="198" spans="2:28" ht="12.75" x14ac:dyDescent="0.2">
      <c r="B198" s="61"/>
      <c r="C198" s="61"/>
      <c r="N198" s="4"/>
      <c r="O198" s="4"/>
      <c r="P198" s="4"/>
      <c r="Q198" s="4"/>
      <c r="R198" s="4"/>
      <c r="S198" s="4"/>
      <c r="T198" s="4"/>
      <c r="U198" s="5"/>
      <c r="V198" s="5"/>
      <c r="W198" s="5"/>
      <c r="X198" s="5"/>
      <c r="Y198" s="5"/>
      <c r="Z198" s="4"/>
      <c r="AA198" s="4"/>
      <c r="AB198" s="4"/>
    </row>
    <row r="199" spans="2:28" ht="12.75" x14ac:dyDescent="0.2">
      <c r="B199" s="61"/>
      <c r="C199" s="61"/>
      <c r="N199" s="4"/>
      <c r="O199" s="4"/>
      <c r="P199" s="4"/>
      <c r="Q199" s="4"/>
      <c r="R199" s="4"/>
      <c r="S199" s="4"/>
      <c r="T199" s="4"/>
      <c r="U199" s="5"/>
      <c r="V199" s="5"/>
      <c r="W199" s="5"/>
      <c r="X199" s="5"/>
      <c r="Y199" s="5"/>
      <c r="Z199" s="4"/>
      <c r="AA199" s="4"/>
      <c r="AB199" s="4"/>
    </row>
    <row r="200" spans="2:28" ht="12.75" x14ac:dyDescent="0.2">
      <c r="B200" s="61"/>
      <c r="C200" s="61"/>
      <c r="N200" s="4"/>
      <c r="O200" s="4"/>
      <c r="P200" s="4"/>
      <c r="Q200" s="4"/>
      <c r="R200" s="4"/>
      <c r="S200" s="4"/>
      <c r="T200" s="4"/>
      <c r="U200" s="5"/>
      <c r="V200" s="5"/>
      <c r="W200" s="5"/>
      <c r="X200" s="5"/>
      <c r="Y200" s="5"/>
      <c r="Z200" s="4"/>
      <c r="AA200" s="4"/>
      <c r="AB200" s="5"/>
    </row>
    <row r="201" spans="2:28" ht="12.75" x14ac:dyDescent="0.2">
      <c r="B201" s="61"/>
      <c r="C201" s="61"/>
      <c r="N201" s="4"/>
      <c r="O201" s="4"/>
      <c r="P201" s="4"/>
      <c r="Q201" s="4"/>
      <c r="R201" s="4"/>
      <c r="S201" s="4"/>
      <c r="T201" s="4"/>
      <c r="U201" s="5"/>
      <c r="V201" s="5"/>
      <c r="W201" s="5"/>
      <c r="X201" s="5"/>
      <c r="Y201" s="5"/>
      <c r="Z201" s="4"/>
      <c r="AA201" s="4"/>
      <c r="AB201" s="4"/>
    </row>
    <row r="202" spans="2:28" ht="12.75" x14ac:dyDescent="0.2">
      <c r="B202" s="61"/>
      <c r="C202" s="61"/>
      <c r="N202" s="4"/>
      <c r="O202" s="4"/>
      <c r="P202" s="4"/>
      <c r="Q202" s="4"/>
      <c r="R202" s="4"/>
      <c r="S202" s="4"/>
      <c r="T202" s="4"/>
      <c r="U202" s="5"/>
      <c r="V202" s="5"/>
      <c r="W202" s="5"/>
      <c r="X202" s="5"/>
      <c r="Y202" s="5"/>
      <c r="Z202" s="4"/>
      <c r="AA202" s="4"/>
      <c r="AB202" s="4"/>
    </row>
    <row r="203" spans="2:28" ht="12.75" x14ac:dyDescent="0.2">
      <c r="B203" s="61"/>
      <c r="C203" s="61"/>
      <c r="N203" s="4"/>
      <c r="O203" s="4"/>
      <c r="P203" s="4"/>
      <c r="Q203" s="4"/>
      <c r="R203" s="4"/>
      <c r="S203" s="4"/>
      <c r="T203" s="4"/>
      <c r="U203" s="5"/>
      <c r="V203" s="5"/>
      <c r="W203" s="5"/>
      <c r="X203" s="5"/>
      <c r="Y203" s="5"/>
      <c r="Z203" s="4"/>
      <c r="AA203" s="4"/>
      <c r="AB203" s="4"/>
    </row>
    <row r="204" spans="2:28" ht="12.75" x14ac:dyDescent="0.2">
      <c r="B204" s="61"/>
      <c r="C204" s="61"/>
      <c r="N204" s="4"/>
      <c r="O204" s="4"/>
      <c r="P204" s="4"/>
      <c r="Q204" s="4"/>
      <c r="R204" s="4"/>
      <c r="S204" s="4"/>
      <c r="T204" s="4"/>
      <c r="U204" s="5"/>
      <c r="V204" s="5"/>
      <c r="W204" s="5"/>
      <c r="X204" s="5"/>
      <c r="Y204" s="5"/>
      <c r="Z204" s="4"/>
      <c r="AA204" s="4"/>
      <c r="AB204" s="4"/>
    </row>
    <row r="205" spans="2:28" ht="12.75" x14ac:dyDescent="0.2">
      <c r="B205" s="61"/>
      <c r="C205" s="61"/>
      <c r="N205" s="4"/>
      <c r="O205" s="4"/>
      <c r="P205" s="4"/>
      <c r="Q205" s="4"/>
      <c r="R205" s="4"/>
      <c r="S205" s="4"/>
      <c r="T205" s="4"/>
      <c r="U205" s="5"/>
      <c r="V205" s="5"/>
      <c r="W205" s="5"/>
      <c r="X205" s="5"/>
      <c r="Y205" s="5"/>
      <c r="Z205" s="4"/>
      <c r="AA205" s="4"/>
      <c r="AB205" s="4"/>
    </row>
    <row r="206" spans="2:28" ht="12.75" x14ac:dyDescent="0.2">
      <c r="B206" s="61"/>
      <c r="C206" s="61"/>
      <c r="N206" s="4"/>
      <c r="O206" s="4"/>
      <c r="P206" s="4"/>
      <c r="Q206" s="4"/>
      <c r="R206" s="4"/>
      <c r="S206" s="4"/>
      <c r="T206" s="4"/>
      <c r="U206" s="5"/>
      <c r="V206" s="5"/>
      <c r="W206" s="5"/>
      <c r="X206" s="5"/>
      <c r="Y206" s="5"/>
      <c r="Z206" s="4"/>
      <c r="AA206" s="4"/>
      <c r="AB206" s="4"/>
    </row>
    <row r="207" spans="2:28" ht="12.75" x14ac:dyDescent="0.2">
      <c r="B207" s="61"/>
      <c r="C207" s="61"/>
      <c r="N207" s="4"/>
      <c r="O207" s="4"/>
      <c r="P207" s="4"/>
      <c r="Q207" s="4"/>
      <c r="R207" s="4"/>
      <c r="S207" s="4"/>
      <c r="T207" s="4"/>
      <c r="U207" s="5"/>
      <c r="V207" s="5"/>
      <c r="W207" s="5"/>
      <c r="X207" s="5"/>
      <c r="Y207" s="5"/>
      <c r="Z207" s="4"/>
      <c r="AA207" s="4"/>
      <c r="AB207" s="4"/>
    </row>
    <row r="208" spans="2:28" ht="12.75" x14ac:dyDescent="0.2">
      <c r="B208" s="61"/>
      <c r="C208" s="61"/>
      <c r="N208" s="4"/>
      <c r="O208" s="4"/>
      <c r="P208" s="4"/>
      <c r="Q208" s="4"/>
      <c r="R208" s="4"/>
      <c r="S208" s="4"/>
      <c r="T208" s="4"/>
      <c r="U208" s="5"/>
      <c r="V208" s="5"/>
      <c r="W208" s="5"/>
      <c r="X208" s="5"/>
      <c r="Y208" s="5"/>
      <c r="Z208" s="4"/>
      <c r="AA208" s="4"/>
      <c r="AB208" s="4"/>
    </row>
    <row r="209" spans="2:28" ht="12.75" x14ac:dyDescent="0.2">
      <c r="B209" s="61"/>
      <c r="C209" s="61"/>
      <c r="N209" s="4"/>
      <c r="O209" s="4"/>
      <c r="P209" s="4"/>
      <c r="Q209" s="4"/>
      <c r="R209" s="4"/>
      <c r="S209" s="4"/>
      <c r="T209" s="4"/>
      <c r="U209" s="5"/>
      <c r="V209" s="5"/>
      <c r="W209" s="5"/>
      <c r="X209" s="5"/>
      <c r="Y209" s="5"/>
      <c r="Z209" s="4"/>
      <c r="AA209" s="4"/>
      <c r="AB209" s="4"/>
    </row>
    <row r="210" spans="2:28" ht="12.75" x14ac:dyDescent="0.2">
      <c r="B210" s="61"/>
      <c r="C210" s="61"/>
      <c r="N210" s="4"/>
      <c r="O210" s="4"/>
      <c r="P210" s="4"/>
      <c r="Q210" s="4"/>
      <c r="R210" s="4"/>
      <c r="S210" s="4"/>
      <c r="T210" s="4"/>
      <c r="U210" s="5"/>
      <c r="V210" s="5"/>
      <c r="W210" s="5"/>
      <c r="X210" s="5"/>
      <c r="Y210" s="5"/>
      <c r="Z210" s="4"/>
      <c r="AA210" s="4"/>
      <c r="AB210" s="4"/>
    </row>
    <row r="211" spans="2:28" ht="12.75" x14ac:dyDescent="0.2">
      <c r="B211" s="61"/>
      <c r="C211" s="61"/>
      <c r="N211" s="4"/>
      <c r="O211" s="4"/>
      <c r="P211" s="4"/>
      <c r="Q211" s="4"/>
      <c r="R211" s="4"/>
      <c r="S211" s="4"/>
      <c r="T211" s="4"/>
      <c r="U211" s="5"/>
      <c r="V211" s="5"/>
      <c r="W211" s="5"/>
      <c r="X211" s="5"/>
      <c r="Y211" s="5"/>
      <c r="Z211" s="4"/>
      <c r="AA211" s="4"/>
      <c r="AB211" s="4"/>
    </row>
    <row r="212" spans="2:28" ht="12.75" x14ac:dyDescent="0.2">
      <c r="B212" s="61"/>
      <c r="C212" s="61"/>
      <c r="N212" s="4"/>
      <c r="O212" s="4"/>
      <c r="P212" s="4"/>
      <c r="Q212" s="4"/>
      <c r="R212" s="4"/>
      <c r="S212" s="4"/>
      <c r="T212" s="4"/>
      <c r="U212" s="5"/>
      <c r="V212" s="5"/>
      <c r="W212" s="5"/>
      <c r="X212" s="5"/>
      <c r="Y212" s="5"/>
      <c r="Z212" s="4"/>
      <c r="AA212" s="4"/>
      <c r="AB212" s="4"/>
    </row>
    <row r="213" spans="2:28" ht="12.75" x14ac:dyDescent="0.2">
      <c r="B213" s="61"/>
      <c r="C213" s="61"/>
      <c r="N213" s="4"/>
      <c r="O213" s="4"/>
      <c r="P213" s="4"/>
      <c r="Q213" s="4"/>
      <c r="R213" s="4"/>
      <c r="S213" s="4"/>
      <c r="T213" s="4"/>
      <c r="U213" s="5"/>
      <c r="V213" s="5"/>
      <c r="W213" s="5"/>
      <c r="X213" s="5"/>
      <c r="Y213" s="5"/>
      <c r="Z213" s="4"/>
      <c r="AA213" s="4"/>
      <c r="AB213" s="4"/>
    </row>
    <row r="214" spans="2:28" ht="12.75" x14ac:dyDescent="0.2">
      <c r="B214" s="61"/>
      <c r="C214" s="61"/>
      <c r="N214" s="4"/>
      <c r="O214" s="4"/>
      <c r="P214" s="4"/>
      <c r="Q214" s="4"/>
      <c r="R214" s="4"/>
      <c r="S214" s="4"/>
      <c r="T214" s="4"/>
      <c r="U214" s="5"/>
      <c r="V214" s="5"/>
      <c r="W214" s="5"/>
      <c r="X214" s="5"/>
      <c r="Y214" s="5"/>
      <c r="Z214" s="4"/>
      <c r="AA214" s="4"/>
      <c r="AB214" s="4"/>
    </row>
    <row r="215" spans="2:28" ht="12.75" x14ac:dyDescent="0.2">
      <c r="B215" s="61"/>
      <c r="C215" s="61"/>
      <c r="N215" s="4"/>
      <c r="O215" s="4"/>
      <c r="P215" s="4"/>
      <c r="Q215" s="4"/>
      <c r="R215" s="4"/>
      <c r="S215" s="4"/>
      <c r="T215" s="4"/>
      <c r="U215" s="5"/>
      <c r="V215" s="5"/>
      <c r="W215" s="5"/>
      <c r="X215" s="5"/>
      <c r="Y215" s="5"/>
      <c r="Z215" s="4"/>
      <c r="AA215" s="4"/>
      <c r="AB215" s="4"/>
    </row>
    <row r="216" spans="2:28" ht="12.75" x14ac:dyDescent="0.2">
      <c r="B216" s="61"/>
      <c r="C216" s="61"/>
      <c r="N216" s="4"/>
      <c r="O216" s="4"/>
      <c r="P216" s="4"/>
      <c r="Q216" s="4"/>
      <c r="R216" s="4"/>
      <c r="S216" s="4"/>
      <c r="T216" s="4"/>
      <c r="U216" s="5"/>
      <c r="V216" s="5"/>
      <c r="W216" s="5"/>
      <c r="X216" s="5"/>
      <c r="Y216" s="5"/>
      <c r="Z216" s="4"/>
      <c r="AA216" s="4"/>
      <c r="AB216" s="4"/>
    </row>
    <row r="217" spans="2:28" ht="12.75" x14ac:dyDescent="0.2">
      <c r="B217" s="61"/>
      <c r="C217" s="61"/>
      <c r="N217" s="4"/>
      <c r="O217" s="4"/>
      <c r="P217" s="4"/>
      <c r="Q217" s="4"/>
      <c r="R217" s="4"/>
      <c r="S217" s="4"/>
      <c r="T217" s="4"/>
      <c r="U217" s="5"/>
      <c r="V217" s="5"/>
      <c r="W217" s="5"/>
      <c r="X217" s="5"/>
      <c r="Y217" s="5"/>
      <c r="Z217" s="4"/>
      <c r="AA217" s="4"/>
      <c r="AB217" s="4"/>
    </row>
    <row r="218" spans="2:28" ht="12.75" x14ac:dyDescent="0.2">
      <c r="B218" s="61"/>
      <c r="C218" s="61"/>
      <c r="N218" s="4"/>
      <c r="O218" s="4"/>
      <c r="P218" s="4"/>
      <c r="Q218" s="4"/>
      <c r="R218" s="4"/>
      <c r="S218" s="4"/>
      <c r="T218" s="4"/>
      <c r="U218" s="5"/>
      <c r="V218" s="5"/>
      <c r="W218" s="5"/>
      <c r="X218" s="4"/>
      <c r="Y218" s="5"/>
      <c r="Z218" s="4"/>
      <c r="AA218" s="4"/>
      <c r="AB218" s="4"/>
    </row>
    <row r="219" spans="2:28" ht="12.75" x14ac:dyDescent="0.2">
      <c r="B219" s="61"/>
      <c r="C219" s="61"/>
      <c r="N219" s="4"/>
      <c r="O219" s="4"/>
      <c r="P219" s="4"/>
      <c r="Q219" s="4"/>
      <c r="R219" s="4"/>
      <c r="S219" s="4"/>
      <c r="T219" s="4"/>
      <c r="U219" s="5"/>
      <c r="V219" s="5"/>
      <c r="W219" s="5"/>
      <c r="X219" s="5"/>
      <c r="Y219" s="5"/>
      <c r="Z219" s="4"/>
      <c r="AA219" s="5"/>
      <c r="AB219" s="4"/>
    </row>
    <row r="220" spans="2:28" ht="12.75" x14ac:dyDescent="0.2">
      <c r="B220" s="61"/>
      <c r="C220" s="61"/>
      <c r="N220" s="4"/>
      <c r="O220" s="4"/>
      <c r="P220" s="4"/>
      <c r="Q220" s="4"/>
      <c r="R220" s="4"/>
      <c r="S220" s="4"/>
      <c r="T220" s="4"/>
      <c r="U220" s="5"/>
      <c r="V220" s="5"/>
      <c r="W220" s="5"/>
      <c r="X220" s="5"/>
      <c r="Y220" s="5"/>
      <c r="Z220" s="4"/>
      <c r="AA220" s="4"/>
      <c r="AB220" s="4"/>
    </row>
    <row r="221" spans="2:28" ht="12.75" x14ac:dyDescent="0.2">
      <c r="B221" s="61"/>
      <c r="C221" s="61"/>
      <c r="N221" s="4"/>
      <c r="O221" s="4"/>
      <c r="P221" s="4"/>
      <c r="Q221" s="4"/>
      <c r="R221" s="4"/>
      <c r="S221" s="4"/>
      <c r="T221" s="4"/>
      <c r="U221" s="5"/>
      <c r="V221" s="5"/>
      <c r="W221" s="5"/>
      <c r="X221" s="5"/>
      <c r="Y221" s="5"/>
      <c r="Z221" s="4"/>
      <c r="AA221" s="4"/>
      <c r="AB221" s="4"/>
    </row>
    <row r="222" spans="2:28" ht="12.75" x14ac:dyDescent="0.2">
      <c r="B222" s="61"/>
      <c r="C222" s="61"/>
      <c r="N222" s="4"/>
      <c r="O222" s="4"/>
      <c r="P222" s="4"/>
      <c r="Q222" s="4"/>
      <c r="R222" s="4"/>
      <c r="S222" s="4"/>
      <c r="T222" s="4"/>
      <c r="U222" s="5"/>
      <c r="V222" s="5"/>
      <c r="W222" s="5"/>
      <c r="X222" s="5"/>
      <c r="Y222" s="5"/>
      <c r="Z222" s="4"/>
      <c r="AA222" s="4"/>
      <c r="AB222" s="4"/>
    </row>
    <row r="223" spans="2:28" ht="12.75" x14ac:dyDescent="0.2">
      <c r="B223" s="61"/>
      <c r="C223" s="61"/>
      <c r="N223" s="4"/>
      <c r="O223" s="4"/>
      <c r="P223" s="4"/>
      <c r="Q223" s="4"/>
      <c r="R223" s="4"/>
      <c r="S223" s="4"/>
      <c r="T223" s="4"/>
      <c r="U223" s="5"/>
      <c r="V223" s="5"/>
      <c r="W223" s="5"/>
      <c r="X223" s="5"/>
      <c r="Y223" s="5"/>
      <c r="Z223" s="4"/>
      <c r="AA223" s="4"/>
      <c r="AB223" s="4"/>
    </row>
    <row r="224" spans="2:28" ht="12.75" x14ac:dyDescent="0.2">
      <c r="B224" s="61"/>
      <c r="C224" s="61"/>
      <c r="N224" s="4"/>
      <c r="O224" s="4"/>
      <c r="P224" s="4"/>
      <c r="Q224" s="4"/>
      <c r="R224" s="4"/>
      <c r="S224" s="4"/>
      <c r="T224" s="4"/>
      <c r="U224" s="5"/>
      <c r="V224" s="5"/>
      <c r="W224" s="5"/>
      <c r="X224" s="5"/>
      <c r="Y224" s="5"/>
      <c r="Z224" s="4"/>
      <c r="AA224" s="4"/>
      <c r="AB224" s="4"/>
    </row>
    <row r="225" spans="2:28" ht="12.75" x14ac:dyDescent="0.2">
      <c r="B225" s="61"/>
      <c r="C225" s="61"/>
      <c r="N225" s="4"/>
      <c r="O225" s="4"/>
      <c r="P225" s="4"/>
      <c r="Q225" s="4"/>
      <c r="R225" s="4"/>
      <c r="S225" s="4"/>
      <c r="T225" s="4"/>
      <c r="U225" s="5"/>
      <c r="V225" s="5"/>
      <c r="W225" s="5"/>
      <c r="X225" s="5"/>
      <c r="Y225" s="5"/>
      <c r="Z225" s="4"/>
      <c r="AA225" s="4"/>
      <c r="AB225" s="4"/>
    </row>
    <row r="226" spans="2:28" ht="12.75" x14ac:dyDescent="0.2">
      <c r="B226" s="61"/>
      <c r="C226" s="61"/>
      <c r="N226" s="4"/>
      <c r="O226" s="4"/>
      <c r="P226" s="4"/>
      <c r="Q226" s="4"/>
      <c r="R226" s="4"/>
      <c r="S226" s="4"/>
      <c r="T226" s="4"/>
      <c r="U226" s="5"/>
      <c r="V226" s="5"/>
      <c r="W226" s="5"/>
      <c r="X226" s="5"/>
      <c r="Y226" s="5"/>
      <c r="Z226" s="4"/>
      <c r="AA226" s="4"/>
      <c r="AB226" s="4"/>
    </row>
    <row r="227" spans="2:28" ht="12.75" x14ac:dyDescent="0.2">
      <c r="B227" s="61"/>
      <c r="C227" s="61"/>
      <c r="N227" s="4"/>
      <c r="O227" s="4"/>
      <c r="P227" s="4"/>
      <c r="Q227" s="4"/>
      <c r="R227" s="4"/>
      <c r="S227" s="4"/>
      <c r="T227" s="4"/>
      <c r="U227" s="5"/>
      <c r="V227" s="5"/>
      <c r="W227" s="5"/>
      <c r="X227" s="5"/>
      <c r="Y227" s="5"/>
      <c r="Z227" s="4"/>
      <c r="AA227" s="4"/>
      <c r="AB227" s="4"/>
    </row>
    <row r="228" spans="2:28" ht="12.75" x14ac:dyDescent="0.2">
      <c r="B228" s="61"/>
      <c r="C228" s="61"/>
      <c r="N228" s="4"/>
      <c r="O228" s="4"/>
      <c r="P228" s="4"/>
      <c r="Q228" s="4"/>
      <c r="R228" s="4"/>
      <c r="S228" s="4"/>
      <c r="T228" s="4"/>
      <c r="U228" s="5"/>
      <c r="V228" s="5"/>
      <c r="W228" s="5"/>
      <c r="X228" s="5"/>
      <c r="Y228" s="5"/>
      <c r="Z228" s="4"/>
      <c r="AA228" s="4"/>
      <c r="AB228" s="4"/>
    </row>
    <row r="229" spans="2:28" ht="12.75" x14ac:dyDescent="0.2">
      <c r="B229" s="61"/>
      <c r="C229" s="61"/>
      <c r="N229" s="4"/>
      <c r="O229" s="4"/>
      <c r="P229" s="4"/>
      <c r="Q229" s="4"/>
      <c r="R229" s="4"/>
      <c r="S229" s="4"/>
      <c r="T229" s="4"/>
      <c r="U229" s="5"/>
      <c r="V229" s="5"/>
      <c r="W229" s="5"/>
      <c r="X229" s="5"/>
      <c r="Y229" s="5"/>
      <c r="Z229" s="4"/>
      <c r="AA229" s="4"/>
      <c r="AB229" s="4"/>
    </row>
    <row r="230" spans="2:28" ht="12.75" x14ac:dyDescent="0.2">
      <c r="B230" s="61"/>
      <c r="C230" s="61"/>
      <c r="N230" s="4"/>
      <c r="O230" s="4"/>
      <c r="P230" s="4"/>
      <c r="Q230" s="4"/>
      <c r="R230" s="4"/>
      <c r="S230" s="4"/>
      <c r="T230" s="4"/>
      <c r="U230" s="5"/>
      <c r="V230" s="5"/>
      <c r="W230" s="5"/>
      <c r="X230" s="5"/>
      <c r="Y230" s="5"/>
      <c r="Z230" s="4"/>
      <c r="AA230" s="4"/>
      <c r="AB230" s="4"/>
    </row>
    <row r="231" spans="2:28" ht="12.75" x14ac:dyDescent="0.2">
      <c r="B231" s="61"/>
      <c r="C231" s="61"/>
      <c r="N231" s="4"/>
      <c r="O231" s="4"/>
      <c r="P231" s="4"/>
      <c r="Q231" s="4"/>
      <c r="R231" s="4"/>
      <c r="S231" s="4"/>
      <c r="T231" s="4"/>
      <c r="U231" s="5"/>
      <c r="V231" s="5"/>
      <c r="W231" s="5"/>
      <c r="X231" s="5"/>
      <c r="Y231" s="5"/>
      <c r="Z231" s="4"/>
      <c r="AA231" s="4"/>
      <c r="AB231" s="4"/>
    </row>
    <row r="232" spans="2:28" ht="12.75" x14ac:dyDescent="0.2">
      <c r="B232" s="61"/>
      <c r="C232" s="61"/>
      <c r="N232" s="4"/>
      <c r="O232" s="4"/>
      <c r="P232" s="4"/>
      <c r="Q232" s="4"/>
      <c r="R232" s="4"/>
      <c r="S232" s="4"/>
      <c r="T232" s="4"/>
      <c r="U232" s="5"/>
      <c r="V232" s="5"/>
      <c r="W232" s="4"/>
      <c r="X232" s="4"/>
      <c r="Y232" s="5"/>
      <c r="Z232" s="4"/>
      <c r="AA232" s="4"/>
      <c r="AB232" s="4"/>
    </row>
    <row r="233" spans="2:28" ht="12.75" x14ac:dyDescent="0.2">
      <c r="B233" s="61"/>
      <c r="C233" s="61"/>
      <c r="N233" s="4"/>
      <c r="O233" s="4"/>
      <c r="P233" s="4"/>
      <c r="Q233" s="4"/>
      <c r="R233" s="4"/>
      <c r="S233" s="4"/>
      <c r="T233" s="4"/>
      <c r="U233" s="5"/>
      <c r="V233" s="5"/>
      <c r="W233" s="5"/>
      <c r="X233" s="5"/>
      <c r="Y233" s="5"/>
      <c r="Z233" s="4"/>
      <c r="AA233" s="4"/>
      <c r="AB233" s="4"/>
    </row>
    <row r="234" spans="2:28" ht="12.75" x14ac:dyDescent="0.2">
      <c r="B234" s="61"/>
      <c r="C234" s="61"/>
      <c r="N234" s="4"/>
      <c r="O234" s="4"/>
      <c r="P234" s="4"/>
      <c r="Q234" s="4"/>
      <c r="R234" s="4"/>
      <c r="S234" s="4"/>
      <c r="T234" s="4"/>
      <c r="U234" s="5"/>
      <c r="V234" s="5"/>
      <c r="W234" s="5"/>
      <c r="X234" s="5"/>
      <c r="Y234" s="5"/>
      <c r="Z234" s="4"/>
      <c r="AA234" s="4"/>
      <c r="AB234" s="4"/>
    </row>
    <row r="235" spans="2:28" ht="12.75" x14ac:dyDescent="0.2">
      <c r="B235" s="61"/>
      <c r="C235" s="61"/>
      <c r="N235" s="4"/>
      <c r="O235" s="4"/>
      <c r="P235" s="4"/>
      <c r="Q235" s="4"/>
      <c r="R235" s="4"/>
      <c r="S235" s="4"/>
      <c r="T235" s="4"/>
      <c r="U235" s="5"/>
      <c r="V235" s="5"/>
      <c r="W235" s="5"/>
      <c r="X235" s="5"/>
      <c r="Y235" s="5"/>
      <c r="Z235" s="4"/>
      <c r="AA235" s="4"/>
      <c r="AB235" s="4"/>
    </row>
    <row r="236" spans="2:28" ht="12.75" x14ac:dyDescent="0.2">
      <c r="B236" s="61"/>
      <c r="C236" s="61"/>
      <c r="N236" s="4"/>
      <c r="O236" s="4"/>
      <c r="P236" s="4"/>
      <c r="Q236" s="4"/>
      <c r="R236" s="4"/>
      <c r="S236" s="4"/>
      <c r="T236" s="4"/>
      <c r="U236" s="5"/>
      <c r="V236" s="5"/>
      <c r="W236" s="5"/>
      <c r="X236" s="5"/>
      <c r="Y236" s="5"/>
      <c r="Z236" s="4"/>
      <c r="AA236" s="4"/>
      <c r="AB236" s="4"/>
    </row>
    <row r="237" spans="2:28" ht="12.75" x14ac:dyDescent="0.2">
      <c r="B237" s="61"/>
      <c r="C237" s="61"/>
      <c r="N237" s="4"/>
      <c r="O237" s="4"/>
      <c r="P237" s="4"/>
      <c r="Q237" s="4"/>
      <c r="R237" s="4"/>
      <c r="S237" s="4"/>
      <c r="T237" s="4"/>
      <c r="U237" s="5"/>
      <c r="V237" s="5"/>
      <c r="W237" s="5"/>
      <c r="X237" s="5"/>
      <c r="Y237" s="5"/>
      <c r="Z237" s="4"/>
      <c r="AA237" s="4"/>
      <c r="AB237" s="4"/>
    </row>
    <row r="238" spans="2:28" ht="12.75" x14ac:dyDescent="0.2">
      <c r="B238" s="61"/>
      <c r="C238" s="61"/>
      <c r="N238" s="4"/>
      <c r="O238" s="4"/>
      <c r="P238" s="4"/>
      <c r="Q238" s="4"/>
      <c r="R238" s="4"/>
      <c r="S238" s="4"/>
      <c r="T238" s="4"/>
      <c r="U238" s="5"/>
      <c r="V238" s="5"/>
      <c r="W238" s="5"/>
      <c r="X238" s="5"/>
      <c r="Y238" s="4"/>
      <c r="Z238" s="4"/>
      <c r="AA238" s="4"/>
      <c r="AB238" s="4"/>
    </row>
    <row r="239" spans="2:28" ht="12.75" x14ac:dyDescent="0.2">
      <c r="B239" s="61"/>
      <c r="C239" s="61"/>
      <c r="N239" s="4"/>
      <c r="O239" s="4"/>
      <c r="P239" s="4"/>
      <c r="Q239" s="4"/>
      <c r="R239" s="4"/>
      <c r="S239" s="4"/>
      <c r="T239" s="4"/>
      <c r="U239" s="5"/>
      <c r="V239" s="5"/>
      <c r="W239" s="4"/>
      <c r="X239" s="4"/>
      <c r="Y239" s="5"/>
      <c r="Z239" s="4"/>
      <c r="AA239" s="4"/>
      <c r="AB239" s="4"/>
    </row>
    <row r="240" spans="2:28" ht="12.75" x14ac:dyDescent="0.2">
      <c r="B240" s="61"/>
      <c r="C240" s="61"/>
      <c r="N240" s="4"/>
      <c r="O240" s="4"/>
      <c r="P240" s="4"/>
      <c r="Q240" s="4"/>
      <c r="R240" s="4"/>
      <c r="S240" s="4"/>
      <c r="T240" s="4"/>
      <c r="U240" s="5"/>
      <c r="V240" s="5"/>
      <c r="W240" s="5"/>
      <c r="X240" s="5"/>
      <c r="Y240" s="5"/>
      <c r="Z240" s="4"/>
      <c r="AA240" s="4"/>
      <c r="AB240" s="4"/>
    </row>
    <row r="241" spans="2:28" ht="12.75" x14ac:dyDescent="0.2">
      <c r="B241" s="61"/>
      <c r="C241" s="61"/>
      <c r="N241" s="4"/>
      <c r="O241" s="4"/>
      <c r="P241" s="4"/>
      <c r="Q241" s="4"/>
      <c r="R241" s="4"/>
      <c r="S241" s="4"/>
      <c r="T241" s="4"/>
      <c r="U241" s="5"/>
      <c r="V241" s="5"/>
      <c r="W241" s="5"/>
      <c r="X241" s="5"/>
      <c r="Y241" s="5"/>
      <c r="Z241" s="4"/>
      <c r="AA241" s="4"/>
      <c r="AB241" s="4"/>
    </row>
    <row r="242" spans="2:28" ht="12.75" x14ac:dyDescent="0.2">
      <c r="B242" s="61"/>
      <c r="C242" s="61"/>
      <c r="N242" s="4"/>
      <c r="O242" s="4"/>
      <c r="P242" s="4"/>
      <c r="Q242" s="4"/>
      <c r="R242" s="4"/>
      <c r="S242" s="4"/>
      <c r="T242" s="4"/>
      <c r="U242" s="5"/>
      <c r="V242" s="5"/>
      <c r="W242" s="5"/>
      <c r="X242" s="5"/>
      <c r="Y242" s="5"/>
      <c r="Z242" s="4"/>
      <c r="AA242" s="4"/>
      <c r="AB242" s="4"/>
    </row>
    <row r="243" spans="2:28" ht="12.75" x14ac:dyDescent="0.2">
      <c r="B243" s="61"/>
      <c r="C243" s="61"/>
      <c r="N243" s="4"/>
      <c r="O243" s="4"/>
      <c r="P243" s="4"/>
      <c r="Q243" s="4"/>
      <c r="R243" s="4"/>
      <c r="S243" s="4"/>
      <c r="T243" s="4"/>
      <c r="U243" s="5"/>
      <c r="V243" s="5"/>
      <c r="W243" s="5"/>
      <c r="X243" s="5"/>
      <c r="Y243" s="5"/>
      <c r="Z243" s="4"/>
      <c r="AA243" s="4"/>
      <c r="AB243" s="4"/>
    </row>
    <row r="244" spans="2:28" ht="12.75" x14ac:dyDescent="0.2">
      <c r="B244" s="61"/>
      <c r="C244" s="61"/>
      <c r="N244" s="4"/>
      <c r="O244" s="4"/>
      <c r="P244" s="4"/>
      <c r="Q244" s="4"/>
      <c r="R244" s="4"/>
      <c r="S244" s="4"/>
      <c r="T244" s="4"/>
      <c r="U244" s="5"/>
      <c r="V244" s="5"/>
      <c r="W244" s="5"/>
      <c r="X244" s="5"/>
      <c r="Y244" s="5"/>
      <c r="Z244" s="4"/>
      <c r="AA244" s="4"/>
      <c r="AB244" s="4"/>
    </row>
    <row r="245" spans="2:28" ht="12.75" x14ac:dyDescent="0.2">
      <c r="B245" s="61"/>
      <c r="C245" s="61"/>
      <c r="N245" s="4"/>
      <c r="O245" s="4"/>
      <c r="P245" s="4"/>
      <c r="Q245" s="4"/>
      <c r="R245" s="4"/>
      <c r="S245" s="4"/>
      <c r="T245" s="4"/>
      <c r="U245" s="5"/>
      <c r="V245" s="5"/>
      <c r="W245" s="5"/>
      <c r="X245" s="5"/>
      <c r="Y245" s="5"/>
      <c r="Z245" s="4"/>
      <c r="AA245" s="4"/>
      <c r="AB245" s="4"/>
    </row>
    <row r="246" spans="2:28" ht="12.75" x14ac:dyDescent="0.2">
      <c r="B246" s="61"/>
      <c r="C246" s="61"/>
      <c r="N246" s="4"/>
      <c r="O246" s="4"/>
      <c r="P246" s="4"/>
      <c r="Q246" s="4"/>
      <c r="R246" s="4"/>
      <c r="S246" s="4"/>
      <c r="T246" s="4"/>
      <c r="U246" s="5"/>
      <c r="V246" s="5"/>
      <c r="W246" s="5"/>
      <c r="X246" s="5"/>
      <c r="Y246" s="5"/>
      <c r="Z246" s="4"/>
      <c r="AA246" s="4"/>
      <c r="AB246" s="4"/>
    </row>
  </sheetData>
  <mergeCells count="168">
    <mergeCell ref="B79:C79"/>
    <mergeCell ref="B80:C80"/>
    <mergeCell ref="B81:C81"/>
    <mergeCell ref="B82:C82"/>
    <mergeCell ref="B83:C83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99:C99"/>
    <mergeCell ref="B100:C100"/>
    <mergeCell ref="B101:C101"/>
    <mergeCell ref="B102:C102"/>
    <mergeCell ref="B103:C103"/>
    <mergeCell ref="B94:C94"/>
    <mergeCell ref="B95:C95"/>
    <mergeCell ref="B96:C96"/>
    <mergeCell ref="B97:C97"/>
    <mergeCell ref="B98:C98"/>
    <mergeCell ref="B109:C109"/>
    <mergeCell ref="B110:C110"/>
    <mergeCell ref="B111:C111"/>
    <mergeCell ref="B112:C112"/>
    <mergeCell ref="B113:C113"/>
    <mergeCell ref="B104:C104"/>
    <mergeCell ref="B105:C105"/>
    <mergeCell ref="B106:C106"/>
    <mergeCell ref="B107:C107"/>
    <mergeCell ref="B108:C108"/>
    <mergeCell ref="B119:C119"/>
    <mergeCell ref="B120:C120"/>
    <mergeCell ref="B121:C121"/>
    <mergeCell ref="B122:C122"/>
    <mergeCell ref="B123:C123"/>
    <mergeCell ref="B114:C114"/>
    <mergeCell ref="B115:C115"/>
    <mergeCell ref="B116:C116"/>
    <mergeCell ref="B117:C117"/>
    <mergeCell ref="B118:C118"/>
    <mergeCell ref="B129:C129"/>
    <mergeCell ref="B130:C130"/>
    <mergeCell ref="B131:C131"/>
    <mergeCell ref="B132:C132"/>
    <mergeCell ref="B133:C133"/>
    <mergeCell ref="B124:C124"/>
    <mergeCell ref="B125:C125"/>
    <mergeCell ref="B126:C126"/>
    <mergeCell ref="B127:C127"/>
    <mergeCell ref="B128:C128"/>
    <mergeCell ref="B139:C139"/>
    <mergeCell ref="B140:C140"/>
    <mergeCell ref="B141:C141"/>
    <mergeCell ref="B142:C142"/>
    <mergeCell ref="B143:C143"/>
    <mergeCell ref="B134:C134"/>
    <mergeCell ref="B135:C135"/>
    <mergeCell ref="B136:C136"/>
    <mergeCell ref="B137:C137"/>
    <mergeCell ref="B138:C138"/>
    <mergeCell ref="B149:C149"/>
    <mergeCell ref="B150:C150"/>
    <mergeCell ref="B151:C151"/>
    <mergeCell ref="B152:C152"/>
    <mergeCell ref="B153:C153"/>
    <mergeCell ref="B144:C144"/>
    <mergeCell ref="B145:C145"/>
    <mergeCell ref="B146:C146"/>
    <mergeCell ref="B147:C147"/>
    <mergeCell ref="B148:C148"/>
    <mergeCell ref="B159:C159"/>
    <mergeCell ref="B160:C160"/>
    <mergeCell ref="B161:C161"/>
    <mergeCell ref="B162:C162"/>
    <mergeCell ref="B163:C163"/>
    <mergeCell ref="B154:C154"/>
    <mergeCell ref="B155:C155"/>
    <mergeCell ref="B156:C156"/>
    <mergeCell ref="B157:C157"/>
    <mergeCell ref="B158:C158"/>
    <mergeCell ref="B169:C169"/>
    <mergeCell ref="B170:C170"/>
    <mergeCell ref="B171:C171"/>
    <mergeCell ref="B172:C172"/>
    <mergeCell ref="B173:C173"/>
    <mergeCell ref="B164:C164"/>
    <mergeCell ref="B165:C165"/>
    <mergeCell ref="B166:C166"/>
    <mergeCell ref="B167:C167"/>
    <mergeCell ref="B168:C168"/>
    <mergeCell ref="B179:C179"/>
    <mergeCell ref="B180:C180"/>
    <mergeCell ref="B181:C181"/>
    <mergeCell ref="B182:C182"/>
    <mergeCell ref="B183:C183"/>
    <mergeCell ref="B174:C174"/>
    <mergeCell ref="B175:C175"/>
    <mergeCell ref="B176:C176"/>
    <mergeCell ref="B177:C177"/>
    <mergeCell ref="B178:C178"/>
    <mergeCell ref="B189:C189"/>
    <mergeCell ref="B190:C190"/>
    <mergeCell ref="B191:C191"/>
    <mergeCell ref="B192:C192"/>
    <mergeCell ref="B193:C193"/>
    <mergeCell ref="B184:C184"/>
    <mergeCell ref="B185:C185"/>
    <mergeCell ref="B186:C186"/>
    <mergeCell ref="B187:C187"/>
    <mergeCell ref="B188:C188"/>
    <mergeCell ref="B199:C199"/>
    <mergeCell ref="B200:C200"/>
    <mergeCell ref="B201:C201"/>
    <mergeCell ref="B202:C202"/>
    <mergeCell ref="B203:C203"/>
    <mergeCell ref="B194:C194"/>
    <mergeCell ref="B195:C195"/>
    <mergeCell ref="B196:C196"/>
    <mergeCell ref="B197:C197"/>
    <mergeCell ref="B198:C198"/>
    <mergeCell ref="B209:C209"/>
    <mergeCell ref="B210:C210"/>
    <mergeCell ref="B211:C211"/>
    <mergeCell ref="B212:C212"/>
    <mergeCell ref="B213:C213"/>
    <mergeCell ref="B204:C204"/>
    <mergeCell ref="B205:C205"/>
    <mergeCell ref="B206:C206"/>
    <mergeCell ref="B207:C207"/>
    <mergeCell ref="B208:C208"/>
    <mergeCell ref="B219:C219"/>
    <mergeCell ref="B220:C220"/>
    <mergeCell ref="B221:C221"/>
    <mergeCell ref="B222:C222"/>
    <mergeCell ref="B223:C223"/>
    <mergeCell ref="B214:C214"/>
    <mergeCell ref="B215:C215"/>
    <mergeCell ref="B216:C216"/>
    <mergeCell ref="B217:C217"/>
    <mergeCell ref="B218:C218"/>
    <mergeCell ref="B244:C244"/>
    <mergeCell ref="B245:C245"/>
    <mergeCell ref="B246:C246"/>
    <mergeCell ref="B239:C239"/>
    <mergeCell ref="B240:C240"/>
    <mergeCell ref="B241:C241"/>
    <mergeCell ref="B242:C242"/>
    <mergeCell ref="B243:C243"/>
    <mergeCell ref="B234:C234"/>
    <mergeCell ref="B235:C235"/>
    <mergeCell ref="B236:C236"/>
    <mergeCell ref="B237:C237"/>
    <mergeCell ref="B238:C238"/>
    <mergeCell ref="B229:C229"/>
    <mergeCell ref="B230:C230"/>
    <mergeCell ref="B231:C231"/>
    <mergeCell ref="B232:C232"/>
    <mergeCell ref="B233:C233"/>
    <mergeCell ref="B224:C224"/>
    <mergeCell ref="B225:C225"/>
    <mergeCell ref="B226:C226"/>
    <mergeCell ref="B227:C227"/>
    <mergeCell ref="B228:C228"/>
  </mergeCells>
  <conditionalFormatting sqref="L9:U16 L18:T18 L17:S17 U17">
    <cfRule type="colorScale" priority="256">
      <colorScale>
        <cfvo type="min"/>
        <cfvo type="percentile" val="50"/>
        <cfvo type="max"/>
        <color rgb="FFB80000"/>
        <color theme="2" tint="-0.499984740745262"/>
        <color theme="9" tint="-0.499984740745262"/>
      </colorScale>
    </cfRule>
  </conditionalFormatting>
  <conditionalFormatting sqref="L9:U16 L18:T18 L17:S17 U17">
    <cfRule type="cellIs" dxfId="32" priority="10" operator="equal">
      <formula>"Calc. Off"</formula>
    </cfRule>
  </conditionalFormatting>
  <conditionalFormatting sqref="B17:B20 B22:B26 B29:B32">
    <cfRule type="expression" dxfId="31" priority="462">
      <formula>C17="Automatic"</formula>
    </cfRule>
    <cfRule type="expression" dxfId="30" priority="463">
      <formula>C17="Manual"</formula>
    </cfRule>
  </conditionalFormatting>
  <conditionalFormatting sqref="B33">
    <cfRule type="expression" dxfId="29" priority="606">
      <formula>C33="Mixed"</formula>
    </cfRule>
    <cfRule type="expression" dxfId="28" priority="607">
      <formula>C33="Automatic"</formula>
    </cfRule>
    <cfRule type="expression" dxfId="27" priority="608">
      <formula>C33="Manual"</formula>
    </cfRule>
  </conditionalFormatting>
  <conditionalFormatting sqref="B3 B12:B13">
    <cfRule type="expression" dxfId="26" priority="689">
      <formula>C3="Yes"</formula>
    </cfRule>
    <cfRule type="expression" dxfId="25" priority="690">
      <formula>C3="No"</formula>
    </cfRule>
  </conditionalFormatting>
  <conditionalFormatting sqref="B8">
    <cfRule type="expression" dxfId="24" priority="44">
      <formula>C8="Yes"</formula>
    </cfRule>
    <cfRule type="expression" dxfId="23" priority="45">
      <formula>C8="No"</formula>
    </cfRule>
  </conditionalFormatting>
  <conditionalFormatting sqref="B7">
    <cfRule type="expression" dxfId="22" priority="42">
      <formula>C7="Yes"</formula>
    </cfRule>
    <cfRule type="expression" dxfId="21" priority="43">
      <formula>C7="No"</formula>
    </cfRule>
  </conditionalFormatting>
  <conditionalFormatting sqref="B6">
    <cfRule type="expression" dxfId="20" priority="40">
      <formula>C6="Yes"</formula>
    </cfRule>
    <cfRule type="expression" dxfId="19" priority="41">
      <formula>C6="No"</formula>
    </cfRule>
  </conditionalFormatting>
  <conditionalFormatting sqref="B5">
    <cfRule type="expression" dxfId="18" priority="38">
      <formula>C5="Yes"</formula>
    </cfRule>
    <cfRule type="expression" dxfId="17" priority="39">
      <formula>C5="No"</formula>
    </cfRule>
  </conditionalFormatting>
  <conditionalFormatting sqref="B4">
    <cfRule type="expression" dxfId="16" priority="36">
      <formula>C4="Yes"</formula>
    </cfRule>
    <cfRule type="expression" dxfId="15" priority="37">
      <formula>C4="No"</formula>
    </cfRule>
  </conditionalFormatting>
  <conditionalFormatting sqref="B9">
    <cfRule type="expression" dxfId="14" priority="32">
      <formula>C9="Yes"</formula>
    </cfRule>
    <cfRule type="expression" dxfId="13" priority="33">
      <formula>C9="No"</formula>
    </cfRule>
  </conditionalFormatting>
  <conditionalFormatting sqref="B10">
    <cfRule type="expression" dxfId="12" priority="30">
      <formula>C10="Yes"</formula>
    </cfRule>
    <cfRule type="expression" dxfId="11" priority="31">
      <formula>C10="No"</formula>
    </cfRule>
  </conditionalFormatting>
  <conditionalFormatting sqref="B11">
    <cfRule type="expression" dxfId="10" priority="28">
      <formula>C11="Yes"</formula>
    </cfRule>
    <cfRule type="expression" dxfId="9" priority="29">
      <formula>C11="No"</formula>
    </cfRule>
  </conditionalFormatting>
  <conditionalFormatting sqref="B16">
    <cfRule type="expression" dxfId="8" priority="24">
      <formula>C16="Automatic"</formula>
    </cfRule>
    <cfRule type="expression" dxfId="7" priority="25">
      <formula>C16="Manual"</formula>
    </cfRule>
  </conditionalFormatting>
  <conditionalFormatting sqref="B21">
    <cfRule type="expression" dxfId="6" priority="22">
      <formula>C21="Automatic"</formula>
    </cfRule>
    <cfRule type="expression" dxfId="5" priority="23">
      <formula>C21="Manual"</formula>
    </cfRule>
  </conditionalFormatting>
  <conditionalFormatting sqref="M20:T20">
    <cfRule type="colorScale" priority="15">
      <colorScale>
        <cfvo type="min"/>
        <cfvo type="percentile" val="50"/>
        <cfvo type="max"/>
        <color rgb="FFB80000"/>
        <color theme="2" tint="-0.499984740745262"/>
        <color theme="9" tint="-0.499984740745262"/>
      </colorScale>
    </cfRule>
  </conditionalFormatting>
  <conditionalFormatting sqref="B27">
    <cfRule type="expression" dxfId="4" priority="13">
      <formula>C27="Automatic"</formula>
    </cfRule>
    <cfRule type="expression" dxfId="3" priority="14">
      <formula>C27="Manual"</formula>
    </cfRule>
  </conditionalFormatting>
  <conditionalFormatting sqref="L9:U18">
    <cfRule type="expression" dxfId="2" priority="3">
      <formula>L9="N/A"</formula>
    </cfRule>
  </conditionalFormatting>
  <conditionalFormatting sqref="B28">
    <cfRule type="expression" dxfId="1" priority="1">
      <formula>C28="Automatic"</formula>
    </cfRule>
    <cfRule type="expression" dxfId="0" priority="2">
      <formula>C28="Manual"</formula>
    </cfRule>
  </conditionalFormatting>
  <dataValidations count="8">
    <dataValidation type="list" allowBlank="1" showInputMessage="1" showErrorMessage="1" sqref="I5" xr:uid="{DB419D85-6878-465A-BCD1-D1CBE38A0F0A}">
      <formula1>Hull_Class</formula1>
    </dataValidation>
    <dataValidation type="list" allowBlank="1" showInputMessage="1" showErrorMessage="1" sqref="F5" xr:uid="{EE47345A-4581-4024-8A1F-A227D65C90E1}">
      <formula1>Hull_Class_2</formula1>
    </dataValidation>
    <dataValidation type="list" allowBlank="1" showInputMessage="1" showErrorMessage="1" sqref="C26:C28 C16" xr:uid="{0F67EA7E-56A0-4208-B2F3-352B0C1C1E8B}">
      <formula1>"Automatic, Manual"</formula1>
    </dataValidation>
    <dataValidation type="list" allowBlank="1" showInputMessage="1" showErrorMessage="1" sqref="C33" xr:uid="{B34158EB-EA56-42AC-94CD-46498A419D3A}">
      <formula1>"Mixed, Manual, Automatic"</formula1>
    </dataValidation>
    <dataValidation type="list" allowBlank="1" showInputMessage="1" showErrorMessage="1" sqref="I11" xr:uid="{0103DEC8-A5A5-40D0-A6E7-77BA99DDC4F0}">
      <formula1>"Non-Safe, Safe"</formula1>
    </dataValidation>
    <dataValidation type="list" allowBlank="1" showInputMessage="1" showErrorMessage="1" sqref="C29:C32 C17:C25" xr:uid="{DD5B4461-5159-4CC7-B90E-A58F0492DC21}">
      <formula1>"Manual, Automatic"</formula1>
    </dataValidation>
    <dataValidation type="list" allowBlank="1" showInputMessage="1" showErrorMessage="1" sqref="C3:C13 I15" xr:uid="{FB2746B0-98C6-4B9B-A144-639C3D7FEA8F}">
      <formula1>Application</formula1>
    </dataValidation>
    <dataValidation type="list" allowBlank="1" showInputMessage="1" showErrorMessage="1" sqref="I6" xr:uid="{63D5573C-5A73-4951-88DE-B3EC33A10C1E}">
      <formula1>INDIRECT(I5)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742825-BE69-4956-8E4E-FAB236686F6C}">
          <x14:formula1>
            <xm:f>'Background Tables'!$A$29:$A$30</xm:f>
          </x14:formula1>
          <xm:sqref>F24</xm:sqref>
        </x14:dataValidation>
        <x14:dataValidation type="list" showInputMessage="1" showErrorMessage="1" xr:uid="{730B3FFB-9329-4867-862C-E517C5522A9C}">
          <x14:formula1>
            <xm:f>'Background Tables'!I29:I32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AM412"/>
  <sheetViews>
    <sheetView topLeftCell="W1" zoomScale="87" zoomScaleNormal="87" workbookViewId="0">
      <pane ySplit="1" topLeftCell="A2" activePane="bottomLeft" state="frozen"/>
      <selection pane="bottomLeft" activeCell="AA6" sqref="AA6"/>
    </sheetView>
  </sheetViews>
  <sheetFormatPr defaultRowHeight="12.75" x14ac:dyDescent="0.2"/>
  <cols>
    <col min="1" max="1" width="11.140625" customWidth="1"/>
    <col min="2" max="2" width="9.28515625" customWidth="1"/>
    <col min="3" max="3" width="12.7109375" customWidth="1"/>
    <col min="4" max="6" width="9.28515625" customWidth="1"/>
    <col min="8" max="8" width="9.28515625" customWidth="1"/>
    <col min="9" max="9" width="11.42578125" customWidth="1"/>
    <col min="10" max="10" width="10.7109375" customWidth="1"/>
    <col min="11" max="11" width="11.85546875" customWidth="1"/>
    <col min="12" max="12" width="9.28515625" customWidth="1"/>
    <col min="13" max="13" width="9.42578125" customWidth="1"/>
    <col min="14" max="14" width="14.42578125" style="60" customWidth="1"/>
    <col min="15" max="16" width="12.42578125" customWidth="1"/>
    <col min="17" max="17" width="12.7109375" customWidth="1"/>
    <col min="18" max="18" width="11.42578125" customWidth="1"/>
    <col min="19" max="19" width="14.28515625" customWidth="1"/>
    <col min="20" max="20" width="9.140625" style="53"/>
    <col min="21" max="21" width="11.140625" customWidth="1"/>
    <col min="22" max="22" width="9.28515625" customWidth="1"/>
    <col min="23" max="23" width="11.42578125" customWidth="1"/>
    <col min="24" max="25" width="9.28515625" customWidth="1"/>
    <col min="27" max="27" width="11.42578125" customWidth="1"/>
    <col min="29" max="29" width="11.42578125" customWidth="1"/>
    <col min="30" max="30" width="10.7109375" customWidth="1"/>
    <col min="31" max="31" width="11.85546875" customWidth="1"/>
    <col min="33" max="33" width="9.42578125" customWidth="1"/>
    <col min="34" max="34" width="14.28515625" style="60" customWidth="1"/>
    <col min="35" max="36" width="12.42578125" customWidth="1"/>
    <col min="37" max="37" width="12.7109375" customWidth="1"/>
    <col min="38" max="38" width="13.5703125" customWidth="1"/>
    <col min="39" max="39" width="14.28515625" customWidth="1"/>
  </cols>
  <sheetData>
    <row r="1" spans="1:39" x14ac:dyDescent="0.2">
      <c r="A1" s="2" t="s">
        <v>434</v>
      </c>
      <c r="B1" s="2" t="s">
        <v>0</v>
      </c>
      <c r="C1" t="s">
        <v>423</v>
      </c>
      <c r="D1" s="2" t="s">
        <v>418</v>
      </c>
      <c r="E1" s="2" t="s">
        <v>1</v>
      </c>
      <c r="F1" s="2" t="s">
        <v>2</v>
      </c>
      <c r="G1" s="2" t="s">
        <v>540</v>
      </c>
      <c r="H1" s="2" t="s">
        <v>533</v>
      </c>
      <c r="I1" s="2" t="s">
        <v>396</v>
      </c>
      <c r="J1" s="2" t="s">
        <v>397</v>
      </c>
      <c r="K1" s="2" t="s">
        <v>398</v>
      </c>
      <c r="L1" s="2" t="s">
        <v>469</v>
      </c>
      <c r="M1" s="2" t="s">
        <v>553</v>
      </c>
      <c r="N1" s="2" t="s">
        <v>560</v>
      </c>
      <c r="O1" s="2" t="s">
        <v>513</v>
      </c>
      <c r="P1" s="2" t="s">
        <v>514</v>
      </c>
      <c r="Q1" s="2" t="s">
        <v>515</v>
      </c>
      <c r="R1" s="2" t="s">
        <v>554</v>
      </c>
      <c r="S1" s="2" t="s">
        <v>517</v>
      </c>
      <c r="U1" s="2" t="s">
        <v>435</v>
      </c>
      <c r="V1" s="2" t="s">
        <v>0</v>
      </c>
      <c r="W1" t="s">
        <v>556</v>
      </c>
      <c r="X1" s="2" t="s">
        <v>418</v>
      </c>
      <c r="Y1" s="2" t="s">
        <v>1</v>
      </c>
      <c r="Z1" s="2" t="s">
        <v>2</v>
      </c>
      <c r="AA1" t="s">
        <v>540</v>
      </c>
      <c r="AB1" s="2" t="s">
        <v>533</v>
      </c>
      <c r="AC1" s="2" t="s">
        <v>396</v>
      </c>
      <c r="AD1" s="2" t="s">
        <v>397</v>
      </c>
      <c r="AE1" s="2" t="s">
        <v>398</v>
      </c>
      <c r="AF1" s="2" t="s">
        <v>469</v>
      </c>
      <c r="AG1" s="2" t="s">
        <v>553</v>
      </c>
      <c r="AH1" s="2" t="s">
        <v>560</v>
      </c>
      <c r="AI1" s="2" t="s">
        <v>513</v>
      </c>
      <c r="AJ1" s="2" t="s">
        <v>514</v>
      </c>
      <c r="AK1" s="2" t="s">
        <v>515</v>
      </c>
      <c r="AL1" s="2" t="s">
        <v>516</v>
      </c>
      <c r="AM1" s="2" t="s">
        <v>517</v>
      </c>
    </row>
    <row r="2" spans="1:39" x14ac:dyDescent="0.2">
      <c r="A2">
        <v>1</v>
      </c>
      <c r="B2" s="2" t="s">
        <v>6</v>
      </c>
      <c r="C2" t="s">
        <v>401</v>
      </c>
      <c r="D2" t="s">
        <v>408</v>
      </c>
      <c r="E2">
        <v>245</v>
      </c>
      <c r="F2">
        <v>122</v>
      </c>
      <c r="G2">
        <v>23</v>
      </c>
      <c r="H2">
        <v>100</v>
      </c>
      <c r="U2">
        <v>1</v>
      </c>
      <c r="V2" s="2" t="s">
        <v>6</v>
      </c>
      <c r="W2" t="s">
        <v>401</v>
      </c>
      <c r="X2" t="s">
        <v>408</v>
      </c>
      <c r="Y2">
        <v>210</v>
      </c>
      <c r="Z2">
        <v>105</v>
      </c>
      <c r="AA2">
        <v>21</v>
      </c>
      <c r="AB2">
        <v>100</v>
      </c>
    </row>
    <row r="3" spans="1:39" x14ac:dyDescent="0.2">
      <c r="A3">
        <v>2</v>
      </c>
      <c r="B3" s="2" t="s">
        <v>5</v>
      </c>
      <c r="C3" t="s">
        <v>401</v>
      </c>
      <c r="D3" t="s">
        <v>408</v>
      </c>
      <c r="E3">
        <v>245</v>
      </c>
      <c r="F3">
        <v>122</v>
      </c>
      <c r="G3">
        <v>23</v>
      </c>
      <c r="H3">
        <v>100</v>
      </c>
      <c r="U3">
        <v>2</v>
      </c>
      <c r="V3" s="2" t="s">
        <v>5</v>
      </c>
      <c r="W3" t="s">
        <v>401</v>
      </c>
      <c r="X3" t="s">
        <v>408</v>
      </c>
      <c r="Y3">
        <v>210</v>
      </c>
      <c r="Z3">
        <v>105</v>
      </c>
      <c r="AA3">
        <v>21</v>
      </c>
      <c r="AB3">
        <v>100</v>
      </c>
    </row>
    <row r="4" spans="1:39" x14ac:dyDescent="0.2">
      <c r="A4">
        <v>4</v>
      </c>
      <c r="B4" s="2" t="s">
        <v>443</v>
      </c>
      <c r="C4" t="s">
        <v>401</v>
      </c>
      <c r="D4" s="2" t="s">
        <v>408</v>
      </c>
      <c r="E4">
        <v>1647</v>
      </c>
      <c r="F4">
        <v>162</v>
      </c>
      <c r="G4">
        <v>185</v>
      </c>
      <c r="H4">
        <v>72</v>
      </c>
      <c r="U4">
        <v>4</v>
      </c>
      <c r="V4" s="2" t="s">
        <v>443</v>
      </c>
      <c r="W4" s="2" t="s">
        <v>401</v>
      </c>
      <c r="X4" s="2" t="s">
        <v>408</v>
      </c>
      <c r="Y4">
        <v>1372</v>
      </c>
      <c r="Z4">
        <v>156</v>
      </c>
      <c r="AA4">
        <v>161</v>
      </c>
      <c r="AB4">
        <v>72</v>
      </c>
      <c r="AG4" t="s">
        <v>561</v>
      </c>
    </row>
    <row r="5" spans="1:39" x14ac:dyDescent="0.2">
      <c r="A5">
        <v>5</v>
      </c>
      <c r="B5" t="s">
        <v>8</v>
      </c>
      <c r="C5" t="s">
        <v>401</v>
      </c>
      <c r="D5" t="s">
        <v>408</v>
      </c>
      <c r="E5">
        <v>1735</v>
      </c>
      <c r="F5">
        <v>162</v>
      </c>
      <c r="G5">
        <v>168</v>
      </c>
      <c r="H5">
        <v>66</v>
      </c>
      <c r="U5">
        <v>5</v>
      </c>
      <c r="V5" t="s">
        <v>8</v>
      </c>
      <c r="W5" t="s">
        <v>401</v>
      </c>
      <c r="X5" t="s">
        <v>408</v>
      </c>
      <c r="Y5">
        <v>1446</v>
      </c>
      <c r="Z5">
        <v>156</v>
      </c>
      <c r="AA5">
        <v>146</v>
      </c>
      <c r="AB5">
        <v>66</v>
      </c>
    </row>
    <row r="6" spans="1:39" x14ac:dyDescent="0.2">
      <c r="A6">
        <v>6</v>
      </c>
      <c r="B6" s="2" t="s">
        <v>11</v>
      </c>
      <c r="C6" t="s">
        <v>401</v>
      </c>
      <c r="D6" t="s">
        <v>408</v>
      </c>
      <c r="E6">
        <v>1735</v>
      </c>
      <c r="F6">
        <v>162</v>
      </c>
      <c r="G6">
        <v>168</v>
      </c>
      <c r="H6">
        <v>63</v>
      </c>
      <c r="U6">
        <v>6</v>
      </c>
      <c r="V6" t="s">
        <v>11</v>
      </c>
      <c r="W6" t="s">
        <v>401</v>
      </c>
      <c r="X6" t="s">
        <v>408</v>
      </c>
      <c r="Y6">
        <v>1446</v>
      </c>
      <c r="Z6">
        <v>156</v>
      </c>
      <c r="AA6">
        <v>146</v>
      </c>
      <c r="AB6">
        <v>63</v>
      </c>
    </row>
    <row r="7" spans="1:39" x14ac:dyDescent="0.2">
      <c r="A7">
        <v>7</v>
      </c>
      <c r="B7" s="2" t="s">
        <v>15</v>
      </c>
      <c r="C7" t="s">
        <v>401</v>
      </c>
      <c r="D7" t="s">
        <v>408</v>
      </c>
      <c r="E7">
        <v>1810</v>
      </c>
      <c r="F7">
        <v>163</v>
      </c>
      <c r="G7">
        <v>174</v>
      </c>
      <c r="H7">
        <v>72</v>
      </c>
      <c r="U7">
        <v>7</v>
      </c>
      <c r="V7" t="s">
        <v>15</v>
      </c>
      <c r="W7" t="s">
        <v>401</v>
      </c>
      <c r="X7" t="s">
        <v>408</v>
      </c>
      <c r="Y7">
        <v>1508</v>
      </c>
      <c r="Z7">
        <v>157</v>
      </c>
      <c r="AA7">
        <v>151</v>
      </c>
      <c r="AB7">
        <v>72</v>
      </c>
    </row>
    <row r="8" spans="1:39" x14ac:dyDescent="0.2">
      <c r="A8">
        <v>8</v>
      </c>
      <c r="B8" s="2" t="s">
        <v>16</v>
      </c>
      <c r="C8" t="s">
        <v>401</v>
      </c>
      <c r="D8" t="s">
        <v>408</v>
      </c>
      <c r="E8">
        <v>1774</v>
      </c>
      <c r="F8">
        <v>163</v>
      </c>
      <c r="G8">
        <v>171</v>
      </c>
      <c r="H8">
        <v>72</v>
      </c>
      <c r="U8">
        <v>8</v>
      </c>
      <c r="V8" t="s">
        <v>16</v>
      </c>
      <c r="W8" t="s">
        <v>401</v>
      </c>
      <c r="X8" t="s">
        <v>408</v>
      </c>
      <c r="Y8">
        <v>1479</v>
      </c>
      <c r="Z8">
        <v>157</v>
      </c>
      <c r="AA8">
        <v>149</v>
      </c>
      <c r="AB8">
        <v>72</v>
      </c>
    </row>
    <row r="9" spans="1:39" x14ac:dyDescent="0.2">
      <c r="A9">
        <v>9</v>
      </c>
      <c r="B9" t="s">
        <v>244</v>
      </c>
      <c r="C9" t="s">
        <v>401</v>
      </c>
      <c r="D9" t="s">
        <v>408</v>
      </c>
      <c r="E9">
        <v>1724</v>
      </c>
      <c r="F9">
        <v>162</v>
      </c>
      <c r="G9">
        <v>171</v>
      </c>
      <c r="H9">
        <v>69</v>
      </c>
      <c r="U9">
        <v>9</v>
      </c>
      <c r="V9" t="s">
        <v>244</v>
      </c>
      <c r="W9" t="s">
        <v>401</v>
      </c>
      <c r="X9" t="s">
        <v>408</v>
      </c>
      <c r="Y9">
        <v>1437</v>
      </c>
      <c r="Z9">
        <v>156</v>
      </c>
      <c r="AA9">
        <v>149</v>
      </c>
      <c r="AB9">
        <v>69</v>
      </c>
    </row>
    <row r="10" spans="1:39" x14ac:dyDescent="0.2">
      <c r="A10">
        <v>10</v>
      </c>
      <c r="B10" s="2" t="s">
        <v>17</v>
      </c>
      <c r="C10" t="s">
        <v>401</v>
      </c>
      <c r="D10" t="s">
        <v>408</v>
      </c>
      <c r="E10">
        <v>1809</v>
      </c>
      <c r="F10">
        <v>198</v>
      </c>
      <c r="G10">
        <v>178</v>
      </c>
      <c r="H10">
        <v>69</v>
      </c>
      <c r="U10">
        <v>10</v>
      </c>
      <c r="V10" t="s">
        <v>17</v>
      </c>
      <c r="W10" t="s">
        <v>401</v>
      </c>
      <c r="X10" t="s">
        <v>408</v>
      </c>
      <c r="Y10">
        <v>1508</v>
      </c>
      <c r="Z10">
        <v>190</v>
      </c>
      <c r="AA10">
        <v>155</v>
      </c>
      <c r="AB10">
        <v>69</v>
      </c>
    </row>
    <row r="11" spans="1:39" x14ac:dyDescent="0.2">
      <c r="A11">
        <v>11</v>
      </c>
      <c r="B11" t="s">
        <v>18</v>
      </c>
      <c r="C11" t="s">
        <v>401</v>
      </c>
      <c r="D11" t="s">
        <v>408</v>
      </c>
      <c r="E11">
        <v>2077</v>
      </c>
      <c r="F11">
        <v>160</v>
      </c>
      <c r="G11">
        <v>172</v>
      </c>
      <c r="H11">
        <v>73</v>
      </c>
      <c r="J11">
        <v>0.3</v>
      </c>
      <c r="U11">
        <v>11</v>
      </c>
      <c r="V11" t="s">
        <v>18</v>
      </c>
      <c r="W11" t="s">
        <v>401</v>
      </c>
      <c r="X11" t="s">
        <v>408</v>
      </c>
      <c r="Y11">
        <v>1746</v>
      </c>
      <c r="Z11">
        <v>156</v>
      </c>
      <c r="AA11">
        <v>150</v>
      </c>
      <c r="AB11">
        <v>73</v>
      </c>
      <c r="AD11">
        <v>0.3</v>
      </c>
    </row>
    <row r="12" spans="1:39" x14ac:dyDescent="0.2">
      <c r="A12">
        <v>13</v>
      </c>
      <c r="B12" s="2" t="s">
        <v>19</v>
      </c>
      <c r="C12" t="s">
        <v>401</v>
      </c>
      <c r="D12" t="s">
        <v>408</v>
      </c>
      <c r="E12">
        <v>2112</v>
      </c>
      <c r="F12">
        <v>158</v>
      </c>
      <c r="G12">
        <v>178</v>
      </c>
      <c r="H12">
        <v>82</v>
      </c>
      <c r="U12">
        <v>13</v>
      </c>
      <c r="V12" t="s">
        <v>19</v>
      </c>
      <c r="W12" t="s">
        <v>401</v>
      </c>
      <c r="X12" t="s">
        <v>408</v>
      </c>
      <c r="Y12">
        <v>1775</v>
      </c>
      <c r="Z12">
        <v>154</v>
      </c>
      <c r="AA12">
        <v>154</v>
      </c>
      <c r="AB12">
        <v>82</v>
      </c>
    </row>
    <row r="13" spans="1:39" x14ac:dyDescent="0.2">
      <c r="A13">
        <v>14</v>
      </c>
      <c r="B13" t="s">
        <v>20</v>
      </c>
      <c r="C13" t="s">
        <v>401</v>
      </c>
      <c r="D13" t="s">
        <v>408</v>
      </c>
      <c r="E13">
        <v>2037</v>
      </c>
      <c r="F13">
        <v>158</v>
      </c>
      <c r="G13">
        <v>172</v>
      </c>
      <c r="H13">
        <v>65</v>
      </c>
      <c r="U13">
        <v>14</v>
      </c>
      <c r="V13" t="s">
        <v>20</v>
      </c>
      <c r="W13" t="s">
        <v>401</v>
      </c>
      <c r="X13" t="s">
        <v>408</v>
      </c>
      <c r="Y13">
        <v>1712</v>
      </c>
      <c r="Z13">
        <v>154</v>
      </c>
      <c r="AA13">
        <v>150</v>
      </c>
      <c r="AB13">
        <v>65</v>
      </c>
    </row>
    <row r="14" spans="1:39" x14ac:dyDescent="0.2">
      <c r="A14">
        <v>15</v>
      </c>
      <c r="B14" s="2" t="s">
        <v>21</v>
      </c>
      <c r="C14" t="s">
        <v>401</v>
      </c>
      <c r="D14" t="s">
        <v>408</v>
      </c>
      <c r="E14">
        <v>1998</v>
      </c>
      <c r="F14">
        <v>158</v>
      </c>
      <c r="G14">
        <v>171</v>
      </c>
      <c r="H14">
        <v>62</v>
      </c>
      <c r="U14">
        <v>15</v>
      </c>
      <c r="V14" t="s">
        <v>21</v>
      </c>
      <c r="W14" t="s">
        <v>401</v>
      </c>
      <c r="X14" t="s">
        <v>408</v>
      </c>
      <c r="Y14">
        <v>1679</v>
      </c>
      <c r="Z14">
        <v>154</v>
      </c>
      <c r="AA14">
        <v>148</v>
      </c>
      <c r="AB14">
        <v>62</v>
      </c>
    </row>
    <row r="15" spans="1:39" x14ac:dyDescent="0.2">
      <c r="A15">
        <v>16</v>
      </c>
      <c r="B15" s="2" t="s">
        <v>22</v>
      </c>
      <c r="C15" t="s">
        <v>401</v>
      </c>
      <c r="D15" t="s">
        <v>408</v>
      </c>
      <c r="E15">
        <v>1998</v>
      </c>
      <c r="F15">
        <v>158</v>
      </c>
      <c r="G15">
        <v>171</v>
      </c>
      <c r="H15">
        <v>67</v>
      </c>
      <c r="U15">
        <v>16</v>
      </c>
      <c r="V15" t="s">
        <v>22</v>
      </c>
      <c r="W15" t="s">
        <v>401</v>
      </c>
      <c r="X15" t="s">
        <v>408</v>
      </c>
      <c r="Y15">
        <v>1679</v>
      </c>
      <c r="Z15">
        <v>154</v>
      </c>
      <c r="AA15">
        <v>148</v>
      </c>
      <c r="AB15">
        <v>67</v>
      </c>
    </row>
    <row r="16" spans="1:39" x14ac:dyDescent="0.2">
      <c r="A16">
        <v>17</v>
      </c>
      <c r="B16" t="s">
        <v>23</v>
      </c>
      <c r="C16" t="s">
        <v>401</v>
      </c>
      <c r="D16" t="s">
        <v>408</v>
      </c>
      <c r="E16">
        <v>1998</v>
      </c>
      <c r="F16">
        <v>158</v>
      </c>
      <c r="G16">
        <v>171</v>
      </c>
      <c r="H16">
        <v>20</v>
      </c>
      <c r="U16">
        <v>17</v>
      </c>
      <c r="V16" t="s">
        <v>23</v>
      </c>
      <c r="W16" t="s">
        <v>401</v>
      </c>
      <c r="X16" t="s">
        <v>408</v>
      </c>
      <c r="Y16">
        <v>1679</v>
      </c>
      <c r="Z16">
        <v>154</v>
      </c>
      <c r="AA16">
        <v>148</v>
      </c>
      <c r="AB16">
        <v>20</v>
      </c>
    </row>
    <row r="17" spans="1:28" x14ac:dyDescent="0.2">
      <c r="A17">
        <v>18</v>
      </c>
      <c r="B17" t="s">
        <v>24</v>
      </c>
      <c r="C17" t="s">
        <v>401</v>
      </c>
      <c r="D17" t="s">
        <v>408</v>
      </c>
      <c r="E17">
        <v>1826</v>
      </c>
      <c r="F17">
        <v>163</v>
      </c>
      <c r="G17">
        <v>172</v>
      </c>
      <c r="H17">
        <v>72</v>
      </c>
      <c r="U17">
        <v>18</v>
      </c>
      <c r="V17" t="s">
        <v>24</v>
      </c>
      <c r="W17" t="s">
        <v>401</v>
      </c>
      <c r="X17" t="s">
        <v>408</v>
      </c>
      <c r="Y17">
        <v>1521</v>
      </c>
      <c r="Z17">
        <v>157</v>
      </c>
      <c r="AA17">
        <v>149</v>
      </c>
      <c r="AB17">
        <v>72</v>
      </c>
    </row>
    <row r="18" spans="1:28" x14ac:dyDescent="0.2">
      <c r="A18">
        <v>19</v>
      </c>
      <c r="B18" s="2" t="s">
        <v>26</v>
      </c>
      <c r="C18" t="s">
        <v>401</v>
      </c>
      <c r="D18" t="s">
        <v>408</v>
      </c>
      <c r="E18">
        <v>1980</v>
      </c>
      <c r="F18">
        <v>163</v>
      </c>
      <c r="G18">
        <v>176</v>
      </c>
      <c r="H18">
        <v>18</v>
      </c>
      <c r="U18">
        <v>19</v>
      </c>
      <c r="V18" t="s">
        <v>26</v>
      </c>
      <c r="W18" t="s">
        <v>401</v>
      </c>
      <c r="X18" t="s">
        <v>408</v>
      </c>
      <c r="Y18">
        <v>1650</v>
      </c>
      <c r="Z18">
        <v>157</v>
      </c>
      <c r="AA18">
        <v>153</v>
      </c>
      <c r="AB18">
        <v>18</v>
      </c>
    </row>
    <row r="19" spans="1:28" x14ac:dyDescent="0.2">
      <c r="A19">
        <v>26</v>
      </c>
      <c r="B19" t="s">
        <v>28</v>
      </c>
      <c r="C19" t="s">
        <v>401</v>
      </c>
      <c r="D19" t="s">
        <v>408</v>
      </c>
      <c r="E19">
        <v>1815</v>
      </c>
      <c r="F19">
        <v>160</v>
      </c>
      <c r="G19">
        <v>172</v>
      </c>
      <c r="H19">
        <v>45</v>
      </c>
      <c r="U19">
        <v>26</v>
      </c>
      <c r="V19" t="s">
        <v>28</v>
      </c>
      <c r="W19" t="s">
        <v>401</v>
      </c>
      <c r="X19" t="s">
        <v>408</v>
      </c>
      <c r="Y19">
        <v>1513</v>
      </c>
      <c r="Z19">
        <v>154</v>
      </c>
      <c r="AA19">
        <v>149</v>
      </c>
      <c r="AB19">
        <v>45</v>
      </c>
    </row>
    <row r="20" spans="1:28" x14ac:dyDescent="0.2">
      <c r="A20">
        <v>27</v>
      </c>
      <c r="B20" s="2" t="s">
        <v>29</v>
      </c>
      <c r="C20" t="s">
        <v>401</v>
      </c>
      <c r="D20" t="s">
        <v>408</v>
      </c>
      <c r="E20">
        <v>1815</v>
      </c>
      <c r="F20">
        <v>160</v>
      </c>
      <c r="G20">
        <v>172</v>
      </c>
      <c r="H20">
        <v>47</v>
      </c>
      <c r="U20">
        <v>27</v>
      </c>
      <c r="V20" t="s">
        <v>29</v>
      </c>
      <c r="W20" t="s">
        <v>401</v>
      </c>
      <c r="X20" t="s">
        <v>408</v>
      </c>
      <c r="Y20">
        <v>1513</v>
      </c>
      <c r="Z20">
        <v>154</v>
      </c>
      <c r="AA20">
        <v>149</v>
      </c>
      <c r="AB20">
        <v>47</v>
      </c>
    </row>
    <row r="21" spans="1:28" x14ac:dyDescent="0.2">
      <c r="A21">
        <v>28</v>
      </c>
      <c r="B21" s="2" t="s">
        <v>31</v>
      </c>
      <c r="C21" t="s">
        <v>401</v>
      </c>
      <c r="D21" t="s">
        <v>408</v>
      </c>
      <c r="E21">
        <v>1720</v>
      </c>
      <c r="F21">
        <v>211</v>
      </c>
      <c r="G21">
        <v>183</v>
      </c>
      <c r="H21">
        <v>75</v>
      </c>
      <c r="U21">
        <v>28</v>
      </c>
      <c r="V21" t="s">
        <v>31</v>
      </c>
      <c r="W21" t="s">
        <v>401</v>
      </c>
      <c r="X21" t="s">
        <v>408</v>
      </c>
      <c r="Y21">
        <v>1433</v>
      </c>
      <c r="Z21">
        <v>203</v>
      </c>
      <c r="AA21">
        <v>159</v>
      </c>
      <c r="AB21">
        <v>75</v>
      </c>
    </row>
    <row r="22" spans="1:28" x14ac:dyDescent="0.2">
      <c r="A22">
        <v>29</v>
      </c>
      <c r="B22" t="s">
        <v>32</v>
      </c>
      <c r="C22" t="s">
        <v>400</v>
      </c>
      <c r="D22" t="s">
        <v>408</v>
      </c>
      <c r="E22">
        <v>3237</v>
      </c>
      <c r="F22">
        <v>101</v>
      </c>
      <c r="G22">
        <v>281</v>
      </c>
      <c r="H22">
        <v>67</v>
      </c>
      <c r="U22">
        <v>29</v>
      </c>
      <c r="V22" t="s">
        <v>32</v>
      </c>
      <c r="W22" t="s">
        <v>400</v>
      </c>
      <c r="X22" t="s">
        <v>408</v>
      </c>
      <c r="Y22">
        <v>2865</v>
      </c>
      <c r="Z22">
        <v>79</v>
      </c>
      <c r="AA22">
        <v>246</v>
      </c>
      <c r="AB22">
        <v>67</v>
      </c>
    </row>
    <row r="23" spans="1:28" x14ac:dyDescent="0.2">
      <c r="A23">
        <v>30</v>
      </c>
      <c r="B23" t="s">
        <v>33</v>
      </c>
      <c r="C23" t="s">
        <v>400</v>
      </c>
      <c r="D23" t="s">
        <v>408</v>
      </c>
      <c r="E23">
        <v>3237</v>
      </c>
      <c r="F23">
        <v>101</v>
      </c>
      <c r="G23">
        <v>281</v>
      </c>
      <c r="H23">
        <v>82</v>
      </c>
      <c r="U23">
        <v>30</v>
      </c>
      <c r="V23" t="s">
        <v>33</v>
      </c>
      <c r="W23" t="s">
        <v>400</v>
      </c>
      <c r="X23" t="s">
        <v>408</v>
      </c>
      <c r="Y23">
        <v>2865</v>
      </c>
      <c r="Z23">
        <v>79</v>
      </c>
      <c r="AA23">
        <v>246</v>
      </c>
      <c r="AB23">
        <v>82</v>
      </c>
    </row>
    <row r="24" spans="1:28" x14ac:dyDescent="0.2">
      <c r="A24">
        <v>31</v>
      </c>
      <c r="B24" t="s">
        <v>34</v>
      </c>
      <c r="C24" t="s">
        <v>400</v>
      </c>
      <c r="D24" t="s">
        <v>408</v>
      </c>
      <c r="E24">
        <v>3470</v>
      </c>
      <c r="F24">
        <v>90</v>
      </c>
      <c r="G24">
        <v>307</v>
      </c>
      <c r="H24">
        <v>55</v>
      </c>
      <c r="U24">
        <v>31</v>
      </c>
      <c r="V24" t="s">
        <v>34</v>
      </c>
      <c r="W24" t="s">
        <v>400</v>
      </c>
      <c r="X24" t="s">
        <v>408</v>
      </c>
      <c r="Y24">
        <v>3076</v>
      </c>
      <c r="Z24">
        <v>73</v>
      </c>
      <c r="AA24">
        <v>270</v>
      </c>
      <c r="AB24">
        <v>55</v>
      </c>
    </row>
    <row r="25" spans="1:28" x14ac:dyDescent="0.2">
      <c r="A25">
        <v>32</v>
      </c>
      <c r="B25" t="s">
        <v>35</v>
      </c>
      <c r="C25" t="s">
        <v>400</v>
      </c>
      <c r="D25" t="s">
        <v>408</v>
      </c>
      <c r="E25">
        <v>3470</v>
      </c>
      <c r="F25">
        <v>90</v>
      </c>
      <c r="G25">
        <v>307</v>
      </c>
      <c r="H25">
        <v>88</v>
      </c>
      <c r="U25">
        <v>32</v>
      </c>
      <c r="V25" t="s">
        <v>35</v>
      </c>
      <c r="W25" t="s">
        <v>400</v>
      </c>
      <c r="X25" t="s">
        <v>408</v>
      </c>
      <c r="Y25">
        <v>3076</v>
      </c>
      <c r="Z25">
        <v>73</v>
      </c>
      <c r="AA25">
        <v>270</v>
      </c>
      <c r="AB25">
        <v>88</v>
      </c>
    </row>
    <row r="26" spans="1:28" x14ac:dyDescent="0.2">
      <c r="A26">
        <v>33</v>
      </c>
      <c r="B26" t="s">
        <v>36</v>
      </c>
      <c r="C26" t="s">
        <v>400</v>
      </c>
      <c r="D26" t="s">
        <v>408</v>
      </c>
      <c r="E26">
        <v>3604</v>
      </c>
      <c r="F26">
        <v>90</v>
      </c>
      <c r="G26">
        <v>316</v>
      </c>
      <c r="H26">
        <v>33</v>
      </c>
      <c r="U26">
        <v>33</v>
      </c>
      <c r="V26" t="s">
        <v>36</v>
      </c>
      <c r="W26" t="s">
        <v>400</v>
      </c>
      <c r="X26" t="s">
        <v>408</v>
      </c>
      <c r="Y26">
        <v>3204</v>
      </c>
      <c r="Z26">
        <v>73</v>
      </c>
      <c r="AA26">
        <v>279</v>
      </c>
      <c r="AB26">
        <v>33</v>
      </c>
    </row>
    <row r="27" spans="1:28" x14ac:dyDescent="0.2">
      <c r="A27">
        <v>34</v>
      </c>
      <c r="B27" t="s">
        <v>37</v>
      </c>
      <c r="C27" t="s">
        <v>400</v>
      </c>
      <c r="D27" t="s">
        <v>408</v>
      </c>
      <c r="E27">
        <v>3517</v>
      </c>
      <c r="F27">
        <v>95</v>
      </c>
      <c r="G27">
        <v>422</v>
      </c>
      <c r="H27">
        <v>12</v>
      </c>
      <c r="U27">
        <v>34</v>
      </c>
      <c r="V27" t="s">
        <v>37</v>
      </c>
      <c r="W27" t="s">
        <v>400</v>
      </c>
      <c r="X27" t="s">
        <v>408</v>
      </c>
      <c r="Y27">
        <v>3126</v>
      </c>
      <c r="Z27">
        <v>73</v>
      </c>
      <c r="AA27">
        <v>380</v>
      </c>
      <c r="AB27">
        <v>12</v>
      </c>
    </row>
    <row r="28" spans="1:28" x14ac:dyDescent="0.2">
      <c r="A28">
        <v>35</v>
      </c>
      <c r="B28" s="2" t="s">
        <v>38</v>
      </c>
      <c r="C28" t="s">
        <v>400</v>
      </c>
      <c r="D28" t="s">
        <v>408</v>
      </c>
      <c r="E28">
        <v>3517</v>
      </c>
      <c r="F28">
        <v>95</v>
      </c>
      <c r="G28">
        <v>422</v>
      </c>
      <c r="H28">
        <v>18</v>
      </c>
      <c r="U28">
        <v>35</v>
      </c>
      <c r="V28" t="s">
        <v>38</v>
      </c>
      <c r="W28" t="s">
        <v>400</v>
      </c>
      <c r="X28" t="s">
        <v>408</v>
      </c>
      <c r="Y28">
        <v>3126</v>
      </c>
      <c r="Z28">
        <v>73</v>
      </c>
      <c r="AA28">
        <v>380</v>
      </c>
      <c r="AB28">
        <v>18</v>
      </c>
    </row>
    <row r="29" spans="1:28" x14ac:dyDescent="0.2">
      <c r="A29">
        <v>36</v>
      </c>
      <c r="B29" t="s">
        <v>39</v>
      </c>
      <c r="C29" t="s">
        <v>400</v>
      </c>
      <c r="D29" t="s">
        <v>408</v>
      </c>
      <c r="E29">
        <v>3755</v>
      </c>
      <c r="F29">
        <v>95</v>
      </c>
      <c r="G29">
        <v>449</v>
      </c>
      <c r="H29">
        <v>85</v>
      </c>
      <c r="U29">
        <v>36</v>
      </c>
      <c r="V29" t="s">
        <v>39</v>
      </c>
      <c r="W29" t="s">
        <v>400</v>
      </c>
      <c r="X29" t="s">
        <v>408</v>
      </c>
      <c r="Y29">
        <v>3338</v>
      </c>
      <c r="Z29">
        <v>73</v>
      </c>
      <c r="AA29">
        <v>406</v>
      </c>
      <c r="AB29">
        <v>85</v>
      </c>
    </row>
    <row r="30" spans="1:28" x14ac:dyDescent="0.2">
      <c r="A30">
        <v>37</v>
      </c>
      <c r="B30" t="s">
        <v>41</v>
      </c>
      <c r="C30" t="s">
        <v>400</v>
      </c>
      <c r="D30" t="s">
        <v>408</v>
      </c>
      <c r="E30">
        <v>4307</v>
      </c>
      <c r="F30">
        <v>92</v>
      </c>
      <c r="G30">
        <v>323</v>
      </c>
      <c r="H30">
        <v>71</v>
      </c>
      <c r="U30">
        <v>37</v>
      </c>
      <c r="V30" t="s">
        <v>41</v>
      </c>
      <c r="W30" t="s">
        <v>400</v>
      </c>
      <c r="X30" t="s">
        <v>408</v>
      </c>
      <c r="Y30">
        <v>3880</v>
      </c>
      <c r="Z30">
        <v>77</v>
      </c>
      <c r="AA30">
        <v>285</v>
      </c>
      <c r="AB30">
        <v>71</v>
      </c>
    </row>
    <row r="31" spans="1:28" x14ac:dyDescent="0.2">
      <c r="A31">
        <v>38</v>
      </c>
      <c r="B31" t="s">
        <v>42</v>
      </c>
      <c r="C31" t="s">
        <v>400</v>
      </c>
      <c r="D31" t="s">
        <v>408</v>
      </c>
      <c r="E31">
        <v>4307</v>
      </c>
      <c r="F31">
        <v>92</v>
      </c>
      <c r="G31">
        <v>323</v>
      </c>
      <c r="H31">
        <v>70</v>
      </c>
      <c r="U31">
        <v>38</v>
      </c>
      <c r="V31" t="s">
        <v>42</v>
      </c>
      <c r="W31" t="s">
        <v>400</v>
      </c>
      <c r="X31" t="s">
        <v>408</v>
      </c>
      <c r="Y31">
        <v>3880</v>
      </c>
      <c r="Z31">
        <v>77</v>
      </c>
      <c r="AA31">
        <v>285</v>
      </c>
      <c r="AB31">
        <v>70</v>
      </c>
    </row>
    <row r="32" spans="1:28" x14ac:dyDescent="0.2">
      <c r="A32">
        <v>39</v>
      </c>
      <c r="B32" t="s">
        <v>43</v>
      </c>
      <c r="C32" t="s">
        <v>413</v>
      </c>
      <c r="D32" t="s">
        <v>408</v>
      </c>
      <c r="E32">
        <v>3290</v>
      </c>
      <c r="F32">
        <v>55</v>
      </c>
      <c r="G32">
        <v>198</v>
      </c>
      <c r="H32">
        <v>75</v>
      </c>
      <c r="U32">
        <v>39</v>
      </c>
      <c r="V32" t="s">
        <v>43</v>
      </c>
      <c r="W32" t="s">
        <v>413</v>
      </c>
      <c r="X32" t="s">
        <v>408</v>
      </c>
      <c r="Y32">
        <v>2911</v>
      </c>
      <c r="Z32">
        <v>23</v>
      </c>
      <c r="AA32">
        <v>172</v>
      </c>
      <c r="AB32">
        <v>75</v>
      </c>
    </row>
    <row r="33" spans="1:28" x14ac:dyDescent="0.2">
      <c r="A33">
        <v>40</v>
      </c>
      <c r="B33" t="s">
        <v>44</v>
      </c>
      <c r="C33" t="s">
        <v>413</v>
      </c>
      <c r="D33" t="s">
        <v>408</v>
      </c>
      <c r="E33">
        <v>3290</v>
      </c>
      <c r="F33">
        <v>55</v>
      </c>
      <c r="G33">
        <v>198</v>
      </c>
      <c r="H33">
        <v>71</v>
      </c>
      <c r="U33">
        <v>40</v>
      </c>
      <c r="V33" t="s">
        <v>44</v>
      </c>
      <c r="W33" t="s">
        <v>413</v>
      </c>
      <c r="X33" t="s">
        <v>408</v>
      </c>
      <c r="Y33">
        <v>2911</v>
      </c>
      <c r="Z33">
        <v>23</v>
      </c>
      <c r="AA33">
        <v>172</v>
      </c>
      <c r="AB33">
        <v>71</v>
      </c>
    </row>
    <row r="34" spans="1:28" x14ac:dyDescent="0.2">
      <c r="A34">
        <v>41</v>
      </c>
      <c r="B34" t="s">
        <v>245</v>
      </c>
      <c r="C34" t="s">
        <v>413</v>
      </c>
      <c r="D34" t="s">
        <v>408</v>
      </c>
      <c r="E34">
        <v>3346</v>
      </c>
      <c r="F34">
        <v>53</v>
      </c>
      <c r="G34">
        <v>204</v>
      </c>
      <c r="H34">
        <v>27</v>
      </c>
      <c r="U34">
        <v>41</v>
      </c>
      <c r="V34" t="s">
        <v>245</v>
      </c>
      <c r="W34" t="s">
        <v>413</v>
      </c>
      <c r="X34" t="s">
        <v>408</v>
      </c>
      <c r="Y34">
        <v>2961</v>
      </c>
      <c r="Z34">
        <v>23</v>
      </c>
      <c r="AA34">
        <v>178</v>
      </c>
      <c r="AB34">
        <v>27</v>
      </c>
    </row>
    <row r="35" spans="1:28" x14ac:dyDescent="0.2">
      <c r="A35">
        <v>42</v>
      </c>
      <c r="B35" t="s">
        <v>45</v>
      </c>
      <c r="C35" t="s">
        <v>413</v>
      </c>
      <c r="D35" t="s">
        <v>408</v>
      </c>
      <c r="E35">
        <v>3393</v>
      </c>
      <c r="F35">
        <v>53</v>
      </c>
      <c r="G35">
        <v>204</v>
      </c>
      <c r="H35">
        <v>32</v>
      </c>
      <c r="U35">
        <v>42</v>
      </c>
      <c r="V35" t="s">
        <v>45</v>
      </c>
      <c r="W35" t="s">
        <v>413</v>
      </c>
      <c r="X35" t="s">
        <v>408</v>
      </c>
      <c r="Y35">
        <v>3002</v>
      </c>
      <c r="Z35">
        <v>23</v>
      </c>
      <c r="AA35">
        <v>178</v>
      </c>
      <c r="AB35">
        <v>32</v>
      </c>
    </row>
    <row r="36" spans="1:28" x14ac:dyDescent="0.2">
      <c r="A36">
        <v>43</v>
      </c>
      <c r="B36" t="s">
        <v>46</v>
      </c>
      <c r="C36" t="s">
        <v>413</v>
      </c>
      <c r="D36" t="s">
        <v>408</v>
      </c>
      <c r="E36">
        <v>3445</v>
      </c>
      <c r="F36">
        <v>53</v>
      </c>
      <c r="G36">
        <v>210</v>
      </c>
      <c r="H36">
        <v>49</v>
      </c>
      <c r="U36">
        <v>43</v>
      </c>
      <c r="V36" t="s">
        <v>46</v>
      </c>
      <c r="W36" t="s">
        <v>413</v>
      </c>
      <c r="X36" t="s">
        <v>408</v>
      </c>
      <c r="Y36">
        <v>3049</v>
      </c>
      <c r="Z36">
        <v>23</v>
      </c>
      <c r="AA36">
        <v>183</v>
      </c>
      <c r="AB36">
        <v>49</v>
      </c>
    </row>
    <row r="37" spans="1:28" x14ac:dyDescent="0.2">
      <c r="A37">
        <v>44</v>
      </c>
      <c r="B37" t="s">
        <v>47</v>
      </c>
      <c r="C37" t="s">
        <v>413</v>
      </c>
      <c r="D37" t="s">
        <v>409</v>
      </c>
      <c r="E37">
        <v>4565</v>
      </c>
      <c r="F37">
        <v>58</v>
      </c>
      <c r="G37">
        <v>245</v>
      </c>
      <c r="H37">
        <v>78</v>
      </c>
      <c r="U37">
        <v>44</v>
      </c>
      <c r="V37" t="s">
        <v>47</v>
      </c>
      <c r="W37" t="s">
        <v>413</v>
      </c>
      <c r="X37" t="s">
        <v>409</v>
      </c>
      <c r="Y37">
        <v>4076</v>
      </c>
      <c r="Z37">
        <v>25</v>
      </c>
      <c r="AA37">
        <v>213</v>
      </c>
      <c r="AB37">
        <v>78</v>
      </c>
    </row>
    <row r="38" spans="1:28" x14ac:dyDescent="0.2">
      <c r="A38">
        <v>45</v>
      </c>
      <c r="B38" t="s">
        <v>49</v>
      </c>
      <c r="C38" t="s">
        <v>413</v>
      </c>
      <c r="D38" t="s">
        <v>409</v>
      </c>
      <c r="E38">
        <v>4734</v>
      </c>
      <c r="F38">
        <v>58</v>
      </c>
      <c r="G38">
        <v>252</v>
      </c>
      <c r="H38">
        <v>23</v>
      </c>
      <c r="U38">
        <v>45</v>
      </c>
      <c r="V38" t="s">
        <v>49</v>
      </c>
      <c r="W38" t="s">
        <v>413</v>
      </c>
      <c r="X38" t="s">
        <v>409</v>
      </c>
      <c r="Y38">
        <v>4227</v>
      </c>
      <c r="Z38">
        <v>25</v>
      </c>
      <c r="AA38">
        <v>219</v>
      </c>
      <c r="AB38">
        <v>23</v>
      </c>
    </row>
    <row r="39" spans="1:28" x14ac:dyDescent="0.2">
      <c r="A39">
        <v>46</v>
      </c>
      <c r="B39" t="s">
        <v>50</v>
      </c>
      <c r="C39" t="s">
        <v>413</v>
      </c>
      <c r="D39" t="s">
        <v>409</v>
      </c>
      <c r="E39">
        <v>3881</v>
      </c>
      <c r="F39">
        <v>57</v>
      </c>
      <c r="G39">
        <v>226</v>
      </c>
      <c r="H39">
        <v>15</v>
      </c>
      <c r="U39">
        <v>46</v>
      </c>
      <c r="V39" t="s">
        <v>50</v>
      </c>
      <c r="W39" t="s">
        <v>413</v>
      </c>
      <c r="X39" t="s">
        <v>409</v>
      </c>
      <c r="Y39">
        <v>3465</v>
      </c>
      <c r="Z39">
        <v>24</v>
      </c>
      <c r="AA39">
        <v>196</v>
      </c>
      <c r="AB39">
        <v>15</v>
      </c>
    </row>
    <row r="40" spans="1:28" x14ac:dyDescent="0.2">
      <c r="A40">
        <v>47</v>
      </c>
      <c r="B40" t="s">
        <v>51</v>
      </c>
      <c r="C40" t="s">
        <v>413</v>
      </c>
      <c r="D40" t="s">
        <v>409</v>
      </c>
      <c r="E40">
        <v>4015</v>
      </c>
      <c r="F40">
        <v>57</v>
      </c>
      <c r="G40">
        <v>230</v>
      </c>
      <c r="H40">
        <v>9</v>
      </c>
      <c r="U40">
        <v>47</v>
      </c>
      <c r="V40" t="s">
        <v>51</v>
      </c>
      <c r="W40" t="s">
        <v>413</v>
      </c>
      <c r="X40" t="s">
        <v>409</v>
      </c>
      <c r="Y40">
        <v>3585</v>
      </c>
      <c r="Z40">
        <v>24</v>
      </c>
      <c r="AA40">
        <v>200</v>
      </c>
      <c r="AB40">
        <v>9</v>
      </c>
    </row>
    <row r="41" spans="1:28" x14ac:dyDescent="0.2">
      <c r="A41">
        <v>48</v>
      </c>
      <c r="B41" s="2" t="s">
        <v>52</v>
      </c>
      <c r="C41" t="s">
        <v>413</v>
      </c>
      <c r="D41" t="s">
        <v>409</v>
      </c>
      <c r="E41">
        <v>4015</v>
      </c>
      <c r="F41">
        <v>57</v>
      </c>
      <c r="G41">
        <v>230</v>
      </c>
      <c r="H41">
        <v>12</v>
      </c>
      <c r="U41">
        <v>48</v>
      </c>
      <c r="V41" t="s">
        <v>52</v>
      </c>
      <c r="W41" t="s">
        <v>413</v>
      </c>
      <c r="X41" t="s">
        <v>409</v>
      </c>
      <c r="Y41">
        <v>3585</v>
      </c>
      <c r="Z41">
        <v>24</v>
      </c>
      <c r="AA41">
        <v>200</v>
      </c>
      <c r="AB41">
        <v>12</v>
      </c>
    </row>
    <row r="42" spans="1:28" x14ac:dyDescent="0.2">
      <c r="A42">
        <v>49</v>
      </c>
      <c r="B42" t="s">
        <v>53</v>
      </c>
      <c r="C42" t="s">
        <v>413</v>
      </c>
      <c r="D42" t="s">
        <v>408</v>
      </c>
      <c r="E42">
        <v>3709</v>
      </c>
      <c r="F42">
        <v>50</v>
      </c>
      <c r="G42">
        <v>222</v>
      </c>
      <c r="H42">
        <v>70</v>
      </c>
      <c r="U42">
        <v>49</v>
      </c>
      <c r="V42" t="s">
        <v>53</v>
      </c>
      <c r="W42" t="s">
        <v>413</v>
      </c>
      <c r="X42" t="s">
        <v>408</v>
      </c>
      <c r="Y42">
        <v>3297</v>
      </c>
      <c r="Z42">
        <v>23</v>
      </c>
      <c r="AA42">
        <v>193</v>
      </c>
      <c r="AB42">
        <v>70</v>
      </c>
    </row>
    <row r="43" spans="1:28" x14ac:dyDescent="0.2">
      <c r="A43">
        <v>50</v>
      </c>
      <c r="B43" s="2" t="s">
        <v>544</v>
      </c>
      <c r="C43" s="2" t="s">
        <v>413</v>
      </c>
      <c r="D43" s="2" t="s">
        <v>409</v>
      </c>
      <c r="E43">
        <v>4591</v>
      </c>
      <c r="F43">
        <v>57</v>
      </c>
      <c r="G43">
        <v>260</v>
      </c>
      <c r="H43">
        <v>56</v>
      </c>
      <c r="U43">
        <v>50</v>
      </c>
      <c r="V43" t="s">
        <v>544</v>
      </c>
      <c r="W43" t="s">
        <v>413</v>
      </c>
      <c r="X43" t="s">
        <v>409</v>
      </c>
      <c r="Y43">
        <v>4099</v>
      </c>
      <c r="Z43">
        <v>24</v>
      </c>
      <c r="AA43">
        <v>227</v>
      </c>
      <c r="AB43">
        <v>56</v>
      </c>
    </row>
    <row r="44" spans="1:28" x14ac:dyDescent="0.2">
      <c r="A44">
        <v>52</v>
      </c>
      <c r="B44" t="s">
        <v>246</v>
      </c>
      <c r="C44" s="2" t="s">
        <v>414</v>
      </c>
      <c r="D44" t="s">
        <v>410</v>
      </c>
      <c r="E44">
        <v>6974</v>
      </c>
      <c r="F44">
        <v>26</v>
      </c>
      <c r="G44">
        <v>202</v>
      </c>
      <c r="H44">
        <v>75</v>
      </c>
      <c r="U44">
        <v>52</v>
      </c>
      <c r="V44" t="s">
        <v>246</v>
      </c>
      <c r="W44" t="s">
        <v>414</v>
      </c>
      <c r="X44" t="s">
        <v>410</v>
      </c>
      <c r="Y44">
        <v>5960</v>
      </c>
      <c r="Z44">
        <v>11</v>
      </c>
      <c r="AA44">
        <v>175</v>
      </c>
      <c r="AB44">
        <v>75</v>
      </c>
    </row>
    <row r="45" spans="1:28" x14ac:dyDescent="0.2">
      <c r="A45">
        <v>53</v>
      </c>
      <c r="B45" t="s">
        <v>247</v>
      </c>
      <c r="C45" t="s">
        <v>414</v>
      </c>
      <c r="D45" t="s">
        <v>410</v>
      </c>
      <c r="E45">
        <v>6956</v>
      </c>
      <c r="F45">
        <v>26</v>
      </c>
      <c r="G45">
        <v>202</v>
      </c>
      <c r="H45">
        <v>38</v>
      </c>
      <c r="U45">
        <v>53</v>
      </c>
      <c r="V45" t="s">
        <v>247</v>
      </c>
      <c r="W45" t="s">
        <v>414</v>
      </c>
      <c r="X45" t="s">
        <v>410</v>
      </c>
      <c r="Y45">
        <v>5960</v>
      </c>
      <c r="Z45">
        <v>11</v>
      </c>
      <c r="AA45">
        <v>175</v>
      </c>
      <c r="AB45">
        <v>38</v>
      </c>
    </row>
    <row r="46" spans="1:28" x14ac:dyDescent="0.2">
      <c r="A46">
        <v>54</v>
      </c>
      <c r="B46" t="s">
        <v>248</v>
      </c>
      <c r="C46" t="s">
        <v>414</v>
      </c>
      <c r="D46" t="s">
        <v>410</v>
      </c>
      <c r="E46">
        <v>7194</v>
      </c>
      <c r="F46">
        <v>27</v>
      </c>
      <c r="G46">
        <v>212</v>
      </c>
      <c r="H46">
        <v>72</v>
      </c>
      <c r="U46">
        <v>54</v>
      </c>
      <c r="V46" t="s">
        <v>248</v>
      </c>
      <c r="W46" t="s">
        <v>414</v>
      </c>
      <c r="X46" t="s">
        <v>410</v>
      </c>
      <c r="Y46">
        <v>6165</v>
      </c>
      <c r="Z46">
        <v>11</v>
      </c>
      <c r="AA46">
        <v>185</v>
      </c>
      <c r="AB46">
        <v>72</v>
      </c>
    </row>
    <row r="47" spans="1:28" x14ac:dyDescent="0.2">
      <c r="A47">
        <v>55</v>
      </c>
      <c r="B47" t="s">
        <v>249</v>
      </c>
      <c r="C47" t="s">
        <v>414</v>
      </c>
      <c r="D47" t="s">
        <v>410</v>
      </c>
      <c r="E47">
        <v>7137</v>
      </c>
      <c r="F47">
        <v>27</v>
      </c>
      <c r="G47">
        <v>219</v>
      </c>
      <c r="H47">
        <v>17</v>
      </c>
      <c r="U47">
        <v>55</v>
      </c>
      <c r="V47" t="s">
        <v>249</v>
      </c>
      <c r="W47" t="s">
        <v>414</v>
      </c>
      <c r="X47" t="s">
        <v>410</v>
      </c>
      <c r="Y47">
        <v>6116</v>
      </c>
      <c r="Z47">
        <v>11</v>
      </c>
      <c r="AA47">
        <v>190</v>
      </c>
      <c r="AB47">
        <v>17</v>
      </c>
    </row>
    <row r="48" spans="1:28" x14ac:dyDescent="0.2">
      <c r="A48">
        <v>58</v>
      </c>
      <c r="B48" t="s">
        <v>250</v>
      </c>
      <c r="C48" t="s">
        <v>414</v>
      </c>
      <c r="D48" t="s">
        <v>410</v>
      </c>
      <c r="E48">
        <v>7385</v>
      </c>
      <c r="F48">
        <v>28</v>
      </c>
      <c r="G48">
        <v>211</v>
      </c>
      <c r="H48">
        <v>51</v>
      </c>
      <c r="U48">
        <v>58</v>
      </c>
      <c r="V48" t="s">
        <v>250</v>
      </c>
      <c r="W48" t="s">
        <v>414</v>
      </c>
      <c r="X48" t="s">
        <v>410</v>
      </c>
      <c r="Y48">
        <v>6339</v>
      </c>
      <c r="Z48">
        <v>11</v>
      </c>
      <c r="AA48">
        <v>183</v>
      </c>
      <c r="AB48">
        <v>51</v>
      </c>
    </row>
    <row r="49" spans="1:28" x14ac:dyDescent="0.2">
      <c r="A49">
        <v>59</v>
      </c>
      <c r="B49" t="s">
        <v>251</v>
      </c>
      <c r="C49" t="s">
        <v>414</v>
      </c>
      <c r="D49" t="s">
        <v>410</v>
      </c>
      <c r="E49">
        <v>7385</v>
      </c>
      <c r="F49">
        <v>28</v>
      </c>
      <c r="G49">
        <v>211</v>
      </c>
      <c r="H49">
        <v>36</v>
      </c>
      <c r="U49">
        <v>59</v>
      </c>
      <c r="V49" t="s">
        <v>251</v>
      </c>
      <c r="W49" t="s">
        <v>414</v>
      </c>
      <c r="X49" t="s">
        <v>410</v>
      </c>
      <c r="Y49">
        <v>6339</v>
      </c>
      <c r="Z49">
        <v>11</v>
      </c>
      <c r="AA49">
        <v>183</v>
      </c>
      <c r="AB49">
        <v>36</v>
      </c>
    </row>
    <row r="50" spans="1:28" x14ac:dyDescent="0.2">
      <c r="A50">
        <v>60</v>
      </c>
      <c r="B50" t="s">
        <v>252</v>
      </c>
      <c r="C50" t="s">
        <v>414</v>
      </c>
      <c r="D50" t="s">
        <v>410</v>
      </c>
      <c r="E50">
        <v>7456</v>
      </c>
      <c r="F50">
        <v>30</v>
      </c>
      <c r="G50">
        <v>216</v>
      </c>
      <c r="H50">
        <v>67</v>
      </c>
      <c r="U50">
        <v>60</v>
      </c>
      <c r="V50" t="s">
        <v>252</v>
      </c>
      <c r="W50" t="s">
        <v>414</v>
      </c>
      <c r="X50" t="s">
        <v>410</v>
      </c>
      <c r="Y50">
        <v>6416</v>
      </c>
      <c r="Z50">
        <v>11</v>
      </c>
      <c r="AA50">
        <v>188</v>
      </c>
      <c r="AB50">
        <v>67</v>
      </c>
    </row>
    <row r="51" spans="1:28" x14ac:dyDescent="0.2">
      <c r="A51">
        <v>61</v>
      </c>
      <c r="B51" t="s">
        <v>253</v>
      </c>
      <c r="C51" t="s">
        <v>414</v>
      </c>
      <c r="D51" t="s">
        <v>410</v>
      </c>
      <c r="E51">
        <v>7514</v>
      </c>
      <c r="F51">
        <v>30</v>
      </c>
      <c r="G51">
        <v>216</v>
      </c>
      <c r="H51">
        <v>70</v>
      </c>
      <c r="U51">
        <v>61</v>
      </c>
      <c r="V51" t="s">
        <v>253</v>
      </c>
      <c r="W51" t="s">
        <v>414</v>
      </c>
      <c r="X51" t="s">
        <v>410</v>
      </c>
      <c r="Y51">
        <v>6466</v>
      </c>
      <c r="Z51">
        <v>11</v>
      </c>
      <c r="AA51">
        <v>188</v>
      </c>
      <c r="AB51">
        <v>70</v>
      </c>
    </row>
    <row r="52" spans="1:28" x14ac:dyDescent="0.2">
      <c r="A52">
        <v>62</v>
      </c>
      <c r="B52" t="s">
        <v>254</v>
      </c>
      <c r="C52" t="s">
        <v>414</v>
      </c>
      <c r="D52" t="s">
        <v>410</v>
      </c>
      <c r="E52">
        <v>7456</v>
      </c>
      <c r="F52">
        <v>11</v>
      </c>
      <c r="G52">
        <v>216</v>
      </c>
      <c r="H52">
        <v>61</v>
      </c>
      <c r="U52">
        <v>62</v>
      </c>
      <c r="V52" t="s">
        <v>254</v>
      </c>
      <c r="W52" t="s">
        <v>414</v>
      </c>
      <c r="X52" t="s">
        <v>410</v>
      </c>
      <c r="Y52">
        <v>6416</v>
      </c>
      <c r="Z52">
        <v>11</v>
      </c>
      <c r="AA52">
        <v>188</v>
      </c>
      <c r="AB52">
        <v>61</v>
      </c>
    </row>
    <row r="53" spans="1:28" x14ac:dyDescent="0.2">
      <c r="A53">
        <v>63</v>
      </c>
      <c r="B53" t="s">
        <v>255</v>
      </c>
      <c r="C53" t="s">
        <v>414</v>
      </c>
      <c r="D53" t="s">
        <v>410</v>
      </c>
      <c r="E53">
        <v>7852</v>
      </c>
      <c r="F53">
        <v>33</v>
      </c>
      <c r="G53">
        <v>400</v>
      </c>
      <c r="H53">
        <v>81</v>
      </c>
      <c r="U53">
        <v>63</v>
      </c>
      <c r="V53" t="s">
        <v>255</v>
      </c>
      <c r="W53" t="s">
        <v>414</v>
      </c>
      <c r="X53" t="s">
        <v>410</v>
      </c>
      <c r="Y53">
        <v>6798</v>
      </c>
      <c r="Z53">
        <v>18</v>
      </c>
      <c r="AA53">
        <v>368</v>
      </c>
      <c r="AB53">
        <v>81</v>
      </c>
    </row>
    <row r="54" spans="1:28" x14ac:dyDescent="0.2">
      <c r="A54">
        <v>64</v>
      </c>
      <c r="B54" t="s">
        <v>256</v>
      </c>
      <c r="C54" t="s">
        <v>414</v>
      </c>
      <c r="D54" t="s">
        <v>410</v>
      </c>
      <c r="E54">
        <v>8080</v>
      </c>
      <c r="F54">
        <v>33</v>
      </c>
      <c r="G54">
        <v>400</v>
      </c>
      <c r="H54">
        <v>89</v>
      </c>
      <c r="U54">
        <v>64</v>
      </c>
      <c r="V54" t="s">
        <v>256</v>
      </c>
      <c r="W54" t="s">
        <v>414</v>
      </c>
      <c r="X54" t="s">
        <v>410</v>
      </c>
      <c r="Y54">
        <v>6996</v>
      </c>
      <c r="Z54">
        <v>18</v>
      </c>
      <c r="AA54">
        <v>368</v>
      </c>
      <c r="AB54">
        <v>89</v>
      </c>
    </row>
    <row r="55" spans="1:28" x14ac:dyDescent="0.2">
      <c r="A55">
        <v>65</v>
      </c>
      <c r="B55" t="s">
        <v>257</v>
      </c>
      <c r="C55" t="s">
        <v>414</v>
      </c>
      <c r="D55" t="s">
        <v>410</v>
      </c>
      <c r="E55">
        <v>8031</v>
      </c>
      <c r="F55">
        <v>33</v>
      </c>
      <c r="G55">
        <v>400</v>
      </c>
      <c r="H55">
        <v>76</v>
      </c>
      <c r="U55">
        <v>65</v>
      </c>
      <c r="V55" t="s">
        <v>257</v>
      </c>
      <c r="W55" t="s">
        <v>414</v>
      </c>
      <c r="X55" t="s">
        <v>410</v>
      </c>
      <c r="Y55">
        <v>6953</v>
      </c>
      <c r="Z55">
        <v>18</v>
      </c>
      <c r="AA55">
        <v>368</v>
      </c>
      <c r="AB55">
        <v>76</v>
      </c>
    </row>
    <row r="56" spans="1:28" x14ac:dyDescent="0.2">
      <c r="A56">
        <v>70</v>
      </c>
      <c r="B56" t="s">
        <v>317</v>
      </c>
      <c r="C56" t="s">
        <v>426</v>
      </c>
      <c r="D56" t="s">
        <v>409</v>
      </c>
      <c r="E56">
        <v>4691</v>
      </c>
      <c r="F56">
        <v>66</v>
      </c>
      <c r="G56">
        <v>257</v>
      </c>
      <c r="H56">
        <v>68</v>
      </c>
      <c r="U56">
        <v>70</v>
      </c>
      <c r="V56" t="s">
        <v>317</v>
      </c>
      <c r="W56" t="s">
        <v>426</v>
      </c>
      <c r="X56" t="s">
        <v>409</v>
      </c>
      <c r="Y56">
        <v>4044</v>
      </c>
      <c r="Z56">
        <v>39</v>
      </c>
      <c r="AA56">
        <v>224</v>
      </c>
      <c r="AB56">
        <v>68</v>
      </c>
    </row>
    <row r="57" spans="1:28" x14ac:dyDescent="0.2">
      <c r="A57">
        <v>71</v>
      </c>
      <c r="B57" s="2" t="s">
        <v>357</v>
      </c>
      <c r="C57" t="s">
        <v>426</v>
      </c>
      <c r="D57" t="s">
        <v>409</v>
      </c>
      <c r="E57">
        <v>3953</v>
      </c>
      <c r="F57">
        <v>67</v>
      </c>
      <c r="G57">
        <v>252</v>
      </c>
      <c r="H57">
        <v>78</v>
      </c>
      <c r="U57">
        <v>71</v>
      </c>
      <c r="V57" t="s">
        <v>357</v>
      </c>
      <c r="W57" t="s">
        <v>426</v>
      </c>
      <c r="X57" t="s">
        <v>409</v>
      </c>
      <c r="Y57">
        <v>3379</v>
      </c>
      <c r="Z57">
        <v>39</v>
      </c>
      <c r="AA57">
        <v>219</v>
      </c>
      <c r="AB57">
        <v>78</v>
      </c>
    </row>
    <row r="58" spans="1:28" x14ac:dyDescent="0.2">
      <c r="A58">
        <v>72</v>
      </c>
      <c r="B58" t="s">
        <v>312</v>
      </c>
      <c r="C58" t="s">
        <v>426</v>
      </c>
      <c r="D58" t="s">
        <v>409</v>
      </c>
      <c r="E58">
        <v>4460</v>
      </c>
      <c r="F58">
        <v>80</v>
      </c>
      <c r="G58">
        <v>245</v>
      </c>
      <c r="H58">
        <v>32</v>
      </c>
      <c r="U58">
        <v>72</v>
      </c>
      <c r="V58" t="s">
        <v>312</v>
      </c>
      <c r="W58" t="s">
        <v>426</v>
      </c>
      <c r="X58" t="s">
        <v>409</v>
      </c>
      <c r="Y58">
        <v>3845</v>
      </c>
      <c r="Z58">
        <v>38</v>
      </c>
      <c r="AA58">
        <v>213</v>
      </c>
      <c r="AB58">
        <v>32</v>
      </c>
    </row>
    <row r="59" spans="1:28" x14ac:dyDescent="0.2">
      <c r="A59">
        <v>73</v>
      </c>
      <c r="B59" t="s">
        <v>327</v>
      </c>
      <c r="C59" t="s">
        <v>427</v>
      </c>
      <c r="D59" t="s">
        <v>409</v>
      </c>
      <c r="E59">
        <v>6912</v>
      </c>
      <c r="F59">
        <v>57</v>
      </c>
      <c r="G59">
        <v>303</v>
      </c>
      <c r="H59">
        <v>35</v>
      </c>
      <c r="U59">
        <v>73</v>
      </c>
      <c r="V59" t="s">
        <v>327</v>
      </c>
      <c r="W59" t="s">
        <v>427</v>
      </c>
      <c r="X59" t="s">
        <v>409</v>
      </c>
      <c r="Y59">
        <v>6116</v>
      </c>
      <c r="Z59">
        <v>34</v>
      </c>
      <c r="AA59">
        <v>266</v>
      </c>
      <c r="AB59">
        <v>35</v>
      </c>
    </row>
    <row r="60" spans="1:28" x14ac:dyDescent="0.2">
      <c r="A60">
        <v>74</v>
      </c>
      <c r="B60" t="s">
        <v>328</v>
      </c>
      <c r="C60" t="s">
        <v>427</v>
      </c>
      <c r="D60" t="s">
        <v>409</v>
      </c>
      <c r="E60">
        <v>6912</v>
      </c>
      <c r="F60">
        <v>57</v>
      </c>
      <c r="G60">
        <v>303</v>
      </c>
      <c r="H60">
        <v>66</v>
      </c>
      <c r="U60">
        <v>74</v>
      </c>
      <c r="V60" t="s">
        <v>328</v>
      </c>
      <c r="W60" t="s">
        <v>427</v>
      </c>
      <c r="X60" t="s">
        <v>409</v>
      </c>
      <c r="Y60">
        <v>6116</v>
      </c>
      <c r="Z60">
        <v>34</v>
      </c>
      <c r="AA60">
        <v>266</v>
      </c>
      <c r="AB60">
        <v>66</v>
      </c>
    </row>
    <row r="61" spans="1:28" x14ac:dyDescent="0.2">
      <c r="A61">
        <v>75</v>
      </c>
      <c r="B61" t="s">
        <v>315</v>
      </c>
      <c r="C61" t="s">
        <v>426</v>
      </c>
      <c r="D61" t="s">
        <v>409</v>
      </c>
      <c r="E61">
        <v>4779</v>
      </c>
      <c r="F61">
        <v>73</v>
      </c>
      <c r="G61">
        <v>248</v>
      </c>
      <c r="H61">
        <v>71</v>
      </c>
      <c r="U61">
        <v>75</v>
      </c>
      <c r="V61" t="s">
        <v>315</v>
      </c>
      <c r="W61" t="s">
        <v>426</v>
      </c>
      <c r="X61" t="s">
        <v>409</v>
      </c>
      <c r="Y61">
        <v>4120</v>
      </c>
      <c r="Z61">
        <v>49</v>
      </c>
      <c r="AA61">
        <v>216</v>
      </c>
      <c r="AB61">
        <v>71</v>
      </c>
    </row>
    <row r="62" spans="1:28" x14ac:dyDescent="0.2">
      <c r="A62">
        <v>76</v>
      </c>
      <c r="B62" t="s">
        <v>324</v>
      </c>
      <c r="C62" t="s">
        <v>427</v>
      </c>
      <c r="D62" t="s">
        <v>409</v>
      </c>
      <c r="E62">
        <v>5797</v>
      </c>
      <c r="F62">
        <v>54</v>
      </c>
      <c r="G62">
        <v>317</v>
      </c>
      <c r="H62">
        <v>39</v>
      </c>
      <c r="U62">
        <v>76</v>
      </c>
      <c r="V62" t="s">
        <v>324</v>
      </c>
      <c r="W62" t="s">
        <v>427</v>
      </c>
      <c r="X62" t="s">
        <v>409</v>
      </c>
      <c r="Y62">
        <v>5041</v>
      </c>
      <c r="Z62">
        <v>34</v>
      </c>
      <c r="AA62">
        <v>280</v>
      </c>
      <c r="AB62">
        <v>39</v>
      </c>
    </row>
    <row r="63" spans="1:28" x14ac:dyDescent="0.2">
      <c r="A63">
        <v>77</v>
      </c>
      <c r="B63" t="s">
        <v>336</v>
      </c>
      <c r="C63" t="s">
        <v>427</v>
      </c>
      <c r="D63" t="s">
        <v>409</v>
      </c>
      <c r="E63">
        <v>6193</v>
      </c>
      <c r="F63">
        <v>62</v>
      </c>
      <c r="G63">
        <v>329</v>
      </c>
      <c r="H63">
        <v>93</v>
      </c>
      <c r="U63">
        <v>77</v>
      </c>
      <c r="V63" t="s">
        <v>336</v>
      </c>
      <c r="W63" t="s">
        <v>427</v>
      </c>
      <c r="X63" t="s">
        <v>409</v>
      </c>
      <c r="Y63">
        <v>5385</v>
      </c>
      <c r="Z63">
        <v>49</v>
      </c>
      <c r="AA63">
        <v>291</v>
      </c>
      <c r="AB63">
        <v>93</v>
      </c>
    </row>
    <row r="64" spans="1:28" x14ac:dyDescent="0.2">
      <c r="A64">
        <v>78</v>
      </c>
      <c r="B64" t="s">
        <v>332</v>
      </c>
      <c r="C64" t="s">
        <v>427</v>
      </c>
      <c r="D64" t="s">
        <v>409</v>
      </c>
      <c r="E64">
        <v>5823</v>
      </c>
      <c r="F64">
        <v>54</v>
      </c>
      <c r="G64">
        <v>307</v>
      </c>
      <c r="H64">
        <v>15</v>
      </c>
      <c r="U64">
        <v>78</v>
      </c>
      <c r="V64" t="s">
        <v>332</v>
      </c>
      <c r="W64" t="s">
        <v>427</v>
      </c>
      <c r="X64" t="s">
        <v>409</v>
      </c>
      <c r="Y64">
        <v>5063</v>
      </c>
      <c r="Z64">
        <v>34</v>
      </c>
      <c r="AA64">
        <v>270</v>
      </c>
      <c r="AB64">
        <v>15</v>
      </c>
    </row>
    <row r="65" spans="1:31" x14ac:dyDescent="0.2">
      <c r="A65">
        <v>79</v>
      </c>
      <c r="B65" t="s">
        <v>319</v>
      </c>
      <c r="C65" t="s">
        <v>427</v>
      </c>
      <c r="D65" t="s">
        <v>409</v>
      </c>
      <c r="E65">
        <v>4219</v>
      </c>
      <c r="F65">
        <v>31</v>
      </c>
      <c r="G65">
        <v>272</v>
      </c>
      <c r="H65">
        <v>20</v>
      </c>
      <c r="U65">
        <v>79</v>
      </c>
      <c r="V65" t="s">
        <v>319</v>
      </c>
      <c r="W65" t="s">
        <v>427</v>
      </c>
      <c r="X65" t="s">
        <v>409</v>
      </c>
      <c r="Y65">
        <v>4219</v>
      </c>
      <c r="Z65">
        <v>31</v>
      </c>
      <c r="AA65">
        <v>238</v>
      </c>
      <c r="AB65">
        <v>20</v>
      </c>
    </row>
    <row r="66" spans="1:31" x14ac:dyDescent="0.2">
      <c r="A66">
        <v>80</v>
      </c>
      <c r="B66" t="s">
        <v>258</v>
      </c>
      <c r="C66" t="s">
        <v>428</v>
      </c>
      <c r="D66" t="s">
        <v>408</v>
      </c>
      <c r="E66">
        <v>4624</v>
      </c>
      <c r="F66">
        <v>43</v>
      </c>
      <c r="G66">
        <v>152</v>
      </c>
      <c r="H66">
        <v>79</v>
      </c>
      <c r="U66">
        <v>80</v>
      </c>
      <c r="V66" t="s">
        <v>258</v>
      </c>
      <c r="W66" t="s">
        <v>428</v>
      </c>
      <c r="X66" t="s">
        <v>408</v>
      </c>
      <c r="Y66">
        <v>3986</v>
      </c>
      <c r="Z66">
        <v>16</v>
      </c>
      <c r="AA66">
        <v>132</v>
      </c>
      <c r="AB66">
        <v>79</v>
      </c>
    </row>
    <row r="67" spans="1:31" x14ac:dyDescent="0.2">
      <c r="A67">
        <v>81</v>
      </c>
      <c r="B67" t="s">
        <v>54</v>
      </c>
      <c r="C67" t="s">
        <v>401</v>
      </c>
      <c r="D67" t="s">
        <v>408</v>
      </c>
      <c r="E67">
        <v>1370</v>
      </c>
      <c r="F67">
        <v>211</v>
      </c>
      <c r="G67">
        <v>154</v>
      </c>
      <c r="H67">
        <v>72</v>
      </c>
      <c r="U67">
        <v>81</v>
      </c>
      <c r="V67" t="s">
        <v>54</v>
      </c>
      <c r="W67" t="s">
        <v>401</v>
      </c>
      <c r="X67" t="s">
        <v>408</v>
      </c>
      <c r="Y67">
        <v>1142</v>
      </c>
      <c r="Z67">
        <v>205</v>
      </c>
      <c r="AA67">
        <v>134</v>
      </c>
      <c r="AB67">
        <v>72</v>
      </c>
    </row>
    <row r="68" spans="1:31" x14ac:dyDescent="0.2">
      <c r="A68">
        <v>82</v>
      </c>
      <c r="B68" s="2" t="s">
        <v>55</v>
      </c>
      <c r="C68" t="s">
        <v>401</v>
      </c>
      <c r="D68" t="s">
        <v>408</v>
      </c>
      <c r="E68">
        <v>1370</v>
      </c>
      <c r="F68">
        <v>209</v>
      </c>
      <c r="G68">
        <v>154</v>
      </c>
      <c r="H68">
        <v>43</v>
      </c>
      <c r="U68">
        <v>82</v>
      </c>
      <c r="V68" t="s">
        <v>55</v>
      </c>
      <c r="W68" t="s">
        <v>401</v>
      </c>
      <c r="X68" t="s">
        <v>408</v>
      </c>
      <c r="Y68">
        <v>1142</v>
      </c>
      <c r="Z68">
        <v>203</v>
      </c>
      <c r="AA68">
        <v>134</v>
      </c>
      <c r="AB68">
        <v>43</v>
      </c>
    </row>
    <row r="69" spans="1:31" x14ac:dyDescent="0.2">
      <c r="A69">
        <v>83</v>
      </c>
      <c r="B69" t="s">
        <v>57</v>
      </c>
      <c r="C69" t="s">
        <v>401</v>
      </c>
      <c r="D69" t="s">
        <v>408</v>
      </c>
      <c r="E69">
        <v>1370</v>
      </c>
      <c r="F69">
        <v>209</v>
      </c>
      <c r="G69">
        <v>154</v>
      </c>
      <c r="H69">
        <v>35</v>
      </c>
      <c r="U69">
        <v>83</v>
      </c>
      <c r="V69" t="s">
        <v>57</v>
      </c>
      <c r="W69" t="s">
        <v>401</v>
      </c>
      <c r="X69" t="s">
        <v>408</v>
      </c>
      <c r="Y69">
        <v>1142</v>
      </c>
      <c r="Z69">
        <v>203</v>
      </c>
      <c r="AA69">
        <v>134</v>
      </c>
      <c r="AB69">
        <v>35</v>
      </c>
    </row>
    <row r="70" spans="1:31" x14ac:dyDescent="0.2">
      <c r="A70">
        <v>86</v>
      </c>
      <c r="B70" s="2" t="s">
        <v>59</v>
      </c>
      <c r="C70" t="s">
        <v>401</v>
      </c>
      <c r="D70" t="s">
        <v>408</v>
      </c>
      <c r="E70">
        <v>1349</v>
      </c>
      <c r="F70">
        <v>209</v>
      </c>
      <c r="G70">
        <v>150</v>
      </c>
      <c r="H70">
        <v>71</v>
      </c>
      <c r="K70">
        <v>0.18</v>
      </c>
      <c r="U70">
        <v>86</v>
      </c>
      <c r="V70" t="s">
        <v>59</v>
      </c>
      <c r="W70" t="s">
        <v>401</v>
      </c>
      <c r="X70" t="s">
        <v>408</v>
      </c>
      <c r="Y70">
        <v>1124</v>
      </c>
      <c r="Z70">
        <v>203</v>
      </c>
      <c r="AA70">
        <v>130</v>
      </c>
      <c r="AB70">
        <v>71</v>
      </c>
      <c r="AE70">
        <v>0.18</v>
      </c>
    </row>
    <row r="71" spans="1:31" x14ac:dyDescent="0.2">
      <c r="A71">
        <v>87</v>
      </c>
      <c r="B71" s="2" t="s">
        <v>60</v>
      </c>
      <c r="C71" t="s">
        <v>401</v>
      </c>
      <c r="D71" t="s">
        <v>408</v>
      </c>
      <c r="E71">
        <v>1349</v>
      </c>
      <c r="F71">
        <v>209</v>
      </c>
      <c r="G71">
        <v>150</v>
      </c>
      <c r="H71">
        <v>65</v>
      </c>
      <c r="K71">
        <v>0.18</v>
      </c>
      <c r="U71">
        <v>87</v>
      </c>
      <c r="V71" t="s">
        <v>60</v>
      </c>
      <c r="W71" t="s">
        <v>401</v>
      </c>
      <c r="X71" t="s">
        <v>408</v>
      </c>
      <c r="Y71">
        <v>1124</v>
      </c>
      <c r="Z71">
        <v>203</v>
      </c>
      <c r="AA71">
        <v>130</v>
      </c>
      <c r="AB71">
        <v>65</v>
      </c>
      <c r="AE71">
        <v>0.18</v>
      </c>
    </row>
    <row r="72" spans="1:31" x14ac:dyDescent="0.2">
      <c r="A72">
        <v>88</v>
      </c>
      <c r="B72" s="2" t="s">
        <v>61</v>
      </c>
      <c r="C72" t="s">
        <v>401</v>
      </c>
      <c r="D72" t="s">
        <v>408</v>
      </c>
      <c r="E72">
        <v>1359</v>
      </c>
      <c r="F72">
        <v>210</v>
      </c>
      <c r="G72">
        <v>150</v>
      </c>
      <c r="H72">
        <v>54</v>
      </c>
      <c r="U72">
        <v>88</v>
      </c>
      <c r="V72" t="s">
        <v>61</v>
      </c>
      <c r="W72" t="s">
        <v>401</v>
      </c>
      <c r="X72" t="s">
        <v>408</v>
      </c>
      <c r="Y72">
        <v>1133</v>
      </c>
      <c r="Z72">
        <v>204</v>
      </c>
      <c r="AA72">
        <v>131</v>
      </c>
      <c r="AB72">
        <v>54</v>
      </c>
    </row>
    <row r="73" spans="1:31" x14ac:dyDescent="0.2">
      <c r="A73">
        <v>89</v>
      </c>
      <c r="B73" t="s">
        <v>63</v>
      </c>
      <c r="C73" t="s">
        <v>401</v>
      </c>
      <c r="D73" t="s">
        <v>408</v>
      </c>
      <c r="E73">
        <v>1359</v>
      </c>
      <c r="F73">
        <v>210</v>
      </c>
      <c r="G73">
        <v>150</v>
      </c>
      <c r="H73">
        <v>35</v>
      </c>
      <c r="K73">
        <v>0.18</v>
      </c>
      <c r="U73">
        <v>89</v>
      </c>
      <c r="V73" t="s">
        <v>63</v>
      </c>
      <c r="W73" t="s">
        <v>401</v>
      </c>
      <c r="X73" t="s">
        <v>408</v>
      </c>
      <c r="Y73">
        <v>1133</v>
      </c>
      <c r="Z73">
        <v>204</v>
      </c>
      <c r="AA73">
        <v>131</v>
      </c>
      <c r="AB73">
        <v>35</v>
      </c>
      <c r="AE73">
        <v>0.18</v>
      </c>
    </row>
    <row r="74" spans="1:31" x14ac:dyDescent="0.2">
      <c r="A74">
        <v>90</v>
      </c>
      <c r="B74" s="2" t="s">
        <v>65</v>
      </c>
      <c r="C74" t="s">
        <v>401</v>
      </c>
      <c r="D74" t="s">
        <v>408</v>
      </c>
      <c r="E74">
        <v>1359</v>
      </c>
      <c r="F74">
        <v>210</v>
      </c>
      <c r="G74">
        <v>150</v>
      </c>
      <c r="H74">
        <v>72</v>
      </c>
      <c r="K74">
        <v>0.18</v>
      </c>
      <c r="U74">
        <v>90</v>
      </c>
      <c r="V74" t="s">
        <v>65</v>
      </c>
      <c r="W74" t="s">
        <v>401</v>
      </c>
      <c r="X74" t="s">
        <v>408</v>
      </c>
      <c r="Y74">
        <v>1133</v>
      </c>
      <c r="Z74">
        <v>204</v>
      </c>
      <c r="AA74">
        <v>131</v>
      </c>
      <c r="AB74">
        <v>72</v>
      </c>
      <c r="AE74">
        <v>0.18</v>
      </c>
    </row>
    <row r="75" spans="1:31" x14ac:dyDescent="0.2">
      <c r="A75">
        <v>91</v>
      </c>
      <c r="B75" t="s">
        <v>67</v>
      </c>
      <c r="C75" t="s">
        <v>401</v>
      </c>
      <c r="D75" t="s">
        <v>408</v>
      </c>
      <c r="E75">
        <v>1373</v>
      </c>
      <c r="F75">
        <v>209</v>
      </c>
      <c r="G75">
        <v>150</v>
      </c>
      <c r="H75">
        <v>68</v>
      </c>
      <c r="U75">
        <v>91</v>
      </c>
      <c r="V75" t="s">
        <v>67</v>
      </c>
      <c r="W75" t="s">
        <v>401</v>
      </c>
      <c r="X75" t="s">
        <v>408</v>
      </c>
      <c r="Y75">
        <v>1144</v>
      </c>
      <c r="Z75">
        <v>203</v>
      </c>
      <c r="AA75">
        <v>130</v>
      </c>
      <c r="AB75">
        <v>68</v>
      </c>
    </row>
    <row r="76" spans="1:31" x14ac:dyDescent="0.2">
      <c r="A76">
        <v>92</v>
      </c>
      <c r="B76" t="s">
        <v>69</v>
      </c>
      <c r="C76" t="s">
        <v>401</v>
      </c>
      <c r="D76" t="s">
        <v>408</v>
      </c>
      <c r="E76">
        <v>1402</v>
      </c>
      <c r="F76">
        <v>209</v>
      </c>
      <c r="G76">
        <v>154</v>
      </c>
      <c r="H76">
        <v>68</v>
      </c>
      <c r="K76">
        <v>0.18</v>
      </c>
      <c r="U76">
        <v>92</v>
      </c>
      <c r="V76" t="s">
        <v>69</v>
      </c>
      <c r="W76" t="s">
        <v>401</v>
      </c>
      <c r="X76" t="s">
        <v>408</v>
      </c>
      <c r="Y76">
        <v>1168</v>
      </c>
      <c r="Z76">
        <v>203</v>
      </c>
      <c r="AA76">
        <v>134</v>
      </c>
      <c r="AB76">
        <v>68</v>
      </c>
      <c r="AE76">
        <v>0.18</v>
      </c>
    </row>
    <row r="77" spans="1:31" x14ac:dyDescent="0.2">
      <c r="A77">
        <v>94</v>
      </c>
      <c r="B77" s="2" t="s">
        <v>71</v>
      </c>
      <c r="C77" t="s">
        <v>401</v>
      </c>
      <c r="D77" t="s">
        <v>408</v>
      </c>
      <c r="E77">
        <v>1518</v>
      </c>
      <c r="F77">
        <v>210</v>
      </c>
      <c r="G77">
        <v>164</v>
      </c>
      <c r="H77">
        <v>32</v>
      </c>
      <c r="K77">
        <v>0.18</v>
      </c>
      <c r="U77">
        <v>93</v>
      </c>
      <c r="V77" t="s">
        <v>71</v>
      </c>
      <c r="W77" t="s">
        <v>401</v>
      </c>
      <c r="X77" t="s">
        <v>408</v>
      </c>
      <c r="Y77">
        <v>1265</v>
      </c>
      <c r="Z77">
        <v>204</v>
      </c>
      <c r="AA77">
        <v>143</v>
      </c>
      <c r="AB77">
        <v>32</v>
      </c>
      <c r="AE77">
        <v>0.18</v>
      </c>
    </row>
    <row r="78" spans="1:31" x14ac:dyDescent="0.2">
      <c r="A78">
        <v>94</v>
      </c>
      <c r="B78" s="2" t="s">
        <v>72</v>
      </c>
      <c r="C78" t="s">
        <v>401</v>
      </c>
      <c r="D78" t="s">
        <v>408</v>
      </c>
      <c r="E78">
        <v>1412</v>
      </c>
      <c r="F78">
        <v>210</v>
      </c>
      <c r="G78">
        <v>164</v>
      </c>
      <c r="H78">
        <v>36</v>
      </c>
      <c r="K78">
        <v>0.18</v>
      </c>
      <c r="U78">
        <v>94</v>
      </c>
      <c r="V78" t="s">
        <v>72</v>
      </c>
      <c r="W78" t="s">
        <v>401</v>
      </c>
      <c r="X78" t="s">
        <v>408</v>
      </c>
      <c r="Y78">
        <v>1177</v>
      </c>
      <c r="Z78">
        <v>204</v>
      </c>
      <c r="AA78">
        <v>143</v>
      </c>
      <c r="AB78">
        <v>36</v>
      </c>
      <c r="AE78">
        <v>0.18</v>
      </c>
    </row>
    <row r="79" spans="1:31" x14ac:dyDescent="0.2">
      <c r="A79">
        <v>96</v>
      </c>
      <c r="B79" t="s">
        <v>433</v>
      </c>
      <c r="C79" t="s">
        <v>401</v>
      </c>
      <c r="D79" t="s">
        <v>408</v>
      </c>
      <c r="E79">
        <v>1518</v>
      </c>
      <c r="F79">
        <v>210</v>
      </c>
      <c r="G79">
        <v>157</v>
      </c>
      <c r="H79">
        <v>40</v>
      </c>
      <c r="U79">
        <v>96</v>
      </c>
      <c r="V79" t="s">
        <v>433</v>
      </c>
      <c r="W79" t="s">
        <v>401</v>
      </c>
      <c r="X79" t="s">
        <v>408</v>
      </c>
      <c r="Y79">
        <v>1265</v>
      </c>
      <c r="Z79">
        <v>204</v>
      </c>
      <c r="AA79">
        <v>136</v>
      </c>
      <c r="AB79">
        <v>40</v>
      </c>
    </row>
    <row r="80" spans="1:31" x14ac:dyDescent="0.2">
      <c r="A80">
        <v>100</v>
      </c>
      <c r="B80" t="s">
        <v>436</v>
      </c>
      <c r="C80" t="s">
        <v>401</v>
      </c>
      <c r="D80" t="s">
        <v>408</v>
      </c>
      <c r="E80">
        <v>1370</v>
      </c>
      <c r="F80">
        <v>210</v>
      </c>
      <c r="G80">
        <v>156</v>
      </c>
      <c r="H80">
        <v>24</v>
      </c>
      <c r="U80">
        <v>100</v>
      </c>
      <c r="V80" t="s">
        <v>436</v>
      </c>
      <c r="W80" t="s">
        <v>401</v>
      </c>
      <c r="X80" t="s">
        <v>408</v>
      </c>
      <c r="Y80">
        <v>1142</v>
      </c>
      <c r="Z80">
        <v>204</v>
      </c>
      <c r="AA80">
        <v>136</v>
      </c>
      <c r="AB80">
        <v>24</v>
      </c>
    </row>
    <row r="81" spans="1:28" x14ac:dyDescent="0.2">
      <c r="A81">
        <v>101</v>
      </c>
      <c r="B81" t="s">
        <v>73</v>
      </c>
      <c r="C81" t="s">
        <v>401</v>
      </c>
      <c r="D81" t="s">
        <v>408</v>
      </c>
      <c r="E81">
        <v>1581</v>
      </c>
      <c r="F81">
        <v>210</v>
      </c>
      <c r="G81">
        <v>160</v>
      </c>
      <c r="H81">
        <v>65</v>
      </c>
      <c r="U81">
        <v>101</v>
      </c>
      <c r="V81" t="s">
        <v>73</v>
      </c>
      <c r="W81" t="s">
        <v>401</v>
      </c>
      <c r="X81" t="s">
        <v>408</v>
      </c>
      <c r="Y81">
        <v>1317</v>
      </c>
      <c r="Z81">
        <v>204</v>
      </c>
      <c r="AA81">
        <v>139</v>
      </c>
      <c r="AB81">
        <v>65</v>
      </c>
    </row>
    <row r="82" spans="1:28" x14ac:dyDescent="0.2">
      <c r="A82">
        <v>102</v>
      </c>
      <c r="B82" s="2" t="s">
        <v>75</v>
      </c>
      <c r="C82" t="s">
        <v>401</v>
      </c>
      <c r="D82" t="s">
        <v>408</v>
      </c>
      <c r="E82">
        <v>1536</v>
      </c>
      <c r="F82">
        <v>210</v>
      </c>
      <c r="G82">
        <v>156</v>
      </c>
      <c r="H82">
        <v>40</v>
      </c>
      <c r="U82">
        <v>102</v>
      </c>
      <c r="V82" t="s">
        <v>75</v>
      </c>
      <c r="W82" t="s">
        <v>401</v>
      </c>
      <c r="X82" t="s">
        <v>408</v>
      </c>
      <c r="Y82">
        <v>1280</v>
      </c>
      <c r="Z82">
        <v>204</v>
      </c>
      <c r="AA82">
        <v>135</v>
      </c>
      <c r="AB82">
        <v>40</v>
      </c>
    </row>
    <row r="83" spans="1:28" x14ac:dyDescent="0.2">
      <c r="A83">
        <v>103</v>
      </c>
      <c r="B83" t="s">
        <v>76</v>
      </c>
      <c r="C83" t="s">
        <v>401</v>
      </c>
      <c r="D83" t="s">
        <v>408</v>
      </c>
      <c r="E83">
        <v>1314</v>
      </c>
      <c r="F83">
        <v>195</v>
      </c>
      <c r="G83">
        <v>156</v>
      </c>
      <c r="H83">
        <v>42</v>
      </c>
      <c r="U83">
        <v>103</v>
      </c>
      <c r="V83" t="s">
        <v>76</v>
      </c>
      <c r="W83" t="s">
        <v>401</v>
      </c>
      <c r="X83" t="s">
        <v>408</v>
      </c>
      <c r="Y83">
        <v>1095</v>
      </c>
      <c r="Z83">
        <v>190</v>
      </c>
      <c r="AA83">
        <v>135</v>
      </c>
      <c r="AB83">
        <v>42</v>
      </c>
    </row>
    <row r="84" spans="1:28" x14ac:dyDescent="0.2">
      <c r="A84">
        <v>104</v>
      </c>
      <c r="B84" t="s">
        <v>77</v>
      </c>
      <c r="C84" t="s">
        <v>400</v>
      </c>
      <c r="D84" t="s">
        <v>408</v>
      </c>
      <c r="E84">
        <v>3246</v>
      </c>
      <c r="F84">
        <v>102</v>
      </c>
      <c r="G84">
        <v>321</v>
      </c>
      <c r="H84">
        <v>44</v>
      </c>
      <c r="U84">
        <v>104</v>
      </c>
      <c r="V84" t="s">
        <v>77</v>
      </c>
      <c r="W84" t="s">
        <v>400</v>
      </c>
      <c r="X84" t="s">
        <v>408</v>
      </c>
      <c r="Y84">
        <v>2886</v>
      </c>
      <c r="Z84">
        <v>77</v>
      </c>
      <c r="AA84">
        <v>284</v>
      </c>
      <c r="AB84">
        <v>44</v>
      </c>
    </row>
    <row r="85" spans="1:28" x14ac:dyDescent="0.2">
      <c r="A85">
        <v>105</v>
      </c>
      <c r="B85" s="2" t="s">
        <v>79</v>
      </c>
      <c r="C85" t="s">
        <v>400</v>
      </c>
      <c r="D85" t="s">
        <v>408</v>
      </c>
      <c r="E85">
        <v>2974</v>
      </c>
      <c r="F85">
        <v>97</v>
      </c>
      <c r="G85">
        <v>295</v>
      </c>
      <c r="H85">
        <v>54</v>
      </c>
      <c r="U85">
        <v>105</v>
      </c>
      <c r="V85" t="s">
        <v>79</v>
      </c>
      <c r="W85" t="s">
        <v>400</v>
      </c>
      <c r="X85" t="s">
        <v>408</v>
      </c>
      <c r="Y85">
        <v>2632</v>
      </c>
      <c r="Z85">
        <v>73</v>
      </c>
      <c r="AA85">
        <v>259</v>
      </c>
      <c r="AB85">
        <v>54</v>
      </c>
    </row>
    <row r="86" spans="1:28" x14ac:dyDescent="0.2">
      <c r="A86">
        <v>106</v>
      </c>
      <c r="B86" t="s">
        <v>81</v>
      </c>
      <c r="C86" t="s">
        <v>400</v>
      </c>
      <c r="D86" t="s">
        <v>408</v>
      </c>
      <c r="E86">
        <v>2974</v>
      </c>
      <c r="F86">
        <v>97</v>
      </c>
      <c r="G86">
        <v>295</v>
      </c>
      <c r="H86">
        <v>74</v>
      </c>
      <c r="U86">
        <v>106</v>
      </c>
      <c r="V86" t="s">
        <v>81</v>
      </c>
      <c r="W86" t="s">
        <v>400</v>
      </c>
      <c r="X86" t="s">
        <v>408</v>
      </c>
      <c r="Y86">
        <v>2632</v>
      </c>
      <c r="Z86">
        <v>73</v>
      </c>
      <c r="AA86">
        <v>259</v>
      </c>
      <c r="AB86">
        <v>74</v>
      </c>
    </row>
    <row r="87" spans="1:28" x14ac:dyDescent="0.2">
      <c r="A87">
        <v>110</v>
      </c>
      <c r="B87" t="s">
        <v>496</v>
      </c>
      <c r="C87" t="s">
        <v>400</v>
      </c>
      <c r="D87" t="s">
        <v>408</v>
      </c>
      <c r="E87">
        <v>3688</v>
      </c>
      <c r="F87">
        <v>100</v>
      </c>
      <c r="G87">
        <v>307</v>
      </c>
      <c r="H87">
        <v>32</v>
      </c>
      <c r="U87">
        <v>110</v>
      </c>
      <c r="V87" t="s">
        <v>496</v>
      </c>
      <c r="W87" t="s">
        <v>400</v>
      </c>
      <c r="X87" t="s">
        <v>408</v>
      </c>
      <c r="Y87">
        <v>3293</v>
      </c>
      <c r="Z87">
        <v>76</v>
      </c>
      <c r="AA87">
        <v>270</v>
      </c>
      <c r="AB87">
        <v>32</v>
      </c>
    </row>
    <row r="88" spans="1:28" x14ac:dyDescent="0.2">
      <c r="A88">
        <v>111</v>
      </c>
      <c r="B88" t="s">
        <v>83</v>
      </c>
      <c r="C88" t="s">
        <v>400</v>
      </c>
      <c r="D88" t="s">
        <v>408</v>
      </c>
      <c r="E88">
        <v>3796</v>
      </c>
      <c r="F88">
        <v>100</v>
      </c>
      <c r="G88">
        <v>351</v>
      </c>
      <c r="H88">
        <v>78</v>
      </c>
      <c r="U88">
        <v>111</v>
      </c>
      <c r="V88" t="s">
        <v>83</v>
      </c>
      <c r="W88" t="s">
        <v>400</v>
      </c>
      <c r="X88" t="s">
        <v>408</v>
      </c>
      <c r="Y88">
        <v>3389</v>
      </c>
      <c r="Z88">
        <v>76</v>
      </c>
      <c r="AA88">
        <v>311</v>
      </c>
      <c r="AB88">
        <v>78</v>
      </c>
    </row>
    <row r="89" spans="1:28" x14ac:dyDescent="0.2">
      <c r="A89">
        <v>114</v>
      </c>
      <c r="B89" t="s">
        <v>84</v>
      </c>
      <c r="C89" t="s">
        <v>400</v>
      </c>
      <c r="D89" t="s">
        <v>408</v>
      </c>
      <c r="E89">
        <v>4486</v>
      </c>
      <c r="F89">
        <v>100</v>
      </c>
      <c r="G89">
        <v>313</v>
      </c>
      <c r="H89">
        <v>37</v>
      </c>
      <c r="U89">
        <v>114</v>
      </c>
      <c r="V89" t="s">
        <v>84</v>
      </c>
      <c r="W89" t="s">
        <v>400</v>
      </c>
      <c r="X89" t="s">
        <v>408</v>
      </c>
      <c r="Y89">
        <v>4078</v>
      </c>
      <c r="Z89">
        <v>76</v>
      </c>
      <c r="AA89">
        <v>276</v>
      </c>
      <c r="AB89">
        <v>37</v>
      </c>
    </row>
    <row r="90" spans="1:28" x14ac:dyDescent="0.2">
      <c r="A90">
        <v>115</v>
      </c>
      <c r="B90" t="s">
        <v>85</v>
      </c>
      <c r="C90" t="s">
        <v>400</v>
      </c>
      <c r="D90" t="s">
        <v>408</v>
      </c>
      <c r="E90">
        <v>3970</v>
      </c>
      <c r="F90">
        <v>96</v>
      </c>
      <c r="G90">
        <v>293</v>
      </c>
      <c r="H90">
        <v>88</v>
      </c>
      <c r="U90">
        <v>115</v>
      </c>
      <c r="V90" t="s">
        <v>85</v>
      </c>
      <c r="W90" t="s">
        <v>400</v>
      </c>
      <c r="X90" t="s">
        <v>408</v>
      </c>
      <c r="Y90">
        <v>3544</v>
      </c>
      <c r="Z90">
        <v>72</v>
      </c>
      <c r="AA90">
        <v>257</v>
      </c>
      <c r="AB90">
        <v>88</v>
      </c>
    </row>
    <row r="91" spans="1:28" x14ac:dyDescent="0.2">
      <c r="A91">
        <v>116</v>
      </c>
      <c r="B91" s="2" t="s">
        <v>86</v>
      </c>
      <c r="C91" t="s">
        <v>400</v>
      </c>
      <c r="D91" t="s">
        <v>408</v>
      </c>
      <c r="E91">
        <v>2830</v>
      </c>
      <c r="F91">
        <v>100</v>
      </c>
      <c r="G91">
        <v>324</v>
      </c>
      <c r="H91">
        <v>69</v>
      </c>
      <c r="U91">
        <v>116</v>
      </c>
      <c r="V91" t="s">
        <v>86</v>
      </c>
      <c r="W91" t="s">
        <v>400</v>
      </c>
      <c r="X91" t="s">
        <v>408</v>
      </c>
      <c r="Y91">
        <v>2493</v>
      </c>
      <c r="Z91">
        <v>76</v>
      </c>
      <c r="AA91">
        <v>286</v>
      </c>
      <c r="AB91">
        <v>69</v>
      </c>
    </row>
    <row r="92" spans="1:28" x14ac:dyDescent="0.2">
      <c r="A92">
        <v>117</v>
      </c>
      <c r="B92" s="2" t="s">
        <v>87</v>
      </c>
      <c r="C92" t="s">
        <v>400</v>
      </c>
      <c r="D92" t="s">
        <v>408</v>
      </c>
      <c r="E92">
        <v>2830</v>
      </c>
      <c r="F92">
        <v>100</v>
      </c>
      <c r="G92">
        <v>324</v>
      </c>
      <c r="H92">
        <v>26</v>
      </c>
      <c r="U92">
        <v>117</v>
      </c>
      <c r="V92" t="s">
        <v>87</v>
      </c>
      <c r="W92" t="s">
        <v>400</v>
      </c>
      <c r="X92" t="s">
        <v>408</v>
      </c>
      <c r="Y92">
        <v>2493</v>
      </c>
      <c r="Z92">
        <v>76</v>
      </c>
      <c r="AA92">
        <v>286</v>
      </c>
      <c r="AB92">
        <v>26</v>
      </c>
    </row>
    <row r="93" spans="1:28" x14ac:dyDescent="0.2">
      <c r="A93">
        <v>118</v>
      </c>
      <c r="B93" t="s">
        <v>88</v>
      </c>
      <c r="C93" t="s">
        <v>400</v>
      </c>
      <c r="D93" t="s">
        <v>408</v>
      </c>
      <c r="E93">
        <v>2914</v>
      </c>
      <c r="F93">
        <v>100</v>
      </c>
      <c r="G93">
        <v>333</v>
      </c>
      <c r="H93">
        <v>84</v>
      </c>
      <c r="U93">
        <v>118</v>
      </c>
      <c r="V93" t="s">
        <v>88</v>
      </c>
      <c r="W93" t="s">
        <v>400</v>
      </c>
      <c r="X93" t="s">
        <v>408</v>
      </c>
      <c r="Y93">
        <v>2568</v>
      </c>
      <c r="Z93">
        <v>76</v>
      </c>
      <c r="AA93">
        <v>295</v>
      </c>
      <c r="AB93">
        <v>84</v>
      </c>
    </row>
    <row r="94" spans="1:28" x14ac:dyDescent="0.2">
      <c r="A94">
        <v>119</v>
      </c>
      <c r="B94" t="s">
        <v>89</v>
      </c>
      <c r="C94" t="s">
        <v>413</v>
      </c>
      <c r="D94" t="s">
        <v>408</v>
      </c>
      <c r="E94">
        <v>3561</v>
      </c>
      <c r="F94">
        <v>67</v>
      </c>
      <c r="G94">
        <v>212</v>
      </c>
      <c r="H94">
        <v>62</v>
      </c>
      <c r="U94">
        <v>119</v>
      </c>
      <c r="V94" t="s">
        <v>89</v>
      </c>
      <c r="W94" t="s">
        <v>413</v>
      </c>
      <c r="X94" t="s">
        <v>408</v>
      </c>
      <c r="Y94">
        <v>3137</v>
      </c>
      <c r="Z94">
        <v>22</v>
      </c>
      <c r="AA94">
        <v>185</v>
      </c>
      <c r="AB94">
        <v>62</v>
      </c>
    </row>
    <row r="95" spans="1:28" x14ac:dyDescent="0.2">
      <c r="A95">
        <v>120</v>
      </c>
      <c r="B95" t="s">
        <v>90</v>
      </c>
      <c r="C95" t="s">
        <v>413</v>
      </c>
      <c r="D95" t="s">
        <v>408</v>
      </c>
      <c r="E95">
        <v>3461</v>
      </c>
      <c r="F95">
        <v>67</v>
      </c>
      <c r="G95">
        <v>208</v>
      </c>
      <c r="H95">
        <v>75</v>
      </c>
      <c r="U95">
        <v>120</v>
      </c>
      <c r="V95" t="s">
        <v>90</v>
      </c>
      <c r="W95" t="s">
        <v>413</v>
      </c>
      <c r="X95" t="s">
        <v>408</v>
      </c>
      <c r="Y95">
        <v>3049</v>
      </c>
      <c r="Z95">
        <v>22</v>
      </c>
      <c r="AA95">
        <v>181</v>
      </c>
      <c r="AB95">
        <v>75</v>
      </c>
    </row>
    <row r="96" spans="1:28" x14ac:dyDescent="0.2">
      <c r="A96">
        <v>121</v>
      </c>
      <c r="B96" t="s">
        <v>91</v>
      </c>
      <c r="C96" t="s">
        <v>413</v>
      </c>
      <c r="D96" t="s">
        <v>408</v>
      </c>
      <c r="E96">
        <v>3508</v>
      </c>
      <c r="F96">
        <v>65</v>
      </c>
      <c r="G96">
        <v>208</v>
      </c>
      <c r="H96">
        <v>71</v>
      </c>
      <c r="U96">
        <v>121</v>
      </c>
      <c r="V96" t="s">
        <v>91</v>
      </c>
      <c r="W96" t="s">
        <v>413</v>
      </c>
      <c r="X96" t="s">
        <v>408</v>
      </c>
      <c r="Y96">
        <v>3090</v>
      </c>
      <c r="Z96">
        <v>21</v>
      </c>
      <c r="AA96">
        <v>181</v>
      </c>
      <c r="AB96">
        <v>71</v>
      </c>
    </row>
    <row r="97" spans="1:28" x14ac:dyDescent="0.2">
      <c r="A97">
        <v>122</v>
      </c>
      <c r="B97" t="s">
        <v>92</v>
      </c>
      <c r="C97" t="s">
        <v>413</v>
      </c>
      <c r="D97" t="s">
        <v>408</v>
      </c>
      <c r="E97">
        <v>3474</v>
      </c>
      <c r="F97">
        <v>65</v>
      </c>
      <c r="G97">
        <v>208</v>
      </c>
      <c r="H97">
        <v>72</v>
      </c>
      <c r="U97">
        <v>122</v>
      </c>
      <c r="V97" t="s">
        <v>92</v>
      </c>
      <c r="W97" t="s">
        <v>413</v>
      </c>
      <c r="X97" t="s">
        <v>408</v>
      </c>
      <c r="Y97">
        <v>3074</v>
      </c>
      <c r="Z97">
        <v>21</v>
      </c>
      <c r="AA97">
        <v>181</v>
      </c>
      <c r="AB97">
        <v>72</v>
      </c>
    </row>
    <row r="98" spans="1:28" x14ac:dyDescent="0.2">
      <c r="A98">
        <v>123</v>
      </c>
      <c r="B98" t="s">
        <v>94</v>
      </c>
      <c r="C98" t="s">
        <v>413</v>
      </c>
      <c r="D98" t="s">
        <v>409</v>
      </c>
      <c r="E98">
        <v>4621</v>
      </c>
      <c r="F98">
        <v>68</v>
      </c>
      <c r="G98">
        <v>241</v>
      </c>
      <c r="H98">
        <v>69</v>
      </c>
      <c r="U98">
        <v>123</v>
      </c>
      <c r="V98" t="s">
        <v>94</v>
      </c>
      <c r="W98" t="s">
        <v>413</v>
      </c>
      <c r="X98" t="s">
        <v>409</v>
      </c>
      <c r="Y98">
        <v>4126</v>
      </c>
      <c r="Z98">
        <v>24</v>
      </c>
      <c r="AA98">
        <v>210</v>
      </c>
      <c r="AB98">
        <v>69</v>
      </c>
    </row>
    <row r="99" spans="1:28" x14ac:dyDescent="0.2">
      <c r="A99">
        <v>124</v>
      </c>
      <c r="B99" s="2" t="s">
        <v>95</v>
      </c>
      <c r="C99" t="s">
        <v>413</v>
      </c>
      <c r="D99" t="s">
        <v>409</v>
      </c>
      <c r="E99">
        <v>4755</v>
      </c>
      <c r="F99">
        <v>68</v>
      </c>
      <c r="G99">
        <v>249</v>
      </c>
      <c r="H99">
        <v>33</v>
      </c>
      <c r="U99">
        <v>124</v>
      </c>
      <c r="V99" t="s">
        <v>95</v>
      </c>
      <c r="W99" t="s">
        <v>413</v>
      </c>
      <c r="X99" t="s">
        <v>409</v>
      </c>
      <c r="Y99">
        <v>4246</v>
      </c>
      <c r="Z99">
        <v>24</v>
      </c>
      <c r="AA99">
        <v>217</v>
      </c>
      <c r="AB99">
        <v>33</v>
      </c>
    </row>
    <row r="100" spans="1:28" x14ac:dyDescent="0.2">
      <c r="A100">
        <v>125</v>
      </c>
      <c r="B100" s="2" t="s">
        <v>96</v>
      </c>
      <c r="C100" t="s">
        <v>413</v>
      </c>
      <c r="D100" t="s">
        <v>409</v>
      </c>
      <c r="E100">
        <v>3676</v>
      </c>
      <c r="F100">
        <v>72</v>
      </c>
      <c r="G100">
        <v>243</v>
      </c>
      <c r="H100">
        <v>15</v>
      </c>
      <c r="U100">
        <v>125</v>
      </c>
      <c r="V100" t="s">
        <v>96</v>
      </c>
      <c r="W100" t="s">
        <v>413</v>
      </c>
      <c r="X100" t="s">
        <v>409</v>
      </c>
      <c r="Y100">
        <v>3253</v>
      </c>
      <c r="Z100">
        <v>23</v>
      </c>
      <c r="AA100">
        <v>211</v>
      </c>
      <c r="AB100">
        <v>15</v>
      </c>
    </row>
    <row r="101" spans="1:28" x14ac:dyDescent="0.2">
      <c r="A101">
        <v>126</v>
      </c>
      <c r="B101" t="s">
        <v>98</v>
      </c>
      <c r="C101" t="s">
        <v>413</v>
      </c>
      <c r="D101" t="s">
        <v>409</v>
      </c>
      <c r="E101">
        <v>3705</v>
      </c>
      <c r="F101">
        <v>72</v>
      </c>
      <c r="G101">
        <v>243</v>
      </c>
      <c r="H101">
        <v>49</v>
      </c>
      <c r="U101">
        <v>126</v>
      </c>
      <c r="V101" t="s">
        <v>98</v>
      </c>
      <c r="W101" t="s">
        <v>413</v>
      </c>
      <c r="X101" t="s">
        <v>409</v>
      </c>
      <c r="Y101">
        <v>3279</v>
      </c>
      <c r="Z101">
        <v>23</v>
      </c>
      <c r="AA101">
        <v>211</v>
      </c>
      <c r="AB101">
        <v>49</v>
      </c>
    </row>
    <row r="102" spans="1:28" x14ac:dyDescent="0.2">
      <c r="A102">
        <v>127</v>
      </c>
      <c r="B102" t="s">
        <v>259</v>
      </c>
      <c r="C102" t="s">
        <v>429</v>
      </c>
      <c r="D102" t="s">
        <v>409</v>
      </c>
      <c r="E102">
        <v>6207</v>
      </c>
      <c r="F102">
        <v>37</v>
      </c>
      <c r="G102">
        <v>276</v>
      </c>
      <c r="H102">
        <v>85</v>
      </c>
      <c r="U102">
        <v>127</v>
      </c>
      <c r="V102" t="s">
        <v>259</v>
      </c>
      <c r="W102" t="s">
        <v>429</v>
      </c>
      <c r="X102" t="s">
        <v>409</v>
      </c>
      <c r="Y102">
        <v>5283</v>
      </c>
      <c r="Z102">
        <v>22</v>
      </c>
      <c r="AA102">
        <v>241</v>
      </c>
      <c r="AB102">
        <v>85</v>
      </c>
    </row>
    <row r="103" spans="1:28" x14ac:dyDescent="0.2">
      <c r="A103">
        <v>128</v>
      </c>
      <c r="B103" t="s">
        <v>260</v>
      </c>
      <c r="C103" t="s">
        <v>429</v>
      </c>
      <c r="D103" t="s">
        <v>409</v>
      </c>
      <c r="E103">
        <v>6032</v>
      </c>
      <c r="F103">
        <v>35</v>
      </c>
      <c r="G103">
        <v>268</v>
      </c>
      <c r="H103">
        <v>28</v>
      </c>
      <c r="U103">
        <v>128</v>
      </c>
      <c r="V103" t="s">
        <v>260</v>
      </c>
      <c r="W103" t="s">
        <v>429</v>
      </c>
      <c r="X103" t="s">
        <v>409</v>
      </c>
      <c r="Y103">
        <v>5133</v>
      </c>
      <c r="Z103">
        <v>21</v>
      </c>
      <c r="AA103">
        <v>234</v>
      </c>
      <c r="AB103">
        <v>28</v>
      </c>
    </row>
    <row r="104" spans="1:28" x14ac:dyDescent="0.2">
      <c r="A104">
        <v>129</v>
      </c>
      <c r="B104" t="s">
        <v>261</v>
      </c>
      <c r="C104" t="s">
        <v>429</v>
      </c>
      <c r="D104" t="s">
        <v>409</v>
      </c>
      <c r="E104">
        <v>8445</v>
      </c>
      <c r="F104">
        <v>37</v>
      </c>
      <c r="G104">
        <v>323</v>
      </c>
      <c r="H104">
        <v>38</v>
      </c>
      <c r="U104">
        <v>129</v>
      </c>
      <c r="V104" t="s">
        <v>261</v>
      </c>
      <c r="W104" t="s">
        <v>429</v>
      </c>
      <c r="X104" t="s">
        <v>409</v>
      </c>
      <c r="Y104">
        <v>7677</v>
      </c>
      <c r="Z104">
        <v>22</v>
      </c>
      <c r="AA104">
        <v>285</v>
      </c>
      <c r="AB104">
        <v>38</v>
      </c>
    </row>
    <row r="105" spans="1:28" x14ac:dyDescent="0.2">
      <c r="A105">
        <v>130</v>
      </c>
      <c r="B105" t="s">
        <v>262</v>
      </c>
      <c r="C105" t="s">
        <v>414</v>
      </c>
      <c r="D105" t="s">
        <v>410</v>
      </c>
      <c r="E105">
        <v>7512</v>
      </c>
      <c r="F105">
        <v>33</v>
      </c>
      <c r="G105">
        <v>212</v>
      </c>
      <c r="H105">
        <v>25</v>
      </c>
      <c r="U105">
        <v>130</v>
      </c>
      <c r="V105" t="s">
        <v>262</v>
      </c>
      <c r="W105" t="s">
        <v>414</v>
      </c>
      <c r="X105" t="s">
        <v>410</v>
      </c>
      <c r="Y105">
        <v>6464</v>
      </c>
      <c r="Z105">
        <v>15</v>
      </c>
      <c r="AA105">
        <v>185</v>
      </c>
      <c r="AB105">
        <v>25</v>
      </c>
    </row>
    <row r="106" spans="1:28" x14ac:dyDescent="0.2">
      <c r="A106">
        <v>131</v>
      </c>
      <c r="B106" s="2" t="s">
        <v>338</v>
      </c>
      <c r="C106" t="s">
        <v>414</v>
      </c>
      <c r="D106" t="s">
        <v>410</v>
      </c>
      <c r="E106">
        <v>7783</v>
      </c>
      <c r="F106">
        <v>33</v>
      </c>
      <c r="G106">
        <v>220</v>
      </c>
      <c r="H106">
        <v>90</v>
      </c>
      <c r="U106">
        <v>131</v>
      </c>
      <c r="V106" t="s">
        <v>338</v>
      </c>
      <c r="W106" t="s">
        <v>414</v>
      </c>
      <c r="X106" t="s">
        <v>410</v>
      </c>
      <c r="Y106">
        <v>6710</v>
      </c>
      <c r="Z106">
        <v>15</v>
      </c>
      <c r="AA106">
        <v>191</v>
      </c>
      <c r="AB106">
        <v>90</v>
      </c>
    </row>
    <row r="107" spans="1:28" x14ac:dyDescent="0.2">
      <c r="A107">
        <v>132</v>
      </c>
      <c r="B107" t="s">
        <v>263</v>
      </c>
      <c r="C107" t="s">
        <v>414</v>
      </c>
      <c r="D107" t="s">
        <v>410</v>
      </c>
      <c r="E107">
        <v>7654</v>
      </c>
      <c r="F107">
        <v>33</v>
      </c>
      <c r="G107">
        <v>219</v>
      </c>
      <c r="H107">
        <v>66</v>
      </c>
      <c r="U107">
        <v>132</v>
      </c>
      <c r="V107" t="s">
        <v>263</v>
      </c>
      <c r="W107" t="s">
        <v>414</v>
      </c>
      <c r="X107" t="s">
        <v>410</v>
      </c>
      <c r="Y107">
        <v>6598</v>
      </c>
      <c r="Z107">
        <v>15</v>
      </c>
      <c r="AA107">
        <v>190</v>
      </c>
      <c r="AB107">
        <v>66</v>
      </c>
    </row>
    <row r="108" spans="1:28" x14ac:dyDescent="0.2">
      <c r="A108">
        <v>133</v>
      </c>
      <c r="B108" t="s">
        <v>264</v>
      </c>
      <c r="C108" t="s">
        <v>414</v>
      </c>
      <c r="D108" t="s">
        <v>410</v>
      </c>
      <c r="E108">
        <v>7630</v>
      </c>
      <c r="F108">
        <v>31</v>
      </c>
      <c r="G108">
        <v>219</v>
      </c>
      <c r="H108">
        <v>81</v>
      </c>
      <c r="U108">
        <v>133</v>
      </c>
      <c r="V108" t="s">
        <v>264</v>
      </c>
      <c r="W108" t="s">
        <v>414</v>
      </c>
      <c r="X108" t="s">
        <v>410</v>
      </c>
      <c r="Y108">
        <v>6577</v>
      </c>
      <c r="Z108">
        <v>13</v>
      </c>
      <c r="AA108">
        <v>190</v>
      </c>
      <c r="AB108">
        <v>81</v>
      </c>
    </row>
    <row r="109" spans="1:28" x14ac:dyDescent="0.2">
      <c r="A109">
        <v>134</v>
      </c>
      <c r="B109" t="s">
        <v>491</v>
      </c>
      <c r="C109" t="s">
        <v>414</v>
      </c>
      <c r="D109" t="s">
        <v>410</v>
      </c>
      <c r="E109">
        <v>7970</v>
      </c>
      <c r="F109">
        <v>35</v>
      </c>
      <c r="G109">
        <v>264</v>
      </c>
      <c r="H109">
        <v>77</v>
      </c>
      <c r="U109">
        <v>134</v>
      </c>
      <c r="V109" t="s">
        <v>491</v>
      </c>
      <c r="W109" t="s">
        <v>414</v>
      </c>
      <c r="X109" t="s">
        <v>410</v>
      </c>
      <c r="Y109">
        <v>6897</v>
      </c>
      <c r="Z109">
        <v>18</v>
      </c>
      <c r="AA109">
        <v>230</v>
      </c>
      <c r="AB109">
        <v>77</v>
      </c>
    </row>
    <row r="110" spans="1:28" x14ac:dyDescent="0.2">
      <c r="A110">
        <v>135</v>
      </c>
      <c r="B110" t="s">
        <v>265</v>
      </c>
      <c r="C110" t="s">
        <v>414</v>
      </c>
      <c r="D110" t="s">
        <v>410</v>
      </c>
      <c r="E110">
        <v>7967</v>
      </c>
      <c r="F110">
        <v>35</v>
      </c>
      <c r="G110">
        <v>230</v>
      </c>
      <c r="H110">
        <v>19</v>
      </c>
      <c r="U110">
        <v>135</v>
      </c>
      <c r="V110" t="s">
        <v>265</v>
      </c>
      <c r="W110" t="s">
        <v>414</v>
      </c>
      <c r="X110" t="s">
        <v>410</v>
      </c>
      <c r="Y110">
        <v>6897</v>
      </c>
      <c r="Z110">
        <v>18</v>
      </c>
      <c r="AA110">
        <v>200</v>
      </c>
      <c r="AB110">
        <v>19</v>
      </c>
    </row>
    <row r="111" spans="1:28" x14ac:dyDescent="0.2">
      <c r="A111">
        <v>136</v>
      </c>
      <c r="B111" t="s">
        <v>266</v>
      </c>
      <c r="C111" t="s">
        <v>414</v>
      </c>
      <c r="D111" t="s">
        <v>410</v>
      </c>
      <c r="E111">
        <v>7967</v>
      </c>
      <c r="F111">
        <v>35</v>
      </c>
      <c r="G111">
        <v>225</v>
      </c>
      <c r="H111">
        <v>73</v>
      </c>
      <c r="U111">
        <v>136</v>
      </c>
      <c r="V111" t="s">
        <v>266</v>
      </c>
      <c r="W111" t="s">
        <v>414</v>
      </c>
      <c r="X111" t="s">
        <v>410</v>
      </c>
      <c r="Y111">
        <v>6897</v>
      </c>
      <c r="Z111">
        <v>18</v>
      </c>
      <c r="AA111">
        <v>196</v>
      </c>
      <c r="AB111">
        <v>73</v>
      </c>
    </row>
    <row r="112" spans="1:28" x14ac:dyDescent="0.2">
      <c r="A112">
        <v>140</v>
      </c>
      <c r="B112" t="s">
        <v>318</v>
      </c>
      <c r="C112" t="s">
        <v>426</v>
      </c>
      <c r="D112" t="s">
        <v>409</v>
      </c>
      <c r="E112">
        <v>4157</v>
      </c>
      <c r="F112">
        <v>66</v>
      </c>
      <c r="G112">
        <v>247</v>
      </c>
      <c r="H112">
        <v>41</v>
      </c>
      <c r="U112">
        <v>140</v>
      </c>
      <c r="V112" t="s">
        <v>318</v>
      </c>
      <c r="W112" t="s">
        <v>426</v>
      </c>
      <c r="X112" t="s">
        <v>409</v>
      </c>
      <c r="Y112">
        <v>3553</v>
      </c>
      <c r="Z112">
        <v>47</v>
      </c>
      <c r="AA112">
        <v>215</v>
      </c>
      <c r="AB112">
        <v>41</v>
      </c>
    </row>
    <row r="113" spans="1:30" x14ac:dyDescent="0.2">
      <c r="A113">
        <v>142</v>
      </c>
      <c r="B113" s="2" t="s">
        <v>392</v>
      </c>
      <c r="C113" t="s">
        <v>426</v>
      </c>
      <c r="D113" t="s">
        <v>409</v>
      </c>
      <c r="E113">
        <v>5337</v>
      </c>
      <c r="F113">
        <v>66</v>
      </c>
      <c r="G113">
        <v>268</v>
      </c>
      <c r="H113">
        <v>78</v>
      </c>
      <c r="U113">
        <v>142</v>
      </c>
      <c r="V113" t="s">
        <v>392</v>
      </c>
      <c r="W113" t="s">
        <v>426</v>
      </c>
      <c r="X113" t="s">
        <v>409</v>
      </c>
      <c r="Y113">
        <v>4601</v>
      </c>
      <c r="Z113">
        <v>46</v>
      </c>
      <c r="AA113">
        <v>234</v>
      </c>
      <c r="AB113">
        <v>78</v>
      </c>
    </row>
    <row r="114" spans="1:30" x14ac:dyDescent="0.2">
      <c r="A114">
        <v>144</v>
      </c>
      <c r="B114" t="s">
        <v>329</v>
      </c>
      <c r="C114" t="s">
        <v>427</v>
      </c>
      <c r="D114" t="s">
        <v>409</v>
      </c>
      <c r="E114">
        <v>6107</v>
      </c>
      <c r="F114">
        <v>53</v>
      </c>
      <c r="G114">
        <v>307</v>
      </c>
      <c r="H114">
        <v>87</v>
      </c>
      <c r="U114">
        <v>144</v>
      </c>
      <c r="V114" t="s">
        <v>329</v>
      </c>
      <c r="W114" t="s">
        <v>427</v>
      </c>
      <c r="X114" t="s">
        <v>409</v>
      </c>
      <c r="Y114">
        <v>5311</v>
      </c>
      <c r="Z114">
        <v>33</v>
      </c>
      <c r="AA114">
        <v>270</v>
      </c>
      <c r="AB114">
        <v>87</v>
      </c>
    </row>
    <row r="115" spans="1:30" x14ac:dyDescent="0.2">
      <c r="A115">
        <v>145</v>
      </c>
      <c r="B115" t="s">
        <v>330</v>
      </c>
      <c r="C115" t="s">
        <v>427</v>
      </c>
      <c r="D115" t="s">
        <v>410</v>
      </c>
      <c r="E115">
        <v>6561</v>
      </c>
      <c r="F115">
        <v>53</v>
      </c>
      <c r="G115">
        <v>296</v>
      </c>
      <c r="H115">
        <v>44</v>
      </c>
      <c r="U115">
        <v>145</v>
      </c>
      <c r="V115" t="s">
        <v>330</v>
      </c>
      <c r="W115" t="s">
        <v>427</v>
      </c>
      <c r="X115" t="s">
        <v>410</v>
      </c>
      <c r="Y115">
        <v>5806</v>
      </c>
      <c r="Z115">
        <v>33</v>
      </c>
      <c r="AA115">
        <v>260</v>
      </c>
      <c r="AB115">
        <v>44</v>
      </c>
    </row>
    <row r="116" spans="1:30" x14ac:dyDescent="0.2">
      <c r="A116">
        <v>146</v>
      </c>
      <c r="B116" t="s">
        <v>334</v>
      </c>
      <c r="C116" t="s">
        <v>427</v>
      </c>
      <c r="D116" t="s">
        <v>410</v>
      </c>
      <c r="E116">
        <v>6262</v>
      </c>
      <c r="F116">
        <v>53</v>
      </c>
      <c r="G116">
        <v>289</v>
      </c>
      <c r="H116">
        <v>82</v>
      </c>
      <c r="U116">
        <v>146</v>
      </c>
      <c r="V116" t="s">
        <v>394</v>
      </c>
      <c r="W116" t="s">
        <v>427</v>
      </c>
      <c r="X116" t="s">
        <v>410</v>
      </c>
      <c r="Y116">
        <v>5445</v>
      </c>
      <c r="Z116">
        <v>33</v>
      </c>
      <c r="AA116">
        <v>253</v>
      </c>
      <c r="AB116">
        <v>82</v>
      </c>
    </row>
    <row r="117" spans="1:30" x14ac:dyDescent="0.2">
      <c r="A117">
        <v>148</v>
      </c>
      <c r="B117" t="s">
        <v>322</v>
      </c>
      <c r="C117" t="s">
        <v>427</v>
      </c>
      <c r="D117" t="s">
        <v>409</v>
      </c>
      <c r="E117">
        <v>6313</v>
      </c>
      <c r="F117">
        <v>51</v>
      </c>
      <c r="G117">
        <v>292</v>
      </c>
      <c r="H117">
        <v>32</v>
      </c>
      <c r="U117">
        <v>148</v>
      </c>
      <c r="V117" t="s">
        <v>322</v>
      </c>
      <c r="W117" t="s">
        <v>427</v>
      </c>
      <c r="X117" t="s">
        <v>409</v>
      </c>
      <c r="Y117">
        <v>5490</v>
      </c>
      <c r="Z117">
        <v>31</v>
      </c>
      <c r="AA117">
        <v>257</v>
      </c>
      <c r="AB117">
        <v>32</v>
      </c>
    </row>
    <row r="118" spans="1:30" x14ac:dyDescent="0.2">
      <c r="A118">
        <v>149</v>
      </c>
      <c r="B118" t="s">
        <v>100</v>
      </c>
      <c r="C118" t="s">
        <v>430</v>
      </c>
      <c r="D118" t="s">
        <v>408</v>
      </c>
      <c r="E118">
        <v>3642</v>
      </c>
      <c r="F118">
        <v>61</v>
      </c>
      <c r="G118">
        <v>171</v>
      </c>
      <c r="H118">
        <v>91</v>
      </c>
      <c r="U118">
        <v>149</v>
      </c>
      <c r="V118" t="s">
        <v>100</v>
      </c>
      <c r="W118" t="s">
        <v>430</v>
      </c>
      <c r="X118" t="s">
        <v>408</v>
      </c>
      <c r="Y118">
        <v>3035</v>
      </c>
      <c r="Z118">
        <v>28</v>
      </c>
      <c r="AA118">
        <v>149</v>
      </c>
      <c r="AB118">
        <v>91</v>
      </c>
    </row>
    <row r="119" spans="1:30" x14ac:dyDescent="0.2">
      <c r="A119">
        <v>150</v>
      </c>
      <c r="B119" s="2" t="s">
        <v>101</v>
      </c>
      <c r="C119" t="s">
        <v>430</v>
      </c>
      <c r="D119" t="s">
        <v>408</v>
      </c>
      <c r="E119">
        <v>3642</v>
      </c>
      <c r="F119">
        <v>61</v>
      </c>
      <c r="G119">
        <v>171</v>
      </c>
      <c r="H119">
        <v>19</v>
      </c>
      <c r="U119">
        <v>150</v>
      </c>
      <c r="V119" t="s">
        <v>101</v>
      </c>
      <c r="W119" t="s">
        <v>430</v>
      </c>
      <c r="X119" t="s">
        <v>408</v>
      </c>
      <c r="Y119">
        <v>3035</v>
      </c>
      <c r="Z119">
        <v>28</v>
      </c>
      <c r="AA119">
        <v>149</v>
      </c>
      <c r="AB119">
        <v>19</v>
      </c>
    </row>
    <row r="120" spans="1:30" x14ac:dyDescent="0.2">
      <c r="A120">
        <v>151</v>
      </c>
      <c r="B120" s="2" t="s">
        <v>102</v>
      </c>
      <c r="C120" t="s">
        <v>401</v>
      </c>
      <c r="D120" t="s">
        <v>408</v>
      </c>
      <c r="E120">
        <v>1798</v>
      </c>
      <c r="F120">
        <v>191</v>
      </c>
      <c r="G120">
        <v>146</v>
      </c>
      <c r="H120">
        <v>34</v>
      </c>
      <c r="J120">
        <v>0.3</v>
      </c>
      <c r="U120">
        <v>151</v>
      </c>
      <c r="V120" t="s">
        <v>102</v>
      </c>
      <c r="W120" t="s">
        <v>401</v>
      </c>
      <c r="X120" t="s">
        <v>408</v>
      </c>
      <c r="Y120">
        <v>1498</v>
      </c>
      <c r="Z120">
        <v>185</v>
      </c>
      <c r="AA120">
        <v>127</v>
      </c>
      <c r="AB120">
        <v>34</v>
      </c>
      <c r="AD120">
        <v>0.3</v>
      </c>
    </row>
    <row r="121" spans="1:30" x14ac:dyDescent="0.2">
      <c r="A121">
        <v>155</v>
      </c>
      <c r="B121" t="s">
        <v>103</v>
      </c>
      <c r="C121" t="s">
        <v>401</v>
      </c>
      <c r="D121" t="s">
        <v>408</v>
      </c>
      <c r="E121">
        <v>1798</v>
      </c>
      <c r="F121">
        <v>194</v>
      </c>
      <c r="G121">
        <v>146</v>
      </c>
      <c r="H121">
        <v>36</v>
      </c>
      <c r="U121">
        <v>155</v>
      </c>
      <c r="V121" t="s">
        <v>103</v>
      </c>
      <c r="W121" t="s">
        <v>401</v>
      </c>
      <c r="X121" t="s">
        <v>408</v>
      </c>
      <c r="Y121">
        <v>1498</v>
      </c>
      <c r="Z121">
        <v>188</v>
      </c>
      <c r="AA121">
        <v>127</v>
      </c>
      <c r="AB121">
        <v>36</v>
      </c>
    </row>
    <row r="122" spans="1:30" x14ac:dyDescent="0.2">
      <c r="A122">
        <v>159</v>
      </c>
      <c r="B122" s="2" t="s">
        <v>105</v>
      </c>
      <c r="C122" t="s">
        <v>401</v>
      </c>
      <c r="D122" t="s">
        <v>408</v>
      </c>
      <c r="E122">
        <v>1747</v>
      </c>
      <c r="F122">
        <v>194</v>
      </c>
      <c r="G122">
        <v>150</v>
      </c>
      <c r="H122">
        <v>45</v>
      </c>
      <c r="U122">
        <v>159</v>
      </c>
      <c r="V122" t="s">
        <v>105</v>
      </c>
      <c r="W122" t="s">
        <v>401</v>
      </c>
      <c r="X122" t="s">
        <v>408</v>
      </c>
      <c r="Y122">
        <v>1456</v>
      </c>
      <c r="Z122">
        <v>188</v>
      </c>
      <c r="AA122">
        <v>130</v>
      </c>
      <c r="AB122">
        <v>45</v>
      </c>
    </row>
    <row r="123" spans="1:30" x14ac:dyDescent="0.2">
      <c r="A123">
        <v>161</v>
      </c>
      <c r="B123" s="2" t="s">
        <v>106</v>
      </c>
      <c r="C123" t="s">
        <v>401</v>
      </c>
      <c r="D123" t="s">
        <v>408</v>
      </c>
      <c r="E123">
        <v>1747</v>
      </c>
      <c r="F123">
        <v>194</v>
      </c>
      <c r="G123">
        <v>150</v>
      </c>
      <c r="H123">
        <v>52</v>
      </c>
      <c r="U123">
        <v>161</v>
      </c>
      <c r="V123" t="s">
        <v>106</v>
      </c>
      <c r="W123" t="s">
        <v>401</v>
      </c>
      <c r="X123" t="s">
        <v>408</v>
      </c>
      <c r="Y123">
        <v>1456</v>
      </c>
      <c r="Z123">
        <v>188</v>
      </c>
      <c r="AA123">
        <v>130</v>
      </c>
      <c r="AB123">
        <v>52</v>
      </c>
    </row>
    <row r="124" spans="1:30" x14ac:dyDescent="0.2">
      <c r="A124">
        <v>162</v>
      </c>
      <c r="B124" s="2" t="s">
        <v>107</v>
      </c>
      <c r="C124" t="s">
        <v>401</v>
      </c>
      <c r="D124" t="s">
        <v>408</v>
      </c>
      <c r="E124">
        <v>1747</v>
      </c>
      <c r="F124">
        <v>194</v>
      </c>
      <c r="G124">
        <v>150</v>
      </c>
      <c r="H124">
        <v>57</v>
      </c>
      <c r="U124">
        <v>162</v>
      </c>
      <c r="V124" t="s">
        <v>107</v>
      </c>
      <c r="W124" t="s">
        <v>401</v>
      </c>
      <c r="X124" t="s">
        <v>408</v>
      </c>
      <c r="Y124">
        <v>1456</v>
      </c>
      <c r="Z124">
        <v>188</v>
      </c>
      <c r="AA124">
        <v>130</v>
      </c>
      <c r="AB124">
        <v>57</v>
      </c>
    </row>
    <row r="125" spans="1:30" x14ac:dyDescent="0.2">
      <c r="A125">
        <v>163</v>
      </c>
      <c r="B125" s="2" t="s">
        <v>108</v>
      </c>
      <c r="C125" t="s">
        <v>401</v>
      </c>
      <c r="D125" t="s">
        <v>408</v>
      </c>
      <c r="E125">
        <v>1712</v>
      </c>
      <c r="F125">
        <v>190</v>
      </c>
      <c r="G125">
        <v>150</v>
      </c>
      <c r="H125">
        <v>41</v>
      </c>
      <c r="U125">
        <v>163</v>
      </c>
      <c r="V125" t="s">
        <v>108</v>
      </c>
      <c r="W125" t="s">
        <v>401</v>
      </c>
      <c r="X125" t="s">
        <v>408</v>
      </c>
      <c r="Y125">
        <v>1427</v>
      </c>
      <c r="Z125">
        <v>184</v>
      </c>
      <c r="AA125">
        <v>130</v>
      </c>
      <c r="AB125">
        <v>41</v>
      </c>
    </row>
    <row r="126" spans="1:30" x14ac:dyDescent="0.2">
      <c r="A126">
        <v>164</v>
      </c>
      <c r="B126" s="2" t="s">
        <v>109</v>
      </c>
      <c r="C126" t="s">
        <v>401</v>
      </c>
      <c r="D126" t="s">
        <v>408</v>
      </c>
      <c r="E126">
        <v>1828</v>
      </c>
      <c r="F126">
        <v>190</v>
      </c>
      <c r="G126">
        <v>157</v>
      </c>
      <c r="H126">
        <v>32</v>
      </c>
      <c r="U126">
        <v>164</v>
      </c>
      <c r="V126" t="s">
        <v>109</v>
      </c>
      <c r="W126" t="s">
        <v>401</v>
      </c>
      <c r="X126" t="s">
        <v>408</v>
      </c>
      <c r="Y126">
        <v>1524</v>
      </c>
      <c r="Z126">
        <v>184</v>
      </c>
      <c r="AA126">
        <v>136</v>
      </c>
      <c r="AB126">
        <v>32</v>
      </c>
    </row>
    <row r="127" spans="1:30" x14ac:dyDescent="0.2">
      <c r="A127">
        <v>165</v>
      </c>
      <c r="B127" s="2" t="s">
        <v>110</v>
      </c>
      <c r="C127" t="s">
        <v>401</v>
      </c>
      <c r="D127" t="s">
        <v>408</v>
      </c>
      <c r="E127">
        <v>1763</v>
      </c>
      <c r="F127">
        <v>190</v>
      </c>
      <c r="G127">
        <v>150</v>
      </c>
      <c r="H127">
        <v>84</v>
      </c>
      <c r="U127">
        <v>165</v>
      </c>
      <c r="V127" t="s">
        <v>110</v>
      </c>
      <c r="W127" t="s">
        <v>401</v>
      </c>
      <c r="X127" t="s">
        <v>408</v>
      </c>
      <c r="Y127">
        <v>1469</v>
      </c>
      <c r="Z127">
        <v>184</v>
      </c>
      <c r="AA127">
        <v>131</v>
      </c>
      <c r="AB127">
        <v>84</v>
      </c>
    </row>
    <row r="128" spans="1:30" x14ac:dyDescent="0.2">
      <c r="A128">
        <v>166</v>
      </c>
      <c r="B128" t="s">
        <v>111</v>
      </c>
      <c r="C128" t="s">
        <v>401</v>
      </c>
      <c r="D128" t="s">
        <v>408</v>
      </c>
      <c r="E128">
        <v>2226</v>
      </c>
      <c r="F128">
        <v>192</v>
      </c>
      <c r="G128">
        <v>161</v>
      </c>
      <c r="H128">
        <v>98</v>
      </c>
      <c r="U128">
        <v>166</v>
      </c>
      <c r="V128" t="s">
        <v>111</v>
      </c>
      <c r="W128" t="s">
        <v>401</v>
      </c>
      <c r="X128" t="s">
        <v>408</v>
      </c>
      <c r="Y128">
        <v>1855</v>
      </c>
      <c r="Z128">
        <v>186</v>
      </c>
      <c r="AA128">
        <v>140</v>
      </c>
      <c r="AB128">
        <v>98</v>
      </c>
    </row>
    <row r="129" spans="1:28" x14ac:dyDescent="0.2">
      <c r="A129">
        <v>167</v>
      </c>
      <c r="B129" s="2" t="s">
        <v>112</v>
      </c>
      <c r="C129" t="s">
        <v>401</v>
      </c>
      <c r="D129" t="s">
        <v>408</v>
      </c>
      <c r="E129">
        <v>1885</v>
      </c>
      <c r="F129">
        <v>192</v>
      </c>
      <c r="G129">
        <v>150</v>
      </c>
      <c r="H129">
        <v>25</v>
      </c>
      <c r="U129">
        <v>167</v>
      </c>
      <c r="V129" t="s">
        <v>112</v>
      </c>
      <c r="W129" t="s">
        <v>401</v>
      </c>
      <c r="X129" t="s">
        <v>408</v>
      </c>
      <c r="Y129">
        <v>1571</v>
      </c>
      <c r="Z129">
        <v>186</v>
      </c>
      <c r="AA129">
        <v>130</v>
      </c>
      <c r="AB129">
        <v>25</v>
      </c>
    </row>
    <row r="130" spans="1:28" x14ac:dyDescent="0.2">
      <c r="A130">
        <v>168</v>
      </c>
      <c r="B130" t="s">
        <v>114</v>
      </c>
      <c r="C130" t="s">
        <v>401</v>
      </c>
      <c r="D130" t="s">
        <v>408</v>
      </c>
      <c r="E130">
        <v>1848</v>
      </c>
      <c r="F130">
        <v>192</v>
      </c>
      <c r="G130">
        <v>145</v>
      </c>
      <c r="H130">
        <v>25</v>
      </c>
      <c r="U130">
        <v>168</v>
      </c>
      <c r="V130" t="s">
        <v>114</v>
      </c>
      <c r="W130" t="s">
        <v>401</v>
      </c>
      <c r="X130" t="s">
        <v>408</v>
      </c>
      <c r="Y130">
        <v>1540</v>
      </c>
      <c r="Z130">
        <v>186</v>
      </c>
      <c r="AA130">
        <v>126</v>
      </c>
      <c r="AB130">
        <v>25</v>
      </c>
    </row>
    <row r="131" spans="1:28" x14ac:dyDescent="0.2">
      <c r="A131">
        <v>170</v>
      </c>
      <c r="B131" s="2" t="s">
        <v>116</v>
      </c>
      <c r="C131" t="s">
        <v>401</v>
      </c>
      <c r="D131" t="s">
        <v>408</v>
      </c>
      <c r="E131">
        <v>2145</v>
      </c>
      <c r="F131">
        <v>191</v>
      </c>
      <c r="G131">
        <v>154</v>
      </c>
      <c r="H131">
        <v>72</v>
      </c>
      <c r="U131">
        <v>170</v>
      </c>
      <c r="V131" t="s">
        <v>116</v>
      </c>
      <c r="W131" t="s">
        <v>401</v>
      </c>
      <c r="X131" t="s">
        <v>408</v>
      </c>
      <c r="Y131">
        <v>1787</v>
      </c>
      <c r="Z131">
        <v>185</v>
      </c>
      <c r="AA131">
        <v>134</v>
      </c>
      <c r="AB131">
        <v>72</v>
      </c>
    </row>
    <row r="132" spans="1:28" x14ac:dyDescent="0.2">
      <c r="A132">
        <v>171</v>
      </c>
      <c r="B132" s="2" t="s">
        <v>117</v>
      </c>
      <c r="C132" t="s">
        <v>401</v>
      </c>
      <c r="D132" t="s">
        <v>408</v>
      </c>
      <c r="E132">
        <v>1773</v>
      </c>
      <c r="F132">
        <v>192</v>
      </c>
      <c r="G132">
        <v>145</v>
      </c>
      <c r="H132">
        <v>45</v>
      </c>
      <c r="U132">
        <v>171</v>
      </c>
      <c r="V132" t="s">
        <v>117</v>
      </c>
      <c r="W132" t="s">
        <v>401</v>
      </c>
      <c r="X132" t="s">
        <v>408</v>
      </c>
      <c r="Y132">
        <v>1477</v>
      </c>
      <c r="Z132">
        <v>186</v>
      </c>
      <c r="AA132">
        <v>126</v>
      </c>
      <c r="AB132">
        <v>45</v>
      </c>
    </row>
    <row r="133" spans="1:28" x14ac:dyDescent="0.2">
      <c r="A133">
        <v>173</v>
      </c>
      <c r="B133" s="2" t="s">
        <v>118</v>
      </c>
      <c r="C133" t="s">
        <v>401</v>
      </c>
      <c r="D133" t="s">
        <v>408</v>
      </c>
      <c r="E133">
        <v>1770</v>
      </c>
      <c r="F133">
        <v>192</v>
      </c>
      <c r="G133">
        <v>145</v>
      </c>
      <c r="H133">
        <v>36</v>
      </c>
      <c r="U133">
        <v>173</v>
      </c>
      <c r="V133" t="s">
        <v>118</v>
      </c>
      <c r="W133" t="s">
        <v>401</v>
      </c>
      <c r="X133" t="s">
        <v>408</v>
      </c>
      <c r="Y133">
        <v>1477</v>
      </c>
      <c r="Z133">
        <v>186</v>
      </c>
      <c r="AA133">
        <v>126</v>
      </c>
      <c r="AB133">
        <v>36</v>
      </c>
    </row>
    <row r="134" spans="1:28" x14ac:dyDescent="0.2">
      <c r="A134">
        <v>174</v>
      </c>
      <c r="B134" s="2" t="s">
        <v>119</v>
      </c>
      <c r="C134" t="s">
        <v>401</v>
      </c>
      <c r="D134" t="s">
        <v>408</v>
      </c>
      <c r="E134">
        <v>1773</v>
      </c>
      <c r="F134">
        <v>192</v>
      </c>
      <c r="G134">
        <v>145</v>
      </c>
      <c r="H134">
        <v>51</v>
      </c>
      <c r="U134">
        <v>174</v>
      </c>
      <c r="V134" t="s">
        <v>119</v>
      </c>
      <c r="W134" t="s">
        <v>401</v>
      </c>
      <c r="X134" t="s">
        <v>408</v>
      </c>
      <c r="Y134">
        <v>1477</v>
      </c>
      <c r="Z134">
        <v>186</v>
      </c>
      <c r="AA134">
        <v>126</v>
      </c>
      <c r="AB134">
        <v>51</v>
      </c>
    </row>
    <row r="135" spans="1:28" x14ac:dyDescent="0.2">
      <c r="A135">
        <v>175</v>
      </c>
      <c r="B135" t="s">
        <v>120</v>
      </c>
      <c r="C135" t="s">
        <v>401</v>
      </c>
      <c r="D135" t="s">
        <v>408</v>
      </c>
      <c r="E135">
        <v>1773</v>
      </c>
      <c r="F135">
        <v>192</v>
      </c>
      <c r="G135">
        <v>145</v>
      </c>
      <c r="H135">
        <v>34</v>
      </c>
      <c r="U135">
        <v>175</v>
      </c>
      <c r="V135" t="s">
        <v>120</v>
      </c>
      <c r="W135" t="s">
        <v>401</v>
      </c>
      <c r="X135" t="s">
        <v>408</v>
      </c>
      <c r="Y135">
        <v>1477</v>
      </c>
      <c r="Z135">
        <v>186</v>
      </c>
      <c r="AA135">
        <v>126</v>
      </c>
      <c r="AB135">
        <v>34</v>
      </c>
    </row>
    <row r="136" spans="1:28" x14ac:dyDescent="0.2">
      <c r="A136">
        <v>176</v>
      </c>
      <c r="B136" s="2" t="s">
        <v>121</v>
      </c>
      <c r="C136" t="s">
        <v>401</v>
      </c>
      <c r="D136" t="s">
        <v>408</v>
      </c>
      <c r="E136">
        <v>1619</v>
      </c>
      <c r="F136">
        <v>193</v>
      </c>
      <c r="G136">
        <v>145</v>
      </c>
      <c r="H136">
        <v>32</v>
      </c>
      <c r="U136">
        <v>176</v>
      </c>
      <c r="V136" t="s">
        <v>121</v>
      </c>
      <c r="W136" t="s">
        <v>401</v>
      </c>
      <c r="X136" t="s">
        <v>408</v>
      </c>
      <c r="Y136">
        <v>1350</v>
      </c>
      <c r="Z136">
        <v>187</v>
      </c>
      <c r="AA136">
        <v>126</v>
      </c>
      <c r="AB136">
        <v>32</v>
      </c>
    </row>
    <row r="137" spans="1:28" x14ac:dyDescent="0.2">
      <c r="A137">
        <v>177</v>
      </c>
      <c r="B137" s="2" t="s">
        <v>267</v>
      </c>
      <c r="C137" t="s">
        <v>401</v>
      </c>
      <c r="D137" t="s">
        <v>408</v>
      </c>
      <c r="E137">
        <v>2083</v>
      </c>
      <c r="F137">
        <v>191</v>
      </c>
      <c r="G137">
        <v>150</v>
      </c>
      <c r="H137">
        <v>34</v>
      </c>
      <c r="U137">
        <v>177</v>
      </c>
      <c r="V137" t="s">
        <v>267</v>
      </c>
      <c r="W137" t="s">
        <v>401</v>
      </c>
      <c r="X137" t="s">
        <v>408</v>
      </c>
      <c r="Y137">
        <v>1736</v>
      </c>
      <c r="Z137">
        <v>185</v>
      </c>
      <c r="AA137">
        <v>130</v>
      </c>
      <c r="AB137">
        <v>34</v>
      </c>
    </row>
    <row r="138" spans="1:28" x14ac:dyDescent="0.2">
      <c r="A138">
        <v>178</v>
      </c>
      <c r="B138" t="s">
        <v>122</v>
      </c>
      <c r="C138" t="s">
        <v>401</v>
      </c>
      <c r="D138" t="s">
        <v>408</v>
      </c>
      <c r="E138">
        <v>2083</v>
      </c>
      <c r="F138">
        <v>191</v>
      </c>
      <c r="G138">
        <v>150</v>
      </c>
      <c r="H138">
        <v>34</v>
      </c>
      <c r="U138">
        <v>178</v>
      </c>
      <c r="V138" t="s">
        <v>122</v>
      </c>
      <c r="W138" t="s">
        <v>401</v>
      </c>
      <c r="X138" t="s">
        <v>408</v>
      </c>
      <c r="Y138">
        <v>1736</v>
      </c>
      <c r="Z138">
        <v>185</v>
      </c>
      <c r="AA138">
        <v>130</v>
      </c>
      <c r="AB138">
        <v>34</v>
      </c>
    </row>
    <row r="139" spans="1:28" x14ac:dyDescent="0.2">
      <c r="A139">
        <v>179</v>
      </c>
      <c r="B139" s="2" t="s">
        <v>123</v>
      </c>
      <c r="C139" t="s">
        <v>400</v>
      </c>
      <c r="D139" t="s">
        <v>408</v>
      </c>
      <c r="E139">
        <v>2177</v>
      </c>
      <c r="F139">
        <v>105</v>
      </c>
      <c r="G139">
        <v>307</v>
      </c>
      <c r="H139">
        <v>53</v>
      </c>
      <c r="U139">
        <v>179</v>
      </c>
      <c r="V139" t="s">
        <v>123</v>
      </c>
      <c r="W139" t="s">
        <v>400</v>
      </c>
      <c r="X139" t="s">
        <v>408</v>
      </c>
      <c r="Y139">
        <v>1910</v>
      </c>
      <c r="Z139">
        <v>80</v>
      </c>
      <c r="AA139">
        <v>270</v>
      </c>
      <c r="AB139">
        <v>53</v>
      </c>
    </row>
    <row r="140" spans="1:28" x14ac:dyDescent="0.2">
      <c r="A140">
        <v>182</v>
      </c>
      <c r="B140" t="s">
        <v>124</v>
      </c>
      <c r="C140" t="s">
        <v>400</v>
      </c>
      <c r="D140" t="s">
        <v>408</v>
      </c>
      <c r="E140">
        <v>2891</v>
      </c>
      <c r="F140">
        <v>105</v>
      </c>
      <c r="G140">
        <v>278</v>
      </c>
      <c r="H140">
        <v>36</v>
      </c>
      <c r="U140">
        <v>182</v>
      </c>
      <c r="V140" t="s">
        <v>124</v>
      </c>
      <c r="W140" t="s">
        <v>400</v>
      </c>
      <c r="X140" t="s">
        <v>408</v>
      </c>
      <c r="Y140">
        <v>2547</v>
      </c>
      <c r="Z140">
        <v>80</v>
      </c>
      <c r="AA140">
        <v>243</v>
      </c>
      <c r="AB140">
        <v>36</v>
      </c>
    </row>
    <row r="141" spans="1:28" x14ac:dyDescent="0.2">
      <c r="A141">
        <v>183</v>
      </c>
      <c r="B141" t="s">
        <v>125</v>
      </c>
      <c r="C141" t="s">
        <v>400</v>
      </c>
      <c r="D141" t="s">
        <v>408</v>
      </c>
      <c r="E141">
        <v>3214</v>
      </c>
      <c r="F141">
        <v>100</v>
      </c>
      <c r="G141">
        <v>343</v>
      </c>
      <c r="H141">
        <v>33</v>
      </c>
      <c r="U141">
        <v>183</v>
      </c>
      <c r="V141" t="s">
        <v>125</v>
      </c>
      <c r="W141" t="s">
        <v>400</v>
      </c>
      <c r="X141" t="s">
        <v>408</v>
      </c>
      <c r="Y141">
        <v>2844</v>
      </c>
      <c r="Z141">
        <v>76</v>
      </c>
      <c r="AA141">
        <v>304</v>
      </c>
      <c r="AB141">
        <v>33</v>
      </c>
    </row>
    <row r="142" spans="1:28" x14ac:dyDescent="0.2">
      <c r="A142">
        <v>187</v>
      </c>
      <c r="B142" t="s">
        <v>268</v>
      </c>
      <c r="C142" t="s">
        <v>400</v>
      </c>
      <c r="D142" t="s">
        <v>408</v>
      </c>
      <c r="E142">
        <v>2891</v>
      </c>
      <c r="F142">
        <v>105</v>
      </c>
      <c r="G142">
        <v>278</v>
      </c>
      <c r="H142">
        <v>43</v>
      </c>
      <c r="U142">
        <v>187</v>
      </c>
      <c r="V142" t="s">
        <v>268</v>
      </c>
      <c r="W142" t="s">
        <v>400</v>
      </c>
      <c r="X142" t="s">
        <v>408</v>
      </c>
      <c r="Y142">
        <v>2547</v>
      </c>
      <c r="Z142">
        <v>80</v>
      </c>
      <c r="AA142">
        <v>243</v>
      </c>
      <c r="AB142">
        <v>43</v>
      </c>
    </row>
    <row r="143" spans="1:28" x14ac:dyDescent="0.2">
      <c r="A143">
        <v>188</v>
      </c>
      <c r="B143" s="2" t="s">
        <v>126</v>
      </c>
      <c r="C143" t="s">
        <v>400</v>
      </c>
      <c r="D143" t="s">
        <v>409</v>
      </c>
      <c r="E143">
        <v>4015</v>
      </c>
      <c r="F143">
        <v>82</v>
      </c>
      <c r="G143">
        <v>186</v>
      </c>
      <c r="H143">
        <v>14</v>
      </c>
      <c r="U143">
        <v>188</v>
      </c>
      <c r="V143" t="s">
        <v>126</v>
      </c>
      <c r="W143" t="s">
        <v>400</v>
      </c>
      <c r="X143" t="s">
        <v>409</v>
      </c>
      <c r="Y143">
        <v>3547</v>
      </c>
      <c r="Z143">
        <v>36</v>
      </c>
      <c r="AA143">
        <v>162</v>
      </c>
      <c r="AB143">
        <v>14</v>
      </c>
    </row>
    <row r="144" spans="1:28" x14ac:dyDescent="0.2">
      <c r="A144">
        <v>189</v>
      </c>
      <c r="B144" s="2" t="s">
        <v>128</v>
      </c>
      <c r="C144" t="s">
        <v>400</v>
      </c>
      <c r="D144" t="s">
        <v>409</v>
      </c>
      <c r="E144">
        <v>4015</v>
      </c>
      <c r="F144">
        <v>82</v>
      </c>
      <c r="G144">
        <v>186</v>
      </c>
      <c r="H144">
        <v>13</v>
      </c>
      <c r="U144">
        <v>189</v>
      </c>
      <c r="V144" t="s">
        <v>128</v>
      </c>
      <c r="W144" t="s">
        <v>400</v>
      </c>
      <c r="X144" t="s">
        <v>409</v>
      </c>
      <c r="Y144">
        <v>3547</v>
      </c>
      <c r="Z144">
        <v>36</v>
      </c>
      <c r="AA144">
        <v>162</v>
      </c>
      <c r="AB144">
        <v>13</v>
      </c>
    </row>
    <row r="145" spans="1:28" x14ac:dyDescent="0.2">
      <c r="A145">
        <v>190</v>
      </c>
      <c r="B145" s="2" t="s">
        <v>129</v>
      </c>
      <c r="C145" t="s">
        <v>413</v>
      </c>
      <c r="D145" t="s">
        <v>409</v>
      </c>
      <c r="E145">
        <v>3439</v>
      </c>
      <c r="F145">
        <v>75</v>
      </c>
      <c r="G145">
        <v>161</v>
      </c>
      <c r="H145">
        <v>34</v>
      </c>
      <c r="U145">
        <v>190</v>
      </c>
      <c r="V145" t="s">
        <v>129</v>
      </c>
      <c r="W145" t="s">
        <v>413</v>
      </c>
      <c r="X145" t="s">
        <v>409</v>
      </c>
      <c r="Y145">
        <v>3043</v>
      </c>
      <c r="Z145">
        <v>33</v>
      </c>
      <c r="AA145">
        <v>140</v>
      </c>
      <c r="AB145">
        <v>34</v>
      </c>
    </row>
    <row r="146" spans="1:28" x14ac:dyDescent="0.2">
      <c r="A146">
        <v>191</v>
      </c>
      <c r="B146" t="s">
        <v>131</v>
      </c>
      <c r="C146" t="s">
        <v>413</v>
      </c>
      <c r="D146" t="s">
        <v>409</v>
      </c>
      <c r="E146">
        <v>3439</v>
      </c>
      <c r="F146">
        <v>75</v>
      </c>
      <c r="G146">
        <v>161</v>
      </c>
      <c r="H146">
        <v>34</v>
      </c>
      <c r="U146">
        <v>191</v>
      </c>
      <c r="V146" t="s">
        <v>131</v>
      </c>
      <c r="W146" t="s">
        <v>413</v>
      </c>
      <c r="X146" t="s">
        <v>409</v>
      </c>
      <c r="Y146">
        <v>3043</v>
      </c>
      <c r="Z146">
        <v>33</v>
      </c>
      <c r="AA146">
        <v>140</v>
      </c>
      <c r="AB146">
        <v>34</v>
      </c>
    </row>
    <row r="147" spans="1:28" x14ac:dyDescent="0.2">
      <c r="A147">
        <v>192</v>
      </c>
      <c r="B147" s="2" t="s">
        <v>133</v>
      </c>
      <c r="C147" t="s">
        <v>413</v>
      </c>
      <c r="D147" t="s">
        <v>409</v>
      </c>
      <c r="E147">
        <v>3527</v>
      </c>
      <c r="F147">
        <v>76</v>
      </c>
      <c r="G147">
        <v>167</v>
      </c>
      <c r="H147">
        <v>52</v>
      </c>
      <c r="U147">
        <v>192</v>
      </c>
      <c r="V147" t="s">
        <v>133</v>
      </c>
      <c r="W147" t="s">
        <v>413</v>
      </c>
      <c r="X147" t="s">
        <v>409</v>
      </c>
      <c r="Y147">
        <v>3108</v>
      </c>
      <c r="Z147">
        <v>34</v>
      </c>
      <c r="AA147">
        <v>145</v>
      </c>
      <c r="AB147">
        <v>52</v>
      </c>
    </row>
    <row r="148" spans="1:28" x14ac:dyDescent="0.2">
      <c r="A148">
        <v>193</v>
      </c>
      <c r="B148" t="s">
        <v>134</v>
      </c>
      <c r="C148" t="s">
        <v>413</v>
      </c>
      <c r="D148" t="s">
        <v>409</v>
      </c>
      <c r="E148">
        <v>3527</v>
      </c>
      <c r="F148">
        <v>76</v>
      </c>
      <c r="G148">
        <v>167</v>
      </c>
      <c r="H148">
        <v>65</v>
      </c>
      <c r="U148">
        <v>193</v>
      </c>
      <c r="V148" t="s">
        <v>134</v>
      </c>
      <c r="W148" t="s">
        <v>413</v>
      </c>
      <c r="X148" t="s">
        <v>409</v>
      </c>
      <c r="Y148">
        <v>3108</v>
      </c>
      <c r="Z148">
        <v>34</v>
      </c>
      <c r="AA148">
        <v>145</v>
      </c>
      <c r="AB148">
        <v>65</v>
      </c>
    </row>
    <row r="149" spans="1:28" x14ac:dyDescent="0.2">
      <c r="A149">
        <v>196</v>
      </c>
      <c r="B149" s="2" t="s">
        <v>135</v>
      </c>
      <c r="C149" t="s">
        <v>413</v>
      </c>
      <c r="D149" t="s">
        <v>409</v>
      </c>
      <c r="E149">
        <v>5220</v>
      </c>
      <c r="F149">
        <v>78</v>
      </c>
      <c r="G149">
        <v>193</v>
      </c>
      <c r="H149">
        <v>62</v>
      </c>
      <c r="U149">
        <v>196</v>
      </c>
      <c r="V149" t="s">
        <v>135</v>
      </c>
      <c r="W149" t="s">
        <v>413</v>
      </c>
      <c r="X149" t="s">
        <v>409</v>
      </c>
      <c r="Y149">
        <v>4746</v>
      </c>
      <c r="Z149">
        <v>36</v>
      </c>
      <c r="AA149">
        <v>168</v>
      </c>
      <c r="AB149">
        <v>62</v>
      </c>
    </row>
    <row r="150" spans="1:28" x14ac:dyDescent="0.2">
      <c r="A150">
        <v>197</v>
      </c>
      <c r="B150" t="s">
        <v>136</v>
      </c>
      <c r="C150" t="s">
        <v>413</v>
      </c>
      <c r="D150" t="s">
        <v>409</v>
      </c>
      <c r="E150">
        <v>5220</v>
      </c>
      <c r="F150">
        <v>78</v>
      </c>
      <c r="G150">
        <v>193</v>
      </c>
      <c r="H150">
        <v>58</v>
      </c>
      <c r="U150">
        <v>197</v>
      </c>
      <c r="V150" t="s">
        <v>136</v>
      </c>
      <c r="W150" t="s">
        <v>413</v>
      </c>
      <c r="X150" t="s">
        <v>409</v>
      </c>
      <c r="Y150">
        <v>4746</v>
      </c>
      <c r="Z150">
        <v>36</v>
      </c>
      <c r="AA150">
        <v>168</v>
      </c>
      <c r="AB150">
        <v>58</v>
      </c>
    </row>
    <row r="151" spans="1:28" x14ac:dyDescent="0.2">
      <c r="A151">
        <v>198</v>
      </c>
      <c r="B151" t="s">
        <v>137</v>
      </c>
      <c r="C151" t="s">
        <v>413</v>
      </c>
      <c r="D151" t="s">
        <v>409</v>
      </c>
      <c r="E151">
        <v>4162</v>
      </c>
      <c r="F151">
        <v>75</v>
      </c>
      <c r="G151">
        <v>171</v>
      </c>
      <c r="H151">
        <v>60</v>
      </c>
      <c r="U151">
        <v>198</v>
      </c>
      <c r="V151" t="s">
        <v>137</v>
      </c>
      <c r="W151" t="s">
        <v>413</v>
      </c>
      <c r="X151" t="s">
        <v>409</v>
      </c>
      <c r="Y151">
        <v>3783</v>
      </c>
      <c r="Z151">
        <v>33</v>
      </c>
      <c r="AA151">
        <v>148</v>
      </c>
      <c r="AB151">
        <v>60</v>
      </c>
    </row>
    <row r="152" spans="1:28" x14ac:dyDescent="0.2">
      <c r="A152">
        <v>200</v>
      </c>
      <c r="B152" t="s">
        <v>138</v>
      </c>
      <c r="C152" t="s">
        <v>413</v>
      </c>
      <c r="D152" t="s">
        <v>409</v>
      </c>
      <c r="E152">
        <v>4295</v>
      </c>
      <c r="F152">
        <v>79</v>
      </c>
      <c r="G152">
        <v>178</v>
      </c>
      <c r="H152">
        <v>65</v>
      </c>
      <c r="U152">
        <v>200</v>
      </c>
      <c r="V152" t="s">
        <v>138</v>
      </c>
      <c r="W152" t="s">
        <v>413</v>
      </c>
      <c r="X152" t="s">
        <v>409</v>
      </c>
      <c r="Y152">
        <v>3818</v>
      </c>
      <c r="Z152">
        <v>33</v>
      </c>
      <c r="AA152">
        <v>155</v>
      </c>
      <c r="AB152">
        <v>65</v>
      </c>
    </row>
    <row r="153" spans="1:28" x14ac:dyDescent="0.2">
      <c r="A153">
        <v>201</v>
      </c>
      <c r="B153" t="s">
        <v>139</v>
      </c>
      <c r="C153" t="s">
        <v>413</v>
      </c>
      <c r="D153" t="s">
        <v>409</v>
      </c>
      <c r="E153">
        <v>4295</v>
      </c>
      <c r="F153">
        <v>79</v>
      </c>
      <c r="G153">
        <v>178</v>
      </c>
      <c r="H153">
        <v>48</v>
      </c>
      <c r="U153">
        <v>201</v>
      </c>
      <c r="V153" t="s">
        <v>139</v>
      </c>
      <c r="W153" t="s">
        <v>413</v>
      </c>
      <c r="X153" t="s">
        <v>409</v>
      </c>
      <c r="Y153">
        <v>3818</v>
      </c>
      <c r="Z153">
        <v>33</v>
      </c>
      <c r="AA153">
        <v>155</v>
      </c>
      <c r="AB153">
        <v>48</v>
      </c>
    </row>
    <row r="154" spans="1:28" x14ac:dyDescent="0.2">
      <c r="A154">
        <v>202</v>
      </c>
      <c r="B154" t="s">
        <v>140</v>
      </c>
      <c r="C154" t="s">
        <v>413</v>
      </c>
      <c r="D154" t="s">
        <v>409</v>
      </c>
      <c r="E154">
        <v>4295</v>
      </c>
      <c r="F154">
        <v>79</v>
      </c>
      <c r="G154">
        <v>178</v>
      </c>
      <c r="H154">
        <v>48</v>
      </c>
      <c r="U154">
        <v>202</v>
      </c>
      <c r="V154" t="s">
        <v>140</v>
      </c>
      <c r="W154" t="s">
        <v>413</v>
      </c>
      <c r="X154" t="s">
        <v>409</v>
      </c>
      <c r="Y154">
        <v>3818</v>
      </c>
      <c r="Z154">
        <v>33</v>
      </c>
      <c r="AA154">
        <v>155</v>
      </c>
      <c r="AB154">
        <v>48</v>
      </c>
    </row>
    <row r="155" spans="1:28" x14ac:dyDescent="0.2">
      <c r="A155">
        <v>203</v>
      </c>
      <c r="B155" s="2" t="s">
        <v>141</v>
      </c>
      <c r="C155" t="s">
        <v>413</v>
      </c>
      <c r="D155" t="s">
        <v>409</v>
      </c>
      <c r="E155">
        <v>4295</v>
      </c>
      <c r="F155">
        <v>79</v>
      </c>
      <c r="G155">
        <v>178</v>
      </c>
      <c r="H155">
        <v>50</v>
      </c>
      <c r="U155">
        <v>203</v>
      </c>
      <c r="V155" t="s">
        <v>141</v>
      </c>
      <c r="W155" t="s">
        <v>413</v>
      </c>
      <c r="X155" t="s">
        <v>409</v>
      </c>
      <c r="Y155">
        <v>3818</v>
      </c>
      <c r="Z155">
        <v>33</v>
      </c>
      <c r="AA155">
        <v>155</v>
      </c>
      <c r="AB155">
        <v>50</v>
      </c>
    </row>
    <row r="156" spans="1:28" x14ac:dyDescent="0.2">
      <c r="A156">
        <v>204</v>
      </c>
      <c r="B156" s="2" t="s">
        <v>339</v>
      </c>
      <c r="C156" t="s">
        <v>429</v>
      </c>
      <c r="D156" t="s">
        <v>409</v>
      </c>
      <c r="E156">
        <v>6604</v>
      </c>
      <c r="F156">
        <v>37</v>
      </c>
      <c r="G156">
        <v>273</v>
      </c>
      <c r="H156">
        <v>43</v>
      </c>
      <c r="U156">
        <v>204</v>
      </c>
      <c r="V156" t="s">
        <v>339</v>
      </c>
      <c r="W156" t="s">
        <v>429</v>
      </c>
      <c r="X156" t="s">
        <v>409</v>
      </c>
      <c r="Y156">
        <v>5620</v>
      </c>
      <c r="Z156">
        <v>20</v>
      </c>
      <c r="AA156">
        <v>238</v>
      </c>
      <c r="AB156">
        <v>43</v>
      </c>
    </row>
    <row r="157" spans="1:28" x14ac:dyDescent="0.2">
      <c r="A157">
        <v>205</v>
      </c>
      <c r="B157" t="s">
        <v>269</v>
      </c>
      <c r="C157" t="s">
        <v>429</v>
      </c>
      <c r="D157" t="s">
        <v>409</v>
      </c>
      <c r="E157">
        <v>6604</v>
      </c>
      <c r="F157">
        <v>37</v>
      </c>
      <c r="G157">
        <v>273</v>
      </c>
      <c r="H157">
        <v>37</v>
      </c>
      <c r="U157">
        <v>205</v>
      </c>
      <c r="V157" t="s">
        <v>269</v>
      </c>
      <c r="W157" t="s">
        <v>429</v>
      </c>
      <c r="X157" t="s">
        <v>409</v>
      </c>
      <c r="Y157">
        <v>5620</v>
      </c>
      <c r="Z157">
        <v>20</v>
      </c>
      <c r="AA157">
        <v>238</v>
      </c>
      <c r="AB157">
        <v>37</v>
      </c>
    </row>
    <row r="158" spans="1:28" x14ac:dyDescent="0.2">
      <c r="A158">
        <v>206</v>
      </c>
      <c r="B158" t="s">
        <v>270</v>
      </c>
      <c r="C158" t="s">
        <v>429</v>
      </c>
      <c r="D158" t="s">
        <v>409</v>
      </c>
      <c r="E158">
        <v>6604</v>
      </c>
      <c r="F158">
        <v>37</v>
      </c>
      <c r="G158">
        <v>273</v>
      </c>
      <c r="H158">
        <v>47</v>
      </c>
      <c r="U158">
        <v>206</v>
      </c>
      <c r="V158" t="s">
        <v>270</v>
      </c>
      <c r="W158" t="s">
        <v>429</v>
      </c>
      <c r="X158" t="s">
        <v>409</v>
      </c>
      <c r="Y158">
        <v>5620</v>
      </c>
      <c r="Z158">
        <v>20</v>
      </c>
      <c r="AA158">
        <v>238</v>
      </c>
      <c r="AB158">
        <v>47</v>
      </c>
    </row>
    <row r="159" spans="1:28" x14ac:dyDescent="0.2">
      <c r="A159">
        <v>207</v>
      </c>
      <c r="B159" t="s">
        <v>271</v>
      </c>
      <c r="C159" t="s">
        <v>429</v>
      </c>
      <c r="D159" t="s">
        <v>409</v>
      </c>
      <c r="E159">
        <v>6604</v>
      </c>
      <c r="F159">
        <v>37</v>
      </c>
      <c r="G159">
        <v>273</v>
      </c>
      <c r="H159">
        <v>37</v>
      </c>
      <c r="U159">
        <v>207</v>
      </c>
      <c r="V159" t="s">
        <v>271</v>
      </c>
      <c r="W159" t="s">
        <v>429</v>
      </c>
      <c r="X159" t="s">
        <v>409</v>
      </c>
      <c r="Y159">
        <v>5620</v>
      </c>
      <c r="Z159">
        <v>20</v>
      </c>
      <c r="AA159">
        <v>238</v>
      </c>
      <c r="AB159">
        <v>37</v>
      </c>
    </row>
    <row r="160" spans="1:28" x14ac:dyDescent="0.2">
      <c r="A160">
        <v>208</v>
      </c>
      <c r="B160" s="2" t="s">
        <v>340</v>
      </c>
      <c r="C160" t="s">
        <v>414</v>
      </c>
      <c r="D160" t="s">
        <v>410</v>
      </c>
      <c r="E160">
        <v>6916</v>
      </c>
      <c r="F160">
        <v>31</v>
      </c>
      <c r="G160">
        <v>222</v>
      </c>
      <c r="H160">
        <v>13</v>
      </c>
      <c r="U160">
        <v>208</v>
      </c>
      <c r="V160" t="s">
        <v>340</v>
      </c>
      <c r="W160" t="s">
        <v>414</v>
      </c>
      <c r="X160" t="s">
        <v>410</v>
      </c>
      <c r="Y160">
        <v>5911</v>
      </c>
      <c r="Z160">
        <v>13</v>
      </c>
      <c r="AA160">
        <v>193</v>
      </c>
      <c r="AB160">
        <v>13</v>
      </c>
    </row>
    <row r="161" spans="1:28" x14ac:dyDescent="0.2">
      <c r="A161">
        <v>209</v>
      </c>
      <c r="B161" s="2" t="s">
        <v>341</v>
      </c>
      <c r="C161" t="s">
        <v>414</v>
      </c>
      <c r="D161" t="s">
        <v>410</v>
      </c>
      <c r="E161">
        <v>7307</v>
      </c>
      <c r="F161">
        <v>31</v>
      </c>
      <c r="G161">
        <v>222</v>
      </c>
      <c r="H161">
        <v>14</v>
      </c>
      <c r="U161">
        <v>209</v>
      </c>
      <c r="V161" t="s">
        <v>341</v>
      </c>
      <c r="W161" t="s">
        <v>414</v>
      </c>
      <c r="X161" t="s">
        <v>410</v>
      </c>
      <c r="Y161">
        <v>6246</v>
      </c>
      <c r="Z161">
        <v>13</v>
      </c>
      <c r="AA161">
        <v>193</v>
      </c>
      <c r="AB161">
        <v>14</v>
      </c>
    </row>
    <row r="162" spans="1:28" x14ac:dyDescent="0.2">
      <c r="A162">
        <v>210</v>
      </c>
      <c r="B162" t="s">
        <v>272</v>
      </c>
      <c r="C162" t="s">
        <v>414</v>
      </c>
      <c r="D162" t="s">
        <v>410</v>
      </c>
      <c r="E162">
        <v>7124</v>
      </c>
      <c r="F162">
        <v>31</v>
      </c>
      <c r="G162">
        <v>229</v>
      </c>
      <c r="H162">
        <v>60</v>
      </c>
      <c r="U162">
        <v>210</v>
      </c>
      <c r="V162" t="s">
        <v>272</v>
      </c>
      <c r="W162" t="s">
        <v>414</v>
      </c>
      <c r="X162" t="s">
        <v>410</v>
      </c>
      <c r="Y162">
        <v>6105</v>
      </c>
      <c r="Z162">
        <v>13</v>
      </c>
      <c r="AA162">
        <v>200</v>
      </c>
      <c r="AB162">
        <v>60</v>
      </c>
    </row>
    <row r="163" spans="1:28" x14ac:dyDescent="0.2">
      <c r="A163">
        <v>211</v>
      </c>
      <c r="B163" s="2" t="s">
        <v>342</v>
      </c>
      <c r="C163" t="s">
        <v>414</v>
      </c>
      <c r="D163" t="s">
        <v>410</v>
      </c>
      <c r="E163">
        <v>7124</v>
      </c>
      <c r="F163">
        <v>31</v>
      </c>
      <c r="G163">
        <v>229</v>
      </c>
      <c r="H163">
        <v>60</v>
      </c>
      <c r="U163">
        <v>211</v>
      </c>
      <c r="V163" t="s">
        <v>342</v>
      </c>
      <c r="W163" t="s">
        <v>414</v>
      </c>
      <c r="X163" t="s">
        <v>410</v>
      </c>
      <c r="Y163">
        <v>6105</v>
      </c>
      <c r="Z163">
        <v>13</v>
      </c>
      <c r="AA163">
        <v>200</v>
      </c>
      <c r="AB163">
        <v>60</v>
      </c>
    </row>
    <row r="164" spans="1:28" x14ac:dyDescent="0.2">
      <c r="A164">
        <v>212</v>
      </c>
      <c r="B164" t="s">
        <v>273</v>
      </c>
      <c r="C164" t="s">
        <v>414</v>
      </c>
      <c r="D164" t="s">
        <v>410</v>
      </c>
      <c r="E164">
        <v>8117</v>
      </c>
      <c r="F164">
        <v>37</v>
      </c>
      <c r="G164">
        <v>182</v>
      </c>
      <c r="H164">
        <v>71</v>
      </c>
      <c r="U164">
        <v>212</v>
      </c>
      <c r="V164" t="s">
        <v>273</v>
      </c>
      <c r="W164" t="s">
        <v>414</v>
      </c>
      <c r="X164" t="s">
        <v>410</v>
      </c>
      <c r="Y164">
        <v>6955</v>
      </c>
      <c r="Z164">
        <v>18</v>
      </c>
      <c r="AA164">
        <v>159</v>
      </c>
      <c r="AB164">
        <v>71</v>
      </c>
    </row>
    <row r="165" spans="1:28" x14ac:dyDescent="0.2">
      <c r="A165">
        <v>213</v>
      </c>
      <c r="B165" t="s">
        <v>274</v>
      </c>
      <c r="C165" t="s">
        <v>414</v>
      </c>
      <c r="D165" t="s">
        <v>410</v>
      </c>
      <c r="E165">
        <v>7896</v>
      </c>
      <c r="F165">
        <v>34</v>
      </c>
      <c r="G165">
        <v>185</v>
      </c>
      <c r="H165">
        <v>34</v>
      </c>
      <c r="U165">
        <v>213</v>
      </c>
      <c r="V165" t="s">
        <v>274</v>
      </c>
      <c r="W165" t="s">
        <v>414</v>
      </c>
      <c r="X165" t="s">
        <v>410</v>
      </c>
      <c r="Y165">
        <v>6766</v>
      </c>
      <c r="Z165">
        <v>16</v>
      </c>
      <c r="AA165">
        <v>161</v>
      </c>
      <c r="AB165">
        <v>34</v>
      </c>
    </row>
    <row r="166" spans="1:28" x14ac:dyDescent="0.2">
      <c r="A166">
        <v>218</v>
      </c>
      <c r="B166" s="2" t="s">
        <v>358</v>
      </c>
      <c r="C166" t="s">
        <v>426</v>
      </c>
      <c r="D166" t="s">
        <v>409</v>
      </c>
      <c r="E166">
        <v>5204</v>
      </c>
      <c r="F166">
        <v>68</v>
      </c>
      <c r="G166">
        <v>247</v>
      </c>
      <c r="H166">
        <v>43</v>
      </c>
      <c r="U166">
        <v>218</v>
      </c>
      <c r="V166" t="s">
        <v>358</v>
      </c>
      <c r="W166" t="s">
        <v>426</v>
      </c>
      <c r="X166" t="s">
        <v>409</v>
      </c>
      <c r="Y166">
        <v>4448</v>
      </c>
      <c r="Z166">
        <v>49</v>
      </c>
      <c r="AA166">
        <v>215</v>
      </c>
      <c r="AB166">
        <v>43</v>
      </c>
    </row>
    <row r="167" spans="1:28" x14ac:dyDescent="0.2">
      <c r="A167">
        <v>219</v>
      </c>
      <c r="B167" s="2" t="s">
        <v>359</v>
      </c>
      <c r="C167" t="s">
        <v>426</v>
      </c>
      <c r="D167" t="s">
        <v>409</v>
      </c>
      <c r="E167">
        <v>5204</v>
      </c>
      <c r="F167">
        <v>68</v>
      </c>
      <c r="G167">
        <v>247</v>
      </c>
      <c r="H167">
        <v>80</v>
      </c>
      <c r="U167">
        <v>219</v>
      </c>
      <c r="V167" t="s">
        <v>359</v>
      </c>
      <c r="W167" t="s">
        <v>426</v>
      </c>
      <c r="X167" t="s">
        <v>409</v>
      </c>
      <c r="Y167">
        <v>4448</v>
      </c>
      <c r="Z167">
        <v>49</v>
      </c>
      <c r="AA167">
        <v>215</v>
      </c>
      <c r="AB167">
        <v>80</v>
      </c>
    </row>
    <row r="168" spans="1:28" x14ac:dyDescent="0.2">
      <c r="A168">
        <v>220</v>
      </c>
      <c r="B168" s="2" t="s">
        <v>360</v>
      </c>
      <c r="C168" t="s">
        <v>426</v>
      </c>
      <c r="D168" t="s">
        <v>409</v>
      </c>
      <c r="E168">
        <v>3621</v>
      </c>
      <c r="F168">
        <v>66</v>
      </c>
      <c r="G168">
        <v>257</v>
      </c>
      <c r="H168">
        <v>79</v>
      </c>
      <c r="U168">
        <v>220</v>
      </c>
      <c r="V168" t="s">
        <v>360</v>
      </c>
      <c r="W168" t="s">
        <v>426</v>
      </c>
      <c r="X168" t="s">
        <v>409</v>
      </c>
      <c r="Y168">
        <v>3095</v>
      </c>
      <c r="Z168">
        <v>47</v>
      </c>
      <c r="AA168">
        <v>224</v>
      </c>
      <c r="AB168">
        <v>79</v>
      </c>
    </row>
    <row r="169" spans="1:28" x14ac:dyDescent="0.2">
      <c r="A169">
        <v>222</v>
      </c>
      <c r="B169" s="2" t="s">
        <v>361</v>
      </c>
      <c r="C169" t="s">
        <v>426</v>
      </c>
      <c r="D169" t="s">
        <v>409</v>
      </c>
      <c r="E169">
        <v>4283</v>
      </c>
      <c r="F169">
        <v>70</v>
      </c>
      <c r="G169">
        <v>248</v>
      </c>
      <c r="H169">
        <v>24</v>
      </c>
      <c r="U169">
        <v>222</v>
      </c>
      <c r="V169" t="s">
        <v>361</v>
      </c>
      <c r="W169" t="s">
        <v>426</v>
      </c>
      <c r="X169" t="s">
        <v>409</v>
      </c>
      <c r="Y169">
        <v>3692</v>
      </c>
      <c r="Z169">
        <v>50</v>
      </c>
      <c r="AA169">
        <v>216</v>
      </c>
      <c r="AB169">
        <v>24</v>
      </c>
    </row>
    <row r="170" spans="1:28" x14ac:dyDescent="0.2">
      <c r="A170">
        <v>223</v>
      </c>
      <c r="B170" s="2" t="s">
        <v>362</v>
      </c>
      <c r="C170" t="s">
        <v>426</v>
      </c>
      <c r="D170" t="s">
        <v>409</v>
      </c>
      <c r="E170">
        <v>4278</v>
      </c>
      <c r="F170">
        <v>82</v>
      </c>
      <c r="G170">
        <v>252</v>
      </c>
      <c r="H170">
        <v>42</v>
      </c>
      <c r="U170">
        <v>223</v>
      </c>
      <c r="V170" t="s">
        <v>362</v>
      </c>
      <c r="W170" t="s">
        <v>426</v>
      </c>
      <c r="X170" t="s">
        <v>409</v>
      </c>
      <c r="Y170">
        <v>3657</v>
      </c>
      <c r="Z170">
        <v>61</v>
      </c>
      <c r="AA170">
        <v>219</v>
      </c>
      <c r="AB170">
        <v>42</v>
      </c>
    </row>
    <row r="171" spans="1:28" x14ac:dyDescent="0.2">
      <c r="A171">
        <v>224</v>
      </c>
      <c r="B171" t="s">
        <v>333</v>
      </c>
      <c r="C171" t="s">
        <v>427</v>
      </c>
      <c r="D171" t="s">
        <v>409</v>
      </c>
      <c r="E171">
        <v>6588</v>
      </c>
      <c r="F171">
        <v>54</v>
      </c>
      <c r="G171">
        <v>323</v>
      </c>
      <c r="H171">
        <v>42</v>
      </c>
      <c r="U171">
        <v>224</v>
      </c>
      <c r="V171" t="s">
        <v>333</v>
      </c>
      <c r="W171" t="s">
        <v>427</v>
      </c>
      <c r="X171" t="s">
        <v>409</v>
      </c>
      <c r="Y171">
        <v>5830</v>
      </c>
      <c r="Z171">
        <v>33</v>
      </c>
      <c r="AA171">
        <v>285</v>
      </c>
      <c r="AB171">
        <v>42</v>
      </c>
    </row>
    <row r="172" spans="1:28" x14ac:dyDescent="0.2">
      <c r="A172">
        <v>225</v>
      </c>
      <c r="B172" s="2" t="s">
        <v>363</v>
      </c>
      <c r="C172" t="s">
        <v>427</v>
      </c>
      <c r="D172" t="s">
        <v>409</v>
      </c>
      <c r="E172">
        <v>6771</v>
      </c>
      <c r="F172">
        <v>49</v>
      </c>
      <c r="G172">
        <v>323</v>
      </c>
      <c r="H172">
        <v>42</v>
      </c>
      <c r="U172">
        <v>225</v>
      </c>
      <c r="V172" t="s">
        <v>363</v>
      </c>
      <c r="W172" t="s">
        <v>427</v>
      </c>
      <c r="X172" t="s">
        <v>409</v>
      </c>
      <c r="Y172">
        <v>5992</v>
      </c>
      <c r="Z172">
        <v>29</v>
      </c>
      <c r="AA172">
        <v>285</v>
      </c>
      <c r="AB172">
        <v>42</v>
      </c>
    </row>
    <row r="173" spans="1:28" x14ac:dyDescent="0.2">
      <c r="A173">
        <v>226</v>
      </c>
      <c r="B173" s="2" t="s">
        <v>364</v>
      </c>
      <c r="C173" t="s">
        <v>427</v>
      </c>
      <c r="D173" t="s">
        <v>409</v>
      </c>
      <c r="E173">
        <v>5246</v>
      </c>
      <c r="F173">
        <v>56</v>
      </c>
      <c r="G173">
        <v>313</v>
      </c>
      <c r="H173">
        <v>36</v>
      </c>
      <c r="U173">
        <v>226</v>
      </c>
      <c r="V173" t="s">
        <v>364</v>
      </c>
      <c r="W173" t="s">
        <v>427</v>
      </c>
      <c r="X173" t="s">
        <v>409</v>
      </c>
      <c r="Y173">
        <v>4522</v>
      </c>
      <c r="Z173">
        <v>36</v>
      </c>
      <c r="AA173">
        <v>276</v>
      </c>
      <c r="AB173">
        <v>36</v>
      </c>
    </row>
    <row r="174" spans="1:28" x14ac:dyDescent="0.2">
      <c r="A174">
        <v>227</v>
      </c>
      <c r="B174" s="2" t="s">
        <v>365</v>
      </c>
      <c r="C174" t="s">
        <v>427</v>
      </c>
      <c r="D174" t="s">
        <v>409</v>
      </c>
      <c r="E174">
        <v>5468</v>
      </c>
      <c r="F174">
        <v>56</v>
      </c>
      <c r="G174">
        <v>311</v>
      </c>
      <c r="H174">
        <v>36</v>
      </c>
      <c r="U174">
        <v>227</v>
      </c>
      <c r="V174" t="s">
        <v>365</v>
      </c>
      <c r="W174" t="s">
        <v>427</v>
      </c>
      <c r="X174" t="s">
        <v>409</v>
      </c>
      <c r="Y174">
        <v>4714</v>
      </c>
      <c r="Z174">
        <v>36</v>
      </c>
      <c r="AA174">
        <v>274</v>
      </c>
      <c r="AB174">
        <v>36</v>
      </c>
    </row>
    <row r="175" spans="1:28" x14ac:dyDescent="0.2">
      <c r="A175">
        <v>228</v>
      </c>
      <c r="B175" s="2" t="s">
        <v>366</v>
      </c>
      <c r="C175" t="s">
        <v>427</v>
      </c>
      <c r="D175" t="s">
        <v>409</v>
      </c>
      <c r="E175">
        <v>6729</v>
      </c>
      <c r="F175">
        <v>56</v>
      </c>
      <c r="G175">
        <v>349</v>
      </c>
      <c r="H175">
        <v>49</v>
      </c>
      <c r="U175">
        <v>228</v>
      </c>
      <c r="V175" t="s">
        <v>366</v>
      </c>
      <c r="W175" t="s">
        <v>427</v>
      </c>
      <c r="X175" t="s">
        <v>409</v>
      </c>
      <c r="Y175">
        <v>5954</v>
      </c>
      <c r="Z175">
        <v>36</v>
      </c>
      <c r="AA175">
        <v>310</v>
      </c>
      <c r="AB175">
        <v>49</v>
      </c>
    </row>
    <row r="176" spans="1:28" x14ac:dyDescent="0.2">
      <c r="A176">
        <v>229</v>
      </c>
      <c r="B176" t="s">
        <v>335</v>
      </c>
      <c r="C176" t="s">
        <v>427</v>
      </c>
      <c r="D176" t="s">
        <v>409</v>
      </c>
      <c r="E176">
        <v>7193</v>
      </c>
      <c r="F176">
        <v>57</v>
      </c>
      <c r="G176">
        <v>323</v>
      </c>
      <c r="H176">
        <v>73</v>
      </c>
      <c r="U176">
        <v>229</v>
      </c>
      <c r="V176" t="s">
        <v>335</v>
      </c>
      <c r="W176" t="s">
        <v>427</v>
      </c>
      <c r="X176" t="s">
        <v>409</v>
      </c>
      <c r="Y176">
        <v>6365</v>
      </c>
      <c r="Z176">
        <v>36</v>
      </c>
      <c r="AA176">
        <v>285</v>
      </c>
      <c r="AB176">
        <v>73</v>
      </c>
    </row>
    <row r="177" spans="1:30" x14ac:dyDescent="0.2">
      <c r="A177">
        <v>230</v>
      </c>
      <c r="B177" s="2" t="s">
        <v>367</v>
      </c>
      <c r="C177" t="s">
        <v>427</v>
      </c>
      <c r="D177" t="s">
        <v>410</v>
      </c>
      <c r="E177">
        <v>7310</v>
      </c>
      <c r="F177">
        <v>54</v>
      </c>
      <c r="G177">
        <v>319</v>
      </c>
      <c r="H177">
        <v>36</v>
      </c>
      <c r="U177">
        <v>230</v>
      </c>
      <c r="V177" t="s">
        <v>367</v>
      </c>
      <c r="W177" t="s">
        <v>427</v>
      </c>
      <c r="X177" t="s">
        <v>410</v>
      </c>
      <c r="Y177">
        <v>6412</v>
      </c>
      <c r="Z177">
        <v>34</v>
      </c>
      <c r="AA177">
        <v>281</v>
      </c>
      <c r="AB177">
        <v>36</v>
      </c>
    </row>
    <row r="178" spans="1:30" x14ac:dyDescent="0.2">
      <c r="A178">
        <v>232</v>
      </c>
      <c r="B178" t="s">
        <v>275</v>
      </c>
      <c r="C178" t="s">
        <v>428</v>
      </c>
      <c r="D178" t="s">
        <v>408</v>
      </c>
      <c r="E178">
        <v>4125</v>
      </c>
      <c r="F178">
        <v>45</v>
      </c>
      <c r="G178">
        <v>160</v>
      </c>
      <c r="H178">
        <v>58</v>
      </c>
      <c r="U178">
        <v>232</v>
      </c>
      <c r="V178" t="s">
        <v>275</v>
      </c>
      <c r="W178" t="s">
        <v>428</v>
      </c>
      <c r="X178" t="s">
        <v>408</v>
      </c>
      <c r="Y178">
        <v>3525</v>
      </c>
      <c r="Z178">
        <v>20</v>
      </c>
      <c r="AA178">
        <v>139</v>
      </c>
      <c r="AB178">
        <v>58</v>
      </c>
    </row>
    <row r="179" spans="1:30" x14ac:dyDescent="0.2">
      <c r="A179">
        <v>233</v>
      </c>
      <c r="B179" t="s">
        <v>142</v>
      </c>
      <c r="C179" t="s">
        <v>401</v>
      </c>
      <c r="D179" t="s">
        <v>408</v>
      </c>
      <c r="E179">
        <v>2053</v>
      </c>
      <c r="F179">
        <v>148</v>
      </c>
      <c r="G179">
        <v>154</v>
      </c>
      <c r="H179">
        <v>40</v>
      </c>
      <c r="J179">
        <v>0.4</v>
      </c>
      <c r="U179">
        <v>233</v>
      </c>
      <c r="V179" t="s">
        <v>142</v>
      </c>
      <c r="W179" t="s">
        <v>401</v>
      </c>
      <c r="X179" t="s">
        <v>408</v>
      </c>
      <c r="Y179">
        <v>1725</v>
      </c>
      <c r="Z179">
        <v>143</v>
      </c>
      <c r="AA179">
        <v>134</v>
      </c>
      <c r="AB179">
        <v>40</v>
      </c>
      <c r="AD179">
        <v>0.4</v>
      </c>
    </row>
    <row r="180" spans="1:30" x14ac:dyDescent="0.2">
      <c r="A180">
        <v>236</v>
      </c>
      <c r="B180" t="s">
        <v>143</v>
      </c>
      <c r="C180" t="s">
        <v>401</v>
      </c>
      <c r="D180" t="s">
        <v>408</v>
      </c>
      <c r="E180">
        <v>2125</v>
      </c>
      <c r="F180">
        <v>157</v>
      </c>
      <c r="G180">
        <v>150</v>
      </c>
      <c r="H180">
        <v>65</v>
      </c>
      <c r="U180">
        <v>236</v>
      </c>
      <c r="V180" t="s">
        <v>143</v>
      </c>
      <c r="W180" t="s">
        <v>401</v>
      </c>
      <c r="X180" t="s">
        <v>408</v>
      </c>
      <c r="Y180">
        <v>1786</v>
      </c>
      <c r="Z180">
        <v>152</v>
      </c>
      <c r="AA180">
        <v>131</v>
      </c>
      <c r="AB180">
        <v>65</v>
      </c>
    </row>
    <row r="181" spans="1:30" x14ac:dyDescent="0.2">
      <c r="A181">
        <v>237</v>
      </c>
      <c r="B181" t="s">
        <v>145</v>
      </c>
      <c r="C181" t="s">
        <v>401</v>
      </c>
      <c r="D181" t="s">
        <v>408</v>
      </c>
      <c r="E181">
        <v>2116</v>
      </c>
      <c r="F181">
        <v>156</v>
      </c>
      <c r="G181">
        <v>154</v>
      </c>
      <c r="H181">
        <v>72</v>
      </c>
      <c r="U181">
        <v>237</v>
      </c>
      <c r="V181" t="s">
        <v>145</v>
      </c>
      <c r="W181" t="s">
        <v>401</v>
      </c>
      <c r="X181" t="s">
        <v>408</v>
      </c>
      <c r="Y181">
        <v>1778</v>
      </c>
      <c r="Z181">
        <v>150</v>
      </c>
      <c r="AA181">
        <v>134</v>
      </c>
      <c r="AB181">
        <v>72</v>
      </c>
    </row>
    <row r="182" spans="1:30" x14ac:dyDescent="0.2">
      <c r="A182">
        <v>238</v>
      </c>
      <c r="B182" t="s">
        <v>276</v>
      </c>
      <c r="C182" t="s">
        <v>400</v>
      </c>
      <c r="D182" t="s">
        <v>408</v>
      </c>
      <c r="E182">
        <v>3372</v>
      </c>
      <c r="F182">
        <v>100</v>
      </c>
      <c r="G182">
        <v>333</v>
      </c>
      <c r="H182">
        <v>42</v>
      </c>
      <c r="U182">
        <v>238</v>
      </c>
      <c r="V182" t="s">
        <v>146</v>
      </c>
      <c r="W182" t="s">
        <v>400</v>
      </c>
      <c r="X182" t="s">
        <v>408</v>
      </c>
      <c r="Y182">
        <v>2989</v>
      </c>
      <c r="Z182">
        <v>76</v>
      </c>
      <c r="AA182">
        <v>295</v>
      </c>
      <c r="AB182">
        <v>42</v>
      </c>
    </row>
    <row r="183" spans="1:30" x14ac:dyDescent="0.2">
      <c r="A183">
        <v>239</v>
      </c>
      <c r="B183" t="s">
        <v>147</v>
      </c>
      <c r="C183" t="s">
        <v>400</v>
      </c>
      <c r="D183" t="s">
        <v>408</v>
      </c>
      <c r="E183">
        <v>3372</v>
      </c>
      <c r="F183">
        <v>100</v>
      </c>
      <c r="G183">
        <v>333</v>
      </c>
      <c r="H183">
        <v>39</v>
      </c>
      <c r="U183">
        <v>239</v>
      </c>
      <c r="V183" t="s">
        <v>147</v>
      </c>
      <c r="W183" t="s">
        <v>400</v>
      </c>
      <c r="X183" t="s">
        <v>408</v>
      </c>
      <c r="Y183">
        <v>2989</v>
      </c>
      <c r="Z183">
        <v>76</v>
      </c>
      <c r="AA183">
        <v>295</v>
      </c>
      <c r="AB183">
        <v>39</v>
      </c>
    </row>
    <row r="184" spans="1:30" x14ac:dyDescent="0.2">
      <c r="A184">
        <v>240</v>
      </c>
      <c r="B184" s="2" t="s">
        <v>368</v>
      </c>
      <c r="C184" t="s">
        <v>400</v>
      </c>
      <c r="D184" t="s">
        <v>408</v>
      </c>
      <c r="E184">
        <v>3372</v>
      </c>
      <c r="F184">
        <v>100</v>
      </c>
      <c r="G184">
        <v>333</v>
      </c>
      <c r="H184">
        <v>62</v>
      </c>
      <c r="U184">
        <v>240</v>
      </c>
      <c r="V184" t="s">
        <v>149</v>
      </c>
      <c r="W184" t="s">
        <v>400</v>
      </c>
      <c r="X184" t="s">
        <v>408</v>
      </c>
      <c r="Y184">
        <v>2989</v>
      </c>
      <c r="Z184">
        <v>76</v>
      </c>
      <c r="AA184">
        <v>295</v>
      </c>
      <c r="AB184">
        <v>62</v>
      </c>
    </row>
    <row r="185" spans="1:30" x14ac:dyDescent="0.2">
      <c r="A185">
        <v>241</v>
      </c>
      <c r="B185" t="s">
        <v>150</v>
      </c>
      <c r="C185" t="s">
        <v>400</v>
      </c>
      <c r="D185" t="s">
        <v>408</v>
      </c>
      <c r="E185">
        <v>3494</v>
      </c>
      <c r="F185">
        <v>102</v>
      </c>
      <c r="G185">
        <v>347</v>
      </c>
      <c r="H185">
        <v>67</v>
      </c>
      <c r="U185">
        <v>241</v>
      </c>
      <c r="V185" t="s">
        <v>150</v>
      </c>
      <c r="W185" t="s">
        <v>400</v>
      </c>
      <c r="X185" t="s">
        <v>408</v>
      </c>
      <c r="Y185">
        <v>3106</v>
      </c>
      <c r="Z185">
        <v>76</v>
      </c>
      <c r="AA185">
        <v>308</v>
      </c>
      <c r="AB185">
        <v>67</v>
      </c>
    </row>
    <row r="186" spans="1:30" x14ac:dyDescent="0.2">
      <c r="A186">
        <v>242</v>
      </c>
      <c r="B186" t="s">
        <v>151</v>
      </c>
      <c r="C186" t="s">
        <v>413</v>
      </c>
      <c r="D186" t="s">
        <v>409</v>
      </c>
      <c r="E186">
        <v>4970</v>
      </c>
      <c r="F186">
        <v>61</v>
      </c>
      <c r="G186">
        <v>189</v>
      </c>
      <c r="H186">
        <v>66</v>
      </c>
      <c r="U186">
        <v>242</v>
      </c>
      <c r="V186" t="s">
        <v>151</v>
      </c>
      <c r="W186" t="s">
        <v>413</v>
      </c>
      <c r="X186" t="s">
        <v>409</v>
      </c>
      <c r="Y186">
        <v>4518</v>
      </c>
      <c r="Z186">
        <v>23</v>
      </c>
      <c r="AA186">
        <v>164</v>
      </c>
      <c r="AB186">
        <v>66</v>
      </c>
    </row>
    <row r="187" spans="1:30" x14ac:dyDescent="0.2">
      <c r="A187">
        <v>244</v>
      </c>
      <c r="B187" t="s">
        <v>152</v>
      </c>
      <c r="C187" t="s">
        <v>413</v>
      </c>
      <c r="D187" t="s">
        <v>409</v>
      </c>
      <c r="E187">
        <v>6252</v>
      </c>
      <c r="F187">
        <v>62</v>
      </c>
      <c r="G187">
        <v>205</v>
      </c>
      <c r="H187">
        <v>78</v>
      </c>
      <c r="U187">
        <v>244</v>
      </c>
      <c r="V187" t="s">
        <v>152</v>
      </c>
      <c r="W187" t="s">
        <v>413</v>
      </c>
      <c r="X187" t="s">
        <v>409</v>
      </c>
      <c r="Y187">
        <v>5683</v>
      </c>
      <c r="Z187">
        <v>24</v>
      </c>
      <c r="AA187">
        <v>178</v>
      </c>
      <c r="AB187">
        <v>78</v>
      </c>
    </row>
    <row r="188" spans="1:30" x14ac:dyDescent="0.2">
      <c r="A188">
        <v>245</v>
      </c>
      <c r="B188" t="s">
        <v>153</v>
      </c>
      <c r="C188" t="s">
        <v>413</v>
      </c>
      <c r="D188" t="s">
        <v>409</v>
      </c>
      <c r="E188">
        <v>4018</v>
      </c>
      <c r="F188">
        <v>53</v>
      </c>
      <c r="G188">
        <v>154</v>
      </c>
      <c r="H188">
        <v>72</v>
      </c>
      <c r="U188">
        <v>245</v>
      </c>
      <c r="V188" t="s">
        <v>153</v>
      </c>
      <c r="W188" t="s">
        <v>413</v>
      </c>
      <c r="X188" t="s">
        <v>409</v>
      </c>
      <c r="Y188">
        <v>3571</v>
      </c>
      <c r="Z188">
        <v>18</v>
      </c>
      <c r="AA188">
        <v>134</v>
      </c>
      <c r="AB188">
        <v>72</v>
      </c>
    </row>
    <row r="189" spans="1:30" x14ac:dyDescent="0.2">
      <c r="A189">
        <v>246</v>
      </c>
      <c r="B189" s="2" t="s">
        <v>154</v>
      </c>
      <c r="C189" t="s">
        <v>413</v>
      </c>
      <c r="D189" t="s">
        <v>409</v>
      </c>
      <c r="E189">
        <v>4361</v>
      </c>
      <c r="F189">
        <v>54</v>
      </c>
      <c r="G189">
        <v>154</v>
      </c>
      <c r="H189">
        <v>36</v>
      </c>
      <c r="U189">
        <v>246</v>
      </c>
      <c r="V189" t="s">
        <v>154</v>
      </c>
      <c r="W189" t="s">
        <v>413</v>
      </c>
      <c r="X189" t="s">
        <v>409</v>
      </c>
      <c r="Y189">
        <v>3877</v>
      </c>
      <c r="Z189">
        <v>18</v>
      </c>
      <c r="AA189">
        <v>134</v>
      </c>
      <c r="AB189">
        <v>36</v>
      </c>
    </row>
    <row r="190" spans="1:30" x14ac:dyDescent="0.2">
      <c r="A190">
        <v>248</v>
      </c>
      <c r="B190" s="2" t="s">
        <v>369</v>
      </c>
      <c r="C190" t="s">
        <v>429</v>
      </c>
      <c r="D190" t="s">
        <v>409</v>
      </c>
      <c r="E190">
        <v>7455</v>
      </c>
      <c r="F190">
        <v>38</v>
      </c>
      <c r="G190">
        <v>248</v>
      </c>
      <c r="H190">
        <v>43</v>
      </c>
      <c r="U190">
        <v>248</v>
      </c>
      <c r="V190" t="s">
        <v>369</v>
      </c>
      <c r="W190" t="s">
        <v>429</v>
      </c>
      <c r="X190" t="s">
        <v>409</v>
      </c>
      <c r="Y190">
        <v>6415</v>
      </c>
      <c r="Z190">
        <v>22</v>
      </c>
      <c r="AA190">
        <v>216</v>
      </c>
      <c r="AB190">
        <v>43</v>
      </c>
    </row>
    <row r="191" spans="1:30" x14ac:dyDescent="0.2">
      <c r="A191">
        <v>249</v>
      </c>
      <c r="B191" s="2" t="s">
        <v>370</v>
      </c>
      <c r="C191" t="s">
        <v>429</v>
      </c>
      <c r="D191" t="s">
        <v>409</v>
      </c>
      <c r="E191">
        <v>7455</v>
      </c>
      <c r="F191">
        <v>38</v>
      </c>
      <c r="G191">
        <v>248</v>
      </c>
      <c r="H191">
        <v>64</v>
      </c>
      <c r="U191">
        <v>249</v>
      </c>
      <c r="V191" t="s">
        <v>370</v>
      </c>
      <c r="W191" t="s">
        <v>429</v>
      </c>
      <c r="X191" t="s">
        <v>409</v>
      </c>
      <c r="Y191">
        <v>6415</v>
      </c>
      <c r="Z191">
        <v>22</v>
      </c>
      <c r="AA191">
        <v>216</v>
      </c>
      <c r="AB191">
        <v>64</v>
      </c>
    </row>
    <row r="192" spans="1:30" x14ac:dyDescent="0.2">
      <c r="A192">
        <v>250</v>
      </c>
      <c r="B192" s="2" t="s">
        <v>490</v>
      </c>
      <c r="C192" t="s">
        <v>414</v>
      </c>
      <c r="D192" t="s">
        <v>410</v>
      </c>
      <c r="E192">
        <v>8762</v>
      </c>
      <c r="F192">
        <v>33</v>
      </c>
      <c r="G192">
        <v>208</v>
      </c>
      <c r="H192">
        <v>32</v>
      </c>
      <c r="U192">
        <v>250</v>
      </c>
      <c r="V192" t="s">
        <v>490</v>
      </c>
      <c r="W192" t="s">
        <v>414</v>
      </c>
      <c r="X192" t="s">
        <v>410</v>
      </c>
      <c r="Y192">
        <v>7529</v>
      </c>
      <c r="Z192">
        <v>21</v>
      </c>
      <c r="AA192">
        <v>181</v>
      </c>
      <c r="AB192">
        <v>32</v>
      </c>
    </row>
    <row r="193" spans="1:30" x14ac:dyDescent="0.2">
      <c r="A193">
        <v>251</v>
      </c>
      <c r="B193" s="2" t="s">
        <v>371</v>
      </c>
      <c r="C193" t="s">
        <v>414</v>
      </c>
      <c r="D193" t="s">
        <v>410</v>
      </c>
      <c r="E193">
        <v>8401</v>
      </c>
      <c r="F193">
        <v>33</v>
      </c>
      <c r="G193">
        <v>208</v>
      </c>
      <c r="H193">
        <v>45</v>
      </c>
      <c r="U193">
        <v>251</v>
      </c>
      <c r="V193" t="s">
        <v>371</v>
      </c>
      <c r="W193" t="s">
        <v>414</v>
      </c>
      <c r="X193" t="s">
        <v>410</v>
      </c>
      <c r="Y193">
        <v>7637</v>
      </c>
      <c r="Z193">
        <v>21</v>
      </c>
      <c r="AA193">
        <v>181</v>
      </c>
      <c r="AB193">
        <v>45</v>
      </c>
    </row>
    <row r="194" spans="1:30" x14ac:dyDescent="0.2">
      <c r="A194">
        <v>252</v>
      </c>
      <c r="B194" t="s">
        <v>331</v>
      </c>
      <c r="C194" t="s">
        <v>427</v>
      </c>
      <c r="D194" t="s">
        <v>409</v>
      </c>
      <c r="E194">
        <v>7488</v>
      </c>
      <c r="F194">
        <v>50</v>
      </c>
      <c r="G194">
        <v>319</v>
      </c>
      <c r="H194">
        <v>45</v>
      </c>
      <c r="U194">
        <v>252</v>
      </c>
      <c r="V194" t="s">
        <v>331</v>
      </c>
      <c r="W194" t="s">
        <v>427</v>
      </c>
      <c r="X194" t="s">
        <v>409</v>
      </c>
      <c r="Y194">
        <v>6808</v>
      </c>
      <c r="Z194">
        <v>36</v>
      </c>
      <c r="AA194">
        <v>281</v>
      </c>
      <c r="AB194">
        <v>45</v>
      </c>
    </row>
    <row r="195" spans="1:30" x14ac:dyDescent="0.2">
      <c r="A195">
        <v>253</v>
      </c>
      <c r="B195" s="2" t="s">
        <v>155</v>
      </c>
      <c r="C195" t="s">
        <v>401</v>
      </c>
      <c r="D195" t="s">
        <v>408</v>
      </c>
      <c r="E195">
        <v>2277</v>
      </c>
      <c r="F195">
        <v>165</v>
      </c>
      <c r="G195">
        <v>172</v>
      </c>
      <c r="H195">
        <v>81</v>
      </c>
      <c r="J195">
        <v>0.1</v>
      </c>
      <c r="U195">
        <v>253</v>
      </c>
      <c r="V195" t="s">
        <v>155</v>
      </c>
      <c r="W195" t="s">
        <v>401</v>
      </c>
      <c r="X195" t="s">
        <v>408</v>
      </c>
      <c r="Y195">
        <v>1897</v>
      </c>
      <c r="Z195">
        <v>159</v>
      </c>
      <c r="AA195">
        <v>149</v>
      </c>
      <c r="AB195">
        <v>81</v>
      </c>
      <c r="AD195">
        <v>0.1</v>
      </c>
    </row>
    <row r="196" spans="1:30" x14ac:dyDescent="0.2">
      <c r="A196">
        <v>254</v>
      </c>
      <c r="B196" s="2" t="s">
        <v>156</v>
      </c>
      <c r="C196" t="s">
        <v>401</v>
      </c>
      <c r="D196" t="s">
        <v>408</v>
      </c>
      <c r="E196">
        <v>2277</v>
      </c>
      <c r="F196">
        <v>165</v>
      </c>
      <c r="G196">
        <v>174</v>
      </c>
      <c r="H196">
        <v>51</v>
      </c>
      <c r="U196">
        <v>254</v>
      </c>
      <c r="V196" t="s">
        <v>156</v>
      </c>
      <c r="W196" t="s">
        <v>401</v>
      </c>
      <c r="X196" t="s">
        <v>408</v>
      </c>
      <c r="Y196">
        <v>1897</v>
      </c>
      <c r="Z196">
        <v>159</v>
      </c>
      <c r="AA196">
        <v>151</v>
      </c>
      <c r="AB196">
        <v>51</v>
      </c>
    </row>
    <row r="197" spans="1:30" x14ac:dyDescent="0.2">
      <c r="A197">
        <v>255</v>
      </c>
      <c r="B197" s="2" t="s">
        <v>157</v>
      </c>
      <c r="C197" t="s">
        <v>401</v>
      </c>
      <c r="D197" t="s">
        <v>408</v>
      </c>
      <c r="E197">
        <v>2277</v>
      </c>
      <c r="F197">
        <v>165</v>
      </c>
      <c r="G197">
        <v>172</v>
      </c>
      <c r="H197">
        <v>61</v>
      </c>
      <c r="U197">
        <v>255</v>
      </c>
      <c r="V197" t="s">
        <v>157</v>
      </c>
      <c r="W197" t="s">
        <v>401</v>
      </c>
      <c r="X197" t="s">
        <v>408</v>
      </c>
      <c r="Y197">
        <v>1897</v>
      </c>
      <c r="Z197">
        <v>159</v>
      </c>
      <c r="AA197">
        <v>149</v>
      </c>
      <c r="AB197">
        <v>61</v>
      </c>
    </row>
    <row r="198" spans="1:30" x14ac:dyDescent="0.2">
      <c r="A198">
        <v>256</v>
      </c>
      <c r="B198" s="2" t="s">
        <v>158</v>
      </c>
      <c r="C198" t="s">
        <v>401</v>
      </c>
      <c r="D198" t="s">
        <v>408</v>
      </c>
      <c r="E198">
        <v>2277</v>
      </c>
      <c r="F198">
        <v>165</v>
      </c>
      <c r="G198">
        <v>174</v>
      </c>
      <c r="H198">
        <v>71</v>
      </c>
      <c r="U198">
        <v>256</v>
      </c>
      <c r="V198" t="s">
        <v>158</v>
      </c>
      <c r="W198" t="s">
        <v>401</v>
      </c>
      <c r="X198" t="s">
        <v>408</v>
      </c>
      <c r="Y198">
        <v>1897</v>
      </c>
      <c r="Z198">
        <v>159</v>
      </c>
      <c r="AA198">
        <v>151</v>
      </c>
      <c r="AB198">
        <v>71</v>
      </c>
    </row>
    <row r="199" spans="1:30" x14ac:dyDescent="0.2">
      <c r="A199">
        <v>257</v>
      </c>
      <c r="B199" s="2" t="s">
        <v>159</v>
      </c>
      <c r="C199" t="s">
        <v>400</v>
      </c>
      <c r="D199" t="s">
        <v>408</v>
      </c>
      <c r="E199">
        <v>1884</v>
      </c>
      <c r="F199">
        <v>79</v>
      </c>
      <c r="G199">
        <v>347</v>
      </c>
      <c r="H199">
        <v>64</v>
      </c>
      <c r="U199">
        <v>257</v>
      </c>
      <c r="V199" t="s">
        <v>159</v>
      </c>
      <c r="W199" t="s">
        <v>400</v>
      </c>
      <c r="X199" t="s">
        <v>408</v>
      </c>
      <c r="Y199">
        <v>1698</v>
      </c>
      <c r="Z199">
        <v>62</v>
      </c>
      <c r="AA199">
        <v>307</v>
      </c>
      <c r="AB199">
        <v>64</v>
      </c>
    </row>
    <row r="200" spans="1:30" x14ac:dyDescent="0.2">
      <c r="A200">
        <v>258</v>
      </c>
      <c r="B200" s="2" t="s">
        <v>160</v>
      </c>
      <c r="C200" t="s">
        <v>400</v>
      </c>
      <c r="D200" t="s">
        <v>408</v>
      </c>
      <c r="E200">
        <v>1982</v>
      </c>
      <c r="F200">
        <v>75</v>
      </c>
      <c r="G200">
        <v>289</v>
      </c>
      <c r="H200">
        <v>51</v>
      </c>
      <c r="U200">
        <v>258</v>
      </c>
      <c r="V200" t="s">
        <v>160</v>
      </c>
      <c r="W200" t="s">
        <v>400</v>
      </c>
      <c r="X200" t="s">
        <v>408</v>
      </c>
      <c r="Y200">
        <v>1786</v>
      </c>
      <c r="Z200">
        <v>67</v>
      </c>
      <c r="AA200">
        <v>254</v>
      </c>
      <c r="AB200">
        <v>51</v>
      </c>
    </row>
    <row r="201" spans="1:30" x14ac:dyDescent="0.2">
      <c r="A201">
        <v>259</v>
      </c>
      <c r="B201" s="2" t="s">
        <v>162</v>
      </c>
      <c r="C201" t="s">
        <v>400</v>
      </c>
      <c r="D201" t="s">
        <v>408</v>
      </c>
      <c r="E201">
        <v>1950</v>
      </c>
      <c r="F201">
        <v>72</v>
      </c>
      <c r="G201">
        <v>257</v>
      </c>
      <c r="H201">
        <v>47</v>
      </c>
      <c r="U201">
        <v>259</v>
      </c>
      <c r="V201" t="s">
        <v>162</v>
      </c>
      <c r="W201" t="s">
        <v>400</v>
      </c>
      <c r="X201" t="s">
        <v>408</v>
      </c>
      <c r="Y201">
        <v>1757</v>
      </c>
      <c r="Z201">
        <v>64</v>
      </c>
      <c r="AA201">
        <v>224</v>
      </c>
      <c r="AB201">
        <v>47</v>
      </c>
    </row>
    <row r="202" spans="1:30" x14ac:dyDescent="0.2">
      <c r="A202">
        <v>262</v>
      </c>
      <c r="B202" s="2" t="s">
        <v>164</v>
      </c>
      <c r="C202" t="s">
        <v>400</v>
      </c>
      <c r="D202" t="s">
        <v>409</v>
      </c>
      <c r="E202">
        <v>3372</v>
      </c>
      <c r="F202">
        <v>79</v>
      </c>
      <c r="G202">
        <v>160</v>
      </c>
      <c r="H202">
        <v>55</v>
      </c>
      <c r="U202">
        <v>262</v>
      </c>
      <c r="V202" t="s">
        <v>164</v>
      </c>
      <c r="W202" t="s">
        <v>400</v>
      </c>
      <c r="X202" t="s">
        <v>409</v>
      </c>
      <c r="Y202">
        <v>3024</v>
      </c>
      <c r="Z202">
        <v>62</v>
      </c>
      <c r="AA202">
        <v>139</v>
      </c>
      <c r="AB202">
        <v>55</v>
      </c>
    </row>
    <row r="203" spans="1:30" x14ac:dyDescent="0.2">
      <c r="A203">
        <v>263</v>
      </c>
      <c r="B203" t="s">
        <v>165</v>
      </c>
      <c r="C203" t="s">
        <v>401</v>
      </c>
      <c r="D203" t="s">
        <v>408</v>
      </c>
      <c r="E203">
        <v>1826</v>
      </c>
      <c r="F203">
        <v>162</v>
      </c>
      <c r="G203">
        <v>172</v>
      </c>
      <c r="H203">
        <v>70</v>
      </c>
      <c r="U203">
        <v>263</v>
      </c>
      <c r="V203" t="s">
        <v>165</v>
      </c>
      <c r="W203" t="s">
        <v>401</v>
      </c>
      <c r="X203" t="s">
        <v>408</v>
      </c>
      <c r="Y203">
        <v>1521</v>
      </c>
      <c r="Z203">
        <v>156</v>
      </c>
      <c r="AA203">
        <v>149</v>
      </c>
      <c r="AB203">
        <v>70</v>
      </c>
    </row>
    <row r="204" spans="1:30" x14ac:dyDescent="0.2">
      <c r="A204">
        <v>264</v>
      </c>
      <c r="B204" t="s">
        <v>167</v>
      </c>
      <c r="C204" t="s">
        <v>401</v>
      </c>
      <c r="D204" t="s">
        <v>408</v>
      </c>
      <c r="E204">
        <v>2033</v>
      </c>
      <c r="F204">
        <v>148</v>
      </c>
      <c r="G204">
        <v>149</v>
      </c>
      <c r="H204">
        <v>39</v>
      </c>
      <c r="U204">
        <v>264</v>
      </c>
      <c r="V204" t="s">
        <v>167</v>
      </c>
      <c r="W204" t="s">
        <v>401</v>
      </c>
      <c r="X204" t="s">
        <v>408</v>
      </c>
      <c r="Y204">
        <v>1708</v>
      </c>
      <c r="Z204">
        <v>143</v>
      </c>
      <c r="AA204">
        <v>129</v>
      </c>
      <c r="AB204">
        <v>39</v>
      </c>
    </row>
    <row r="205" spans="1:30" x14ac:dyDescent="0.2">
      <c r="A205">
        <v>265</v>
      </c>
      <c r="B205" s="2" t="s">
        <v>168</v>
      </c>
      <c r="C205" t="s">
        <v>401</v>
      </c>
      <c r="D205" t="s">
        <v>408</v>
      </c>
      <c r="E205">
        <v>1993</v>
      </c>
      <c r="F205">
        <v>148</v>
      </c>
      <c r="G205">
        <v>145</v>
      </c>
      <c r="H205">
        <v>71</v>
      </c>
      <c r="U205">
        <v>265</v>
      </c>
      <c r="V205" t="s">
        <v>168</v>
      </c>
      <c r="W205" t="s">
        <v>401</v>
      </c>
      <c r="X205" t="s">
        <v>408</v>
      </c>
      <c r="Y205">
        <v>1675</v>
      </c>
      <c r="Z205">
        <v>143</v>
      </c>
      <c r="AA205">
        <v>126</v>
      </c>
      <c r="AB205">
        <v>71</v>
      </c>
    </row>
    <row r="206" spans="1:30" x14ac:dyDescent="0.2">
      <c r="A206">
        <v>266</v>
      </c>
      <c r="B206" t="s">
        <v>169</v>
      </c>
      <c r="C206" t="s">
        <v>401</v>
      </c>
      <c r="D206" t="s">
        <v>408</v>
      </c>
      <c r="E206">
        <v>1993</v>
      </c>
      <c r="F206">
        <v>148</v>
      </c>
      <c r="G206">
        <v>145</v>
      </c>
      <c r="H206">
        <v>42</v>
      </c>
      <c r="U206">
        <v>266</v>
      </c>
      <c r="V206" t="s">
        <v>169</v>
      </c>
      <c r="W206" t="s">
        <v>401</v>
      </c>
      <c r="X206" t="s">
        <v>408</v>
      </c>
      <c r="Y206">
        <v>1675</v>
      </c>
      <c r="Z206">
        <v>143</v>
      </c>
      <c r="AA206">
        <v>126</v>
      </c>
      <c r="AB206">
        <v>42</v>
      </c>
    </row>
    <row r="207" spans="1:30" x14ac:dyDescent="0.2">
      <c r="A207">
        <v>267</v>
      </c>
      <c r="B207" s="2" t="s">
        <v>170</v>
      </c>
      <c r="C207" t="s">
        <v>401</v>
      </c>
      <c r="D207" t="s">
        <v>408</v>
      </c>
      <c r="E207">
        <v>2595</v>
      </c>
      <c r="F207">
        <v>151</v>
      </c>
      <c r="G207">
        <v>255</v>
      </c>
      <c r="H207">
        <v>63</v>
      </c>
      <c r="U207">
        <v>267</v>
      </c>
      <c r="V207" t="s">
        <v>170</v>
      </c>
      <c r="W207" t="s">
        <v>401</v>
      </c>
      <c r="X207" t="s">
        <v>408</v>
      </c>
      <c r="Y207">
        <v>2237</v>
      </c>
      <c r="Z207">
        <v>146</v>
      </c>
      <c r="AA207">
        <v>222</v>
      </c>
      <c r="AB207">
        <v>63</v>
      </c>
    </row>
    <row r="208" spans="1:30" x14ac:dyDescent="0.2">
      <c r="A208">
        <v>269</v>
      </c>
      <c r="B208" t="s">
        <v>171</v>
      </c>
      <c r="C208" t="s">
        <v>401</v>
      </c>
      <c r="D208" t="s">
        <v>408</v>
      </c>
      <c r="E208">
        <v>1561</v>
      </c>
      <c r="F208">
        <v>193</v>
      </c>
      <c r="G208">
        <v>139</v>
      </c>
      <c r="H208">
        <v>86</v>
      </c>
      <c r="U208">
        <v>269</v>
      </c>
      <c r="V208" t="s">
        <v>171</v>
      </c>
      <c r="W208" t="s">
        <v>401</v>
      </c>
      <c r="X208" t="s">
        <v>408</v>
      </c>
      <c r="Y208">
        <v>1301</v>
      </c>
      <c r="Z208">
        <v>187</v>
      </c>
      <c r="AA208">
        <v>121</v>
      </c>
      <c r="AB208">
        <v>86</v>
      </c>
    </row>
    <row r="209" spans="1:28" x14ac:dyDescent="0.2">
      <c r="A209">
        <v>270</v>
      </c>
      <c r="B209" t="s">
        <v>173</v>
      </c>
      <c r="C209" t="s">
        <v>401</v>
      </c>
      <c r="D209" t="s">
        <v>408</v>
      </c>
      <c r="E209">
        <v>1561</v>
      </c>
      <c r="F209">
        <v>190</v>
      </c>
      <c r="G209">
        <v>130</v>
      </c>
      <c r="H209">
        <v>45</v>
      </c>
      <c r="U209">
        <v>270</v>
      </c>
      <c r="V209" t="s">
        <v>173</v>
      </c>
      <c r="W209" t="s">
        <v>401</v>
      </c>
      <c r="X209" t="s">
        <v>408</v>
      </c>
      <c r="Y209">
        <v>1301</v>
      </c>
      <c r="Z209">
        <v>184</v>
      </c>
      <c r="AA209">
        <v>113</v>
      </c>
      <c r="AB209">
        <v>45</v>
      </c>
    </row>
    <row r="210" spans="1:28" x14ac:dyDescent="0.2">
      <c r="A210">
        <v>271</v>
      </c>
      <c r="B210" t="s">
        <v>175</v>
      </c>
      <c r="C210" t="s">
        <v>401</v>
      </c>
      <c r="D210" t="s">
        <v>408</v>
      </c>
      <c r="E210">
        <v>1487</v>
      </c>
      <c r="F210">
        <v>193</v>
      </c>
      <c r="G210">
        <v>138</v>
      </c>
      <c r="H210">
        <v>35</v>
      </c>
      <c r="U210">
        <v>271</v>
      </c>
      <c r="V210" t="s">
        <v>175</v>
      </c>
      <c r="W210" t="s">
        <v>401</v>
      </c>
      <c r="X210" t="s">
        <v>408</v>
      </c>
      <c r="Y210">
        <v>1239</v>
      </c>
      <c r="Z210">
        <v>187</v>
      </c>
      <c r="AA210">
        <v>120</v>
      </c>
      <c r="AB210">
        <v>35</v>
      </c>
    </row>
    <row r="211" spans="1:28" x14ac:dyDescent="0.2">
      <c r="A211">
        <v>272</v>
      </c>
      <c r="B211" t="s">
        <v>177</v>
      </c>
      <c r="C211" t="s">
        <v>401</v>
      </c>
      <c r="D211" t="s">
        <v>408</v>
      </c>
      <c r="E211">
        <v>1487</v>
      </c>
      <c r="F211">
        <v>193</v>
      </c>
      <c r="G211">
        <v>138</v>
      </c>
      <c r="H211">
        <v>15</v>
      </c>
      <c r="U211">
        <v>272</v>
      </c>
      <c r="V211" t="s">
        <v>177</v>
      </c>
      <c r="W211" t="s">
        <v>401</v>
      </c>
      <c r="X211" t="s">
        <v>408</v>
      </c>
      <c r="Y211">
        <v>1239</v>
      </c>
      <c r="Z211">
        <v>187</v>
      </c>
      <c r="AA211">
        <v>120</v>
      </c>
      <c r="AB211">
        <v>15</v>
      </c>
    </row>
    <row r="212" spans="1:28" x14ac:dyDescent="0.2">
      <c r="A212">
        <v>274</v>
      </c>
      <c r="B212" t="s">
        <v>178</v>
      </c>
      <c r="C212" t="s">
        <v>401</v>
      </c>
      <c r="D212" t="s">
        <v>408</v>
      </c>
      <c r="E212">
        <v>1487</v>
      </c>
      <c r="F212">
        <v>193</v>
      </c>
      <c r="G212">
        <v>138</v>
      </c>
      <c r="H212">
        <v>37</v>
      </c>
      <c r="U212">
        <v>274</v>
      </c>
      <c r="V212" t="s">
        <v>178</v>
      </c>
      <c r="W212" t="s">
        <v>401</v>
      </c>
      <c r="X212" t="s">
        <v>408</v>
      </c>
      <c r="Y212">
        <v>1239</v>
      </c>
      <c r="Z212">
        <v>187</v>
      </c>
      <c r="AA212">
        <v>120</v>
      </c>
      <c r="AB212">
        <v>37</v>
      </c>
    </row>
    <row r="213" spans="1:28" x14ac:dyDescent="0.2">
      <c r="A213">
        <v>276</v>
      </c>
      <c r="B213" s="2" t="s">
        <v>179</v>
      </c>
      <c r="C213" t="s">
        <v>401</v>
      </c>
      <c r="D213" t="s">
        <v>408</v>
      </c>
      <c r="E213">
        <v>1487</v>
      </c>
      <c r="F213">
        <v>193</v>
      </c>
      <c r="G213">
        <v>138</v>
      </c>
      <c r="H213">
        <v>45</v>
      </c>
      <c r="U213">
        <v>276</v>
      </c>
      <c r="V213" t="s">
        <v>179</v>
      </c>
      <c r="W213" t="s">
        <v>401</v>
      </c>
      <c r="X213" t="s">
        <v>408</v>
      </c>
      <c r="Y213">
        <v>1239</v>
      </c>
      <c r="Z213">
        <v>187</v>
      </c>
      <c r="AA213">
        <v>120</v>
      </c>
      <c r="AB213">
        <v>45</v>
      </c>
    </row>
    <row r="214" spans="1:28" x14ac:dyDescent="0.2">
      <c r="A214">
        <v>277</v>
      </c>
      <c r="B214" s="2" t="s">
        <v>180</v>
      </c>
      <c r="C214" t="s">
        <v>401</v>
      </c>
      <c r="D214" t="s">
        <v>408</v>
      </c>
      <c r="E214">
        <v>1516</v>
      </c>
      <c r="F214">
        <v>193</v>
      </c>
      <c r="G214">
        <v>128</v>
      </c>
      <c r="H214">
        <v>27</v>
      </c>
      <c r="U214">
        <v>277</v>
      </c>
      <c r="V214" t="s">
        <v>180</v>
      </c>
      <c r="W214" t="s">
        <v>401</v>
      </c>
      <c r="X214" t="s">
        <v>408</v>
      </c>
      <c r="Y214">
        <v>1263</v>
      </c>
      <c r="Z214">
        <v>187</v>
      </c>
      <c r="AA214">
        <v>112</v>
      </c>
      <c r="AB214">
        <v>27</v>
      </c>
    </row>
    <row r="215" spans="1:28" x14ac:dyDescent="0.2">
      <c r="A215">
        <v>278</v>
      </c>
      <c r="B215" s="2" t="s">
        <v>181</v>
      </c>
      <c r="C215" t="s">
        <v>401</v>
      </c>
      <c r="D215" t="s">
        <v>408</v>
      </c>
      <c r="E215">
        <v>1516</v>
      </c>
      <c r="F215">
        <v>193</v>
      </c>
      <c r="G215">
        <v>128</v>
      </c>
      <c r="H215">
        <v>35</v>
      </c>
      <c r="U215">
        <v>278</v>
      </c>
      <c r="V215" t="s">
        <v>181</v>
      </c>
      <c r="W215" t="s">
        <v>401</v>
      </c>
      <c r="X215" t="s">
        <v>408</v>
      </c>
      <c r="Y215">
        <v>1263</v>
      </c>
      <c r="Z215">
        <v>187</v>
      </c>
      <c r="AA215">
        <v>112</v>
      </c>
      <c r="AB215">
        <v>35</v>
      </c>
    </row>
    <row r="216" spans="1:28" x14ac:dyDescent="0.2">
      <c r="A216">
        <v>280</v>
      </c>
      <c r="B216" s="2" t="s">
        <v>182</v>
      </c>
      <c r="C216" t="s">
        <v>401</v>
      </c>
      <c r="D216" t="s">
        <v>408</v>
      </c>
      <c r="E216">
        <v>1487</v>
      </c>
      <c r="F216">
        <v>193</v>
      </c>
      <c r="G216">
        <v>138</v>
      </c>
      <c r="H216">
        <v>40</v>
      </c>
      <c r="U216">
        <v>280</v>
      </c>
      <c r="V216" t="s">
        <v>182</v>
      </c>
      <c r="W216" t="s">
        <v>401</v>
      </c>
      <c r="X216" t="s">
        <v>408</v>
      </c>
      <c r="Y216">
        <v>1239</v>
      </c>
      <c r="Z216">
        <v>187</v>
      </c>
      <c r="AA216">
        <v>120</v>
      </c>
      <c r="AB216">
        <v>40</v>
      </c>
    </row>
    <row r="217" spans="1:28" x14ac:dyDescent="0.2">
      <c r="A217">
        <v>288</v>
      </c>
      <c r="B217" s="2" t="s">
        <v>183</v>
      </c>
      <c r="C217" t="s">
        <v>401</v>
      </c>
      <c r="D217" t="s">
        <v>408</v>
      </c>
      <c r="E217">
        <v>1830</v>
      </c>
      <c r="F217">
        <v>190</v>
      </c>
      <c r="G217">
        <v>161</v>
      </c>
      <c r="H217">
        <v>38</v>
      </c>
      <c r="U217">
        <v>288</v>
      </c>
      <c r="V217" t="s">
        <v>183</v>
      </c>
      <c r="W217" t="s">
        <v>401</v>
      </c>
      <c r="X217" t="s">
        <v>408</v>
      </c>
      <c r="Y217">
        <v>1525</v>
      </c>
      <c r="Z217">
        <v>184</v>
      </c>
      <c r="AA217">
        <v>140</v>
      </c>
      <c r="AB217">
        <v>38</v>
      </c>
    </row>
    <row r="218" spans="1:28" x14ac:dyDescent="0.2">
      <c r="A218">
        <v>295</v>
      </c>
      <c r="B218" s="2" t="s">
        <v>184</v>
      </c>
      <c r="C218" t="s">
        <v>401</v>
      </c>
      <c r="D218" t="s">
        <v>408</v>
      </c>
      <c r="E218">
        <v>2445</v>
      </c>
      <c r="F218">
        <v>179</v>
      </c>
      <c r="G218">
        <v>193</v>
      </c>
      <c r="H218">
        <v>32</v>
      </c>
      <c r="U218">
        <v>295</v>
      </c>
      <c r="V218" t="s">
        <v>184</v>
      </c>
      <c r="W218" t="s">
        <v>401</v>
      </c>
      <c r="X218" t="s">
        <v>408</v>
      </c>
      <c r="Y218">
        <v>2037</v>
      </c>
      <c r="Z218">
        <v>174</v>
      </c>
      <c r="AA218">
        <v>168</v>
      </c>
      <c r="AB218">
        <v>32</v>
      </c>
    </row>
    <row r="219" spans="1:28" x14ac:dyDescent="0.2">
      <c r="A219">
        <v>296</v>
      </c>
      <c r="B219" s="2" t="s">
        <v>185</v>
      </c>
      <c r="C219" t="s">
        <v>401</v>
      </c>
      <c r="D219" t="s">
        <v>408</v>
      </c>
      <c r="E219">
        <v>2445</v>
      </c>
      <c r="F219">
        <v>179</v>
      </c>
      <c r="G219">
        <v>194</v>
      </c>
      <c r="H219">
        <v>61</v>
      </c>
      <c r="U219">
        <v>296</v>
      </c>
      <c r="V219" t="s">
        <v>185</v>
      </c>
      <c r="W219" t="s">
        <v>401</v>
      </c>
      <c r="X219" t="s">
        <v>408</v>
      </c>
      <c r="Y219">
        <v>2037</v>
      </c>
      <c r="Z219">
        <v>174</v>
      </c>
      <c r="AA219">
        <v>169</v>
      </c>
      <c r="AB219">
        <v>61</v>
      </c>
    </row>
    <row r="220" spans="1:28" x14ac:dyDescent="0.2">
      <c r="A220">
        <v>297</v>
      </c>
      <c r="B220" s="2" t="s">
        <v>186</v>
      </c>
      <c r="C220" t="s">
        <v>401</v>
      </c>
      <c r="D220" t="s">
        <v>408</v>
      </c>
      <c r="E220">
        <v>2445</v>
      </c>
      <c r="F220">
        <v>179</v>
      </c>
      <c r="G220">
        <v>199</v>
      </c>
      <c r="H220">
        <v>61</v>
      </c>
      <c r="U220">
        <v>297</v>
      </c>
      <c r="V220" t="s">
        <v>186</v>
      </c>
      <c r="W220" t="s">
        <v>401</v>
      </c>
      <c r="X220" t="s">
        <v>408</v>
      </c>
      <c r="Y220">
        <v>2037</v>
      </c>
      <c r="Z220">
        <v>174</v>
      </c>
      <c r="AA220">
        <v>173</v>
      </c>
      <c r="AB220">
        <v>61</v>
      </c>
    </row>
    <row r="221" spans="1:28" x14ac:dyDescent="0.2">
      <c r="A221">
        <v>299</v>
      </c>
      <c r="B221" t="s">
        <v>187</v>
      </c>
      <c r="C221" t="s">
        <v>401</v>
      </c>
      <c r="D221" t="s">
        <v>408</v>
      </c>
      <c r="E221">
        <v>2054</v>
      </c>
      <c r="F221">
        <v>163</v>
      </c>
      <c r="G221">
        <v>172</v>
      </c>
      <c r="H221">
        <v>80</v>
      </c>
      <c r="U221">
        <v>299</v>
      </c>
      <c r="V221" t="s">
        <v>187</v>
      </c>
      <c r="W221" t="s">
        <v>401</v>
      </c>
      <c r="X221" t="s">
        <v>408</v>
      </c>
      <c r="Y221">
        <v>1712</v>
      </c>
      <c r="Z221">
        <v>157</v>
      </c>
      <c r="AA221">
        <v>150</v>
      </c>
      <c r="AB221">
        <v>80</v>
      </c>
    </row>
    <row r="222" spans="1:28" x14ac:dyDescent="0.2">
      <c r="A222">
        <v>300</v>
      </c>
      <c r="B222" t="s">
        <v>188</v>
      </c>
      <c r="C222" t="s">
        <v>401</v>
      </c>
      <c r="D222" t="s">
        <v>408</v>
      </c>
      <c r="E222">
        <v>2080</v>
      </c>
      <c r="F222">
        <v>161</v>
      </c>
      <c r="G222">
        <v>172</v>
      </c>
      <c r="H222">
        <v>81</v>
      </c>
      <c r="U222">
        <v>300</v>
      </c>
      <c r="V222" t="s">
        <v>188</v>
      </c>
      <c r="W222" t="s">
        <v>401</v>
      </c>
      <c r="X222" t="s">
        <v>408</v>
      </c>
      <c r="Y222">
        <v>1733</v>
      </c>
      <c r="Z222">
        <v>156</v>
      </c>
      <c r="AA222">
        <v>150</v>
      </c>
      <c r="AB222">
        <v>81</v>
      </c>
    </row>
    <row r="223" spans="1:28" x14ac:dyDescent="0.2">
      <c r="A223">
        <v>301</v>
      </c>
      <c r="B223" t="s">
        <v>189</v>
      </c>
      <c r="C223" t="s">
        <v>401</v>
      </c>
      <c r="D223" t="s">
        <v>408</v>
      </c>
      <c r="E223">
        <v>2115</v>
      </c>
      <c r="F223">
        <v>160</v>
      </c>
      <c r="G223">
        <v>178</v>
      </c>
      <c r="H223">
        <v>80</v>
      </c>
      <c r="U223">
        <v>301</v>
      </c>
      <c r="V223" t="s">
        <v>189</v>
      </c>
      <c r="W223" t="s">
        <v>401</v>
      </c>
      <c r="X223" t="s">
        <v>408</v>
      </c>
      <c r="Y223">
        <v>1762</v>
      </c>
      <c r="Z223">
        <v>154</v>
      </c>
      <c r="AA223">
        <v>154</v>
      </c>
      <c r="AB223">
        <v>80</v>
      </c>
    </row>
    <row r="224" spans="1:28" x14ac:dyDescent="0.2">
      <c r="A224">
        <v>303</v>
      </c>
      <c r="B224" t="s">
        <v>191</v>
      </c>
      <c r="C224" t="s">
        <v>400</v>
      </c>
      <c r="D224" t="s">
        <v>408</v>
      </c>
      <c r="E224">
        <v>3237</v>
      </c>
      <c r="F224">
        <v>101</v>
      </c>
      <c r="G224">
        <v>281</v>
      </c>
      <c r="H224">
        <v>69</v>
      </c>
      <c r="U224">
        <v>303</v>
      </c>
      <c r="V224" t="s">
        <v>191</v>
      </c>
      <c r="W224" t="s">
        <v>400</v>
      </c>
      <c r="X224" t="s">
        <v>408</v>
      </c>
      <c r="Y224">
        <v>2865</v>
      </c>
      <c r="Z224">
        <v>79</v>
      </c>
      <c r="AA224">
        <v>246</v>
      </c>
      <c r="AB224">
        <v>69</v>
      </c>
    </row>
    <row r="225" spans="1:31" x14ac:dyDescent="0.2">
      <c r="A225">
        <v>304</v>
      </c>
      <c r="B225" t="s">
        <v>192</v>
      </c>
      <c r="C225" t="s">
        <v>400</v>
      </c>
      <c r="D225" t="s">
        <v>408</v>
      </c>
      <c r="E225">
        <v>3470</v>
      </c>
      <c r="F225">
        <v>90</v>
      </c>
      <c r="G225">
        <v>307</v>
      </c>
      <c r="H225">
        <v>50</v>
      </c>
      <c r="U225">
        <v>304</v>
      </c>
      <c r="V225" t="s">
        <v>192</v>
      </c>
      <c r="W225" t="s">
        <v>400</v>
      </c>
      <c r="X225" t="s">
        <v>408</v>
      </c>
      <c r="Y225">
        <v>3076</v>
      </c>
      <c r="Z225">
        <v>73</v>
      </c>
      <c r="AA225">
        <v>270</v>
      </c>
      <c r="AB225">
        <v>50</v>
      </c>
    </row>
    <row r="226" spans="1:31" x14ac:dyDescent="0.2">
      <c r="A226">
        <v>305</v>
      </c>
      <c r="B226" s="2" t="s">
        <v>193</v>
      </c>
      <c r="C226" t="s">
        <v>400</v>
      </c>
      <c r="D226" t="s">
        <v>408</v>
      </c>
      <c r="E226">
        <v>3604</v>
      </c>
      <c r="F226">
        <v>90</v>
      </c>
      <c r="G226">
        <v>316</v>
      </c>
      <c r="H226">
        <v>65</v>
      </c>
      <c r="J226">
        <v>0.18</v>
      </c>
      <c r="U226">
        <v>305</v>
      </c>
      <c r="V226" t="s">
        <v>193</v>
      </c>
      <c r="W226" t="s">
        <v>400</v>
      </c>
      <c r="X226" t="s">
        <v>408</v>
      </c>
      <c r="Y226">
        <v>3204</v>
      </c>
      <c r="Z226">
        <v>73</v>
      </c>
      <c r="AA226">
        <v>279</v>
      </c>
      <c r="AB226">
        <v>65</v>
      </c>
      <c r="AD226">
        <v>0.18</v>
      </c>
    </row>
    <row r="227" spans="1:31" x14ac:dyDescent="0.2">
      <c r="A227">
        <v>306</v>
      </c>
      <c r="B227" t="s">
        <v>194</v>
      </c>
      <c r="C227" t="s">
        <v>401</v>
      </c>
      <c r="D227" t="s">
        <v>408</v>
      </c>
      <c r="E227">
        <v>1536</v>
      </c>
      <c r="F227">
        <v>210</v>
      </c>
      <c r="G227">
        <v>156</v>
      </c>
      <c r="H227">
        <v>52</v>
      </c>
      <c r="U227">
        <v>306</v>
      </c>
      <c r="V227" t="s">
        <v>194</v>
      </c>
      <c r="W227" t="s">
        <v>401</v>
      </c>
      <c r="X227" t="s">
        <v>408</v>
      </c>
      <c r="Y227">
        <v>1280</v>
      </c>
      <c r="Z227">
        <v>204</v>
      </c>
      <c r="AA227">
        <v>135</v>
      </c>
      <c r="AB227">
        <v>52</v>
      </c>
    </row>
    <row r="228" spans="1:31" x14ac:dyDescent="0.2">
      <c r="A228">
        <v>307</v>
      </c>
      <c r="B228" t="s">
        <v>195</v>
      </c>
      <c r="C228" t="s">
        <v>401</v>
      </c>
      <c r="D228" t="s">
        <v>408</v>
      </c>
      <c r="E228">
        <v>1536</v>
      </c>
      <c r="F228">
        <v>210</v>
      </c>
      <c r="G228">
        <v>156</v>
      </c>
      <c r="H228">
        <v>20</v>
      </c>
      <c r="U228">
        <v>307</v>
      </c>
      <c r="V228" t="s">
        <v>195</v>
      </c>
      <c r="W228" t="s">
        <v>401</v>
      </c>
      <c r="X228" t="s">
        <v>408</v>
      </c>
      <c r="Y228">
        <v>1280</v>
      </c>
      <c r="Z228">
        <v>204</v>
      </c>
      <c r="AA228">
        <v>135</v>
      </c>
      <c r="AB228">
        <v>20</v>
      </c>
    </row>
    <row r="229" spans="1:31" x14ac:dyDescent="0.2">
      <c r="A229">
        <v>308</v>
      </c>
      <c r="B229" s="2" t="s">
        <v>196</v>
      </c>
      <c r="C229" t="s">
        <v>400</v>
      </c>
      <c r="D229" t="s">
        <v>408</v>
      </c>
      <c r="E229">
        <v>2540</v>
      </c>
      <c r="F229">
        <v>108</v>
      </c>
      <c r="G229">
        <v>276</v>
      </c>
      <c r="H229">
        <v>42</v>
      </c>
      <c r="U229">
        <v>308</v>
      </c>
      <c r="V229" t="s">
        <v>196</v>
      </c>
      <c r="W229" t="s">
        <v>400</v>
      </c>
      <c r="X229" t="s">
        <v>408</v>
      </c>
      <c r="Y229">
        <v>2243</v>
      </c>
      <c r="Z229">
        <v>75</v>
      </c>
      <c r="AA229">
        <v>241</v>
      </c>
      <c r="AB229">
        <v>42</v>
      </c>
    </row>
    <row r="230" spans="1:31" x14ac:dyDescent="0.2">
      <c r="A230">
        <v>309</v>
      </c>
      <c r="B230" s="2" t="s">
        <v>198</v>
      </c>
      <c r="C230" t="s">
        <v>400</v>
      </c>
      <c r="D230" t="s">
        <v>408</v>
      </c>
      <c r="E230">
        <v>2615</v>
      </c>
      <c r="F230">
        <v>108</v>
      </c>
      <c r="G230">
        <v>285</v>
      </c>
      <c r="H230">
        <v>38</v>
      </c>
      <c r="U230">
        <v>309</v>
      </c>
      <c r="V230" t="s">
        <v>198</v>
      </c>
      <c r="W230" t="s">
        <v>400</v>
      </c>
      <c r="X230" t="s">
        <v>408</v>
      </c>
      <c r="Y230">
        <v>2310</v>
      </c>
      <c r="Z230">
        <v>75</v>
      </c>
      <c r="AA230">
        <v>249</v>
      </c>
      <c r="AB230">
        <v>38</v>
      </c>
    </row>
    <row r="231" spans="1:31" x14ac:dyDescent="0.2">
      <c r="A231">
        <v>310</v>
      </c>
      <c r="B231" t="s">
        <v>200</v>
      </c>
      <c r="C231" t="s">
        <v>400</v>
      </c>
      <c r="D231" t="s">
        <v>408</v>
      </c>
      <c r="E231">
        <v>2540</v>
      </c>
      <c r="F231">
        <v>108</v>
      </c>
      <c r="G231">
        <v>286</v>
      </c>
      <c r="H231">
        <v>53</v>
      </c>
      <c r="U231">
        <v>310</v>
      </c>
      <c r="V231" t="s">
        <v>200</v>
      </c>
      <c r="W231" t="s">
        <v>400</v>
      </c>
      <c r="X231" t="s">
        <v>408</v>
      </c>
      <c r="Y231">
        <v>2243</v>
      </c>
      <c r="Z231">
        <v>75</v>
      </c>
      <c r="AA231">
        <v>251</v>
      </c>
      <c r="AB231">
        <v>53</v>
      </c>
    </row>
    <row r="232" spans="1:31" x14ac:dyDescent="0.2">
      <c r="A232">
        <v>316</v>
      </c>
      <c r="B232" s="2" t="s">
        <v>201</v>
      </c>
      <c r="C232" t="s">
        <v>401</v>
      </c>
      <c r="D232" t="s">
        <v>408</v>
      </c>
      <c r="E232">
        <v>2083</v>
      </c>
      <c r="F232">
        <v>191</v>
      </c>
      <c r="G232">
        <v>149</v>
      </c>
      <c r="H232">
        <v>27</v>
      </c>
      <c r="U232">
        <v>316</v>
      </c>
      <c r="V232" t="s">
        <v>201</v>
      </c>
      <c r="W232" t="s">
        <v>401</v>
      </c>
      <c r="X232" t="s">
        <v>408</v>
      </c>
      <c r="Y232">
        <v>1736</v>
      </c>
      <c r="Z232">
        <v>185</v>
      </c>
      <c r="AA232">
        <v>129</v>
      </c>
      <c r="AB232">
        <v>27</v>
      </c>
    </row>
    <row r="233" spans="1:31" x14ac:dyDescent="0.2">
      <c r="A233">
        <v>317</v>
      </c>
      <c r="B233" s="2" t="s">
        <v>202</v>
      </c>
      <c r="C233" t="s">
        <v>401</v>
      </c>
      <c r="D233" t="s">
        <v>408</v>
      </c>
      <c r="E233">
        <v>2083</v>
      </c>
      <c r="F233">
        <v>191</v>
      </c>
      <c r="G233">
        <v>149</v>
      </c>
      <c r="H233">
        <v>18</v>
      </c>
      <c r="U233">
        <v>317</v>
      </c>
      <c r="V233" t="s">
        <v>202</v>
      </c>
      <c r="W233" t="s">
        <v>401</v>
      </c>
      <c r="X233" t="s">
        <v>408</v>
      </c>
      <c r="Y233">
        <v>1736</v>
      </c>
      <c r="Z233">
        <v>185</v>
      </c>
      <c r="AA233">
        <v>130</v>
      </c>
      <c r="AB233">
        <v>18</v>
      </c>
    </row>
    <row r="234" spans="1:31" x14ac:dyDescent="0.2">
      <c r="A234">
        <v>318</v>
      </c>
      <c r="B234" s="2" t="s">
        <v>203</v>
      </c>
      <c r="C234" t="s">
        <v>401</v>
      </c>
      <c r="D234" t="s">
        <v>408</v>
      </c>
      <c r="E234">
        <v>2083</v>
      </c>
      <c r="F234">
        <v>191</v>
      </c>
      <c r="G234">
        <v>150</v>
      </c>
      <c r="H234">
        <v>58</v>
      </c>
      <c r="U234">
        <v>318</v>
      </c>
      <c r="V234" t="s">
        <v>203</v>
      </c>
      <c r="W234" t="s">
        <v>401</v>
      </c>
      <c r="X234" t="s">
        <v>408</v>
      </c>
      <c r="Y234">
        <v>1736</v>
      </c>
      <c r="Z234">
        <v>185</v>
      </c>
      <c r="AA234">
        <v>130</v>
      </c>
      <c r="AB234">
        <v>58</v>
      </c>
    </row>
    <row r="235" spans="1:31" x14ac:dyDescent="0.2">
      <c r="A235">
        <v>319</v>
      </c>
      <c r="B235" s="2" t="s">
        <v>205</v>
      </c>
      <c r="C235" t="s">
        <v>401</v>
      </c>
      <c r="D235" t="s">
        <v>408</v>
      </c>
      <c r="E235">
        <v>2083</v>
      </c>
      <c r="F235">
        <v>191</v>
      </c>
      <c r="G235">
        <v>154</v>
      </c>
      <c r="H235">
        <v>52</v>
      </c>
      <c r="U235">
        <v>319</v>
      </c>
      <c r="V235" t="s">
        <v>205</v>
      </c>
      <c r="W235" t="s">
        <v>401</v>
      </c>
      <c r="X235" t="s">
        <v>408</v>
      </c>
      <c r="Y235">
        <v>1736</v>
      </c>
      <c r="Z235">
        <v>185</v>
      </c>
      <c r="AA235">
        <v>134</v>
      </c>
      <c r="AB235">
        <v>52</v>
      </c>
    </row>
    <row r="236" spans="1:31" x14ac:dyDescent="0.2">
      <c r="A236">
        <v>320</v>
      </c>
      <c r="B236" t="s">
        <v>278</v>
      </c>
      <c r="C236" t="s">
        <v>414</v>
      </c>
      <c r="D236" t="s">
        <v>410</v>
      </c>
      <c r="E236">
        <v>5372</v>
      </c>
      <c r="F236">
        <v>25</v>
      </c>
      <c r="G236">
        <v>172</v>
      </c>
      <c r="H236">
        <v>95</v>
      </c>
      <c r="U236">
        <v>320</v>
      </c>
      <c r="V236" t="s">
        <v>278</v>
      </c>
      <c r="W236" t="s">
        <v>414</v>
      </c>
      <c r="X236" t="s">
        <v>410</v>
      </c>
      <c r="Y236">
        <v>4572</v>
      </c>
      <c r="Z236">
        <v>8</v>
      </c>
      <c r="AA236">
        <v>150</v>
      </c>
      <c r="AB236">
        <v>95</v>
      </c>
    </row>
    <row r="237" spans="1:31" x14ac:dyDescent="0.2">
      <c r="A237">
        <v>321</v>
      </c>
      <c r="B237" t="s">
        <v>207</v>
      </c>
      <c r="C237" t="s">
        <v>400</v>
      </c>
      <c r="D237" t="s">
        <v>408</v>
      </c>
      <c r="E237">
        <v>3159</v>
      </c>
      <c r="F237">
        <v>104</v>
      </c>
      <c r="G237">
        <v>323</v>
      </c>
      <c r="H237">
        <v>21</v>
      </c>
      <c r="U237">
        <v>321</v>
      </c>
      <c r="V237" t="s">
        <v>207</v>
      </c>
      <c r="W237" t="s">
        <v>400</v>
      </c>
      <c r="X237" t="s">
        <v>408</v>
      </c>
      <c r="Y237">
        <v>2791</v>
      </c>
      <c r="Z237">
        <v>76</v>
      </c>
      <c r="AA237">
        <v>285</v>
      </c>
      <c r="AB237">
        <v>21</v>
      </c>
    </row>
    <row r="238" spans="1:31" x14ac:dyDescent="0.2">
      <c r="A238">
        <v>325</v>
      </c>
      <c r="B238" t="s">
        <v>208</v>
      </c>
      <c r="C238" t="s">
        <v>401</v>
      </c>
      <c r="D238" t="s">
        <v>408</v>
      </c>
      <c r="E238">
        <v>1683</v>
      </c>
      <c r="F238">
        <v>210</v>
      </c>
      <c r="G238">
        <v>157</v>
      </c>
      <c r="H238">
        <v>76</v>
      </c>
      <c r="U238">
        <v>325</v>
      </c>
      <c r="V238" t="s">
        <v>208</v>
      </c>
      <c r="W238" t="s">
        <v>401</v>
      </c>
      <c r="X238" t="s">
        <v>408</v>
      </c>
      <c r="Y238">
        <v>1402</v>
      </c>
      <c r="Z238">
        <v>204</v>
      </c>
      <c r="AA238">
        <v>136</v>
      </c>
      <c r="AB238">
        <v>76</v>
      </c>
    </row>
    <row r="239" spans="1:31" x14ac:dyDescent="0.2">
      <c r="A239">
        <v>326</v>
      </c>
      <c r="B239" s="2" t="s">
        <v>209</v>
      </c>
      <c r="C239" t="s">
        <v>401</v>
      </c>
      <c r="D239" t="s">
        <v>408</v>
      </c>
      <c r="E239">
        <v>1683</v>
      </c>
      <c r="F239">
        <v>210</v>
      </c>
      <c r="G239">
        <v>156</v>
      </c>
      <c r="H239">
        <v>67</v>
      </c>
      <c r="U239">
        <v>326</v>
      </c>
      <c r="V239" t="s">
        <v>209</v>
      </c>
      <c r="W239" t="s">
        <v>401</v>
      </c>
      <c r="X239" t="s">
        <v>408</v>
      </c>
      <c r="Y239">
        <v>1402</v>
      </c>
      <c r="Z239">
        <v>204</v>
      </c>
      <c r="AA239">
        <v>136</v>
      </c>
      <c r="AB239">
        <v>67</v>
      </c>
    </row>
    <row r="240" spans="1:31" x14ac:dyDescent="0.2">
      <c r="A240">
        <v>327</v>
      </c>
      <c r="B240" t="s">
        <v>210</v>
      </c>
      <c r="C240" t="s">
        <v>400</v>
      </c>
      <c r="D240" t="s">
        <v>408</v>
      </c>
      <c r="E240">
        <v>3586</v>
      </c>
      <c r="F240">
        <v>100</v>
      </c>
      <c r="G240">
        <v>255</v>
      </c>
      <c r="H240">
        <v>11</v>
      </c>
      <c r="K240">
        <v>2.1000000000000001E-2</v>
      </c>
      <c r="U240">
        <v>327</v>
      </c>
      <c r="V240" t="s">
        <v>210</v>
      </c>
      <c r="W240" t="s">
        <v>400</v>
      </c>
      <c r="X240" t="s">
        <v>408</v>
      </c>
      <c r="Y240">
        <v>3188</v>
      </c>
      <c r="Z240">
        <v>76</v>
      </c>
      <c r="AA240">
        <v>222</v>
      </c>
      <c r="AB240">
        <v>11</v>
      </c>
      <c r="AE240">
        <v>2.1000000000000001E-2</v>
      </c>
    </row>
    <row r="241" spans="1:30" x14ac:dyDescent="0.2">
      <c r="A241">
        <v>328</v>
      </c>
      <c r="B241" t="s">
        <v>211</v>
      </c>
      <c r="C241" t="s">
        <v>400</v>
      </c>
      <c r="D241" t="s">
        <v>408</v>
      </c>
      <c r="E241">
        <v>3636</v>
      </c>
      <c r="F241">
        <v>100</v>
      </c>
      <c r="G241">
        <v>329</v>
      </c>
      <c r="H241">
        <v>67</v>
      </c>
      <c r="U241">
        <v>328</v>
      </c>
      <c r="V241" t="s">
        <v>211</v>
      </c>
      <c r="W241" t="s">
        <v>400</v>
      </c>
      <c r="X241" t="s">
        <v>408</v>
      </c>
      <c r="Y241">
        <v>3232</v>
      </c>
      <c r="Z241">
        <v>76</v>
      </c>
      <c r="AA241">
        <v>291</v>
      </c>
      <c r="AB241">
        <v>67</v>
      </c>
    </row>
    <row r="242" spans="1:30" x14ac:dyDescent="0.2">
      <c r="A242">
        <v>329</v>
      </c>
      <c r="B242" t="s">
        <v>212</v>
      </c>
      <c r="C242" t="s">
        <v>400</v>
      </c>
      <c r="D242" t="s">
        <v>408</v>
      </c>
      <c r="E242">
        <v>4361</v>
      </c>
      <c r="F242">
        <v>92</v>
      </c>
      <c r="G242">
        <v>333</v>
      </c>
      <c r="H242">
        <v>72</v>
      </c>
      <c r="U242">
        <v>329</v>
      </c>
      <c r="V242" t="s">
        <v>212</v>
      </c>
      <c r="W242" t="s">
        <v>400</v>
      </c>
      <c r="X242" t="s">
        <v>408</v>
      </c>
      <c r="Y242">
        <v>3929</v>
      </c>
      <c r="Z242">
        <v>77</v>
      </c>
      <c r="AA242">
        <v>295</v>
      </c>
      <c r="AB242">
        <v>72</v>
      </c>
    </row>
    <row r="243" spans="1:30" x14ac:dyDescent="0.2">
      <c r="A243">
        <v>330</v>
      </c>
      <c r="B243" t="s">
        <v>213</v>
      </c>
      <c r="C243" t="s">
        <v>400</v>
      </c>
      <c r="D243" t="s">
        <v>408</v>
      </c>
      <c r="E243">
        <v>4307</v>
      </c>
      <c r="F243">
        <v>92</v>
      </c>
      <c r="G243">
        <v>321</v>
      </c>
      <c r="H243">
        <v>69</v>
      </c>
      <c r="U243">
        <v>330</v>
      </c>
      <c r="V243" t="s">
        <v>213</v>
      </c>
      <c r="W243" t="s">
        <v>400</v>
      </c>
      <c r="X243" t="s">
        <v>408</v>
      </c>
      <c r="Y243">
        <v>3880</v>
      </c>
      <c r="Z243">
        <v>77</v>
      </c>
      <c r="AA243">
        <v>283</v>
      </c>
      <c r="AB243">
        <v>69</v>
      </c>
    </row>
    <row r="244" spans="1:30" x14ac:dyDescent="0.2">
      <c r="A244">
        <v>331</v>
      </c>
      <c r="B244" s="2" t="s">
        <v>214</v>
      </c>
      <c r="C244" t="s">
        <v>401</v>
      </c>
      <c r="D244" t="s">
        <v>408</v>
      </c>
      <c r="E244">
        <v>1937</v>
      </c>
      <c r="F244">
        <v>191</v>
      </c>
      <c r="G244">
        <v>149</v>
      </c>
      <c r="H244">
        <v>32</v>
      </c>
      <c r="U244">
        <v>331</v>
      </c>
      <c r="V244" t="s">
        <v>214</v>
      </c>
      <c r="W244" t="s">
        <v>401</v>
      </c>
      <c r="X244" t="s">
        <v>408</v>
      </c>
      <c r="Y244">
        <v>1614</v>
      </c>
      <c r="Z244">
        <v>185</v>
      </c>
      <c r="AA244">
        <v>130</v>
      </c>
      <c r="AB244">
        <v>32</v>
      </c>
    </row>
    <row r="245" spans="1:30" x14ac:dyDescent="0.2">
      <c r="A245">
        <v>332</v>
      </c>
      <c r="B245" s="2" t="s">
        <v>215</v>
      </c>
      <c r="C245" t="s">
        <v>401</v>
      </c>
      <c r="D245" t="s">
        <v>408</v>
      </c>
      <c r="E245">
        <v>1937</v>
      </c>
      <c r="F245">
        <v>191</v>
      </c>
      <c r="G245">
        <v>150</v>
      </c>
      <c r="H245">
        <v>40</v>
      </c>
      <c r="U245">
        <v>332</v>
      </c>
      <c r="V245" t="s">
        <v>215</v>
      </c>
      <c r="W245" t="s">
        <v>401</v>
      </c>
      <c r="X245" t="s">
        <v>408</v>
      </c>
      <c r="Y245">
        <v>1614</v>
      </c>
      <c r="Z245">
        <v>185</v>
      </c>
      <c r="AA245">
        <v>130</v>
      </c>
      <c r="AB245">
        <v>40</v>
      </c>
    </row>
    <row r="246" spans="1:30" x14ac:dyDescent="0.2">
      <c r="A246">
        <v>333</v>
      </c>
      <c r="B246" s="2" t="s">
        <v>216</v>
      </c>
      <c r="C246" t="s">
        <v>401</v>
      </c>
      <c r="D246" t="s">
        <v>408</v>
      </c>
      <c r="E246">
        <v>1964</v>
      </c>
      <c r="F246">
        <v>191</v>
      </c>
      <c r="G246">
        <v>150</v>
      </c>
      <c r="H246">
        <v>48</v>
      </c>
      <c r="U246">
        <v>333</v>
      </c>
      <c r="V246" t="s">
        <v>216</v>
      </c>
      <c r="W246" t="s">
        <v>401</v>
      </c>
      <c r="X246" t="s">
        <v>408</v>
      </c>
      <c r="Y246">
        <v>1636</v>
      </c>
      <c r="Z246">
        <v>185</v>
      </c>
      <c r="AA246">
        <v>131</v>
      </c>
      <c r="AB246">
        <v>48</v>
      </c>
    </row>
    <row r="247" spans="1:30" x14ac:dyDescent="0.2">
      <c r="A247">
        <v>334</v>
      </c>
      <c r="B247" s="2" t="s">
        <v>217</v>
      </c>
      <c r="C247" t="s">
        <v>401</v>
      </c>
      <c r="D247" t="s">
        <v>408</v>
      </c>
      <c r="E247">
        <v>1937</v>
      </c>
      <c r="F247">
        <v>191</v>
      </c>
      <c r="G247">
        <v>149</v>
      </c>
      <c r="H247">
        <v>32</v>
      </c>
      <c r="U247">
        <v>334</v>
      </c>
      <c r="V247" t="s">
        <v>217</v>
      </c>
      <c r="W247" t="s">
        <v>401</v>
      </c>
      <c r="X247" t="s">
        <v>408</v>
      </c>
      <c r="Y247">
        <v>1614</v>
      </c>
      <c r="Z247">
        <v>185</v>
      </c>
      <c r="AA247">
        <v>129</v>
      </c>
      <c r="AB247">
        <v>32</v>
      </c>
    </row>
    <row r="248" spans="1:30" x14ac:dyDescent="0.2">
      <c r="A248">
        <v>335</v>
      </c>
      <c r="B248" s="2" t="s">
        <v>467</v>
      </c>
      <c r="C248" t="s">
        <v>400</v>
      </c>
      <c r="D248" t="s">
        <v>408</v>
      </c>
      <c r="E248">
        <v>3231</v>
      </c>
      <c r="F248">
        <v>96</v>
      </c>
      <c r="G248">
        <v>282</v>
      </c>
      <c r="H248">
        <v>89</v>
      </c>
      <c r="U248">
        <v>335</v>
      </c>
      <c r="V248" t="s">
        <v>467</v>
      </c>
      <c r="W248" t="s">
        <v>400</v>
      </c>
      <c r="X248" t="s">
        <v>408</v>
      </c>
      <c r="Y248">
        <v>2885</v>
      </c>
      <c r="Z248">
        <v>72</v>
      </c>
      <c r="AA248">
        <v>247</v>
      </c>
      <c r="AB248">
        <v>89</v>
      </c>
    </row>
    <row r="249" spans="1:30" x14ac:dyDescent="0.2">
      <c r="A249">
        <v>336</v>
      </c>
      <c r="B249" t="s">
        <v>218</v>
      </c>
      <c r="C249" t="s">
        <v>430</v>
      </c>
      <c r="D249" t="s">
        <v>408</v>
      </c>
      <c r="E249">
        <v>3777</v>
      </c>
      <c r="F249">
        <v>61</v>
      </c>
      <c r="G249">
        <v>182</v>
      </c>
      <c r="H249">
        <v>38</v>
      </c>
      <c r="U249">
        <v>336</v>
      </c>
      <c r="V249" t="s">
        <v>218</v>
      </c>
      <c r="W249" t="s">
        <v>430</v>
      </c>
      <c r="X249" t="s">
        <v>408</v>
      </c>
      <c r="Y249">
        <v>3148</v>
      </c>
      <c r="Z249">
        <v>29</v>
      </c>
      <c r="AA249">
        <v>158</v>
      </c>
      <c r="AB249">
        <v>38</v>
      </c>
    </row>
    <row r="250" spans="1:30" x14ac:dyDescent="0.2">
      <c r="A250">
        <v>337</v>
      </c>
      <c r="B250" t="s">
        <v>219</v>
      </c>
      <c r="C250" s="2" t="s">
        <v>413</v>
      </c>
      <c r="D250" t="s">
        <v>408</v>
      </c>
      <c r="E250">
        <v>3461</v>
      </c>
      <c r="F250">
        <v>71</v>
      </c>
      <c r="G250">
        <v>255</v>
      </c>
      <c r="H250">
        <v>68</v>
      </c>
      <c r="U250">
        <v>337</v>
      </c>
      <c r="V250" t="s">
        <v>219</v>
      </c>
      <c r="W250" s="2" t="s">
        <v>413</v>
      </c>
      <c r="X250" t="s">
        <v>408</v>
      </c>
      <c r="Y250">
        <v>3049</v>
      </c>
      <c r="Z250">
        <v>22</v>
      </c>
      <c r="AA250">
        <v>222</v>
      </c>
      <c r="AB250">
        <v>68</v>
      </c>
    </row>
    <row r="251" spans="1:30" x14ac:dyDescent="0.2">
      <c r="A251">
        <v>338</v>
      </c>
      <c r="B251" s="2" t="s">
        <v>372</v>
      </c>
      <c r="C251" t="s">
        <v>431</v>
      </c>
      <c r="D251" t="s">
        <v>408</v>
      </c>
      <c r="E251">
        <v>2165</v>
      </c>
      <c r="F251">
        <v>45</v>
      </c>
      <c r="G251">
        <v>0</v>
      </c>
      <c r="H251">
        <v>19</v>
      </c>
      <c r="U251">
        <v>338</v>
      </c>
      <c r="V251" s="2" t="s">
        <v>372</v>
      </c>
      <c r="W251" t="s">
        <v>431</v>
      </c>
      <c r="X251" t="s">
        <v>408</v>
      </c>
      <c r="Y251">
        <v>1805</v>
      </c>
      <c r="Z251">
        <v>25</v>
      </c>
      <c r="AA251">
        <v>0</v>
      </c>
      <c r="AB251">
        <v>19</v>
      </c>
    </row>
    <row r="252" spans="1:30" x14ac:dyDescent="0.2">
      <c r="A252">
        <v>339</v>
      </c>
      <c r="B252" s="2" t="s">
        <v>373</v>
      </c>
      <c r="C252" t="s">
        <v>431</v>
      </c>
      <c r="D252" t="s">
        <v>408</v>
      </c>
      <c r="E252">
        <v>2067</v>
      </c>
      <c r="F252">
        <v>45</v>
      </c>
      <c r="G252">
        <v>0</v>
      </c>
      <c r="H252">
        <v>26</v>
      </c>
      <c r="U252">
        <v>338</v>
      </c>
      <c r="V252" s="2" t="s">
        <v>373</v>
      </c>
      <c r="W252" t="s">
        <v>431</v>
      </c>
      <c r="X252" t="s">
        <v>408</v>
      </c>
      <c r="Y252">
        <v>1723</v>
      </c>
      <c r="Z252">
        <v>25</v>
      </c>
      <c r="AA252">
        <v>0</v>
      </c>
      <c r="AB252">
        <v>26</v>
      </c>
    </row>
    <row r="253" spans="1:30" x14ac:dyDescent="0.2">
      <c r="A253">
        <v>340</v>
      </c>
      <c r="B253" s="2" t="s">
        <v>279</v>
      </c>
      <c r="C253" t="s">
        <v>431</v>
      </c>
      <c r="D253" t="s">
        <v>408</v>
      </c>
      <c r="E253">
        <v>2080</v>
      </c>
      <c r="F253">
        <v>37</v>
      </c>
      <c r="G253">
        <v>0</v>
      </c>
      <c r="H253">
        <v>58</v>
      </c>
      <c r="U253">
        <v>340</v>
      </c>
      <c r="V253" s="2" t="s">
        <v>279</v>
      </c>
      <c r="W253" t="s">
        <v>431</v>
      </c>
      <c r="X253" t="s">
        <v>408</v>
      </c>
      <c r="Y253">
        <v>1733</v>
      </c>
      <c r="Z253">
        <v>18</v>
      </c>
      <c r="AA253">
        <v>0</v>
      </c>
      <c r="AB253">
        <v>58</v>
      </c>
    </row>
    <row r="254" spans="1:30" x14ac:dyDescent="0.2">
      <c r="A254">
        <v>341</v>
      </c>
      <c r="B254" t="s">
        <v>280</v>
      </c>
      <c r="C254" t="s">
        <v>431</v>
      </c>
      <c r="D254" t="s">
        <v>408</v>
      </c>
      <c r="E254">
        <v>1309</v>
      </c>
      <c r="F254">
        <v>37</v>
      </c>
      <c r="G254">
        <v>0</v>
      </c>
      <c r="H254">
        <v>23</v>
      </c>
      <c r="J254">
        <v>0.4</v>
      </c>
      <c r="U254">
        <v>341</v>
      </c>
      <c r="V254" s="2" t="s">
        <v>280</v>
      </c>
      <c r="W254" t="s">
        <v>431</v>
      </c>
      <c r="X254" t="s">
        <v>408</v>
      </c>
      <c r="Y254">
        <v>1091</v>
      </c>
      <c r="Z254">
        <v>18</v>
      </c>
      <c r="AA254">
        <v>0</v>
      </c>
      <c r="AB254">
        <v>23</v>
      </c>
      <c r="AD254">
        <v>0.4</v>
      </c>
    </row>
    <row r="255" spans="1:30" x14ac:dyDescent="0.2">
      <c r="A255">
        <v>342</v>
      </c>
      <c r="B255" s="2" t="s">
        <v>374</v>
      </c>
      <c r="C255" t="s">
        <v>431</v>
      </c>
      <c r="D255" t="s">
        <v>408</v>
      </c>
      <c r="E255">
        <v>1692</v>
      </c>
      <c r="F255">
        <v>41</v>
      </c>
      <c r="G255">
        <v>0</v>
      </c>
      <c r="H255">
        <v>68</v>
      </c>
      <c r="U255">
        <v>342</v>
      </c>
      <c r="V255" s="2" t="s">
        <v>374</v>
      </c>
      <c r="W255" t="s">
        <v>431</v>
      </c>
      <c r="X255" t="s">
        <v>408</v>
      </c>
      <c r="Y255">
        <v>1410</v>
      </c>
      <c r="Z255">
        <v>22</v>
      </c>
      <c r="AA255">
        <v>0</v>
      </c>
      <c r="AB255">
        <v>68</v>
      </c>
    </row>
    <row r="256" spans="1:30" x14ac:dyDescent="0.2">
      <c r="A256">
        <v>343</v>
      </c>
      <c r="B256" t="s">
        <v>281</v>
      </c>
      <c r="C256" t="s">
        <v>431</v>
      </c>
      <c r="D256" t="s">
        <v>408</v>
      </c>
      <c r="E256">
        <v>1297</v>
      </c>
      <c r="F256">
        <v>37</v>
      </c>
      <c r="G256">
        <v>0</v>
      </c>
      <c r="H256">
        <v>32</v>
      </c>
      <c r="U256">
        <v>343</v>
      </c>
      <c r="V256" s="2" t="s">
        <v>281</v>
      </c>
      <c r="W256" t="s">
        <v>431</v>
      </c>
      <c r="X256" t="s">
        <v>408</v>
      </c>
      <c r="Y256">
        <v>1081</v>
      </c>
      <c r="Z256">
        <v>18</v>
      </c>
      <c r="AA256">
        <v>0</v>
      </c>
      <c r="AB256">
        <v>32</v>
      </c>
    </row>
    <row r="257" spans="1:28" x14ac:dyDescent="0.2">
      <c r="A257">
        <v>344</v>
      </c>
      <c r="B257" t="s">
        <v>282</v>
      </c>
      <c r="C257" t="s">
        <v>431</v>
      </c>
      <c r="D257" t="s">
        <v>408</v>
      </c>
      <c r="E257">
        <v>1261</v>
      </c>
      <c r="F257">
        <v>37</v>
      </c>
      <c r="G257">
        <v>0</v>
      </c>
      <c r="H257">
        <v>18</v>
      </c>
      <c r="U257">
        <v>344</v>
      </c>
      <c r="V257" s="2" t="s">
        <v>282</v>
      </c>
      <c r="W257" t="s">
        <v>431</v>
      </c>
      <c r="X257" t="s">
        <v>408</v>
      </c>
      <c r="Y257">
        <v>1051</v>
      </c>
      <c r="Z257">
        <v>18</v>
      </c>
      <c r="AA257">
        <v>0</v>
      </c>
      <c r="AB257">
        <v>18</v>
      </c>
    </row>
    <row r="258" spans="1:28" x14ac:dyDescent="0.2">
      <c r="A258">
        <v>345</v>
      </c>
      <c r="B258" t="s">
        <v>220</v>
      </c>
      <c r="C258" t="s">
        <v>401</v>
      </c>
      <c r="D258" t="s">
        <v>408</v>
      </c>
      <c r="E258">
        <v>2092</v>
      </c>
      <c r="F258">
        <v>159</v>
      </c>
      <c r="G258">
        <v>182</v>
      </c>
      <c r="H258">
        <v>35</v>
      </c>
      <c r="U258">
        <v>345</v>
      </c>
      <c r="V258" t="s">
        <v>220</v>
      </c>
      <c r="W258" t="s">
        <v>401</v>
      </c>
      <c r="X258" t="s">
        <v>408</v>
      </c>
      <c r="Y258">
        <v>1758</v>
      </c>
      <c r="Z258">
        <v>153</v>
      </c>
      <c r="AA258">
        <v>158</v>
      </c>
      <c r="AB258">
        <v>35</v>
      </c>
    </row>
    <row r="259" spans="1:28" x14ac:dyDescent="0.2">
      <c r="A259">
        <v>346</v>
      </c>
      <c r="B259" t="s">
        <v>221</v>
      </c>
      <c r="C259" t="s">
        <v>401</v>
      </c>
      <c r="D259" t="s">
        <v>408</v>
      </c>
      <c r="E259">
        <v>2033</v>
      </c>
      <c r="F259">
        <v>148</v>
      </c>
      <c r="G259">
        <v>149</v>
      </c>
      <c r="H259">
        <v>38</v>
      </c>
      <c r="U259">
        <v>346</v>
      </c>
      <c r="V259" t="s">
        <v>221</v>
      </c>
      <c r="W259" t="s">
        <v>401</v>
      </c>
      <c r="X259" t="s">
        <v>408</v>
      </c>
      <c r="Y259">
        <v>1708</v>
      </c>
      <c r="Z259">
        <v>143</v>
      </c>
      <c r="AA259">
        <v>129</v>
      </c>
      <c r="AB259">
        <v>38</v>
      </c>
    </row>
    <row r="260" spans="1:28" x14ac:dyDescent="0.2">
      <c r="A260">
        <v>347</v>
      </c>
      <c r="B260" s="2" t="s">
        <v>222</v>
      </c>
      <c r="C260" t="s">
        <v>401</v>
      </c>
      <c r="D260" t="s">
        <v>408</v>
      </c>
      <c r="E260">
        <v>2021</v>
      </c>
      <c r="F260">
        <v>213</v>
      </c>
      <c r="G260">
        <v>167</v>
      </c>
      <c r="H260">
        <v>77</v>
      </c>
      <c r="U260">
        <v>347</v>
      </c>
      <c r="V260" t="s">
        <v>222</v>
      </c>
      <c r="W260" t="s">
        <v>401</v>
      </c>
      <c r="X260" t="s">
        <v>408</v>
      </c>
      <c r="Y260">
        <v>1684</v>
      </c>
      <c r="Z260">
        <v>206</v>
      </c>
      <c r="AA260">
        <v>145</v>
      </c>
      <c r="AB260">
        <v>77</v>
      </c>
    </row>
    <row r="261" spans="1:28" x14ac:dyDescent="0.2">
      <c r="A261">
        <v>348</v>
      </c>
      <c r="B261" s="2" t="s">
        <v>223</v>
      </c>
      <c r="C261" t="s">
        <v>401</v>
      </c>
      <c r="D261" t="s">
        <v>408</v>
      </c>
      <c r="E261">
        <v>1376</v>
      </c>
      <c r="F261">
        <v>200</v>
      </c>
      <c r="G261">
        <v>138</v>
      </c>
      <c r="H261">
        <v>69</v>
      </c>
      <c r="U261">
        <v>348</v>
      </c>
      <c r="V261" t="s">
        <v>223</v>
      </c>
      <c r="W261" t="s">
        <v>401</v>
      </c>
      <c r="X261" t="s">
        <v>408</v>
      </c>
      <c r="Y261">
        <v>1147</v>
      </c>
      <c r="Z261">
        <v>193</v>
      </c>
      <c r="AA261">
        <v>120</v>
      </c>
      <c r="AB261">
        <v>69</v>
      </c>
    </row>
    <row r="262" spans="1:28" x14ac:dyDescent="0.2">
      <c r="A262">
        <v>349</v>
      </c>
      <c r="B262" s="2" t="s">
        <v>225</v>
      </c>
      <c r="C262" t="s">
        <v>400</v>
      </c>
      <c r="D262" t="s">
        <v>408</v>
      </c>
      <c r="E262">
        <v>3185</v>
      </c>
      <c r="F262">
        <v>117</v>
      </c>
      <c r="G262">
        <v>272</v>
      </c>
      <c r="H262">
        <v>67</v>
      </c>
      <c r="U262">
        <v>349</v>
      </c>
      <c r="V262" t="s">
        <v>225</v>
      </c>
      <c r="W262" t="s">
        <v>400</v>
      </c>
      <c r="X262" t="s">
        <v>408</v>
      </c>
      <c r="Y262">
        <v>2831</v>
      </c>
      <c r="Z262">
        <v>78</v>
      </c>
      <c r="AA262">
        <v>238</v>
      </c>
      <c r="AB262">
        <v>67</v>
      </c>
    </row>
    <row r="263" spans="1:28" x14ac:dyDescent="0.2">
      <c r="A263">
        <v>350</v>
      </c>
      <c r="B263" t="s">
        <v>283</v>
      </c>
      <c r="C263" t="s">
        <v>431</v>
      </c>
      <c r="D263" t="s">
        <v>408</v>
      </c>
      <c r="E263">
        <v>2819</v>
      </c>
      <c r="F263">
        <v>22</v>
      </c>
      <c r="G263">
        <v>0</v>
      </c>
      <c r="H263">
        <v>60</v>
      </c>
      <c r="U263">
        <v>350</v>
      </c>
      <c r="V263" t="s">
        <v>283</v>
      </c>
      <c r="W263" t="s">
        <v>431</v>
      </c>
      <c r="X263" t="s">
        <v>408</v>
      </c>
      <c r="Y263">
        <v>2349</v>
      </c>
      <c r="Z263">
        <v>20</v>
      </c>
      <c r="AA263">
        <v>0</v>
      </c>
      <c r="AB263">
        <v>60</v>
      </c>
    </row>
    <row r="264" spans="1:28" x14ac:dyDescent="0.2">
      <c r="A264">
        <v>351</v>
      </c>
      <c r="B264" s="2" t="s">
        <v>226</v>
      </c>
      <c r="C264" t="s">
        <v>401</v>
      </c>
      <c r="D264" t="s">
        <v>408</v>
      </c>
      <c r="E264">
        <v>1376</v>
      </c>
      <c r="F264">
        <v>200</v>
      </c>
      <c r="G264">
        <v>138</v>
      </c>
      <c r="H264">
        <v>24</v>
      </c>
      <c r="U264">
        <v>351</v>
      </c>
      <c r="V264" t="s">
        <v>226</v>
      </c>
      <c r="W264" t="s">
        <v>401</v>
      </c>
      <c r="X264" t="s">
        <v>408</v>
      </c>
      <c r="Y264">
        <v>1147</v>
      </c>
      <c r="Z264">
        <v>193</v>
      </c>
      <c r="AA264">
        <v>120</v>
      </c>
      <c r="AB264">
        <v>24</v>
      </c>
    </row>
    <row r="265" spans="1:28" x14ac:dyDescent="0.2">
      <c r="A265">
        <v>352</v>
      </c>
      <c r="B265" s="2" t="s">
        <v>375</v>
      </c>
      <c r="C265" t="s">
        <v>429</v>
      </c>
      <c r="D265" t="s">
        <v>409</v>
      </c>
      <c r="E265">
        <v>6788</v>
      </c>
      <c r="F265">
        <v>41</v>
      </c>
      <c r="G265">
        <v>227</v>
      </c>
      <c r="H265">
        <v>35</v>
      </c>
      <c r="U265">
        <v>352</v>
      </c>
      <c r="V265" t="s">
        <v>375</v>
      </c>
      <c r="W265" t="s">
        <v>429</v>
      </c>
      <c r="X265" t="s">
        <v>409</v>
      </c>
      <c r="Y265">
        <v>5827</v>
      </c>
      <c r="Z265">
        <v>22</v>
      </c>
      <c r="AA265">
        <v>197</v>
      </c>
      <c r="AB265">
        <v>35</v>
      </c>
    </row>
    <row r="266" spans="1:28" x14ac:dyDescent="0.2">
      <c r="A266">
        <v>353</v>
      </c>
      <c r="B266" s="2" t="s">
        <v>376</v>
      </c>
      <c r="C266" t="s">
        <v>414</v>
      </c>
      <c r="D266" t="s">
        <v>410</v>
      </c>
      <c r="E266">
        <v>8036</v>
      </c>
      <c r="F266">
        <v>42</v>
      </c>
      <c r="G266">
        <v>241</v>
      </c>
      <c r="H266">
        <v>17</v>
      </c>
      <c r="U266">
        <v>353</v>
      </c>
      <c r="V266" t="s">
        <v>376</v>
      </c>
      <c r="W266" t="s">
        <v>414</v>
      </c>
      <c r="X266" t="s">
        <v>410</v>
      </c>
      <c r="Y266">
        <v>6897</v>
      </c>
      <c r="Z266">
        <v>23</v>
      </c>
      <c r="AA266">
        <v>210</v>
      </c>
      <c r="AB266">
        <v>17</v>
      </c>
    </row>
    <row r="267" spans="1:28" x14ac:dyDescent="0.2">
      <c r="A267">
        <v>354</v>
      </c>
      <c r="B267" t="s">
        <v>284</v>
      </c>
      <c r="C267" t="s">
        <v>414</v>
      </c>
      <c r="D267" t="s">
        <v>410</v>
      </c>
      <c r="E267">
        <v>7783</v>
      </c>
      <c r="F267">
        <v>33</v>
      </c>
      <c r="G267">
        <v>400</v>
      </c>
      <c r="H267">
        <v>82</v>
      </c>
      <c r="J267">
        <v>0.15</v>
      </c>
      <c r="U267">
        <v>354</v>
      </c>
      <c r="V267" t="s">
        <v>284</v>
      </c>
      <c r="W267" t="s">
        <v>414</v>
      </c>
      <c r="X267" t="s">
        <v>410</v>
      </c>
      <c r="Y267">
        <v>6738</v>
      </c>
      <c r="Z267">
        <v>18</v>
      </c>
      <c r="AA267">
        <v>368</v>
      </c>
      <c r="AB267">
        <v>82</v>
      </c>
    </row>
    <row r="268" spans="1:28" x14ac:dyDescent="0.2">
      <c r="A268">
        <v>355</v>
      </c>
      <c r="B268" s="2" t="s">
        <v>228</v>
      </c>
      <c r="C268" t="s">
        <v>401</v>
      </c>
      <c r="D268" t="s">
        <v>408</v>
      </c>
      <c r="E268">
        <v>2054</v>
      </c>
      <c r="F268">
        <v>160</v>
      </c>
      <c r="G268">
        <v>189</v>
      </c>
      <c r="H268">
        <v>34</v>
      </c>
      <c r="U268">
        <v>355</v>
      </c>
      <c r="V268" t="s">
        <v>228</v>
      </c>
      <c r="W268" t="s">
        <v>401</v>
      </c>
      <c r="X268" t="s">
        <v>408</v>
      </c>
      <c r="Y268">
        <v>1712</v>
      </c>
      <c r="Z268">
        <v>154</v>
      </c>
      <c r="AA268">
        <v>164</v>
      </c>
      <c r="AB268">
        <v>34</v>
      </c>
    </row>
    <row r="269" spans="1:28" x14ac:dyDescent="0.2">
      <c r="A269">
        <v>356</v>
      </c>
      <c r="B269" s="2" t="s">
        <v>377</v>
      </c>
      <c r="C269" t="s">
        <v>426</v>
      </c>
      <c r="D269" t="s">
        <v>409</v>
      </c>
      <c r="E269">
        <v>6626</v>
      </c>
      <c r="F269">
        <v>70</v>
      </c>
      <c r="G269">
        <v>268</v>
      </c>
      <c r="H269">
        <v>73</v>
      </c>
      <c r="U269">
        <v>356</v>
      </c>
      <c r="V269" t="s">
        <v>377</v>
      </c>
      <c r="W269" t="s">
        <v>426</v>
      </c>
      <c r="X269" t="s">
        <v>409</v>
      </c>
      <c r="Y269">
        <v>5712</v>
      </c>
      <c r="Z269">
        <v>50</v>
      </c>
      <c r="AA269">
        <v>234</v>
      </c>
      <c r="AB269">
        <v>73</v>
      </c>
    </row>
    <row r="270" spans="1:28" x14ac:dyDescent="0.2">
      <c r="A270">
        <v>357</v>
      </c>
      <c r="B270" t="s">
        <v>337</v>
      </c>
      <c r="C270" t="s">
        <v>427</v>
      </c>
      <c r="D270" t="s">
        <v>409</v>
      </c>
      <c r="E270">
        <v>6647</v>
      </c>
      <c r="F270">
        <v>54</v>
      </c>
      <c r="G270">
        <v>331</v>
      </c>
      <c r="H270">
        <v>90</v>
      </c>
      <c r="U270">
        <v>357</v>
      </c>
      <c r="V270" t="s">
        <v>337</v>
      </c>
      <c r="W270" t="s">
        <v>427</v>
      </c>
      <c r="X270" t="s">
        <v>409</v>
      </c>
      <c r="Y270">
        <v>5730</v>
      </c>
      <c r="Z270">
        <v>34</v>
      </c>
      <c r="AA270">
        <v>293</v>
      </c>
      <c r="AB270">
        <v>90</v>
      </c>
    </row>
    <row r="271" spans="1:28" x14ac:dyDescent="0.2">
      <c r="A271">
        <v>358</v>
      </c>
      <c r="B271" t="s">
        <v>285</v>
      </c>
      <c r="C271" t="s">
        <v>431</v>
      </c>
      <c r="D271" t="s">
        <v>408</v>
      </c>
      <c r="E271">
        <v>1924</v>
      </c>
      <c r="F271">
        <v>41</v>
      </c>
      <c r="G271">
        <v>0</v>
      </c>
      <c r="H271">
        <v>79</v>
      </c>
      <c r="U271">
        <v>358</v>
      </c>
      <c r="V271" t="s">
        <v>285</v>
      </c>
      <c r="W271" t="s">
        <v>431</v>
      </c>
      <c r="X271" t="s">
        <v>408</v>
      </c>
      <c r="Y271">
        <v>1603</v>
      </c>
      <c r="Z271">
        <v>22</v>
      </c>
      <c r="AA271">
        <v>0</v>
      </c>
      <c r="AB271">
        <v>79</v>
      </c>
    </row>
    <row r="272" spans="1:28" x14ac:dyDescent="0.2">
      <c r="A272">
        <v>359</v>
      </c>
      <c r="B272" s="2" t="s">
        <v>229</v>
      </c>
      <c r="C272" t="s">
        <v>401</v>
      </c>
      <c r="D272" t="s">
        <v>408</v>
      </c>
      <c r="E272">
        <v>1571</v>
      </c>
      <c r="F272">
        <v>189</v>
      </c>
      <c r="G272">
        <v>172</v>
      </c>
      <c r="H272">
        <v>41</v>
      </c>
      <c r="U272">
        <v>359</v>
      </c>
      <c r="V272" t="s">
        <v>229</v>
      </c>
      <c r="W272" t="s">
        <v>401</v>
      </c>
      <c r="X272" t="s">
        <v>408</v>
      </c>
      <c r="Y272">
        <v>1309</v>
      </c>
      <c r="Z272">
        <v>182</v>
      </c>
      <c r="AA272">
        <v>150</v>
      </c>
      <c r="AB272">
        <v>41</v>
      </c>
    </row>
    <row r="273" spans="1:29" x14ac:dyDescent="0.2">
      <c r="A273">
        <v>360</v>
      </c>
      <c r="B273" t="s">
        <v>230</v>
      </c>
      <c r="C273" t="s">
        <v>400</v>
      </c>
      <c r="D273" t="s">
        <v>408</v>
      </c>
      <c r="E273">
        <v>3301</v>
      </c>
      <c r="F273">
        <v>101</v>
      </c>
      <c r="G273">
        <v>295</v>
      </c>
      <c r="H273">
        <v>67</v>
      </c>
      <c r="U273">
        <v>360</v>
      </c>
      <c r="V273" t="s">
        <v>230</v>
      </c>
      <c r="W273" t="s">
        <v>400</v>
      </c>
      <c r="X273" t="s">
        <v>408</v>
      </c>
      <c r="Y273">
        <v>2921</v>
      </c>
      <c r="Z273">
        <v>79</v>
      </c>
      <c r="AA273">
        <v>259</v>
      </c>
      <c r="AB273">
        <v>67</v>
      </c>
    </row>
    <row r="274" spans="1:29" x14ac:dyDescent="0.2">
      <c r="A274">
        <v>361</v>
      </c>
      <c r="B274" t="s">
        <v>231</v>
      </c>
      <c r="C274" t="s">
        <v>400</v>
      </c>
      <c r="D274" t="s">
        <v>408</v>
      </c>
      <c r="E274">
        <v>3688</v>
      </c>
      <c r="F274">
        <v>100</v>
      </c>
      <c r="G274">
        <v>347</v>
      </c>
      <c r="H274">
        <v>78</v>
      </c>
      <c r="U274">
        <v>361</v>
      </c>
      <c r="V274" t="s">
        <v>231</v>
      </c>
      <c r="W274" t="s">
        <v>400</v>
      </c>
      <c r="X274" t="s">
        <v>408</v>
      </c>
      <c r="Y274" s="1">
        <v>3293</v>
      </c>
      <c r="Z274" s="1">
        <v>76</v>
      </c>
      <c r="AA274">
        <v>307</v>
      </c>
      <c r="AB274">
        <v>78</v>
      </c>
    </row>
    <row r="275" spans="1:29" x14ac:dyDescent="0.2">
      <c r="A275">
        <v>362</v>
      </c>
      <c r="B275" t="s">
        <v>233</v>
      </c>
      <c r="C275" t="s">
        <v>401</v>
      </c>
      <c r="D275" t="s">
        <v>408</v>
      </c>
      <c r="E275">
        <v>1826</v>
      </c>
      <c r="F275">
        <v>163</v>
      </c>
      <c r="G275">
        <v>172</v>
      </c>
      <c r="H275">
        <v>68</v>
      </c>
      <c r="U275">
        <v>362</v>
      </c>
      <c r="V275" t="s">
        <v>233</v>
      </c>
      <c r="W275" t="s">
        <v>401</v>
      </c>
      <c r="X275" t="s">
        <v>408</v>
      </c>
      <c r="Y275">
        <v>1521</v>
      </c>
      <c r="Z275">
        <v>157</v>
      </c>
      <c r="AA275">
        <v>149</v>
      </c>
      <c r="AB275">
        <v>68</v>
      </c>
    </row>
    <row r="276" spans="1:29" x14ac:dyDescent="0.2">
      <c r="A276">
        <v>363</v>
      </c>
      <c r="B276" s="2" t="s">
        <v>234</v>
      </c>
      <c r="C276" t="s">
        <v>401</v>
      </c>
      <c r="D276" t="s">
        <v>408</v>
      </c>
      <c r="E276">
        <v>1826</v>
      </c>
      <c r="F276">
        <v>163</v>
      </c>
      <c r="G276">
        <v>172</v>
      </c>
      <c r="H276">
        <v>75</v>
      </c>
      <c r="U276">
        <v>363</v>
      </c>
      <c r="V276" t="s">
        <v>234</v>
      </c>
      <c r="W276" t="s">
        <v>401</v>
      </c>
      <c r="X276" t="s">
        <v>408</v>
      </c>
      <c r="Y276">
        <v>1521</v>
      </c>
      <c r="Z276">
        <v>157</v>
      </c>
      <c r="AA276">
        <v>149</v>
      </c>
      <c r="AB276">
        <v>75</v>
      </c>
    </row>
    <row r="277" spans="1:29" x14ac:dyDescent="0.2">
      <c r="A277">
        <v>364</v>
      </c>
      <c r="B277" t="s">
        <v>235</v>
      </c>
      <c r="C277" t="s">
        <v>413</v>
      </c>
      <c r="D277" t="s">
        <v>409</v>
      </c>
      <c r="E277">
        <v>4152</v>
      </c>
      <c r="F277">
        <v>57</v>
      </c>
      <c r="G277">
        <v>248</v>
      </c>
      <c r="H277">
        <v>76</v>
      </c>
      <c r="U277">
        <v>364</v>
      </c>
      <c r="V277" t="s">
        <v>235</v>
      </c>
      <c r="W277" t="s">
        <v>413</v>
      </c>
      <c r="X277" t="s">
        <v>409</v>
      </c>
      <c r="Y277">
        <v>3707</v>
      </c>
      <c r="Z277">
        <v>24</v>
      </c>
      <c r="AA277">
        <v>216</v>
      </c>
      <c r="AB277">
        <v>76</v>
      </c>
    </row>
    <row r="278" spans="1:29" x14ac:dyDescent="0.2">
      <c r="A278">
        <v>365</v>
      </c>
      <c r="B278" t="s">
        <v>236</v>
      </c>
      <c r="C278" t="s">
        <v>401</v>
      </c>
      <c r="D278" t="s">
        <v>408</v>
      </c>
      <c r="E278">
        <v>2054</v>
      </c>
      <c r="F278">
        <v>160</v>
      </c>
      <c r="G278">
        <v>172</v>
      </c>
      <c r="H278">
        <v>75</v>
      </c>
      <c r="U278">
        <v>365</v>
      </c>
      <c r="V278" t="s">
        <v>236</v>
      </c>
      <c r="W278" t="s">
        <v>401</v>
      </c>
      <c r="X278" t="s">
        <v>408</v>
      </c>
      <c r="Y278">
        <v>1712</v>
      </c>
      <c r="Z278">
        <v>154</v>
      </c>
      <c r="AA278">
        <v>150</v>
      </c>
      <c r="AB278">
        <v>75</v>
      </c>
    </row>
    <row r="279" spans="1:29" x14ac:dyDescent="0.2">
      <c r="A279">
        <v>366</v>
      </c>
      <c r="B279" t="s">
        <v>237</v>
      </c>
      <c r="C279" t="s">
        <v>400</v>
      </c>
      <c r="D279" t="s">
        <v>408</v>
      </c>
      <c r="E279">
        <v>3301</v>
      </c>
      <c r="F279">
        <v>101</v>
      </c>
      <c r="G279">
        <v>295</v>
      </c>
      <c r="H279">
        <v>67</v>
      </c>
      <c r="U279">
        <v>366</v>
      </c>
      <c r="V279" t="s">
        <v>237</v>
      </c>
      <c r="W279" t="s">
        <v>400</v>
      </c>
      <c r="X279" t="s">
        <v>408</v>
      </c>
      <c r="Y279">
        <v>2921</v>
      </c>
      <c r="Z279">
        <v>79</v>
      </c>
      <c r="AA279">
        <v>259</v>
      </c>
      <c r="AB279">
        <v>67</v>
      </c>
    </row>
    <row r="280" spans="1:29" x14ac:dyDescent="0.2">
      <c r="A280">
        <v>367</v>
      </c>
      <c r="B280" t="s">
        <v>286</v>
      </c>
      <c r="C280" t="s">
        <v>429</v>
      </c>
      <c r="D280" t="s">
        <v>409</v>
      </c>
      <c r="E280">
        <v>7654</v>
      </c>
      <c r="F280">
        <v>41</v>
      </c>
      <c r="G280">
        <v>187</v>
      </c>
      <c r="H280">
        <v>23</v>
      </c>
      <c r="I280">
        <v>0.1</v>
      </c>
      <c r="U280">
        <v>367</v>
      </c>
      <c r="V280" t="s">
        <v>286</v>
      </c>
      <c r="W280" t="s">
        <v>429</v>
      </c>
      <c r="X280" t="s">
        <v>409</v>
      </c>
      <c r="Y280">
        <v>6514</v>
      </c>
      <c r="Z280">
        <v>24</v>
      </c>
      <c r="AA280">
        <v>162</v>
      </c>
      <c r="AB280">
        <v>23</v>
      </c>
      <c r="AC280">
        <v>0.1</v>
      </c>
    </row>
    <row r="281" spans="1:29" x14ac:dyDescent="0.2">
      <c r="A281">
        <v>368</v>
      </c>
      <c r="B281" s="2" t="s">
        <v>378</v>
      </c>
      <c r="C281" t="s">
        <v>414</v>
      </c>
      <c r="D281" t="s">
        <v>410</v>
      </c>
      <c r="E281">
        <v>8303</v>
      </c>
      <c r="F281">
        <v>39</v>
      </c>
      <c r="G281">
        <v>187</v>
      </c>
      <c r="H281">
        <v>42</v>
      </c>
      <c r="U281">
        <v>368</v>
      </c>
      <c r="V281" t="s">
        <v>393</v>
      </c>
      <c r="W281" t="s">
        <v>414</v>
      </c>
      <c r="X281" t="s">
        <v>410</v>
      </c>
      <c r="Y281">
        <v>7115</v>
      </c>
      <c r="Z281">
        <v>20</v>
      </c>
      <c r="AA281">
        <v>162</v>
      </c>
      <c r="AB281">
        <v>42</v>
      </c>
    </row>
    <row r="282" spans="1:29" x14ac:dyDescent="0.2">
      <c r="A282">
        <v>369</v>
      </c>
      <c r="B282" s="2" t="s">
        <v>238</v>
      </c>
      <c r="C282" t="s">
        <v>401</v>
      </c>
      <c r="D282" t="s">
        <v>408</v>
      </c>
      <c r="E282">
        <v>1561</v>
      </c>
      <c r="F282">
        <v>193</v>
      </c>
      <c r="G282">
        <v>139</v>
      </c>
      <c r="H282">
        <v>87</v>
      </c>
      <c r="U282">
        <v>369</v>
      </c>
      <c r="V282" t="s">
        <v>238</v>
      </c>
      <c r="W282" t="s">
        <v>401</v>
      </c>
      <c r="X282" t="s">
        <v>408</v>
      </c>
      <c r="Y282">
        <v>1301</v>
      </c>
      <c r="Z282">
        <v>187</v>
      </c>
      <c r="AA282">
        <v>121</v>
      </c>
      <c r="AB282">
        <v>87</v>
      </c>
    </row>
    <row r="283" spans="1:29" x14ac:dyDescent="0.2">
      <c r="A283">
        <v>370</v>
      </c>
      <c r="B283" s="2" t="s">
        <v>239</v>
      </c>
      <c r="C283" t="s">
        <v>401</v>
      </c>
      <c r="D283" t="s">
        <v>408</v>
      </c>
      <c r="E283">
        <v>2157</v>
      </c>
      <c r="F283">
        <v>191</v>
      </c>
      <c r="G283">
        <v>156</v>
      </c>
      <c r="H283">
        <v>40</v>
      </c>
      <c r="U283">
        <v>370</v>
      </c>
      <c r="V283" t="s">
        <v>239</v>
      </c>
      <c r="W283" t="s">
        <v>401</v>
      </c>
      <c r="X283" t="s">
        <v>408</v>
      </c>
      <c r="Y283">
        <v>1798</v>
      </c>
      <c r="Z283">
        <v>185</v>
      </c>
      <c r="AA283">
        <v>135</v>
      </c>
      <c r="AB283">
        <v>40</v>
      </c>
    </row>
    <row r="284" spans="1:29" x14ac:dyDescent="0.2">
      <c r="A284">
        <v>371</v>
      </c>
      <c r="B284" s="2" t="s">
        <v>9</v>
      </c>
      <c r="C284" t="s">
        <v>400</v>
      </c>
      <c r="D284" t="s">
        <v>408</v>
      </c>
      <c r="E284">
        <v>3744</v>
      </c>
      <c r="F284">
        <v>97</v>
      </c>
      <c r="G284">
        <v>385</v>
      </c>
      <c r="H284">
        <v>70</v>
      </c>
      <c r="U284">
        <v>371</v>
      </c>
      <c r="V284" t="s">
        <v>9</v>
      </c>
      <c r="W284" t="s">
        <v>400</v>
      </c>
      <c r="X284" t="s">
        <v>408</v>
      </c>
      <c r="Y284">
        <v>3343</v>
      </c>
      <c r="Z284">
        <v>73</v>
      </c>
      <c r="AA284">
        <v>344</v>
      </c>
      <c r="AB284">
        <v>70</v>
      </c>
    </row>
    <row r="285" spans="1:29" x14ac:dyDescent="0.2">
      <c r="A285">
        <v>372</v>
      </c>
      <c r="B285" t="s">
        <v>287</v>
      </c>
      <c r="C285" t="s">
        <v>400</v>
      </c>
      <c r="D285" t="s">
        <v>408</v>
      </c>
      <c r="E285">
        <v>2981</v>
      </c>
      <c r="F285">
        <v>92</v>
      </c>
      <c r="G285">
        <v>154</v>
      </c>
      <c r="H285">
        <v>24</v>
      </c>
      <c r="U285">
        <v>372</v>
      </c>
      <c r="V285" t="s">
        <v>240</v>
      </c>
      <c r="W285" t="s">
        <v>400</v>
      </c>
      <c r="X285" t="s">
        <v>408</v>
      </c>
      <c r="Y285">
        <v>2638</v>
      </c>
      <c r="Z285">
        <v>68</v>
      </c>
      <c r="AA285">
        <v>134</v>
      </c>
      <c r="AB285">
        <v>24</v>
      </c>
    </row>
    <row r="286" spans="1:29" x14ac:dyDescent="0.2">
      <c r="A286">
        <v>373</v>
      </c>
      <c r="B286" s="2" t="s">
        <v>241</v>
      </c>
      <c r="C286" t="s">
        <v>400</v>
      </c>
      <c r="D286" t="s">
        <v>408</v>
      </c>
      <c r="E286">
        <v>2789</v>
      </c>
      <c r="F286">
        <v>92</v>
      </c>
      <c r="G286">
        <v>178</v>
      </c>
      <c r="H286">
        <v>45</v>
      </c>
      <c r="U286">
        <v>373</v>
      </c>
      <c r="V286" t="s">
        <v>241</v>
      </c>
      <c r="W286" t="s">
        <v>400</v>
      </c>
      <c r="X286" t="s">
        <v>408</v>
      </c>
      <c r="Y286">
        <v>2468</v>
      </c>
      <c r="Z286">
        <v>68</v>
      </c>
      <c r="AA286">
        <v>155</v>
      </c>
      <c r="AB286">
        <v>45</v>
      </c>
    </row>
    <row r="287" spans="1:29" x14ac:dyDescent="0.2">
      <c r="A287">
        <v>374</v>
      </c>
      <c r="B287" t="s">
        <v>242</v>
      </c>
      <c r="C287" t="s">
        <v>401</v>
      </c>
      <c r="D287" t="s">
        <v>408</v>
      </c>
      <c r="E287">
        <v>2054</v>
      </c>
      <c r="F287">
        <v>160</v>
      </c>
      <c r="G287">
        <v>182</v>
      </c>
      <c r="H287">
        <v>77</v>
      </c>
      <c r="U287">
        <v>374</v>
      </c>
      <c r="V287" t="s">
        <v>242</v>
      </c>
      <c r="W287" t="s">
        <v>401</v>
      </c>
      <c r="X287" t="s">
        <v>408</v>
      </c>
      <c r="Y287">
        <v>1712</v>
      </c>
      <c r="Z287">
        <v>154</v>
      </c>
      <c r="AA287">
        <v>158</v>
      </c>
      <c r="AB287">
        <v>77</v>
      </c>
    </row>
    <row r="288" spans="1:29" x14ac:dyDescent="0.2">
      <c r="A288">
        <v>375</v>
      </c>
      <c r="B288" s="2" t="s">
        <v>243</v>
      </c>
      <c r="C288" t="s">
        <v>401</v>
      </c>
      <c r="D288" t="s">
        <v>408</v>
      </c>
      <c r="E288">
        <v>2115</v>
      </c>
      <c r="F288">
        <v>160</v>
      </c>
      <c r="G288">
        <v>172</v>
      </c>
      <c r="H288">
        <v>89</v>
      </c>
      <c r="U288">
        <v>375</v>
      </c>
      <c r="V288" t="s">
        <v>243</v>
      </c>
      <c r="W288" t="s">
        <v>401</v>
      </c>
      <c r="X288" t="s">
        <v>408</v>
      </c>
      <c r="Y288">
        <v>1762</v>
      </c>
      <c r="Z288">
        <v>154</v>
      </c>
      <c r="AA288">
        <v>150</v>
      </c>
      <c r="AB288">
        <v>89</v>
      </c>
    </row>
    <row r="289" spans="1:28" x14ac:dyDescent="0.2">
      <c r="A289">
        <v>376</v>
      </c>
      <c r="B289" t="s">
        <v>320</v>
      </c>
      <c r="C289" t="s">
        <v>426</v>
      </c>
      <c r="D289" t="s">
        <v>409</v>
      </c>
      <c r="E289">
        <v>4707</v>
      </c>
      <c r="F289">
        <v>62</v>
      </c>
      <c r="G289">
        <v>257</v>
      </c>
      <c r="H289">
        <v>82</v>
      </c>
      <c r="U289">
        <v>376</v>
      </c>
      <c r="V289" t="s">
        <v>320</v>
      </c>
      <c r="W289" t="s">
        <v>426</v>
      </c>
      <c r="X289" t="s">
        <v>409</v>
      </c>
      <c r="Y289">
        <v>4023</v>
      </c>
      <c r="Z289">
        <v>39</v>
      </c>
      <c r="AA289">
        <v>224</v>
      </c>
      <c r="AB289">
        <v>82</v>
      </c>
    </row>
    <row r="290" spans="1:28" x14ac:dyDescent="0.2">
      <c r="A290">
        <v>377</v>
      </c>
      <c r="B290" t="s">
        <v>288</v>
      </c>
      <c r="C290" t="s">
        <v>426</v>
      </c>
      <c r="D290" t="s">
        <v>409</v>
      </c>
      <c r="E290">
        <v>4796</v>
      </c>
      <c r="F290">
        <v>83</v>
      </c>
      <c r="G290">
        <v>268</v>
      </c>
      <c r="H290">
        <v>78</v>
      </c>
      <c r="U290">
        <v>377</v>
      </c>
      <c r="V290" t="s">
        <v>288</v>
      </c>
      <c r="W290" t="s">
        <v>426</v>
      </c>
      <c r="X290" t="s">
        <v>409</v>
      </c>
      <c r="Y290">
        <v>4135</v>
      </c>
      <c r="Z290">
        <v>54</v>
      </c>
      <c r="AA290">
        <v>234</v>
      </c>
      <c r="AB290">
        <v>78</v>
      </c>
    </row>
    <row r="291" spans="1:28" x14ac:dyDescent="0.2">
      <c r="A291">
        <v>378</v>
      </c>
      <c r="B291" t="s">
        <v>289</v>
      </c>
      <c r="C291" t="s">
        <v>427</v>
      </c>
      <c r="D291" t="s">
        <v>409</v>
      </c>
      <c r="E291">
        <v>6647</v>
      </c>
      <c r="F291">
        <v>54</v>
      </c>
      <c r="G291">
        <v>331</v>
      </c>
      <c r="H291">
        <v>83</v>
      </c>
      <c r="U291">
        <v>378</v>
      </c>
      <c r="V291" t="s">
        <v>289</v>
      </c>
      <c r="W291" t="s">
        <v>427</v>
      </c>
      <c r="X291" t="s">
        <v>409</v>
      </c>
      <c r="Y291">
        <v>5730</v>
      </c>
      <c r="Z291">
        <v>34</v>
      </c>
      <c r="AA291">
        <v>293</v>
      </c>
      <c r="AB291">
        <v>83</v>
      </c>
    </row>
    <row r="292" spans="1:28" x14ac:dyDescent="0.2">
      <c r="A292">
        <v>379</v>
      </c>
      <c r="B292" t="s">
        <v>437</v>
      </c>
      <c r="C292" t="s">
        <v>401</v>
      </c>
      <c r="D292" t="s">
        <v>408</v>
      </c>
      <c r="E292">
        <v>2053</v>
      </c>
      <c r="F292">
        <v>148</v>
      </c>
      <c r="G292">
        <v>154</v>
      </c>
      <c r="H292">
        <v>44</v>
      </c>
      <c r="U292">
        <v>379</v>
      </c>
      <c r="V292" t="s">
        <v>437</v>
      </c>
      <c r="W292" t="s">
        <v>401</v>
      </c>
      <c r="X292" t="s">
        <v>408</v>
      </c>
      <c r="Y292">
        <v>1725</v>
      </c>
      <c r="Z292">
        <v>143</v>
      </c>
      <c r="AA292">
        <v>134</v>
      </c>
      <c r="AB292">
        <v>44</v>
      </c>
    </row>
    <row r="293" spans="1:28" x14ac:dyDescent="0.2">
      <c r="A293">
        <v>380</v>
      </c>
      <c r="B293" s="2" t="s">
        <v>444</v>
      </c>
      <c r="C293" s="2" t="s">
        <v>427</v>
      </c>
      <c r="D293" s="2" t="s">
        <v>409</v>
      </c>
      <c r="E293">
        <v>6610</v>
      </c>
      <c r="F293">
        <v>54</v>
      </c>
      <c r="G293">
        <v>309</v>
      </c>
      <c r="H293">
        <v>35</v>
      </c>
      <c r="U293">
        <v>380</v>
      </c>
      <c r="V293" s="2" t="s">
        <v>444</v>
      </c>
      <c r="W293" s="2" t="s">
        <v>427</v>
      </c>
      <c r="X293" s="2" t="s">
        <v>409</v>
      </c>
      <c r="Y293">
        <v>5698</v>
      </c>
      <c r="Z293">
        <v>34</v>
      </c>
      <c r="AA293">
        <v>272</v>
      </c>
      <c r="AB293">
        <v>35</v>
      </c>
    </row>
    <row r="294" spans="1:28" x14ac:dyDescent="0.2">
      <c r="A294">
        <v>381</v>
      </c>
      <c r="B294" s="2" t="s">
        <v>445</v>
      </c>
      <c r="C294" s="2" t="s">
        <v>447</v>
      </c>
      <c r="D294" s="2" t="s">
        <v>408</v>
      </c>
      <c r="E294">
        <v>2657</v>
      </c>
      <c r="F294">
        <v>36</v>
      </c>
      <c r="G294">
        <v>0</v>
      </c>
      <c r="H294">
        <v>20</v>
      </c>
      <c r="U294">
        <v>381</v>
      </c>
      <c r="V294" s="2" t="s">
        <v>445</v>
      </c>
      <c r="W294" s="2" t="s">
        <v>447</v>
      </c>
      <c r="X294" s="2" t="s">
        <v>408</v>
      </c>
      <c r="Y294">
        <v>2214</v>
      </c>
      <c r="Z294">
        <v>18</v>
      </c>
      <c r="AA294">
        <v>0</v>
      </c>
      <c r="AB294">
        <v>20</v>
      </c>
    </row>
    <row r="295" spans="1:28" x14ac:dyDescent="0.2">
      <c r="A295">
        <v>382</v>
      </c>
      <c r="B295" s="2" t="s">
        <v>446</v>
      </c>
      <c r="C295" s="2" t="s">
        <v>413</v>
      </c>
      <c r="D295" s="2" t="s">
        <v>409</v>
      </c>
      <c r="E295">
        <v>4176</v>
      </c>
      <c r="F295">
        <v>80</v>
      </c>
      <c r="G295">
        <v>209</v>
      </c>
      <c r="H295">
        <v>15</v>
      </c>
      <c r="U295">
        <v>382</v>
      </c>
      <c r="V295" s="2" t="s">
        <v>446</v>
      </c>
      <c r="W295" s="2" t="s">
        <v>413</v>
      </c>
      <c r="X295" s="2" t="s">
        <v>409</v>
      </c>
      <c r="Y295">
        <v>3712</v>
      </c>
      <c r="Z295">
        <v>34</v>
      </c>
      <c r="AA295">
        <v>181</v>
      </c>
      <c r="AB295">
        <v>15</v>
      </c>
    </row>
    <row r="296" spans="1:28" x14ac:dyDescent="0.2">
      <c r="A296">
        <v>383</v>
      </c>
      <c r="B296" s="2" t="s">
        <v>480</v>
      </c>
      <c r="C296" s="2" t="s">
        <v>414</v>
      </c>
      <c r="D296" s="2" t="s">
        <v>410</v>
      </c>
      <c r="E296">
        <v>6454</v>
      </c>
      <c r="F296">
        <v>40</v>
      </c>
      <c r="G296">
        <v>247</v>
      </c>
      <c r="H296">
        <v>37</v>
      </c>
      <c r="U296">
        <v>383</v>
      </c>
      <c r="V296" s="2" t="s">
        <v>480</v>
      </c>
      <c r="W296" s="2" t="s">
        <v>414</v>
      </c>
      <c r="X296" s="2" t="s">
        <v>410</v>
      </c>
      <c r="Y296">
        <v>5493</v>
      </c>
      <c r="Z296">
        <v>23</v>
      </c>
      <c r="AA296">
        <v>215</v>
      </c>
      <c r="AB296">
        <v>37</v>
      </c>
    </row>
    <row r="297" spans="1:28" x14ac:dyDescent="0.2">
      <c r="A297">
        <v>384</v>
      </c>
      <c r="B297" s="2" t="s">
        <v>481</v>
      </c>
      <c r="C297" s="2" t="s">
        <v>427</v>
      </c>
      <c r="D297" s="2" t="s">
        <v>409</v>
      </c>
      <c r="E297">
        <v>6250</v>
      </c>
      <c r="F297">
        <v>54</v>
      </c>
      <c r="G297">
        <v>311</v>
      </c>
      <c r="H297">
        <v>42</v>
      </c>
      <c r="U297">
        <v>384</v>
      </c>
      <c r="V297" s="2" t="s">
        <v>481</v>
      </c>
      <c r="W297" s="2" t="s">
        <v>427</v>
      </c>
      <c r="X297" s="2" t="s">
        <v>409</v>
      </c>
      <c r="Y297">
        <v>5571</v>
      </c>
      <c r="Z297">
        <v>33</v>
      </c>
      <c r="AA297">
        <v>274</v>
      </c>
      <c r="AB297">
        <v>42</v>
      </c>
    </row>
    <row r="298" spans="1:28" x14ac:dyDescent="0.2">
      <c r="A298">
        <v>385</v>
      </c>
      <c r="B298" s="2" t="s">
        <v>482</v>
      </c>
      <c r="C298" s="2" t="s">
        <v>427</v>
      </c>
      <c r="D298" s="2" t="s">
        <v>409</v>
      </c>
      <c r="E298">
        <v>6983</v>
      </c>
      <c r="F298">
        <v>56</v>
      </c>
      <c r="G298">
        <v>307</v>
      </c>
      <c r="H298">
        <v>45</v>
      </c>
      <c r="U298">
        <v>385</v>
      </c>
      <c r="V298" s="2" t="s">
        <v>482</v>
      </c>
      <c r="W298" s="2" t="s">
        <v>427</v>
      </c>
      <c r="X298" s="2" t="s">
        <v>409</v>
      </c>
      <c r="Y298">
        <v>6348</v>
      </c>
      <c r="Z298">
        <v>41</v>
      </c>
      <c r="AA298">
        <v>270</v>
      </c>
      <c r="AB298">
        <v>45</v>
      </c>
    </row>
    <row r="299" spans="1:28" x14ac:dyDescent="0.2">
      <c r="A299">
        <v>386</v>
      </c>
      <c r="B299" s="2" t="s">
        <v>492</v>
      </c>
      <c r="C299" s="2" t="s">
        <v>431</v>
      </c>
      <c r="D299" s="2" t="s">
        <v>408</v>
      </c>
      <c r="E299">
        <v>1261</v>
      </c>
      <c r="F299">
        <v>37</v>
      </c>
      <c r="G299">
        <v>0</v>
      </c>
      <c r="H299">
        <v>45</v>
      </c>
      <c r="U299">
        <v>386</v>
      </c>
      <c r="V299" s="2" t="s">
        <v>492</v>
      </c>
      <c r="W299" t="s">
        <v>431</v>
      </c>
      <c r="X299" s="2" t="s">
        <v>408</v>
      </c>
      <c r="Y299">
        <v>1051</v>
      </c>
      <c r="Z299">
        <v>18</v>
      </c>
      <c r="AA299">
        <v>0</v>
      </c>
      <c r="AB299">
        <v>45</v>
      </c>
    </row>
    <row r="300" spans="1:28" x14ac:dyDescent="0.2">
      <c r="A300">
        <v>387</v>
      </c>
      <c r="B300" s="2" t="s">
        <v>493</v>
      </c>
      <c r="C300" s="2" t="s">
        <v>431</v>
      </c>
      <c r="D300" s="2" t="s">
        <v>408</v>
      </c>
      <c r="E300">
        <v>1250</v>
      </c>
      <c r="F300">
        <v>37</v>
      </c>
      <c r="G300">
        <v>0</v>
      </c>
      <c r="H300">
        <v>45</v>
      </c>
      <c r="U300">
        <v>387</v>
      </c>
      <c r="V300" s="2" t="s">
        <v>493</v>
      </c>
      <c r="W300" t="s">
        <v>431</v>
      </c>
      <c r="X300" s="2" t="s">
        <v>408</v>
      </c>
      <c r="Y300">
        <v>1042</v>
      </c>
      <c r="Z300">
        <v>18</v>
      </c>
      <c r="AA300">
        <v>0</v>
      </c>
      <c r="AB300">
        <v>35</v>
      </c>
    </row>
    <row r="301" spans="1:28" x14ac:dyDescent="0.2">
      <c r="A301">
        <v>388</v>
      </c>
      <c r="B301" s="2" t="s">
        <v>494</v>
      </c>
      <c r="C301" s="2" t="s">
        <v>401</v>
      </c>
      <c r="D301" s="2" t="s">
        <v>408</v>
      </c>
      <c r="E301">
        <v>2092</v>
      </c>
      <c r="F301">
        <v>159</v>
      </c>
      <c r="G301">
        <v>178</v>
      </c>
      <c r="H301">
        <v>36</v>
      </c>
      <c r="U301">
        <v>388</v>
      </c>
      <c r="V301" s="2" t="s">
        <v>494</v>
      </c>
      <c r="W301" t="s">
        <v>401</v>
      </c>
      <c r="X301" s="2" t="s">
        <v>408</v>
      </c>
      <c r="Y301">
        <v>1758</v>
      </c>
      <c r="Z301">
        <v>153</v>
      </c>
      <c r="AA301">
        <v>155</v>
      </c>
      <c r="AB301">
        <v>36</v>
      </c>
    </row>
    <row r="302" spans="1:28" x14ac:dyDescent="0.2">
      <c r="A302">
        <v>389</v>
      </c>
      <c r="B302" s="2" t="s">
        <v>495</v>
      </c>
      <c r="C302" s="2" t="s">
        <v>401</v>
      </c>
      <c r="D302" s="2" t="s">
        <v>408</v>
      </c>
      <c r="E302">
        <v>1400</v>
      </c>
      <c r="F302">
        <v>209</v>
      </c>
      <c r="G302">
        <v>152</v>
      </c>
      <c r="H302">
        <v>65</v>
      </c>
      <c r="U302">
        <v>389</v>
      </c>
      <c r="V302" s="2" t="s">
        <v>495</v>
      </c>
      <c r="W302" t="s">
        <v>401</v>
      </c>
      <c r="X302" s="2" t="s">
        <v>408</v>
      </c>
      <c r="Y302">
        <v>1167</v>
      </c>
      <c r="Z302">
        <v>203</v>
      </c>
      <c r="AA302">
        <v>132</v>
      </c>
      <c r="AB302">
        <v>65</v>
      </c>
    </row>
    <row r="303" spans="1:28" x14ac:dyDescent="0.2">
      <c r="A303">
        <v>390</v>
      </c>
      <c r="B303" s="2" t="s">
        <v>497</v>
      </c>
      <c r="C303" s="2" t="s">
        <v>400</v>
      </c>
      <c r="D303" s="2" t="s">
        <v>408</v>
      </c>
      <c r="E303">
        <v>3246</v>
      </c>
      <c r="F303">
        <v>91</v>
      </c>
      <c r="G303">
        <v>316</v>
      </c>
      <c r="H303">
        <v>33</v>
      </c>
      <c r="U303">
        <v>390</v>
      </c>
      <c r="V303" s="2" t="s">
        <v>497</v>
      </c>
      <c r="W303" t="s">
        <v>400</v>
      </c>
      <c r="X303" s="2" t="s">
        <v>408</v>
      </c>
      <c r="Y303">
        <v>2885</v>
      </c>
      <c r="Z303">
        <v>73</v>
      </c>
      <c r="AA303">
        <v>279</v>
      </c>
      <c r="AB303">
        <v>33</v>
      </c>
    </row>
    <row r="304" spans="1:28" x14ac:dyDescent="0.2">
      <c r="A304">
        <v>391</v>
      </c>
      <c r="B304" s="2" t="s">
        <v>498</v>
      </c>
      <c r="C304" s="2" t="s">
        <v>400</v>
      </c>
      <c r="D304" s="2" t="s">
        <v>408</v>
      </c>
      <c r="E304">
        <v>3601</v>
      </c>
      <c r="F304">
        <v>94</v>
      </c>
      <c r="G304">
        <v>323</v>
      </c>
      <c r="H304">
        <v>71</v>
      </c>
      <c r="U304">
        <v>391</v>
      </c>
      <c r="V304" s="2" t="s">
        <v>498</v>
      </c>
      <c r="W304" t="s">
        <v>400</v>
      </c>
      <c r="X304" s="2" t="s">
        <v>408</v>
      </c>
      <c r="Y304">
        <v>3244</v>
      </c>
      <c r="Z304">
        <v>79</v>
      </c>
      <c r="AA304">
        <v>285</v>
      </c>
      <c r="AB304">
        <v>71</v>
      </c>
    </row>
    <row r="305" spans="1:28" x14ac:dyDescent="0.2">
      <c r="A305">
        <v>392</v>
      </c>
      <c r="B305" s="2" t="s">
        <v>499</v>
      </c>
      <c r="C305" s="2" t="s">
        <v>400</v>
      </c>
      <c r="D305" s="2" t="s">
        <v>408</v>
      </c>
      <c r="E305">
        <v>3226</v>
      </c>
      <c r="F305">
        <v>95</v>
      </c>
      <c r="G305">
        <v>434</v>
      </c>
      <c r="H305">
        <v>85</v>
      </c>
      <c r="U305">
        <v>392</v>
      </c>
      <c r="V305" s="2" t="s">
        <v>499</v>
      </c>
      <c r="W305" t="s">
        <v>400</v>
      </c>
      <c r="X305" s="2" t="s">
        <v>408</v>
      </c>
      <c r="Y305">
        <v>2868</v>
      </c>
      <c r="Z305">
        <v>73</v>
      </c>
      <c r="AA305">
        <v>391</v>
      </c>
      <c r="AB305">
        <v>85</v>
      </c>
    </row>
    <row r="306" spans="1:28" x14ac:dyDescent="0.2">
      <c r="A306">
        <v>393</v>
      </c>
      <c r="B306" s="2" t="s">
        <v>505</v>
      </c>
      <c r="C306" s="2" t="s">
        <v>400</v>
      </c>
      <c r="D306" s="2" t="s">
        <v>408</v>
      </c>
      <c r="E306">
        <v>3796</v>
      </c>
      <c r="F306">
        <v>96</v>
      </c>
      <c r="G306">
        <v>304</v>
      </c>
      <c r="H306">
        <v>44</v>
      </c>
      <c r="U306">
        <v>393</v>
      </c>
      <c r="V306" s="2" t="s">
        <v>505</v>
      </c>
      <c r="W306" t="s">
        <v>400</v>
      </c>
      <c r="X306" s="2" t="s">
        <v>408</v>
      </c>
      <c r="Y306">
        <v>3359</v>
      </c>
      <c r="Z306">
        <v>72</v>
      </c>
      <c r="AA306">
        <v>267</v>
      </c>
      <c r="AB306">
        <v>44</v>
      </c>
    </row>
    <row r="307" spans="1:28" x14ac:dyDescent="0.2">
      <c r="A307" s="15">
        <v>394</v>
      </c>
      <c r="B307" s="2" t="s">
        <v>534</v>
      </c>
      <c r="C307" s="2" t="s">
        <v>401</v>
      </c>
      <c r="D307" s="2" t="s">
        <v>408</v>
      </c>
      <c r="E307">
        <v>2021</v>
      </c>
      <c r="F307">
        <v>213</v>
      </c>
      <c r="G307">
        <v>138</v>
      </c>
      <c r="H307">
        <v>51</v>
      </c>
      <c r="U307">
        <v>394</v>
      </c>
      <c r="V307" s="2" t="s">
        <v>534</v>
      </c>
      <c r="W307" t="s">
        <v>401</v>
      </c>
      <c r="X307" s="2" t="s">
        <v>408</v>
      </c>
      <c r="Y307">
        <v>1684</v>
      </c>
      <c r="Z307">
        <v>206</v>
      </c>
      <c r="AA307">
        <v>120</v>
      </c>
      <c r="AB307">
        <v>51</v>
      </c>
    </row>
    <row r="308" spans="1:28" x14ac:dyDescent="0.2">
      <c r="A308" s="15">
        <v>395</v>
      </c>
      <c r="B308" s="2" t="s">
        <v>535</v>
      </c>
      <c r="C308" s="2" t="s">
        <v>401</v>
      </c>
      <c r="D308" s="2" t="s">
        <v>408</v>
      </c>
      <c r="E308">
        <v>1772</v>
      </c>
      <c r="F308">
        <v>178</v>
      </c>
      <c r="G308">
        <v>204</v>
      </c>
      <c r="H308">
        <v>45</v>
      </c>
      <c r="U308" s="15">
        <v>395</v>
      </c>
      <c r="V308" s="2" t="s">
        <v>535</v>
      </c>
      <c r="W308" s="2" t="s">
        <v>401</v>
      </c>
      <c r="X308" s="2" t="s">
        <v>408</v>
      </c>
      <c r="Y308">
        <v>1477</v>
      </c>
      <c r="Z308">
        <v>171</v>
      </c>
      <c r="AA308">
        <v>177</v>
      </c>
      <c r="AB308">
        <v>45</v>
      </c>
    </row>
    <row r="309" spans="1:28" x14ac:dyDescent="0.2">
      <c r="A309" s="27">
        <v>396</v>
      </c>
      <c r="B309" s="2" t="s">
        <v>547</v>
      </c>
      <c r="C309" s="2" t="s">
        <v>431</v>
      </c>
      <c r="D309" s="2" t="s">
        <v>408</v>
      </c>
      <c r="E309">
        <v>1946</v>
      </c>
      <c r="F309">
        <v>45</v>
      </c>
      <c r="G309">
        <v>0</v>
      </c>
      <c r="H309">
        <v>25</v>
      </c>
      <c r="U309">
        <v>396</v>
      </c>
      <c r="V309" t="s">
        <v>547</v>
      </c>
      <c r="W309" t="s">
        <v>431</v>
      </c>
      <c r="X309" t="s">
        <v>408</v>
      </c>
      <c r="Y309">
        <v>1622</v>
      </c>
      <c r="Z309">
        <v>25</v>
      </c>
      <c r="AA309">
        <v>0</v>
      </c>
      <c r="AB309">
        <v>25</v>
      </c>
    </row>
    <row r="310" spans="1:28" x14ac:dyDescent="0.2">
      <c r="A310" s="27">
        <v>397</v>
      </c>
      <c r="B310" s="2" t="s">
        <v>548</v>
      </c>
      <c r="C310" s="2" t="s">
        <v>431</v>
      </c>
      <c r="D310" s="2" t="s">
        <v>408</v>
      </c>
      <c r="E310">
        <v>2080</v>
      </c>
      <c r="F310">
        <v>37</v>
      </c>
      <c r="G310">
        <v>0</v>
      </c>
      <c r="H310">
        <v>46</v>
      </c>
      <c r="U310">
        <v>397</v>
      </c>
      <c r="V310" t="s">
        <v>548</v>
      </c>
      <c r="W310" t="s">
        <v>431</v>
      </c>
      <c r="X310" t="s">
        <v>408</v>
      </c>
      <c r="Y310">
        <v>1733</v>
      </c>
      <c r="Z310">
        <v>18</v>
      </c>
      <c r="AA310">
        <v>0</v>
      </c>
      <c r="AB310">
        <v>46</v>
      </c>
    </row>
    <row r="311" spans="1:28" x14ac:dyDescent="0.2">
      <c r="A311" s="27">
        <v>398</v>
      </c>
      <c r="B311" s="2" t="s">
        <v>549</v>
      </c>
      <c r="C311" s="2" t="s">
        <v>431</v>
      </c>
      <c r="D311" s="2" t="s">
        <v>408</v>
      </c>
      <c r="E311">
        <v>1993</v>
      </c>
      <c r="F311">
        <v>43</v>
      </c>
      <c r="G311">
        <v>0</v>
      </c>
      <c r="H311">
        <v>22</v>
      </c>
      <c r="U311">
        <v>398</v>
      </c>
      <c r="V311" t="s">
        <v>549</v>
      </c>
      <c r="W311" t="s">
        <v>431</v>
      </c>
      <c r="X311" t="s">
        <v>408</v>
      </c>
      <c r="Y311">
        <v>1661</v>
      </c>
      <c r="Z311">
        <v>24</v>
      </c>
      <c r="AA311">
        <v>0</v>
      </c>
      <c r="AB311">
        <v>22</v>
      </c>
    </row>
    <row r="312" spans="1:28" x14ac:dyDescent="0.2">
      <c r="A312" s="27">
        <v>399</v>
      </c>
      <c r="B312" s="2" t="s">
        <v>550</v>
      </c>
      <c r="C312" s="2" t="s">
        <v>431</v>
      </c>
      <c r="D312" s="2" t="s">
        <v>408</v>
      </c>
      <c r="E312">
        <v>1297</v>
      </c>
      <c r="F312">
        <v>37</v>
      </c>
      <c r="G312">
        <v>0</v>
      </c>
      <c r="H312">
        <v>68</v>
      </c>
      <c r="U312">
        <v>399</v>
      </c>
      <c r="V312" t="s">
        <v>550</v>
      </c>
      <c r="W312" t="s">
        <v>431</v>
      </c>
      <c r="X312" t="s">
        <v>408</v>
      </c>
      <c r="Y312">
        <v>1081</v>
      </c>
      <c r="Z312">
        <v>18</v>
      </c>
      <c r="AA312">
        <v>0</v>
      </c>
      <c r="AB312">
        <v>68</v>
      </c>
    </row>
    <row r="313" spans="1:28" x14ac:dyDescent="0.2">
      <c r="A313" s="27">
        <v>400</v>
      </c>
      <c r="B313" s="2" t="s">
        <v>551</v>
      </c>
      <c r="C313" s="2" t="s">
        <v>431</v>
      </c>
      <c r="D313" s="2" t="s">
        <v>408</v>
      </c>
      <c r="E313">
        <v>1497</v>
      </c>
      <c r="F313">
        <v>37</v>
      </c>
      <c r="G313">
        <v>0</v>
      </c>
      <c r="H313">
        <v>22</v>
      </c>
      <c r="U313">
        <v>400</v>
      </c>
      <c r="V313" t="s">
        <v>551</v>
      </c>
      <c r="W313" t="s">
        <v>431</v>
      </c>
      <c r="X313" t="s">
        <v>408</v>
      </c>
      <c r="Y313">
        <v>1247</v>
      </c>
      <c r="Z313">
        <v>18</v>
      </c>
      <c r="AA313">
        <v>0</v>
      </c>
      <c r="AB313">
        <v>22</v>
      </c>
    </row>
    <row r="314" spans="1:28" x14ac:dyDescent="0.2">
      <c r="A314">
        <v>3005</v>
      </c>
      <c r="B314" t="s">
        <v>10</v>
      </c>
      <c r="C314" t="s">
        <v>401</v>
      </c>
      <c r="D314" t="s">
        <v>408</v>
      </c>
      <c r="E314">
        <v>1900</v>
      </c>
      <c r="F314">
        <v>187</v>
      </c>
      <c r="G314">
        <v>168</v>
      </c>
      <c r="H314">
        <v>66</v>
      </c>
      <c r="U314">
        <v>3005</v>
      </c>
      <c r="V314" t="s">
        <v>10</v>
      </c>
      <c r="W314" t="s">
        <v>401</v>
      </c>
      <c r="X314" t="s">
        <v>408</v>
      </c>
      <c r="Y314">
        <v>1611</v>
      </c>
      <c r="Z314">
        <v>181</v>
      </c>
      <c r="AA314">
        <v>146</v>
      </c>
      <c r="AB314">
        <v>66</v>
      </c>
    </row>
    <row r="315" spans="1:28" x14ac:dyDescent="0.2">
      <c r="A315">
        <v>3006</v>
      </c>
      <c r="B315" s="2" t="s">
        <v>14</v>
      </c>
      <c r="C315" t="s">
        <v>401</v>
      </c>
      <c r="D315" t="s">
        <v>408</v>
      </c>
      <c r="E315">
        <v>1900</v>
      </c>
      <c r="F315">
        <v>187</v>
      </c>
      <c r="G315">
        <v>168</v>
      </c>
      <c r="H315">
        <v>63</v>
      </c>
      <c r="U315">
        <v>3006</v>
      </c>
      <c r="V315" s="2" t="s">
        <v>14</v>
      </c>
      <c r="W315" t="s">
        <v>401</v>
      </c>
      <c r="X315" t="s">
        <v>408</v>
      </c>
      <c r="Y315">
        <v>1611</v>
      </c>
      <c r="Z315">
        <v>181</v>
      </c>
      <c r="AA315">
        <v>146</v>
      </c>
      <c r="AB315">
        <v>63</v>
      </c>
    </row>
    <row r="316" spans="1:28" x14ac:dyDescent="0.2">
      <c r="A316">
        <v>3019</v>
      </c>
      <c r="B316" s="2" t="s">
        <v>27</v>
      </c>
      <c r="C316" t="s">
        <v>401</v>
      </c>
      <c r="D316" t="s">
        <v>408</v>
      </c>
      <c r="E316">
        <v>2145</v>
      </c>
      <c r="F316">
        <v>203</v>
      </c>
      <c r="G316">
        <v>176</v>
      </c>
      <c r="H316">
        <v>18</v>
      </c>
      <c r="U316">
        <v>3019</v>
      </c>
      <c r="V316" s="2" t="s">
        <v>27</v>
      </c>
      <c r="W316" t="s">
        <v>401</v>
      </c>
      <c r="X316" t="s">
        <v>408</v>
      </c>
      <c r="Y316">
        <v>1815</v>
      </c>
      <c r="Z316">
        <v>197</v>
      </c>
      <c r="AA316">
        <v>153</v>
      </c>
      <c r="AB316">
        <v>18</v>
      </c>
    </row>
    <row r="317" spans="1:28" x14ac:dyDescent="0.2">
      <c r="A317">
        <v>3026</v>
      </c>
      <c r="B317" s="2" t="s">
        <v>343</v>
      </c>
      <c r="C317" t="s">
        <v>401</v>
      </c>
      <c r="D317" t="s">
        <v>408</v>
      </c>
      <c r="E317">
        <v>2025</v>
      </c>
      <c r="F317">
        <v>160</v>
      </c>
      <c r="G317">
        <v>262</v>
      </c>
      <c r="H317">
        <v>45</v>
      </c>
      <c r="U317">
        <v>3026</v>
      </c>
      <c r="V317" s="2" t="s">
        <v>343</v>
      </c>
      <c r="W317" t="s">
        <v>401</v>
      </c>
      <c r="X317" t="s">
        <v>408</v>
      </c>
      <c r="Y317">
        <v>1723</v>
      </c>
      <c r="Z317">
        <v>154</v>
      </c>
      <c r="AA317">
        <v>239</v>
      </c>
      <c r="AB317">
        <v>45</v>
      </c>
    </row>
    <row r="318" spans="1:28" x14ac:dyDescent="0.2">
      <c r="A318">
        <v>3027</v>
      </c>
      <c r="B318" s="2" t="s">
        <v>30</v>
      </c>
      <c r="C318" t="s">
        <v>401</v>
      </c>
      <c r="D318" t="s">
        <v>408</v>
      </c>
      <c r="E318">
        <v>2025</v>
      </c>
      <c r="F318">
        <v>160</v>
      </c>
      <c r="G318">
        <v>262</v>
      </c>
      <c r="H318">
        <v>47</v>
      </c>
      <c r="U318">
        <v>3027</v>
      </c>
      <c r="V318" s="2" t="s">
        <v>30</v>
      </c>
      <c r="W318" t="s">
        <v>401</v>
      </c>
      <c r="X318" t="s">
        <v>408</v>
      </c>
      <c r="Y318">
        <v>1723</v>
      </c>
      <c r="Z318">
        <v>154</v>
      </c>
      <c r="AA318">
        <v>239</v>
      </c>
      <c r="AB318">
        <v>47</v>
      </c>
    </row>
    <row r="319" spans="1:28" x14ac:dyDescent="0.2">
      <c r="A319">
        <v>3036</v>
      </c>
      <c r="B319" t="s">
        <v>40</v>
      </c>
      <c r="C319" t="s">
        <v>400</v>
      </c>
      <c r="D319" t="s">
        <v>408</v>
      </c>
      <c r="E319">
        <v>3995</v>
      </c>
      <c r="F319">
        <v>95</v>
      </c>
      <c r="G319">
        <v>559</v>
      </c>
      <c r="H319">
        <v>85</v>
      </c>
      <c r="U319">
        <v>3036</v>
      </c>
      <c r="V319" t="s">
        <v>40</v>
      </c>
      <c r="W319" t="s">
        <v>400</v>
      </c>
      <c r="X319" t="s">
        <v>408</v>
      </c>
      <c r="Y319">
        <v>3578</v>
      </c>
      <c r="Z319">
        <v>73</v>
      </c>
      <c r="AA319">
        <v>516</v>
      </c>
      <c r="AB319">
        <v>85</v>
      </c>
    </row>
    <row r="320" spans="1:28" x14ac:dyDescent="0.2">
      <c r="A320">
        <v>3044</v>
      </c>
      <c r="B320" s="2" t="s">
        <v>48</v>
      </c>
      <c r="C320" t="s">
        <v>413</v>
      </c>
      <c r="D320" t="s">
        <v>409</v>
      </c>
      <c r="E320">
        <v>5355</v>
      </c>
      <c r="F320">
        <v>78</v>
      </c>
      <c r="G320">
        <v>260</v>
      </c>
      <c r="H320">
        <v>78</v>
      </c>
      <c r="U320">
        <v>3044</v>
      </c>
      <c r="V320" s="2" t="s">
        <v>48</v>
      </c>
      <c r="W320" t="s">
        <v>413</v>
      </c>
      <c r="X320" t="s">
        <v>409</v>
      </c>
      <c r="Y320">
        <v>4866</v>
      </c>
      <c r="Z320">
        <v>45</v>
      </c>
      <c r="AA320">
        <v>228</v>
      </c>
      <c r="AB320">
        <v>78</v>
      </c>
    </row>
    <row r="321" spans="1:28" x14ac:dyDescent="0.2">
      <c r="A321">
        <v>3052</v>
      </c>
      <c r="B321" s="2" t="s">
        <v>344</v>
      </c>
      <c r="C321" t="s">
        <v>414</v>
      </c>
      <c r="D321" t="s">
        <v>410</v>
      </c>
      <c r="E321">
        <v>7214</v>
      </c>
      <c r="F321">
        <v>26</v>
      </c>
      <c r="G321">
        <v>242</v>
      </c>
      <c r="H321">
        <v>75</v>
      </c>
      <c r="U321">
        <v>3052</v>
      </c>
      <c r="V321" s="2" t="s">
        <v>344</v>
      </c>
      <c r="W321" t="s">
        <v>414</v>
      </c>
      <c r="X321" t="s">
        <v>410</v>
      </c>
      <c r="Y321">
        <v>6200</v>
      </c>
      <c r="Z321">
        <v>11</v>
      </c>
      <c r="AA321">
        <v>215</v>
      </c>
      <c r="AB321">
        <v>75</v>
      </c>
    </row>
    <row r="322" spans="1:28" x14ac:dyDescent="0.2">
      <c r="A322">
        <v>3053</v>
      </c>
      <c r="B322" s="2" t="s">
        <v>345</v>
      </c>
      <c r="C322" t="s">
        <v>414</v>
      </c>
      <c r="D322" t="s">
        <v>410</v>
      </c>
      <c r="E322">
        <v>7196</v>
      </c>
      <c r="F322">
        <v>26</v>
      </c>
      <c r="G322">
        <v>247</v>
      </c>
      <c r="H322">
        <v>38</v>
      </c>
      <c r="U322">
        <v>3053</v>
      </c>
      <c r="V322" s="2" t="s">
        <v>345</v>
      </c>
      <c r="W322" t="s">
        <v>414</v>
      </c>
      <c r="X322" t="s">
        <v>410</v>
      </c>
      <c r="Y322">
        <v>6200</v>
      </c>
      <c r="Z322">
        <v>11</v>
      </c>
      <c r="AA322">
        <v>220</v>
      </c>
      <c r="AB322">
        <v>38</v>
      </c>
    </row>
    <row r="323" spans="1:28" x14ac:dyDescent="0.2">
      <c r="A323">
        <v>3070</v>
      </c>
      <c r="B323" s="2" t="s">
        <v>356</v>
      </c>
      <c r="C323" t="s">
        <v>426</v>
      </c>
      <c r="D323" t="s">
        <v>409</v>
      </c>
      <c r="E323">
        <v>4901</v>
      </c>
      <c r="F323">
        <v>66</v>
      </c>
      <c r="G323">
        <v>292</v>
      </c>
      <c r="H323">
        <v>68</v>
      </c>
      <c r="U323">
        <v>3070</v>
      </c>
      <c r="V323" s="2" t="s">
        <v>356</v>
      </c>
      <c r="W323" t="s">
        <v>426</v>
      </c>
      <c r="X323" t="s">
        <v>409</v>
      </c>
      <c r="Y323">
        <v>4254</v>
      </c>
      <c r="Z323">
        <v>39</v>
      </c>
      <c r="AA323">
        <v>259</v>
      </c>
      <c r="AB323">
        <v>68</v>
      </c>
    </row>
    <row r="324" spans="1:28" x14ac:dyDescent="0.2">
      <c r="A324">
        <v>3071</v>
      </c>
      <c r="B324" s="2" t="s">
        <v>355</v>
      </c>
      <c r="C324" t="s">
        <v>426</v>
      </c>
      <c r="D324" t="s">
        <v>409</v>
      </c>
      <c r="E324">
        <v>4163</v>
      </c>
      <c r="F324">
        <v>67</v>
      </c>
      <c r="G324">
        <v>287</v>
      </c>
      <c r="H324">
        <v>78</v>
      </c>
      <c r="U324">
        <v>3071</v>
      </c>
      <c r="V324" s="2" t="s">
        <v>355</v>
      </c>
      <c r="W324" t="s">
        <v>426</v>
      </c>
      <c r="X324" t="s">
        <v>409</v>
      </c>
      <c r="Y324">
        <v>3589</v>
      </c>
      <c r="Z324">
        <v>39</v>
      </c>
      <c r="AA324">
        <v>254</v>
      </c>
      <c r="AB324">
        <v>78</v>
      </c>
    </row>
    <row r="325" spans="1:28" x14ac:dyDescent="0.2">
      <c r="A325">
        <v>3072</v>
      </c>
      <c r="B325" s="2" t="s">
        <v>353</v>
      </c>
      <c r="C325" t="s">
        <v>426</v>
      </c>
      <c r="D325" t="s">
        <v>409</v>
      </c>
      <c r="E325">
        <v>4700</v>
      </c>
      <c r="F325">
        <v>80</v>
      </c>
      <c r="G325">
        <v>280</v>
      </c>
      <c r="H325">
        <v>32</v>
      </c>
      <c r="U325">
        <v>3072</v>
      </c>
      <c r="V325" s="2" t="s">
        <v>353</v>
      </c>
      <c r="W325" t="s">
        <v>426</v>
      </c>
      <c r="X325" t="s">
        <v>409</v>
      </c>
      <c r="Y325">
        <v>4085</v>
      </c>
      <c r="Z325">
        <v>38</v>
      </c>
      <c r="AA325">
        <v>248</v>
      </c>
      <c r="AB325">
        <v>32</v>
      </c>
    </row>
    <row r="326" spans="1:28" x14ac:dyDescent="0.2">
      <c r="A326">
        <v>3074</v>
      </c>
      <c r="B326" s="2" t="s">
        <v>352</v>
      </c>
      <c r="C326" t="s">
        <v>427</v>
      </c>
      <c r="D326" t="s">
        <v>409</v>
      </c>
      <c r="E326">
        <v>7122</v>
      </c>
      <c r="F326">
        <v>57</v>
      </c>
      <c r="G326">
        <v>353</v>
      </c>
      <c r="H326">
        <v>66</v>
      </c>
      <c r="U326">
        <v>3074</v>
      </c>
      <c r="V326" s="2" t="s">
        <v>352</v>
      </c>
      <c r="W326" t="s">
        <v>427</v>
      </c>
      <c r="X326" t="s">
        <v>409</v>
      </c>
      <c r="Y326">
        <v>6326</v>
      </c>
      <c r="Z326">
        <v>34</v>
      </c>
      <c r="AA326">
        <v>316</v>
      </c>
      <c r="AB326">
        <v>66</v>
      </c>
    </row>
    <row r="327" spans="1:28" x14ac:dyDescent="0.2">
      <c r="A327">
        <v>3075</v>
      </c>
      <c r="B327" s="2" t="s">
        <v>354</v>
      </c>
      <c r="C327" t="s">
        <v>426</v>
      </c>
      <c r="D327" t="s">
        <v>409</v>
      </c>
      <c r="E327">
        <v>5019</v>
      </c>
      <c r="F327">
        <v>73</v>
      </c>
      <c r="G327">
        <v>283</v>
      </c>
      <c r="H327">
        <v>71</v>
      </c>
      <c r="U327">
        <v>3075</v>
      </c>
      <c r="V327" s="2" t="s">
        <v>354</v>
      </c>
      <c r="W327" t="s">
        <v>426</v>
      </c>
      <c r="X327" t="s">
        <v>409</v>
      </c>
      <c r="Y327">
        <v>4360</v>
      </c>
      <c r="Z327">
        <v>49</v>
      </c>
      <c r="AA327">
        <v>251</v>
      </c>
      <c r="AB327">
        <v>71</v>
      </c>
    </row>
    <row r="328" spans="1:28" x14ac:dyDescent="0.2">
      <c r="A328">
        <v>3082</v>
      </c>
      <c r="B328" s="2" t="s">
        <v>56</v>
      </c>
      <c r="C328" t="s">
        <v>401</v>
      </c>
      <c r="D328" t="s">
        <v>408</v>
      </c>
      <c r="E328">
        <v>1535</v>
      </c>
      <c r="F328">
        <v>244</v>
      </c>
      <c r="G328">
        <v>169</v>
      </c>
      <c r="H328">
        <v>43</v>
      </c>
      <c r="U328">
        <v>3082</v>
      </c>
      <c r="V328" s="2" t="s">
        <v>56</v>
      </c>
      <c r="W328" t="s">
        <v>401</v>
      </c>
      <c r="X328" t="s">
        <v>408</v>
      </c>
      <c r="Y328">
        <v>1307</v>
      </c>
      <c r="Z328">
        <v>238</v>
      </c>
      <c r="AA328">
        <v>149</v>
      </c>
      <c r="AB328">
        <v>43</v>
      </c>
    </row>
    <row r="329" spans="1:28" x14ac:dyDescent="0.2">
      <c r="A329">
        <v>3083</v>
      </c>
      <c r="B329" s="2" t="s">
        <v>58</v>
      </c>
      <c r="C329" t="s">
        <v>401</v>
      </c>
      <c r="D329" t="s">
        <v>408</v>
      </c>
      <c r="E329">
        <v>1535</v>
      </c>
      <c r="F329">
        <v>244</v>
      </c>
      <c r="G329">
        <v>169</v>
      </c>
      <c r="H329">
        <v>35</v>
      </c>
      <c r="U329">
        <v>3083</v>
      </c>
      <c r="V329" s="2" t="s">
        <v>58</v>
      </c>
      <c r="W329" t="s">
        <v>401</v>
      </c>
      <c r="X329" t="s">
        <v>408</v>
      </c>
      <c r="Y329">
        <v>1307</v>
      </c>
      <c r="Z329">
        <v>238</v>
      </c>
      <c r="AA329">
        <v>149</v>
      </c>
      <c r="AB329">
        <v>35</v>
      </c>
    </row>
    <row r="330" spans="1:28" x14ac:dyDescent="0.2">
      <c r="A330">
        <v>3088</v>
      </c>
      <c r="B330" s="2" t="s">
        <v>62</v>
      </c>
      <c r="C330" t="s">
        <v>401</v>
      </c>
      <c r="D330" t="s">
        <v>408</v>
      </c>
      <c r="E330">
        <v>1524</v>
      </c>
      <c r="F330">
        <v>245</v>
      </c>
      <c r="G330">
        <v>165</v>
      </c>
      <c r="H330">
        <v>54</v>
      </c>
      <c r="U330">
        <v>3088</v>
      </c>
      <c r="V330" s="2" t="s">
        <v>62</v>
      </c>
      <c r="W330" t="s">
        <v>401</v>
      </c>
      <c r="X330" t="s">
        <v>408</v>
      </c>
      <c r="Y330">
        <v>1298</v>
      </c>
      <c r="Z330">
        <v>239</v>
      </c>
      <c r="AA330">
        <v>146</v>
      </c>
      <c r="AB330">
        <v>54</v>
      </c>
    </row>
    <row r="331" spans="1:28" x14ac:dyDescent="0.2">
      <c r="A331">
        <v>3089</v>
      </c>
      <c r="B331" s="2" t="s">
        <v>64</v>
      </c>
      <c r="C331" t="s">
        <v>401</v>
      </c>
      <c r="D331" t="s">
        <v>408</v>
      </c>
      <c r="E331">
        <v>1524</v>
      </c>
      <c r="F331">
        <v>240</v>
      </c>
      <c r="G331">
        <v>165</v>
      </c>
      <c r="H331">
        <v>35</v>
      </c>
      <c r="U331">
        <v>3089</v>
      </c>
      <c r="V331" s="2" t="s">
        <v>64</v>
      </c>
      <c r="W331" t="s">
        <v>401</v>
      </c>
      <c r="X331" t="s">
        <v>408</v>
      </c>
      <c r="Y331">
        <v>1298</v>
      </c>
      <c r="Z331">
        <v>234</v>
      </c>
      <c r="AA331">
        <v>146</v>
      </c>
      <c r="AB331">
        <v>35</v>
      </c>
    </row>
    <row r="332" spans="1:28" x14ac:dyDescent="0.2">
      <c r="A332">
        <v>3090</v>
      </c>
      <c r="B332" s="2" t="s">
        <v>66</v>
      </c>
      <c r="C332" t="s">
        <v>401</v>
      </c>
      <c r="D332" t="s">
        <v>408</v>
      </c>
      <c r="E332">
        <v>1524</v>
      </c>
      <c r="F332">
        <v>255</v>
      </c>
      <c r="G332">
        <v>165</v>
      </c>
      <c r="H332">
        <v>72</v>
      </c>
      <c r="U332">
        <v>3090</v>
      </c>
      <c r="V332" s="2" t="s">
        <v>66</v>
      </c>
      <c r="W332" t="s">
        <v>401</v>
      </c>
      <c r="X332" t="s">
        <v>408</v>
      </c>
      <c r="Y332">
        <v>1298</v>
      </c>
      <c r="Z332">
        <v>249</v>
      </c>
      <c r="AA332">
        <v>146</v>
      </c>
      <c r="AB332">
        <v>72</v>
      </c>
    </row>
    <row r="333" spans="1:28" x14ac:dyDescent="0.2">
      <c r="A333">
        <v>3091</v>
      </c>
      <c r="B333" s="2" t="s">
        <v>68</v>
      </c>
      <c r="C333" t="s">
        <v>401</v>
      </c>
      <c r="D333" t="s">
        <v>408</v>
      </c>
      <c r="E333">
        <v>1538</v>
      </c>
      <c r="F333">
        <v>249</v>
      </c>
      <c r="G333">
        <v>165</v>
      </c>
      <c r="H333">
        <v>68</v>
      </c>
      <c r="U333">
        <v>3091</v>
      </c>
      <c r="V333" s="2" t="s">
        <v>68</v>
      </c>
      <c r="W333" t="s">
        <v>401</v>
      </c>
      <c r="X333" t="s">
        <v>408</v>
      </c>
      <c r="Y333">
        <v>1309</v>
      </c>
      <c r="Z333">
        <v>243</v>
      </c>
      <c r="AA333">
        <v>145</v>
      </c>
      <c r="AB333">
        <v>68</v>
      </c>
    </row>
    <row r="334" spans="1:28" x14ac:dyDescent="0.2">
      <c r="A334">
        <v>3092</v>
      </c>
      <c r="B334" t="s">
        <v>70</v>
      </c>
      <c r="C334" t="s">
        <v>401</v>
      </c>
      <c r="D334" t="s">
        <v>408</v>
      </c>
      <c r="E334">
        <v>1567</v>
      </c>
      <c r="F334">
        <v>249</v>
      </c>
      <c r="G334">
        <v>169</v>
      </c>
      <c r="H334">
        <v>68</v>
      </c>
      <c r="U334">
        <v>3092</v>
      </c>
      <c r="V334" t="s">
        <v>70</v>
      </c>
      <c r="W334" t="s">
        <v>401</v>
      </c>
      <c r="X334" t="s">
        <v>408</v>
      </c>
      <c r="Y334">
        <v>1333</v>
      </c>
      <c r="Z334">
        <v>243</v>
      </c>
      <c r="AA334">
        <v>149</v>
      </c>
      <c r="AB334">
        <v>68</v>
      </c>
    </row>
    <row r="335" spans="1:28" x14ac:dyDescent="0.2">
      <c r="A335">
        <v>3101</v>
      </c>
      <c r="B335" s="2" t="s">
        <v>74</v>
      </c>
      <c r="C335" t="s">
        <v>401</v>
      </c>
      <c r="D335" t="s">
        <v>408</v>
      </c>
      <c r="E335">
        <v>1746</v>
      </c>
      <c r="F335">
        <v>250</v>
      </c>
      <c r="G335">
        <v>160</v>
      </c>
      <c r="H335">
        <v>65</v>
      </c>
      <c r="U335">
        <v>3101</v>
      </c>
      <c r="V335" s="2" t="s">
        <v>74</v>
      </c>
      <c r="W335" t="s">
        <v>401</v>
      </c>
      <c r="X335" t="s">
        <v>408</v>
      </c>
      <c r="Y335">
        <v>1482</v>
      </c>
      <c r="Z335">
        <v>244</v>
      </c>
      <c r="AA335">
        <v>139</v>
      </c>
      <c r="AB335">
        <v>65</v>
      </c>
    </row>
    <row r="336" spans="1:28" x14ac:dyDescent="0.2">
      <c r="A336">
        <v>3104</v>
      </c>
      <c r="B336" s="2" t="s">
        <v>78</v>
      </c>
      <c r="C336" t="s">
        <v>400</v>
      </c>
      <c r="D336" t="s">
        <v>408</v>
      </c>
      <c r="E336">
        <v>3486</v>
      </c>
      <c r="F336">
        <v>102</v>
      </c>
      <c r="G336">
        <v>321</v>
      </c>
      <c r="H336">
        <v>44</v>
      </c>
      <c r="U336">
        <v>3104</v>
      </c>
      <c r="V336" s="2" t="s">
        <v>78</v>
      </c>
      <c r="W336" t="s">
        <v>400</v>
      </c>
      <c r="X336" t="s">
        <v>408</v>
      </c>
      <c r="Y336">
        <v>3126</v>
      </c>
      <c r="Z336">
        <v>77</v>
      </c>
      <c r="AA336">
        <v>284</v>
      </c>
      <c r="AB336">
        <v>44</v>
      </c>
    </row>
    <row r="337" spans="1:28" x14ac:dyDescent="0.2">
      <c r="A337">
        <v>3105</v>
      </c>
      <c r="B337" s="2" t="s">
        <v>80</v>
      </c>
      <c r="C337" t="s">
        <v>400</v>
      </c>
      <c r="D337" t="s">
        <v>408</v>
      </c>
      <c r="E337">
        <v>3214</v>
      </c>
      <c r="F337">
        <v>97</v>
      </c>
      <c r="G337">
        <v>295</v>
      </c>
      <c r="H337">
        <v>54</v>
      </c>
      <c r="U337">
        <v>3105</v>
      </c>
      <c r="V337" s="2" t="s">
        <v>80</v>
      </c>
      <c r="W337" t="s">
        <v>400</v>
      </c>
      <c r="X337" t="s">
        <v>408</v>
      </c>
      <c r="Y337">
        <v>2872</v>
      </c>
      <c r="Z337">
        <v>73</v>
      </c>
      <c r="AA337">
        <v>259</v>
      </c>
      <c r="AB337">
        <v>54</v>
      </c>
    </row>
    <row r="338" spans="1:28" x14ac:dyDescent="0.2">
      <c r="A338">
        <v>3106</v>
      </c>
      <c r="B338" s="2" t="s">
        <v>82</v>
      </c>
      <c r="C338" t="s">
        <v>400</v>
      </c>
      <c r="D338" t="s">
        <v>408</v>
      </c>
      <c r="E338">
        <v>3214</v>
      </c>
      <c r="F338">
        <v>97</v>
      </c>
      <c r="G338">
        <v>295</v>
      </c>
      <c r="H338">
        <v>74</v>
      </c>
      <c r="U338">
        <v>3106</v>
      </c>
      <c r="V338" s="2" t="s">
        <v>82</v>
      </c>
      <c r="W338" t="s">
        <v>400</v>
      </c>
      <c r="X338" t="s">
        <v>408</v>
      </c>
      <c r="Y338">
        <v>2872</v>
      </c>
      <c r="Z338">
        <v>73</v>
      </c>
      <c r="AA338">
        <v>259</v>
      </c>
      <c r="AB338">
        <v>74</v>
      </c>
    </row>
    <row r="339" spans="1:28" x14ac:dyDescent="0.2">
      <c r="A339" s="15">
        <v>3119</v>
      </c>
      <c r="B339" s="2" t="s">
        <v>536</v>
      </c>
      <c r="C339" s="2" t="s">
        <v>413</v>
      </c>
      <c r="D339" s="2" t="s">
        <v>408</v>
      </c>
      <c r="E339">
        <v>3841</v>
      </c>
      <c r="F339">
        <v>82</v>
      </c>
      <c r="G339">
        <v>297</v>
      </c>
      <c r="H339">
        <v>62</v>
      </c>
      <c r="U339">
        <v>3119</v>
      </c>
      <c r="V339" s="2" t="s">
        <v>536</v>
      </c>
      <c r="W339" s="2" t="s">
        <v>413</v>
      </c>
      <c r="X339" s="2" t="s">
        <v>408</v>
      </c>
      <c r="Y339">
        <v>3417</v>
      </c>
      <c r="Z339">
        <v>37</v>
      </c>
      <c r="AA339">
        <v>270</v>
      </c>
      <c r="AB339">
        <v>62</v>
      </c>
    </row>
    <row r="340" spans="1:28" x14ac:dyDescent="0.2">
      <c r="A340">
        <v>3122</v>
      </c>
      <c r="B340" s="2" t="s">
        <v>93</v>
      </c>
      <c r="C340" t="s">
        <v>413</v>
      </c>
      <c r="D340" t="s">
        <v>408</v>
      </c>
      <c r="E340">
        <v>3754</v>
      </c>
      <c r="F340">
        <v>65</v>
      </c>
      <c r="G340">
        <v>208</v>
      </c>
      <c r="H340">
        <v>72</v>
      </c>
      <c r="U340">
        <v>3122</v>
      </c>
      <c r="V340" s="2" t="s">
        <v>93</v>
      </c>
      <c r="W340" t="s">
        <v>413</v>
      </c>
      <c r="X340" t="s">
        <v>408</v>
      </c>
      <c r="Y340">
        <v>3354</v>
      </c>
      <c r="Z340">
        <v>21</v>
      </c>
      <c r="AA340">
        <v>181</v>
      </c>
      <c r="AB340">
        <v>72</v>
      </c>
    </row>
    <row r="341" spans="1:28" x14ac:dyDescent="0.2">
      <c r="A341">
        <v>3125</v>
      </c>
      <c r="B341" s="2" t="s">
        <v>97</v>
      </c>
      <c r="C341" t="s">
        <v>413</v>
      </c>
      <c r="D341" t="s">
        <v>409</v>
      </c>
      <c r="E341">
        <v>3916</v>
      </c>
      <c r="F341">
        <v>92</v>
      </c>
      <c r="G341">
        <v>258</v>
      </c>
      <c r="H341">
        <v>15</v>
      </c>
      <c r="U341">
        <v>3125</v>
      </c>
      <c r="V341" s="2" t="s">
        <v>97</v>
      </c>
      <c r="W341" t="s">
        <v>413</v>
      </c>
      <c r="X341" t="s">
        <v>409</v>
      </c>
      <c r="Y341">
        <v>3493</v>
      </c>
      <c r="Z341">
        <v>43</v>
      </c>
      <c r="AA341">
        <v>226</v>
      </c>
      <c r="AB341">
        <v>15</v>
      </c>
    </row>
    <row r="342" spans="1:28" x14ac:dyDescent="0.2">
      <c r="A342">
        <v>3126</v>
      </c>
      <c r="B342" s="2" t="s">
        <v>99</v>
      </c>
      <c r="C342" t="s">
        <v>413</v>
      </c>
      <c r="D342" t="s">
        <v>409</v>
      </c>
      <c r="E342">
        <v>3945</v>
      </c>
      <c r="F342">
        <v>72</v>
      </c>
      <c r="G342">
        <v>258</v>
      </c>
      <c r="H342">
        <v>49</v>
      </c>
      <c r="U342">
        <v>3126</v>
      </c>
      <c r="V342" s="2" t="s">
        <v>99</v>
      </c>
      <c r="W342" t="s">
        <v>413</v>
      </c>
      <c r="X342" t="s">
        <v>409</v>
      </c>
      <c r="Y342">
        <v>3519</v>
      </c>
      <c r="Z342">
        <v>23</v>
      </c>
      <c r="AA342">
        <v>226</v>
      </c>
      <c r="AB342">
        <v>49</v>
      </c>
    </row>
    <row r="343" spans="1:28" x14ac:dyDescent="0.2">
      <c r="A343">
        <v>3131</v>
      </c>
      <c r="B343" s="2" t="s">
        <v>346</v>
      </c>
      <c r="C343" t="s">
        <v>414</v>
      </c>
      <c r="D343" t="s">
        <v>410</v>
      </c>
      <c r="E343">
        <v>8023</v>
      </c>
      <c r="F343">
        <v>33</v>
      </c>
      <c r="G343">
        <v>290</v>
      </c>
      <c r="H343">
        <v>90</v>
      </c>
      <c r="U343">
        <v>3131</v>
      </c>
      <c r="V343" s="2" t="s">
        <v>346</v>
      </c>
      <c r="W343" t="s">
        <v>414</v>
      </c>
      <c r="X343" t="s">
        <v>410</v>
      </c>
      <c r="Y343">
        <v>6950</v>
      </c>
      <c r="Z343">
        <v>15</v>
      </c>
      <c r="AA343">
        <v>261</v>
      </c>
      <c r="AB343">
        <v>90</v>
      </c>
    </row>
    <row r="344" spans="1:28" x14ac:dyDescent="0.2">
      <c r="A344">
        <v>3140</v>
      </c>
      <c r="B344" s="2" t="s">
        <v>479</v>
      </c>
      <c r="C344" t="s">
        <v>426</v>
      </c>
      <c r="D344" s="2" t="s">
        <v>409</v>
      </c>
      <c r="E344">
        <v>4367</v>
      </c>
      <c r="F344">
        <v>66</v>
      </c>
      <c r="G344">
        <v>297</v>
      </c>
      <c r="H344">
        <v>41</v>
      </c>
      <c r="U344">
        <v>3140</v>
      </c>
      <c r="V344" s="2" t="s">
        <v>479</v>
      </c>
      <c r="W344" s="2" t="s">
        <v>426</v>
      </c>
      <c r="X344" s="2" t="s">
        <v>409</v>
      </c>
      <c r="Y344">
        <v>3763</v>
      </c>
      <c r="Z344">
        <v>47</v>
      </c>
      <c r="AA344">
        <v>265</v>
      </c>
      <c r="AB344">
        <v>41</v>
      </c>
    </row>
    <row r="345" spans="1:28" x14ac:dyDescent="0.2">
      <c r="A345">
        <v>3155</v>
      </c>
      <c r="B345" s="2" t="s">
        <v>104</v>
      </c>
      <c r="C345" t="s">
        <v>401</v>
      </c>
      <c r="D345" t="s">
        <v>408</v>
      </c>
      <c r="E345">
        <v>1963</v>
      </c>
      <c r="F345">
        <v>214</v>
      </c>
      <c r="G345">
        <v>146</v>
      </c>
      <c r="H345">
        <v>36</v>
      </c>
      <c r="U345">
        <v>3155</v>
      </c>
      <c r="V345" s="2" t="s">
        <v>104</v>
      </c>
      <c r="W345" t="s">
        <v>401</v>
      </c>
      <c r="X345" t="s">
        <v>408</v>
      </c>
      <c r="Y345">
        <v>1663</v>
      </c>
      <c r="Z345">
        <v>208</v>
      </c>
      <c r="AA345">
        <v>127</v>
      </c>
      <c r="AB345">
        <v>36</v>
      </c>
    </row>
    <row r="346" spans="1:28" x14ac:dyDescent="0.2">
      <c r="A346">
        <v>3167</v>
      </c>
      <c r="B346" s="2" t="s">
        <v>113</v>
      </c>
      <c r="C346" t="s">
        <v>401</v>
      </c>
      <c r="D346" t="s">
        <v>408</v>
      </c>
      <c r="E346">
        <v>2050</v>
      </c>
      <c r="F346">
        <v>192</v>
      </c>
      <c r="G346">
        <v>150</v>
      </c>
      <c r="H346">
        <v>25</v>
      </c>
      <c r="U346">
        <v>3167</v>
      </c>
      <c r="V346" s="2" t="s">
        <v>113</v>
      </c>
      <c r="W346" t="s">
        <v>401</v>
      </c>
      <c r="X346" t="s">
        <v>408</v>
      </c>
      <c r="Y346">
        <v>1736</v>
      </c>
      <c r="Z346">
        <v>186</v>
      </c>
      <c r="AA346">
        <v>130</v>
      </c>
      <c r="AB346">
        <v>25</v>
      </c>
    </row>
    <row r="347" spans="1:28" x14ac:dyDescent="0.2">
      <c r="A347">
        <v>3168</v>
      </c>
      <c r="B347" t="s">
        <v>115</v>
      </c>
      <c r="C347" t="s">
        <v>401</v>
      </c>
      <c r="D347" t="s">
        <v>408</v>
      </c>
      <c r="E347">
        <v>1908</v>
      </c>
      <c r="F347">
        <v>212</v>
      </c>
      <c r="G347">
        <v>145</v>
      </c>
      <c r="H347">
        <v>25</v>
      </c>
      <c r="U347">
        <v>3168</v>
      </c>
      <c r="V347" t="s">
        <v>115</v>
      </c>
      <c r="W347" t="s">
        <v>401</v>
      </c>
      <c r="X347" t="s">
        <v>408</v>
      </c>
      <c r="Y347">
        <v>1600</v>
      </c>
      <c r="Z347">
        <v>206</v>
      </c>
      <c r="AA347">
        <v>126</v>
      </c>
      <c r="AB347">
        <v>25</v>
      </c>
    </row>
    <row r="348" spans="1:28" x14ac:dyDescent="0.2">
      <c r="A348">
        <v>3179</v>
      </c>
      <c r="B348" s="2" t="s">
        <v>449</v>
      </c>
      <c r="C348" s="2" t="s">
        <v>400</v>
      </c>
      <c r="D348" t="s">
        <v>408</v>
      </c>
      <c r="E348">
        <v>2342</v>
      </c>
      <c r="F348">
        <v>105</v>
      </c>
      <c r="G348">
        <v>332</v>
      </c>
      <c r="H348">
        <v>53</v>
      </c>
      <c r="U348">
        <v>3179</v>
      </c>
      <c r="V348" s="2" t="s">
        <v>449</v>
      </c>
      <c r="W348" s="2" t="s">
        <v>400</v>
      </c>
      <c r="X348" s="2" t="s">
        <v>408</v>
      </c>
      <c r="Y348">
        <v>2177</v>
      </c>
      <c r="Z348">
        <v>105</v>
      </c>
      <c r="AA348">
        <v>295</v>
      </c>
      <c r="AB348">
        <v>53</v>
      </c>
    </row>
    <row r="349" spans="1:28" x14ac:dyDescent="0.2">
      <c r="A349">
        <v>3187</v>
      </c>
      <c r="B349" t="s">
        <v>290</v>
      </c>
      <c r="C349" s="2" t="s">
        <v>400</v>
      </c>
      <c r="D349" t="s">
        <v>408</v>
      </c>
      <c r="E349">
        <v>3131</v>
      </c>
      <c r="F349">
        <v>105</v>
      </c>
      <c r="G349">
        <v>278</v>
      </c>
      <c r="H349">
        <v>43</v>
      </c>
      <c r="U349">
        <v>3187</v>
      </c>
      <c r="V349" t="s">
        <v>290</v>
      </c>
      <c r="W349" t="s">
        <v>401</v>
      </c>
      <c r="X349" t="s">
        <v>408</v>
      </c>
      <c r="Y349">
        <v>2787</v>
      </c>
      <c r="Z349">
        <v>80</v>
      </c>
      <c r="AA349">
        <v>243</v>
      </c>
      <c r="AB349">
        <v>43</v>
      </c>
    </row>
    <row r="350" spans="1:28" x14ac:dyDescent="0.2">
      <c r="A350">
        <v>3188</v>
      </c>
      <c r="B350" s="2" t="s">
        <v>127</v>
      </c>
      <c r="C350" t="s">
        <v>413</v>
      </c>
      <c r="D350" t="s">
        <v>409</v>
      </c>
      <c r="E350">
        <v>4623</v>
      </c>
      <c r="F350">
        <v>80</v>
      </c>
      <c r="G350">
        <v>233</v>
      </c>
      <c r="H350">
        <v>14</v>
      </c>
      <c r="U350">
        <v>3188</v>
      </c>
      <c r="V350" s="2" t="s">
        <v>127</v>
      </c>
      <c r="W350" t="s">
        <v>413</v>
      </c>
      <c r="X350" t="s">
        <v>409</v>
      </c>
      <c r="Y350">
        <v>4141</v>
      </c>
      <c r="Z350">
        <v>34</v>
      </c>
      <c r="AA350">
        <v>208</v>
      </c>
      <c r="AB350">
        <v>14</v>
      </c>
    </row>
    <row r="351" spans="1:28" x14ac:dyDescent="0.2">
      <c r="A351">
        <v>3190</v>
      </c>
      <c r="B351" s="2" t="s">
        <v>130</v>
      </c>
      <c r="C351" t="s">
        <v>413</v>
      </c>
      <c r="D351" t="s">
        <v>409</v>
      </c>
      <c r="E351">
        <v>3719</v>
      </c>
      <c r="F351">
        <v>75</v>
      </c>
      <c r="G351">
        <v>176</v>
      </c>
      <c r="H351">
        <v>34</v>
      </c>
      <c r="U351">
        <v>3190</v>
      </c>
      <c r="V351" s="2" t="s">
        <v>130</v>
      </c>
      <c r="W351" t="s">
        <v>413</v>
      </c>
      <c r="X351" t="s">
        <v>409</v>
      </c>
      <c r="Y351">
        <v>3323</v>
      </c>
      <c r="Z351">
        <v>33</v>
      </c>
      <c r="AA351">
        <v>155</v>
      </c>
      <c r="AB351">
        <v>34</v>
      </c>
    </row>
    <row r="352" spans="1:28" x14ac:dyDescent="0.2">
      <c r="A352">
        <v>3191</v>
      </c>
      <c r="B352" s="2" t="s">
        <v>132</v>
      </c>
      <c r="C352" t="s">
        <v>413</v>
      </c>
      <c r="D352" t="s">
        <v>409</v>
      </c>
      <c r="E352">
        <v>3719</v>
      </c>
      <c r="F352">
        <v>75</v>
      </c>
      <c r="G352">
        <v>176</v>
      </c>
      <c r="H352">
        <v>34</v>
      </c>
      <c r="U352">
        <v>3191</v>
      </c>
      <c r="V352" s="2" t="s">
        <v>132</v>
      </c>
      <c r="W352" s="2" t="s">
        <v>413</v>
      </c>
      <c r="X352" t="s">
        <v>409</v>
      </c>
      <c r="Y352">
        <v>3323</v>
      </c>
      <c r="Z352">
        <v>33</v>
      </c>
      <c r="AA352">
        <v>155</v>
      </c>
      <c r="AB352">
        <v>34</v>
      </c>
    </row>
    <row r="353" spans="1:28" x14ac:dyDescent="0.2">
      <c r="A353">
        <v>3208</v>
      </c>
      <c r="B353" s="2" t="s">
        <v>347</v>
      </c>
      <c r="C353" s="2" t="s">
        <v>546</v>
      </c>
      <c r="D353" t="s">
        <v>410</v>
      </c>
      <c r="E353">
        <v>7266</v>
      </c>
      <c r="F353">
        <v>31</v>
      </c>
      <c r="G353">
        <v>303</v>
      </c>
      <c r="H353">
        <v>13</v>
      </c>
      <c r="U353">
        <v>3208</v>
      </c>
      <c r="V353" s="2" t="s">
        <v>347</v>
      </c>
      <c r="W353" s="2" t="s">
        <v>546</v>
      </c>
      <c r="X353" t="s">
        <v>410</v>
      </c>
      <c r="Y353">
        <v>6261</v>
      </c>
      <c r="Z353">
        <v>13</v>
      </c>
      <c r="AA353">
        <v>268</v>
      </c>
      <c r="AB353">
        <v>13</v>
      </c>
    </row>
    <row r="354" spans="1:28" x14ac:dyDescent="0.2">
      <c r="A354">
        <v>3209</v>
      </c>
      <c r="B354" t="s">
        <v>311</v>
      </c>
      <c r="C354" s="2" t="s">
        <v>546</v>
      </c>
      <c r="D354" t="s">
        <v>410</v>
      </c>
      <c r="E354">
        <v>7657</v>
      </c>
      <c r="F354">
        <v>31</v>
      </c>
      <c r="G354">
        <v>303</v>
      </c>
      <c r="H354">
        <v>14</v>
      </c>
      <c r="U354">
        <v>3209</v>
      </c>
      <c r="V354" t="s">
        <v>311</v>
      </c>
      <c r="W354" s="2" t="s">
        <v>546</v>
      </c>
      <c r="X354" t="s">
        <v>410</v>
      </c>
      <c r="Y354">
        <v>6596</v>
      </c>
      <c r="Z354">
        <v>13</v>
      </c>
      <c r="AA354">
        <v>268</v>
      </c>
      <c r="AB354">
        <v>14</v>
      </c>
    </row>
    <row r="355" spans="1:28" x14ac:dyDescent="0.2">
      <c r="A355">
        <v>3210</v>
      </c>
      <c r="B355" t="s">
        <v>316</v>
      </c>
      <c r="C355" s="2" t="s">
        <v>546</v>
      </c>
      <c r="D355" t="s">
        <v>410</v>
      </c>
      <c r="E355">
        <v>7243</v>
      </c>
      <c r="F355">
        <v>31</v>
      </c>
      <c r="G355">
        <v>373</v>
      </c>
      <c r="H355">
        <v>60</v>
      </c>
      <c r="U355">
        <v>3210</v>
      </c>
      <c r="V355" t="s">
        <v>316</v>
      </c>
      <c r="W355" s="2" t="s">
        <v>546</v>
      </c>
      <c r="X355" t="s">
        <v>410</v>
      </c>
      <c r="Y355">
        <v>6205</v>
      </c>
      <c r="Z355">
        <v>13</v>
      </c>
      <c r="AA355">
        <v>337</v>
      </c>
      <c r="AB355">
        <v>60</v>
      </c>
    </row>
    <row r="356" spans="1:28" x14ac:dyDescent="0.2">
      <c r="A356">
        <v>3211</v>
      </c>
      <c r="B356" s="2" t="s">
        <v>351</v>
      </c>
      <c r="C356" s="2" t="s">
        <v>546</v>
      </c>
      <c r="D356" t="s">
        <v>410</v>
      </c>
      <c r="E356">
        <v>7243</v>
      </c>
      <c r="F356">
        <v>31</v>
      </c>
      <c r="G356">
        <v>373</v>
      </c>
      <c r="H356">
        <v>60</v>
      </c>
      <c r="U356">
        <v>3211</v>
      </c>
      <c r="V356" s="2" t="s">
        <v>351</v>
      </c>
      <c r="W356" s="2" t="s">
        <v>546</v>
      </c>
      <c r="X356" t="s">
        <v>410</v>
      </c>
      <c r="Y356">
        <v>6205</v>
      </c>
      <c r="Z356">
        <v>13</v>
      </c>
      <c r="AA356">
        <v>337</v>
      </c>
      <c r="AB356">
        <v>60</v>
      </c>
    </row>
    <row r="357" spans="1:28" x14ac:dyDescent="0.2">
      <c r="A357">
        <v>3222</v>
      </c>
      <c r="B357" s="2" t="s">
        <v>350</v>
      </c>
      <c r="C357" t="s">
        <v>426</v>
      </c>
      <c r="D357" t="s">
        <v>409</v>
      </c>
      <c r="E357">
        <v>4523</v>
      </c>
      <c r="F357">
        <v>70</v>
      </c>
      <c r="G357">
        <v>283</v>
      </c>
      <c r="H357">
        <v>24</v>
      </c>
      <c r="U357">
        <v>3222</v>
      </c>
      <c r="V357" s="2" t="s">
        <v>350</v>
      </c>
      <c r="W357" t="s">
        <v>426</v>
      </c>
      <c r="X357" t="s">
        <v>409</v>
      </c>
      <c r="Y357">
        <v>3932</v>
      </c>
      <c r="Z357">
        <v>50</v>
      </c>
      <c r="AA357">
        <v>251</v>
      </c>
      <c r="AB357">
        <v>24</v>
      </c>
    </row>
    <row r="358" spans="1:28" x14ac:dyDescent="0.2">
      <c r="A358">
        <v>3226</v>
      </c>
      <c r="B358" s="2" t="s">
        <v>348</v>
      </c>
      <c r="C358" t="s">
        <v>427</v>
      </c>
      <c r="D358" t="s">
        <v>409</v>
      </c>
      <c r="E358">
        <v>5456</v>
      </c>
      <c r="F358">
        <v>66</v>
      </c>
      <c r="G358">
        <v>363</v>
      </c>
      <c r="H358">
        <v>36</v>
      </c>
      <c r="U358">
        <v>3226</v>
      </c>
      <c r="V358" s="2" t="s">
        <v>348</v>
      </c>
      <c r="W358" t="s">
        <v>427</v>
      </c>
      <c r="X358" t="s">
        <v>409</v>
      </c>
      <c r="Y358">
        <v>5246</v>
      </c>
      <c r="Z358">
        <v>56</v>
      </c>
      <c r="AA358">
        <v>326</v>
      </c>
      <c r="AB358">
        <v>36</v>
      </c>
    </row>
    <row r="359" spans="1:28" x14ac:dyDescent="0.2">
      <c r="A359">
        <v>3227</v>
      </c>
      <c r="B359" s="2" t="s">
        <v>349</v>
      </c>
      <c r="C359" t="s">
        <v>427</v>
      </c>
      <c r="D359" t="s">
        <v>409</v>
      </c>
      <c r="E359">
        <v>5678</v>
      </c>
      <c r="F359">
        <v>66</v>
      </c>
      <c r="G359">
        <v>361</v>
      </c>
      <c r="H359">
        <v>36</v>
      </c>
      <c r="U359">
        <v>3227</v>
      </c>
      <c r="V359" s="2" t="s">
        <v>349</v>
      </c>
      <c r="W359" t="s">
        <v>427</v>
      </c>
      <c r="X359" t="s">
        <v>409</v>
      </c>
      <c r="Y359">
        <v>5468</v>
      </c>
      <c r="Z359">
        <v>56</v>
      </c>
      <c r="AA359">
        <v>324</v>
      </c>
      <c r="AB359">
        <v>36</v>
      </c>
    </row>
    <row r="360" spans="1:28" x14ac:dyDescent="0.2">
      <c r="A360">
        <v>3233</v>
      </c>
      <c r="B360" s="2" t="s">
        <v>500</v>
      </c>
      <c r="C360" t="s">
        <v>401</v>
      </c>
      <c r="D360" t="s">
        <v>408</v>
      </c>
      <c r="E360">
        <v>2218</v>
      </c>
      <c r="F360">
        <v>153</v>
      </c>
      <c r="G360">
        <v>229</v>
      </c>
      <c r="H360">
        <v>40</v>
      </c>
      <c r="U360">
        <v>3233</v>
      </c>
      <c r="V360" s="2" t="s">
        <v>500</v>
      </c>
      <c r="W360" t="s">
        <v>401</v>
      </c>
      <c r="X360" t="s">
        <v>408</v>
      </c>
      <c r="Y360">
        <v>1890</v>
      </c>
      <c r="Z360">
        <v>148</v>
      </c>
      <c r="AA360">
        <v>209</v>
      </c>
      <c r="AB360">
        <v>40</v>
      </c>
    </row>
    <row r="361" spans="1:28" x14ac:dyDescent="0.2">
      <c r="A361">
        <v>3236</v>
      </c>
      <c r="B361" s="2" t="s">
        <v>144</v>
      </c>
      <c r="C361" t="s">
        <v>401</v>
      </c>
      <c r="D361" t="s">
        <v>408</v>
      </c>
      <c r="E361">
        <v>2290</v>
      </c>
      <c r="F361">
        <v>162</v>
      </c>
      <c r="G361">
        <v>215</v>
      </c>
      <c r="H361">
        <v>65</v>
      </c>
      <c r="U361">
        <v>3236</v>
      </c>
      <c r="V361" s="2" t="s">
        <v>144</v>
      </c>
      <c r="W361" t="s">
        <v>401</v>
      </c>
      <c r="X361" t="s">
        <v>408</v>
      </c>
      <c r="Y361">
        <v>1951</v>
      </c>
      <c r="Z361">
        <v>157</v>
      </c>
      <c r="AA361">
        <v>196</v>
      </c>
      <c r="AB361">
        <v>65</v>
      </c>
    </row>
    <row r="362" spans="1:28" x14ac:dyDescent="0.2">
      <c r="A362">
        <v>3239</v>
      </c>
      <c r="B362" s="2" t="s">
        <v>148</v>
      </c>
      <c r="C362" t="s">
        <v>400</v>
      </c>
      <c r="D362" t="s">
        <v>408</v>
      </c>
      <c r="E362">
        <v>3612</v>
      </c>
      <c r="F362">
        <v>100</v>
      </c>
      <c r="G362">
        <v>348</v>
      </c>
      <c r="H362">
        <v>39</v>
      </c>
      <c r="U362">
        <v>3239</v>
      </c>
      <c r="V362" s="2" t="s">
        <v>148</v>
      </c>
      <c r="W362" t="s">
        <v>400</v>
      </c>
      <c r="X362" t="s">
        <v>408</v>
      </c>
      <c r="Y362">
        <v>3229</v>
      </c>
      <c r="Z362">
        <v>76</v>
      </c>
      <c r="AA362">
        <v>310</v>
      </c>
      <c r="AB362">
        <v>39</v>
      </c>
    </row>
    <row r="363" spans="1:28" x14ac:dyDescent="0.2">
      <c r="A363">
        <v>3240</v>
      </c>
      <c r="B363" s="2" t="s">
        <v>489</v>
      </c>
      <c r="C363" t="s">
        <v>400</v>
      </c>
      <c r="D363" t="s">
        <v>408</v>
      </c>
      <c r="E363">
        <v>3612</v>
      </c>
      <c r="F363">
        <v>100</v>
      </c>
      <c r="G363">
        <v>348</v>
      </c>
      <c r="H363">
        <v>62</v>
      </c>
      <c r="U363">
        <v>3240</v>
      </c>
      <c r="V363" s="2" t="s">
        <v>489</v>
      </c>
      <c r="W363" t="s">
        <v>400</v>
      </c>
      <c r="X363" t="s">
        <v>408</v>
      </c>
      <c r="Y363">
        <v>3229</v>
      </c>
      <c r="Z363">
        <v>76</v>
      </c>
      <c r="AA363">
        <v>310</v>
      </c>
      <c r="AB363">
        <v>62</v>
      </c>
    </row>
    <row r="364" spans="1:28" x14ac:dyDescent="0.2">
      <c r="A364">
        <v>3241</v>
      </c>
      <c r="B364" s="2" t="s">
        <v>501</v>
      </c>
      <c r="C364" t="s">
        <v>400</v>
      </c>
      <c r="D364" t="s">
        <v>408</v>
      </c>
      <c r="E364">
        <v>3734</v>
      </c>
      <c r="F364">
        <v>102</v>
      </c>
      <c r="G364">
        <v>387</v>
      </c>
      <c r="H364">
        <v>67</v>
      </c>
      <c r="U364">
        <v>3241</v>
      </c>
      <c r="V364" s="2" t="s">
        <v>501</v>
      </c>
      <c r="W364" t="s">
        <v>400</v>
      </c>
      <c r="X364" t="s">
        <v>408</v>
      </c>
      <c r="Y364">
        <v>3346</v>
      </c>
      <c r="Z364">
        <v>76</v>
      </c>
      <c r="AA364">
        <v>348</v>
      </c>
      <c r="AB364">
        <v>67</v>
      </c>
    </row>
    <row r="365" spans="1:28" x14ac:dyDescent="0.2">
      <c r="A365">
        <v>3258</v>
      </c>
      <c r="B365" s="2" t="s">
        <v>161</v>
      </c>
      <c r="C365" t="s">
        <v>400</v>
      </c>
      <c r="D365" t="s">
        <v>408</v>
      </c>
      <c r="E365">
        <v>2192</v>
      </c>
      <c r="F365">
        <v>110</v>
      </c>
      <c r="G365">
        <v>304</v>
      </c>
      <c r="H365">
        <v>51</v>
      </c>
      <c r="U365">
        <v>3258</v>
      </c>
      <c r="V365" s="2" t="s">
        <v>161</v>
      </c>
      <c r="W365" t="s">
        <v>400</v>
      </c>
      <c r="X365" t="s">
        <v>408</v>
      </c>
      <c r="Y365">
        <v>1996</v>
      </c>
      <c r="Z365">
        <v>102</v>
      </c>
      <c r="AA365">
        <v>269</v>
      </c>
      <c r="AB365">
        <v>51</v>
      </c>
    </row>
    <row r="366" spans="1:28" x14ac:dyDescent="0.2">
      <c r="A366">
        <v>3259</v>
      </c>
      <c r="B366" s="2" t="s">
        <v>163</v>
      </c>
      <c r="C366" t="s">
        <v>400</v>
      </c>
      <c r="D366" t="s">
        <v>408</v>
      </c>
      <c r="E366">
        <v>2160</v>
      </c>
      <c r="F366">
        <v>107</v>
      </c>
      <c r="G366">
        <v>272</v>
      </c>
      <c r="H366">
        <v>47</v>
      </c>
      <c r="U366">
        <v>3259</v>
      </c>
      <c r="V366" s="2" t="s">
        <v>163</v>
      </c>
      <c r="W366" t="s">
        <v>400</v>
      </c>
      <c r="X366" t="s">
        <v>408</v>
      </c>
      <c r="Y366">
        <v>1967</v>
      </c>
      <c r="Z366">
        <v>99</v>
      </c>
      <c r="AA366">
        <v>239</v>
      </c>
      <c r="AB366">
        <v>47</v>
      </c>
    </row>
    <row r="367" spans="1:28" x14ac:dyDescent="0.2">
      <c r="A367">
        <v>3263</v>
      </c>
      <c r="B367" s="2" t="s">
        <v>166</v>
      </c>
      <c r="C367" t="s">
        <v>401</v>
      </c>
      <c r="D367" t="s">
        <v>408</v>
      </c>
      <c r="E367">
        <v>2036</v>
      </c>
      <c r="F367">
        <v>162</v>
      </c>
      <c r="G367">
        <v>262</v>
      </c>
      <c r="H367">
        <v>70</v>
      </c>
      <c r="U367">
        <v>3263</v>
      </c>
      <c r="V367" s="2" t="s">
        <v>166</v>
      </c>
      <c r="W367" t="s">
        <v>401</v>
      </c>
      <c r="X367" t="s">
        <v>408</v>
      </c>
      <c r="Y367">
        <v>1731</v>
      </c>
      <c r="Z367">
        <v>156</v>
      </c>
      <c r="AA367">
        <v>239</v>
      </c>
      <c r="AB367">
        <v>70</v>
      </c>
    </row>
    <row r="368" spans="1:28" x14ac:dyDescent="0.2">
      <c r="A368">
        <v>3269</v>
      </c>
      <c r="B368" s="2" t="s">
        <v>172</v>
      </c>
      <c r="C368" t="s">
        <v>401</v>
      </c>
      <c r="D368" t="s">
        <v>408</v>
      </c>
      <c r="E368">
        <v>1726</v>
      </c>
      <c r="F368">
        <v>193</v>
      </c>
      <c r="G368">
        <v>179</v>
      </c>
      <c r="H368">
        <v>86</v>
      </c>
      <c r="U368">
        <v>3269</v>
      </c>
      <c r="V368" s="2" t="s">
        <v>172</v>
      </c>
      <c r="W368" t="s">
        <v>401</v>
      </c>
      <c r="X368" t="s">
        <v>408</v>
      </c>
      <c r="Y368">
        <v>1466</v>
      </c>
      <c r="Z368">
        <v>187</v>
      </c>
      <c r="AA368">
        <v>161</v>
      </c>
      <c r="AB368">
        <v>86</v>
      </c>
    </row>
    <row r="369" spans="1:31" x14ac:dyDescent="0.2">
      <c r="A369">
        <v>3270</v>
      </c>
      <c r="B369" s="2" t="s">
        <v>174</v>
      </c>
      <c r="C369" t="s">
        <v>401</v>
      </c>
      <c r="D369" t="s">
        <v>408</v>
      </c>
      <c r="E369">
        <v>1726</v>
      </c>
      <c r="F369">
        <v>190</v>
      </c>
      <c r="G369">
        <v>170</v>
      </c>
      <c r="H369">
        <v>45</v>
      </c>
      <c r="K369">
        <v>0.18</v>
      </c>
      <c r="U369">
        <v>3270</v>
      </c>
      <c r="V369" s="2" t="s">
        <v>174</v>
      </c>
      <c r="W369" t="s">
        <v>401</v>
      </c>
      <c r="X369" t="s">
        <v>408</v>
      </c>
      <c r="Y369">
        <v>1466</v>
      </c>
      <c r="Z369">
        <v>184</v>
      </c>
      <c r="AA369">
        <v>153</v>
      </c>
      <c r="AB369">
        <v>45</v>
      </c>
      <c r="AE369">
        <v>0.18</v>
      </c>
    </row>
    <row r="370" spans="1:31" x14ac:dyDescent="0.2">
      <c r="A370">
        <v>3271</v>
      </c>
      <c r="B370" s="2" t="s">
        <v>176</v>
      </c>
      <c r="C370" t="s">
        <v>401</v>
      </c>
      <c r="D370" t="s">
        <v>408</v>
      </c>
      <c r="E370">
        <v>1652</v>
      </c>
      <c r="F370">
        <v>193</v>
      </c>
      <c r="G370">
        <v>173</v>
      </c>
      <c r="H370">
        <v>35</v>
      </c>
      <c r="U370">
        <v>3271</v>
      </c>
      <c r="V370" s="2" t="s">
        <v>176</v>
      </c>
      <c r="W370" t="s">
        <v>401</v>
      </c>
      <c r="X370" t="s">
        <v>408</v>
      </c>
      <c r="Y370">
        <v>1404</v>
      </c>
      <c r="Z370">
        <v>187</v>
      </c>
      <c r="AA370">
        <v>155</v>
      </c>
      <c r="AB370">
        <v>35</v>
      </c>
    </row>
    <row r="371" spans="1:31" x14ac:dyDescent="0.2">
      <c r="A371">
        <v>3272</v>
      </c>
      <c r="B371" s="2" t="s">
        <v>545</v>
      </c>
      <c r="C371" s="2" t="s">
        <v>401</v>
      </c>
      <c r="D371" s="2" t="s">
        <v>408</v>
      </c>
      <c r="E371" s="27">
        <v>1652</v>
      </c>
      <c r="F371" s="27">
        <v>193</v>
      </c>
      <c r="G371" s="27">
        <v>173</v>
      </c>
      <c r="H371" s="27">
        <v>15</v>
      </c>
      <c r="U371">
        <v>3272</v>
      </c>
      <c r="V371" t="s">
        <v>545</v>
      </c>
      <c r="W371" t="s">
        <v>401</v>
      </c>
      <c r="X371" t="s">
        <v>408</v>
      </c>
      <c r="Y371">
        <v>1404</v>
      </c>
      <c r="Z371">
        <v>187</v>
      </c>
      <c r="AA371">
        <v>155</v>
      </c>
      <c r="AB371">
        <v>15</v>
      </c>
    </row>
    <row r="372" spans="1:31" x14ac:dyDescent="0.2">
      <c r="A372">
        <v>3301</v>
      </c>
      <c r="B372" s="2" t="s">
        <v>190</v>
      </c>
      <c r="C372" t="s">
        <v>401</v>
      </c>
      <c r="D372" t="s">
        <v>408</v>
      </c>
      <c r="E372">
        <v>2280</v>
      </c>
      <c r="F372">
        <v>160</v>
      </c>
      <c r="G372">
        <v>233</v>
      </c>
      <c r="H372">
        <v>80</v>
      </c>
      <c r="U372">
        <v>3301</v>
      </c>
      <c r="V372" s="2" t="s">
        <v>190</v>
      </c>
      <c r="W372" t="s">
        <v>401</v>
      </c>
      <c r="X372" t="s">
        <v>408</v>
      </c>
      <c r="Y372">
        <v>1927</v>
      </c>
      <c r="Z372">
        <v>154</v>
      </c>
      <c r="AA372">
        <v>209</v>
      </c>
      <c r="AB372">
        <v>80</v>
      </c>
    </row>
    <row r="373" spans="1:31" x14ac:dyDescent="0.2">
      <c r="A373">
        <v>3308</v>
      </c>
      <c r="B373" s="2" t="s">
        <v>197</v>
      </c>
      <c r="C373" t="s">
        <v>400</v>
      </c>
      <c r="D373" t="s">
        <v>408</v>
      </c>
      <c r="E373">
        <v>2780</v>
      </c>
      <c r="F373">
        <v>108</v>
      </c>
      <c r="G373">
        <v>276</v>
      </c>
      <c r="H373">
        <v>42</v>
      </c>
      <c r="U373">
        <v>3308</v>
      </c>
      <c r="V373" s="2" t="s">
        <v>197</v>
      </c>
      <c r="W373" t="s">
        <v>400</v>
      </c>
      <c r="X373" t="s">
        <v>408</v>
      </c>
      <c r="Y373">
        <v>2483</v>
      </c>
      <c r="Z373">
        <v>75</v>
      </c>
      <c r="AA373">
        <v>241</v>
      </c>
      <c r="AB373">
        <v>42</v>
      </c>
    </row>
    <row r="374" spans="1:31" x14ac:dyDescent="0.2">
      <c r="A374">
        <v>3309</v>
      </c>
      <c r="B374" s="2" t="s">
        <v>199</v>
      </c>
      <c r="C374" t="s">
        <v>400</v>
      </c>
      <c r="D374" t="s">
        <v>408</v>
      </c>
      <c r="E374">
        <v>2855</v>
      </c>
      <c r="F374">
        <v>108</v>
      </c>
      <c r="G374">
        <v>300</v>
      </c>
      <c r="H374">
        <v>38</v>
      </c>
      <c r="K374">
        <v>0.2</v>
      </c>
      <c r="U374">
        <v>3309</v>
      </c>
      <c r="V374" s="2" t="s">
        <v>199</v>
      </c>
      <c r="W374" t="s">
        <v>400</v>
      </c>
      <c r="X374" t="s">
        <v>408</v>
      </c>
      <c r="Y374">
        <v>2550</v>
      </c>
      <c r="Z374">
        <v>75</v>
      </c>
      <c r="AA374">
        <v>264</v>
      </c>
      <c r="AB374">
        <v>38</v>
      </c>
      <c r="AE374">
        <v>0.2</v>
      </c>
    </row>
    <row r="375" spans="1:31" x14ac:dyDescent="0.2">
      <c r="A375">
        <v>3318</v>
      </c>
      <c r="B375" s="2" t="s">
        <v>204</v>
      </c>
      <c r="C375" t="s">
        <v>401</v>
      </c>
      <c r="D375" t="s">
        <v>408</v>
      </c>
      <c r="E375">
        <v>2143</v>
      </c>
      <c r="F375">
        <v>211</v>
      </c>
      <c r="G375">
        <v>150</v>
      </c>
      <c r="H375">
        <v>58</v>
      </c>
      <c r="K375">
        <v>0.18</v>
      </c>
      <c r="U375">
        <v>3318</v>
      </c>
      <c r="V375" s="2" t="s">
        <v>204</v>
      </c>
      <c r="W375" t="s">
        <v>401</v>
      </c>
      <c r="X375" t="s">
        <v>408</v>
      </c>
      <c r="Y375">
        <v>1796</v>
      </c>
      <c r="Z375">
        <v>205</v>
      </c>
      <c r="AA375">
        <v>130</v>
      </c>
      <c r="AB375">
        <v>58</v>
      </c>
      <c r="AE375">
        <v>0.18</v>
      </c>
    </row>
    <row r="376" spans="1:31" x14ac:dyDescent="0.2">
      <c r="A376">
        <v>3319</v>
      </c>
      <c r="B376" s="2" t="s">
        <v>206</v>
      </c>
      <c r="C376" t="s">
        <v>401</v>
      </c>
      <c r="D376" t="s">
        <v>408</v>
      </c>
      <c r="E376">
        <v>2143</v>
      </c>
      <c r="F376">
        <v>211</v>
      </c>
      <c r="G376">
        <v>154</v>
      </c>
      <c r="H376">
        <v>52</v>
      </c>
      <c r="U376">
        <v>3319</v>
      </c>
      <c r="V376" s="2" t="s">
        <v>206</v>
      </c>
      <c r="W376" t="s">
        <v>401</v>
      </c>
      <c r="X376" t="s">
        <v>408</v>
      </c>
      <c r="Y376">
        <v>1796</v>
      </c>
      <c r="Z376">
        <v>205</v>
      </c>
      <c r="AA376">
        <v>134</v>
      </c>
      <c r="AB376">
        <v>52</v>
      </c>
    </row>
    <row r="377" spans="1:31" x14ac:dyDescent="0.2">
      <c r="A377">
        <v>3348</v>
      </c>
      <c r="B377" s="2" t="s">
        <v>224</v>
      </c>
      <c r="C377" t="s">
        <v>401</v>
      </c>
      <c r="D377" t="s">
        <v>408</v>
      </c>
      <c r="E377">
        <v>1436</v>
      </c>
      <c r="F377">
        <v>200</v>
      </c>
      <c r="G377">
        <v>168</v>
      </c>
      <c r="H377">
        <v>69</v>
      </c>
      <c r="K377">
        <v>0.18</v>
      </c>
      <c r="U377">
        <v>3348</v>
      </c>
      <c r="V377" s="2" t="s">
        <v>224</v>
      </c>
      <c r="W377" t="s">
        <v>401</v>
      </c>
      <c r="X377" t="s">
        <v>408</v>
      </c>
      <c r="Y377">
        <v>1207</v>
      </c>
      <c r="Z377">
        <v>193</v>
      </c>
      <c r="AA377">
        <v>150</v>
      </c>
      <c r="AB377">
        <v>69</v>
      </c>
      <c r="AE377">
        <v>0.18</v>
      </c>
    </row>
    <row r="378" spans="1:31" x14ac:dyDescent="0.2">
      <c r="A378">
        <v>3349</v>
      </c>
      <c r="B378" s="2" t="s">
        <v>532</v>
      </c>
      <c r="C378" t="s">
        <v>400</v>
      </c>
      <c r="D378" t="s">
        <v>408</v>
      </c>
      <c r="E378">
        <v>3425</v>
      </c>
      <c r="F378">
        <v>117</v>
      </c>
      <c r="G378">
        <v>327</v>
      </c>
      <c r="H378">
        <v>67</v>
      </c>
      <c r="U378" s="15">
        <v>3349</v>
      </c>
      <c r="V378" s="2" t="s">
        <v>532</v>
      </c>
      <c r="W378" s="15" t="s">
        <v>400</v>
      </c>
      <c r="X378" s="15" t="s">
        <v>408</v>
      </c>
      <c r="Y378">
        <v>3071</v>
      </c>
      <c r="Z378">
        <v>78</v>
      </c>
      <c r="AA378">
        <v>293</v>
      </c>
      <c r="AB378">
        <v>67</v>
      </c>
    </row>
    <row r="379" spans="1:31" x14ac:dyDescent="0.2">
      <c r="A379">
        <v>3351</v>
      </c>
      <c r="B379" s="2" t="s">
        <v>227</v>
      </c>
      <c r="C379" t="s">
        <v>401</v>
      </c>
      <c r="D379" t="s">
        <v>408</v>
      </c>
      <c r="E379">
        <v>1436</v>
      </c>
      <c r="F379">
        <v>200</v>
      </c>
      <c r="G379">
        <v>183</v>
      </c>
      <c r="H379">
        <v>24</v>
      </c>
      <c r="K379">
        <v>0.18</v>
      </c>
      <c r="U379">
        <v>3351</v>
      </c>
      <c r="V379" s="2" t="s">
        <v>227</v>
      </c>
      <c r="W379" t="s">
        <v>401</v>
      </c>
      <c r="X379" t="s">
        <v>408</v>
      </c>
      <c r="Y379">
        <v>1207</v>
      </c>
      <c r="Z379">
        <v>193</v>
      </c>
      <c r="AA379">
        <v>165</v>
      </c>
      <c r="AB379">
        <v>24</v>
      </c>
      <c r="AE379">
        <v>0.18</v>
      </c>
    </row>
    <row r="380" spans="1:31" x14ac:dyDescent="0.2">
      <c r="A380">
        <v>3361</v>
      </c>
      <c r="B380" s="2" t="s">
        <v>232</v>
      </c>
      <c r="C380" t="s">
        <v>400</v>
      </c>
      <c r="D380" t="s">
        <v>408</v>
      </c>
      <c r="E380">
        <v>3928</v>
      </c>
      <c r="F380">
        <v>100</v>
      </c>
      <c r="G380">
        <v>387</v>
      </c>
      <c r="H380">
        <v>78</v>
      </c>
      <c r="U380">
        <v>3361</v>
      </c>
      <c r="V380" s="2" t="s">
        <v>232</v>
      </c>
      <c r="W380" t="s">
        <v>400</v>
      </c>
      <c r="X380" t="s">
        <v>408</v>
      </c>
      <c r="Y380">
        <v>3533</v>
      </c>
      <c r="Z380">
        <v>76</v>
      </c>
      <c r="AA380">
        <v>347</v>
      </c>
      <c r="AB380">
        <v>78</v>
      </c>
    </row>
    <row r="381" spans="1:31" x14ac:dyDescent="0.2">
      <c r="A381">
        <v>3372</v>
      </c>
      <c r="B381" s="2" t="s">
        <v>503</v>
      </c>
      <c r="C381" t="s">
        <v>400</v>
      </c>
      <c r="D381" t="s">
        <v>408</v>
      </c>
      <c r="E381">
        <v>3221</v>
      </c>
      <c r="F381">
        <v>92</v>
      </c>
      <c r="G381">
        <v>199</v>
      </c>
      <c r="H381">
        <v>24</v>
      </c>
      <c r="U381">
        <v>3372</v>
      </c>
      <c r="V381" s="2" t="s">
        <v>502</v>
      </c>
      <c r="W381" t="s">
        <v>400</v>
      </c>
      <c r="X381" t="s">
        <v>408</v>
      </c>
      <c r="Y381">
        <v>2878</v>
      </c>
      <c r="Z381">
        <v>68</v>
      </c>
      <c r="AA381">
        <v>179</v>
      </c>
      <c r="AB381">
        <v>24</v>
      </c>
    </row>
    <row r="382" spans="1:31" x14ac:dyDescent="0.2">
      <c r="A382">
        <v>3373</v>
      </c>
      <c r="B382" s="2" t="s">
        <v>504</v>
      </c>
      <c r="C382" t="s">
        <v>400</v>
      </c>
      <c r="D382" t="s">
        <v>408</v>
      </c>
      <c r="E382">
        <v>3029</v>
      </c>
      <c r="F382">
        <v>92</v>
      </c>
      <c r="G382">
        <v>223</v>
      </c>
      <c r="H382">
        <v>45</v>
      </c>
      <c r="U382">
        <v>3371</v>
      </c>
      <c r="V382" s="2" t="s">
        <v>504</v>
      </c>
      <c r="W382" t="s">
        <v>400</v>
      </c>
      <c r="X382" t="s">
        <v>408</v>
      </c>
      <c r="Y382">
        <v>2708</v>
      </c>
      <c r="Z382">
        <v>68</v>
      </c>
      <c r="AA382">
        <v>200</v>
      </c>
      <c r="AB382">
        <v>45</v>
      </c>
    </row>
    <row r="383" spans="1:31" x14ac:dyDescent="0.2">
      <c r="A383" t="s">
        <v>291</v>
      </c>
      <c r="B383" s="2" t="s">
        <v>379</v>
      </c>
      <c r="C383" t="s">
        <v>400</v>
      </c>
      <c r="D383" t="s">
        <v>408</v>
      </c>
      <c r="E383">
        <v>3430</v>
      </c>
      <c r="F383">
        <v>100</v>
      </c>
      <c r="G383">
        <v>303</v>
      </c>
      <c r="H383">
        <v>73</v>
      </c>
      <c r="U383" s="2" t="s">
        <v>291</v>
      </c>
      <c r="V383" t="s">
        <v>380</v>
      </c>
      <c r="W383" t="s">
        <v>400</v>
      </c>
      <c r="X383" t="s">
        <v>408</v>
      </c>
      <c r="Y383">
        <v>3387</v>
      </c>
      <c r="Z383">
        <v>30</v>
      </c>
      <c r="AA383">
        <v>266</v>
      </c>
      <c r="AB383">
        <v>73</v>
      </c>
    </row>
    <row r="384" spans="1:31" x14ac:dyDescent="0.2">
      <c r="A384" t="s">
        <v>292</v>
      </c>
      <c r="B384" s="2" t="s">
        <v>380</v>
      </c>
      <c r="C384" t="s">
        <v>413</v>
      </c>
      <c r="D384" t="s">
        <v>409</v>
      </c>
      <c r="E384">
        <v>3828</v>
      </c>
      <c r="F384">
        <v>65</v>
      </c>
      <c r="G384">
        <v>178</v>
      </c>
      <c r="H384">
        <v>83</v>
      </c>
      <c r="U384" s="2" t="s">
        <v>291</v>
      </c>
      <c r="V384" t="s">
        <v>379</v>
      </c>
      <c r="W384" t="s">
        <v>413</v>
      </c>
      <c r="X384" t="s">
        <v>409</v>
      </c>
      <c r="Y384">
        <v>3041</v>
      </c>
      <c r="Z384">
        <v>73</v>
      </c>
      <c r="AA384">
        <v>155</v>
      </c>
      <c r="AB384">
        <v>83</v>
      </c>
    </row>
    <row r="385" spans="1:28" x14ac:dyDescent="0.2">
      <c r="A385" t="s">
        <v>293</v>
      </c>
      <c r="B385" t="s">
        <v>294</v>
      </c>
      <c r="C385" t="s">
        <v>401</v>
      </c>
      <c r="D385" t="s">
        <v>408</v>
      </c>
      <c r="E385">
        <v>1800</v>
      </c>
      <c r="F385">
        <v>175</v>
      </c>
      <c r="G385">
        <v>149</v>
      </c>
      <c r="H385">
        <v>71</v>
      </c>
      <c r="U385" s="2" t="s">
        <v>293</v>
      </c>
      <c r="V385" t="s">
        <v>294</v>
      </c>
      <c r="W385" t="s">
        <v>401</v>
      </c>
      <c r="X385" t="s">
        <v>408</v>
      </c>
      <c r="Y385">
        <v>1513</v>
      </c>
      <c r="Z385">
        <v>169</v>
      </c>
      <c r="AA385">
        <v>129</v>
      </c>
      <c r="AB385">
        <v>71</v>
      </c>
    </row>
    <row r="386" spans="1:28" x14ac:dyDescent="0.2">
      <c r="A386" t="s">
        <v>323</v>
      </c>
      <c r="B386" s="2" t="s">
        <v>381</v>
      </c>
      <c r="C386" t="s">
        <v>427</v>
      </c>
      <c r="D386" t="s">
        <v>409</v>
      </c>
      <c r="E386">
        <v>5523</v>
      </c>
      <c r="F386">
        <v>48</v>
      </c>
      <c r="G386">
        <v>288</v>
      </c>
      <c r="H386">
        <v>93</v>
      </c>
      <c r="U386" s="2" t="s">
        <v>323</v>
      </c>
      <c r="V386" t="s">
        <v>381</v>
      </c>
      <c r="W386" t="s">
        <v>427</v>
      </c>
      <c r="X386" t="s">
        <v>409</v>
      </c>
      <c r="Y386">
        <v>4802</v>
      </c>
      <c r="Z386">
        <v>34</v>
      </c>
      <c r="AA386">
        <v>253</v>
      </c>
      <c r="AB386">
        <v>93</v>
      </c>
    </row>
    <row r="387" spans="1:28" x14ac:dyDescent="0.2">
      <c r="A387" t="s">
        <v>295</v>
      </c>
      <c r="B387" s="2" t="s">
        <v>382</v>
      </c>
      <c r="C387" t="s">
        <v>400</v>
      </c>
      <c r="D387" t="s">
        <v>408</v>
      </c>
      <c r="E387">
        <v>3695</v>
      </c>
      <c r="F387">
        <v>102</v>
      </c>
      <c r="G387">
        <v>377</v>
      </c>
      <c r="H387">
        <v>87</v>
      </c>
      <c r="U387" s="2" t="s">
        <v>295</v>
      </c>
      <c r="V387" t="s">
        <v>382</v>
      </c>
      <c r="W387" t="s">
        <v>400</v>
      </c>
      <c r="X387" t="s">
        <v>408</v>
      </c>
      <c r="Y387">
        <v>3293</v>
      </c>
      <c r="Z387">
        <v>76</v>
      </c>
      <c r="AA387">
        <v>276</v>
      </c>
      <c r="AB387">
        <v>87</v>
      </c>
    </row>
    <row r="388" spans="1:28" x14ac:dyDescent="0.2">
      <c r="A388" t="s">
        <v>296</v>
      </c>
      <c r="B388" s="2" t="s">
        <v>383</v>
      </c>
      <c r="C388" t="s">
        <v>413</v>
      </c>
      <c r="D388" t="s">
        <v>409</v>
      </c>
      <c r="E388">
        <v>4062</v>
      </c>
      <c r="F388">
        <v>68</v>
      </c>
      <c r="G388">
        <v>193</v>
      </c>
      <c r="H388">
        <v>83</v>
      </c>
      <c r="U388" s="2" t="s">
        <v>296</v>
      </c>
      <c r="V388" t="s">
        <v>383</v>
      </c>
      <c r="W388" t="s">
        <v>413</v>
      </c>
      <c r="X388" t="s">
        <v>409</v>
      </c>
      <c r="Y388">
        <v>3610</v>
      </c>
      <c r="Z388">
        <v>33</v>
      </c>
      <c r="AA388">
        <v>168</v>
      </c>
      <c r="AB388">
        <v>83</v>
      </c>
    </row>
    <row r="389" spans="1:28" x14ac:dyDescent="0.2">
      <c r="A389" t="s">
        <v>297</v>
      </c>
      <c r="B389" t="s">
        <v>298</v>
      </c>
      <c r="C389" t="s">
        <v>401</v>
      </c>
      <c r="D389" t="s">
        <v>408</v>
      </c>
      <c r="E389">
        <v>1947</v>
      </c>
      <c r="F389">
        <v>178</v>
      </c>
      <c r="G389">
        <v>154</v>
      </c>
      <c r="H389">
        <v>73</v>
      </c>
      <c r="U389" s="2" t="s">
        <v>297</v>
      </c>
      <c r="V389" t="s">
        <v>298</v>
      </c>
      <c r="W389" t="s">
        <v>401</v>
      </c>
      <c r="X389" t="s">
        <v>408</v>
      </c>
      <c r="Y389">
        <v>1622</v>
      </c>
      <c r="Z389">
        <v>171</v>
      </c>
      <c r="AA389">
        <v>134</v>
      </c>
      <c r="AB389">
        <v>73</v>
      </c>
    </row>
    <row r="390" spans="1:28" x14ac:dyDescent="0.2">
      <c r="A390" t="s">
        <v>325</v>
      </c>
      <c r="B390" t="s">
        <v>326</v>
      </c>
      <c r="C390" t="s">
        <v>427</v>
      </c>
      <c r="D390" t="s">
        <v>409</v>
      </c>
      <c r="E390">
        <v>5781</v>
      </c>
      <c r="F390">
        <v>55</v>
      </c>
      <c r="G390">
        <v>298</v>
      </c>
      <c r="H390">
        <v>95</v>
      </c>
      <c r="U390" s="2" t="s">
        <v>325</v>
      </c>
      <c r="V390" t="s">
        <v>326</v>
      </c>
      <c r="W390" t="s">
        <v>427</v>
      </c>
      <c r="X390" t="s">
        <v>409</v>
      </c>
      <c r="Y390">
        <v>5027</v>
      </c>
      <c r="Z390">
        <v>36</v>
      </c>
      <c r="AA390">
        <v>262</v>
      </c>
      <c r="AB390">
        <v>95</v>
      </c>
    </row>
    <row r="391" spans="1:28" x14ac:dyDescent="0.2">
      <c r="A391" t="s">
        <v>299</v>
      </c>
      <c r="B391" s="2" t="s">
        <v>384</v>
      </c>
      <c r="C391" t="s">
        <v>413</v>
      </c>
      <c r="D391" t="s">
        <v>409</v>
      </c>
      <c r="E391">
        <v>4138</v>
      </c>
      <c r="F391">
        <v>54</v>
      </c>
      <c r="G391">
        <v>175</v>
      </c>
      <c r="H391">
        <v>90</v>
      </c>
      <c r="U391" s="2" t="s">
        <v>299</v>
      </c>
      <c r="V391" t="s">
        <v>384</v>
      </c>
      <c r="W391" t="s">
        <v>413</v>
      </c>
      <c r="X391" t="s">
        <v>409</v>
      </c>
      <c r="Y391">
        <v>3662</v>
      </c>
      <c r="Z391">
        <v>28</v>
      </c>
      <c r="AA391">
        <v>153</v>
      </c>
      <c r="AB391">
        <v>90</v>
      </c>
    </row>
    <row r="392" spans="1:28" x14ac:dyDescent="0.2">
      <c r="A392" t="s">
        <v>300</v>
      </c>
      <c r="B392" s="2" t="s">
        <v>385</v>
      </c>
      <c r="C392" t="s">
        <v>401</v>
      </c>
      <c r="D392" t="s">
        <v>408</v>
      </c>
      <c r="E392">
        <v>1941</v>
      </c>
      <c r="F392">
        <v>189</v>
      </c>
      <c r="G392">
        <v>210</v>
      </c>
      <c r="H392">
        <v>52</v>
      </c>
      <c r="U392" s="2" t="s">
        <v>300</v>
      </c>
      <c r="V392" t="s">
        <v>385</v>
      </c>
      <c r="W392" t="s">
        <v>401</v>
      </c>
      <c r="X392" t="s">
        <v>408</v>
      </c>
      <c r="Y392">
        <v>1617</v>
      </c>
      <c r="Z392">
        <v>183</v>
      </c>
      <c r="AA392">
        <v>183</v>
      </c>
      <c r="AB392">
        <v>52</v>
      </c>
    </row>
    <row r="393" spans="1:28" x14ac:dyDescent="0.2">
      <c r="A393" t="s">
        <v>301</v>
      </c>
      <c r="B393" s="2" t="s">
        <v>386</v>
      </c>
      <c r="C393" t="s">
        <v>400</v>
      </c>
      <c r="D393" t="s">
        <v>408</v>
      </c>
      <c r="E393">
        <v>4106</v>
      </c>
      <c r="F393">
        <v>88</v>
      </c>
      <c r="G393">
        <v>274</v>
      </c>
      <c r="H393">
        <v>66</v>
      </c>
      <c r="U393" s="2" t="s">
        <v>301</v>
      </c>
      <c r="V393" t="s">
        <v>386</v>
      </c>
      <c r="W393" t="s">
        <v>400</v>
      </c>
      <c r="X393" t="s">
        <v>408</v>
      </c>
      <c r="Y393">
        <v>3618</v>
      </c>
      <c r="Z393">
        <v>80</v>
      </c>
      <c r="AA393">
        <v>240</v>
      </c>
      <c r="AB393">
        <v>66</v>
      </c>
    </row>
    <row r="394" spans="1:28" x14ac:dyDescent="0.2">
      <c r="A394" t="s">
        <v>313</v>
      </c>
      <c r="B394" s="2" t="s">
        <v>387</v>
      </c>
      <c r="C394" t="s">
        <v>426</v>
      </c>
      <c r="D394" t="s">
        <v>408</v>
      </c>
      <c r="E394">
        <v>4472</v>
      </c>
      <c r="F394">
        <v>53</v>
      </c>
      <c r="G394">
        <v>255</v>
      </c>
      <c r="H394">
        <v>77</v>
      </c>
      <c r="U394" s="2" t="s">
        <v>313</v>
      </c>
      <c r="V394" t="s">
        <v>387</v>
      </c>
      <c r="W394" t="s">
        <v>426</v>
      </c>
      <c r="X394" t="s">
        <v>408</v>
      </c>
      <c r="Y394">
        <v>3727</v>
      </c>
      <c r="Z394">
        <v>49</v>
      </c>
      <c r="AA394">
        <v>222</v>
      </c>
      <c r="AB394">
        <v>77</v>
      </c>
    </row>
    <row r="395" spans="1:28" x14ac:dyDescent="0.2">
      <c r="A395" t="s">
        <v>314</v>
      </c>
      <c r="B395" s="2" t="s">
        <v>388</v>
      </c>
      <c r="C395" t="s">
        <v>426</v>
      </c>
      <c r="D395" t="s">
        <v>408</v>
      </c>
      <c r="E395">
        <v>4472</v>
      </c>
      <c r="F395">
        <v>53</v>
      </c>
      <c r="G395">
        <v>255</v>
      </c>
      <c r="H395">
        <v>77</v>
      </c>
      <c r="U395" s="2" t="s">
        <v>314</v>
      </c>
      <c r="V395" t="s">
        <v>388</v>
      </c>
      <c r="W395" t="s">
        <v>426</v>
      </c>
      <c r="X395" t="s">
        <v>408</v>
      </c>
      <c r="Y395">
        <v>3727</v>
      </c>
      <c r="Z395">
        <v>49</v>
      </c>
      <c r="AA395">
        <v>222</v>
      </c>
      <c r="AB395">
        <v>77</v>
      </c>
    </row>
    <row r="396" spans="1:28" x14ac:dyDescent="0.2">
      <c r="A396" t="s">
        <v>321</v>
      </c>
      <c r="B396" s="2" t="s">
        <v>389</v>
      </c>
      <c r="C396" t="s">
        <v>427</v>
      </c>
      <c r="D396" t="s">
        <v>409</v>
      </c>
      <c r="E396">
        <v>5126</v>
      </c>
      <c r="F396">
        <v>54</v>
      </c>
      <c r="G396">
        <v>266</v>
      </c>
      <c r="H396">
        <v>82</v>
      </c>
      <c r="U396" s="2" t="s">
        <v>321</v>
      </c>
      <c r="V396" t="s">
        <v>389</v>
      </c>
      <c r="W396" t="s">
        <v>427</v>
      </c>
      <c r="X396" t="s">
        <v>409</v>
      </c>
      <c r="Y396">
        <v>4458</v>
      </c>
      <c r="Z396">
        <v>33</v>
      </c>
      <c r="AA396">
        <v>232</v>
      </c>
      <c r="AB396">
        <v>82</v>
      </c>
    </row>
    <row r="397" spans="1:28" x14ac:dyDescent="0.2">
      <c r="A397" t="s">
        <v>471</v>
      </c>
      <c r="B397" s="2" t="s">
        <v>475</v>
      </c>
      <c r="C397" t="s">
        <v>401</v>
      </c>
      <c r="D397" t="s">
        <v>408</v>
      </c>
      <c r="E397">
        <v>1768</v>
      </c>
      <c r="F397">
        <v>194</v>
      </c>
      <c r="G397">
        <v>167</v>
      </c>
      <c r="H397">
        <v>66</v>
      </c>
      <c r="U397" t="s">
        <v>471</v>
      </c>
      <c r="V397" s="2" t="s">
        <v>475</v>
      </c>
      <c r="W397" t="s">
        <v>401</v>
      </c>
      <c r="X397" t="s">
        <v>408</v>
      </c>
      <c r="Y397">
        <v>1473</v>
      </c>
      <c r="Z397">
        <v>185</v>
      </c>
      <c r="AA397">
        <v>145</v>
      </c>
      <c r="AB397">
        <v>66</v>
      </c>
    </row>
    <row r="398" spans="1:28" x14ac:dyDescent="0.2">
      <c r="A398" t="s">
        <v>472</v>
      </c>
      <c r="B398" s="2" t="s">
        <v>477</v>
      </c>
      <c r="C398" t="s">
        <v>413</v>
      </c>
      <c r="D398" t="s">
        <v>409</v>
      </c>
      <c r="E398">
        <v>5020</v>
      </c>
      <c r="F398">
        <v>53</v>
      </c>
      <c r="G398">
        <v>225</v>
      </c>
      <c r="H398">
        <v>66</v>
      </c>
      <c r="U398" t="s">
        <v>472</v>
      </c>
      <c r="V398" s="2" t="s">
        <v>477</v>
      </c>
      <c r="W398" t="s">
        <v>413</v>
      </c>
      <c r="X398" t="s">
        <v>409</v>
      </c>
      <c r="Y398">
        <v>4183</v>
      </c>
      <c r="Z398">
        <v>49</v>
      </c>
      <c r="AA398">
        <v>196</v>
      </c>
      <c r="AB398">
        <v>66</v>
      </c>
    </row>
    <row r="399" spans="1:28" x14ac:dyDescent="0.2">
      <c r="A399" t="s">
        <v>473</v>
      </c>
      <c r="B399" s="2" t="s">
        <v>478</v>
      </c>
      <c r="C399" t="s">
        <v>427</v>
      </c>
      <c r="D399" t="s">
        <v>409</v>
      </c>
      <c r="E399">
        <v>6626</v>
      </c>
      <c r="F399">
        <v>37</v>
      </c>
      <c r="G399">
        <v>323</v>
      </c>
      <c r="H399">
        <v>66</v>
      </c>
      <c r="U399" t="s">
        <v>473</v>
      </c>
      <c r="V399" s="2" t="s">
        <v>478</v>
      </c>
      <c r="W399" t="s">
        <v>427</v>
      </c>
      <c r="X399" t="s">
        <v>409</v>
      </c>
      <c r="Y399">
        <v>5522</v>
      </c>
      <c r="Z399">
        <v>34</v>
      </c>
      <c r="AA399">
        <v>285</v>
      </c>
      <c r="AB399">
        <v>66</v>
      </c>
    </row>
    <row r="400" spans="1:28" x14ac:dyDescent="0.2">
      <c r="A400" t="s">
        <v>474</v>
      </c>
      <c r="B400" s="2" t="s">
        <v>476</v>
      </c>
      <c r="C400" t="s">
        <v>414</v>
      </c>
      <c r="D400" t="s">
        <v>410</v>
      </c>
      <c r="E400">
        <v>7648</v>
      </c>
      <c r="F400">
        <v>30</v>
      </c>
      <c r="G400">
        <v>199</v>
      </c>
      <c r="H400">
        <v>66</v>
      </c>
      <c r="U400" t="s">
        <v>474</v>
      </c>
      <c r="V400" s="2" t="s">
        <v>476</v>
      </c>
      <c r="W400" t="s">
        <v>414</v>
      </c>
      <c r="X400" t="s">
        <v>410</v>
      </c>
      <c r="Y400">
        <v>6374</v>
      </c>
      <c r="Z400">
        <v>28</v>
      </c>
      <c r="AA400">
        <v>173</v>
      </c>
      <c r="AB400">
        <v>66</v>
      </c>
    </row>
    <row r="401" spans="1:28" x14ac:dyDescent="0.2">
      <c r="A401" t="s">
        <v>302</v>
      </c>
      <c r="B401" s="2" t="s">
        <v>390</v>
      </c>
      <c r="C401" t="s">
        <v>400</v>
      </c>
      <c r="D401" t="s">
        <v>408</v>
      </c>
      <c r="E401">
        <v>4637</v>
      </c>
      <c r="F401">
        <v>98</v>
      </c>
      <c r="G401">
        <v>363</v>
      </c>
      <c r="H401">
        <v>0</v>
      </c>
      <c r="U401" s="2" t="s">
        <v>302</v>
      </c>
      <c r="V401" t="s">
        <v>390</v>
      </c>
      <c r="W401" t="s">
        <v>400</v>
      </c>
      <c r="X401" t="s">
        <v>408</v>
      </c>
      <c r="Y401">
        <v>4215</v>
      </c>
      <c r="Z401">
        <v>73</v>
      </c>
      <c r="AA401">
        <v>323</v>
      </c>
      <c r="AB401">
        <v>0</v>
      </c>
    </row>
    <row r="402" spans="1:28" x14ac:dyDescent="0.2">
      <c r="A402" t="s">
        <v>303</v>
      </c>
      <c r="B402" t="s">
        <v>304</v>
      </c>
      <c r="C402" t="s">
        <v>414</v>
      </c>
      <c r="D402" t="s">
        <v>410</v>
      </c>
      <c r="E402">
        <v>7967</v>
      </c>
      <c r="F402">
        <v>35</v>
      </c>
      <c r="G402">
        <v>230</v>
      </c>
      <c r="H402">
        <v>0</v>
      </c>
      <c r="U402" s="2" t="s">
        <v>303</v>
      </c>
      <c r="V402" t="s">
        <v>304</v>
      </c>
      <c r="W402" t="s">
        <v>414</v>
      </c>
      <c r="X402" t="s">
        <v>410</v>
      </c>
      <c r="Y402">
        <v>6897</v>
      </c>
      <c r="Z402">
        <v>18</v>
      </c>
      <c r="AA402">
        <v>200</v>
      </c>
      <c r="AB402">
        <v>0</v>
      </c>
    </row>
    <row r="403" spans="1:28" x14ac:dyDescent="0.2">
      <c r="A403" t="s">
        <v>305</v>
      </c>
      <c r="B403" t="s">
        <v>306</v>
      </c>
      <c r="C403" t="s">
        <v>413</v>
      </c>
      <c r="D403" t="s">
        <v>409</v>
      </c>
      <c r="E403">
        <v>4793</v>
      </c>
      <c r="F403">
        <v>86</v>
      </c>
      <c r="G403">
        <v>194</v>
      </c>
      <c r="H403">
        <v>0</v>
      </c>
      <c r="U403" s="2" t="s">
        <v>305</v>
      </c>
      <c r="V403" t="s">
        <v>306</v>
      </c>
      <c r="W403" t="s">
        <v>413</v>
      </c>
      <c r="X403" t="s">
        <v>409</v>
      </c>
      <c r="Y403">
        <v>4260</v>
      </c>
      <c r="Z403">
        <v>41</v>
      </c>
      <c r="AA403">
        <v>169</v>
      </c>
      <c r="AB403">
        <v>0</v>
      </c>
    </row>
    <row r="404" spans="1:28" x14ac:dyDescent="0.2">
      <c r="A404" t="s">
        <v>307</v>
      </c>
      <c r="B404" t="s">
        <v>308</v>
      </c>
      <c r="C404" t="s">
        <v>414</v>
      </c>
      <c r="D404" t="s">
        <v>410</v>
      </c>
      <c r="E404">
        <v>8607</v>
      </c>
      <c r="F404">
        <v>37</v>
      </c>
      <c r="G404">
        <v>237</v>
      </c>
      <c r="H404">
        <v>0</v>
      </c>
      <c r="U404" s="2" t="s">
        <v>307</v>
      </c>
      <c r="V404" t="s">
        <v>308</v>
      </c>
      <c r="W404" t="s">
        <v>414</v>
      </c>
      <c r="X404" t="s">
        <v>410</v>
      </c>
      <c r="Y404">
        <v>7356</v>
      </c>
      <c r="Z404">
        <v>18</v>
      </c>
      <c r="AA404">
        <v>206</v>
      </c>
      <c r="AB404">
        <v>0</v>
      </c>
    </row>
    <row r="405" spans="1:28" x14ac:dyDescent="0.2">
      <c r="A405" t="s">
        <v>309</v>
      </c>
      <c r="B405" s="2" t="s">
        <v>391</v>
      </c>
      <c r="C405" t="s">
        <v>413</v>
      </c>
      <c r="D405" t="s">
        <v>409</v>
      </c>
      <c r="E405">
        <v>5920</v>
      </c>
      <c r="F405">
        <v>78</v>
      </c>
      <c r="G405">
        <v>233</v>
      </c>
      <c r="H405">
        <v>0</v>
      </c>
      <c r="U405" s="2" t="s">
        <v>309</v>
      </c>
      <c r="V405" t="s">
        <v>391</v>
      </c>
      <c r="W405" t="s">
        <v>413</v>
      </c>
      <c r="X405" t="s">
        <v>409</v>
      </c>
      <c r="Y405">
        <v>5382</v>
      </c>
      <c r="Z405">
        <v>39</v>
      </c>
      <c r="AA405">
        <v>202</v>
      </c>
      <c r="AB405">
        <v>0</v>
      </c>
    </row>
    <row r="406" spans="1:28" x14ac:dyDescent="0.2">
      <c r="A406" t="s">
        <v>310</v>
      </c>
      <c r="B406" t="s">
        <v>277</v>
      </c>
      <c r="C406" t="s">
        <v>413</v>
      </c>
      <c r="D406" t="s">
        <v>409</v>
      </c>
      <c r="E406">
        <v>5363</v>
      </c>
      <c r="F406">
        <v>80</v>
      </c>
      <c r="G406">
        <v>248</v>
      </c>
      <c r="H406">
        <v>0</v>
      </c>
      <c r="U406" s="2" t="s">
        <v>310</v>
      </c>
      <c r="V406" t="s">
        <v>277</v>
      </c>
      <c r="W406" t="s">
        <v>413</v>
      </c>
      <c r="X406" t="s">
        <v>409</v>
      </c>
      <c r="Y406">
        <v>4876</v>
      </c>
      <c r="Z406">
        <v>42</v>
      </c>
      <c r="AA406">
        <v>216</v>
      </c>
      <c r="AB406">
        <v>0</v>
      </c>
    </row>
    <row r="407" spans="1:28" x14ac:dyDescent="0.2">
      <c r="A407" s="2" t="s">
        <v>450</v>
      </c>
      <c r="B407" s="2" t="s">
        <v>456</v>
      </c>
      <c r="C407" s="2" t="s">
        <v>400</v>
      </c>
      <c r="D407" s="2" t="s">
        <v>408</v>
      </c>
      <c r="E407">
        <v>5257</v>
      </c>
      <c r="F407">
        <v>97</v>
      </c>
      <c r="G407">
        <v>365</v>
      </c>
      <c r="H407">
        <v>0</v>
      </c>
      <c r="U407" s="2" t="s">
        <v>450</v>
      </c>
      <c r="V407" s="2" t="s">
        <v>456</v>
      </c>
      <c r="W407" s="2" t="s">
        <v>400</v>
      </c>
      <c r="X407" s="2" t="s">
        <v>408</v>
      </c>
      <c r="Y407">
        <v>4779</v>
      </c>
      <c r="Z407">
        <v>73</v>
      </c>
      <c r="AA407">
        <v>325</v>
      </c>
      <c r="AB407">
        <v>0</v>
      </c>
    </row>
    <row r="408" spans="1:28" x14ac:dyDescent="0.2">
      <c r="A408" s="2" t="s">
        <v>451</v>
      </c>
      <c r="B408" s="2" t="s">
        <v>457</v>
      </c>
      <c r="C408" s="2" t="s">
        <v>414</v>
      </c>
      <c r="D408" s="2" t="s">
        <v>410</v>
      </c>
      <c r="E408">
        <v>8297</v>
      </c>
      <c r="F408">
        <v>30</v>
      </c>
      <c r="G408">
        <v>409</v>
      </c>
      <c r="H408">
        <v>0</v>
      </c>
      <c r="U408" s="2" t="s">
        <v>451</v>
      </c>
      <c r="V408" s="2" t="s">
        <v>457</v>
      </c>
      <c r="W408" s="2" t="s">
        <v>414</v>
      </c>
      <c r="X408" s="2" t="s">
        <v>410</v>
      </c>
      <c r="Y408">
        <v>7543</v>
      </c>
      <c r="Z408">
        <v>24</v>
      </c>
      <c r="AA408">
        <v>368</v>
      </c>
      <c r="AB408">
        <v>0</v>
      </c>
    </row>
    <row r="409" spans="1:28" x14ac:dyDescent="0.2">
      <c r="A409" s="2" t="s">
        <v>452</v>
      </c>
      <c r="B409" s="2" t="s">
        <v>458</v>
      </c>
      <c r="C409" s="2" t="s">
        <v>401</v>
      </c>
      <c r="D409" s="2" t="s">
        <v>408</v>
      </c>
      <c r="E409">
        <v>2641</v>
      </c>
      <c r="F409">
        <v>197</v>
      </c>
      <c r="G409">
        <v>197</v>
      </c>
      <c r="H409">
        <v>0</v>
      </c>
      <c r="U409" s="2" t="s">
        <v>452</v>
      </c>
      <c r="V409" s="2" t="s">
        <v>458</v>
      </c>
      <c r="W409" s="2" t="s">
        <v>401</v>
      </c>
      <c r="X409" s="2" t="s">
        <v>408</v>
      </c>
      <c r="Y409">
        <v>2348</v>
      </c>
      <c r="Z409">
        <v>187</v>
      </c>
      <c r="AA409">
        <v>171</v>
      </c>
      <c r="AB409">
        <v>0</v>
      </c>
    </row>
    <row r="410" spans="1:28" x14ac:dyDescent="0.2">
      <c r="A410" s="2" t="s">
        <v>453</v>
      </c>
      <c r="B410" s="2" t="s">
        <v>459</v>
      </c>
      <c r="C410" s="2" t="s">
        <v>448</v>
      </c>
      <c r="D410" s="2" t="s">
        <v>409</v>
      </c>
      <c r="E410">
        <v>7541</v>
      </c>
      <c r="F410">
        <v>50</v>
      </c>
      <c r="G410">
        <v>226</v>
      </c>
      <c r="H410">
        <v>0</v>
      </c>
      <c r="U410" s="2" t="s">
        <v>453</v>
      </c>
      <c r="V410" s="2" t="s">
        <v>459</v>
      </c>
      <c r="W410" s="2" t="s">
        <v>448</v>
      </c>
      <c r="X410" s="2" t="s">
        <v>409</v>
      </c>
      <c r="Y410">
        <v>6674</v>
      </c>
      <c r="Z410">
        <v>34</v>
      </c>
      <c r="AA410">
        <v>196</v>
      </c>
      <c r="AB410">
        <v>0</v>
      </c>
    </row>
    <row r="411" spans="1:28" x14ac:dyDescent="0.2">
      <c r="A411" s="2" t="s">
        <v>454</v>
      </c>
      <c r="B411" t="s">
        <v>460</v>
      </c>
      <c r="C411" s="2" t="s">
        <v>414</v>
      </c>
      <c r="D411" s="2" t="s">
        <v>410</v>
      </c>
      <c r="E411">
        <v>9886</v>
      </c>
      <c r="F411">
        <v>27</v>
      </c>
      <c r="G411">
        <v>241</v>
      </c>
      <c r="H411">
        <v>0</v>
      </c>
      <c r="U411" s="2" t="s">
        <v>454</v>
      </c>
      <c r="V411" t="s">
        <v>460</v>
      </c>
      <c r="W411" s="2" t="s">
        <v>414</v>
      </c>
      <c r="X411" s="2" t="s">
        <v>410</v>
      </c>
      <c r="Y411">
        <v>8449</v>
      </c>
      <c r="Z411">
        <v>21</v>
      </c>
      <c r="AA411">
        <v>210</v>
      </c>
      <c r="AB411">
        <v>0</v>
      </c>
    </row>
    <row r="412" spans="1:28" x14ac:dyDescent="0.2">
      <c r="A412" s="2" t="s">
        <v>455</v>
      </c>
      <c r="B412" s="2" t="s">
        <v>461</v>
      </c>
      <c r="C412" s="2" t="s">
        <v>414</v>
      </c>
      <c r="D412" s="2" t="s">
        <v>410</v>
      </c>
      <c r="E412">
        <v>7863</v>
      </c>
      <c r="F412">
        <v>36</v>
      </c>
      <c r="G412">
        <v>241</v>
      </c>
      <c r="H412">
        <v>0</v>
      </c>
      <c r="U412" s="2" t="s">
        <v>455</v>
      </c>
      <c r="V412" s="2" t="s">
        <v>461</v>
      </c>
      <c r="W412" s="2" t="s">
        <v>414</v>
      </c>
      <c r="X412" s="2" t="s">
        <v>410</v>
      </c>
      <c r="Y412">
        <v>6897</v>
      </c>
      <c r="Z412">
        <v>25</v>
      </c>
      <c r="AA412">
        <v>210</v>
      </c>
      <c r="AB412">
        <v>0</v>
      </c>
    </row>
  </sheetData>
  <sortState xmlns:xlrd2="http://schemas.microsoft.com/office/spreadsheetml/2017/richdata2" ref="U2:AD366">
    <sortCondition ref="U366"/>
  </sortState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O48"/>
  <sheetViews>
    <sheetView topLeftCell="F1" workbookViewId="0">
      <selection activeCell="K11" sqref="K11"/>
    </sheetView>
  </sheetViews>
  <sheetFormatPr defaultRowHeight="12.75" x14ac:dyDescent="0.2"/>
  <cols>
    <col min="1" max="21" width="13.7109375" customWidth="1"/>
  </cols>
  <sheetData>
    <row r="1" spans="1:15" x14ac:dyDescent="0.2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G1" s="62" t="s">
        <v>522</v>
      </c>
      <c r="H1" s="63"/>
      <c r="J1" s="64" t="s">
        <v>526</v>
      </c>
      <c r="K1" s="65"/>
      <c r="N1" s="11" t="s">
        <v>488</v>
      </c>
    </row>
    <row r="2" spans="1:15" x14ac:dyDescent="0.2">
      <c r="A2" t="s">
        <v>401</v>
      </c>
      <c r="B2" t="s">
        <v>402</v>
      </c>
      <c r="C2" s="6">
        <v>1</v>
      </c>
      <c r="D2" s="6">
        <v>0.5</v>
      </c>
      <c r="E2" s="6">
        <v>0.2</v>
      </c>
      <c r="G2" s="17" t="s">
        <v>523</v>
      </c>
      <c r="H2" s="3">
        <f t="array" ref="H2">IFERROR(INDEX(C2:E26,MATCH('eHP Calc'!I5&amp;'eHP Calc'!I6,A2:A26&amp;B2:B26,0),MATCH('eHP Calc'!L4,C1:E1,0)),1)</f>
        <v>1</v>
      </c>
      <c r="J2" s="16" t="s">
        <v>525</v>
      </c>
      <c r="K2" s="3">
        <f>1-_xlfn.IFS('eHP Calc'!I11="Non-Safe",'Background Tables'!K4,'eHP Calc'!I11="Safe",'Background Tables'!K3)</f>
        <v>1</v>
      </c>
      <c r="N2" s="10" t="s">
        <v>470</v>
      </c>
    </row>
    <row r="3" spans="1:15" x14ac:dyDescent="0.2">
      <c r="A3" t="s">
        <v>401</v>
      </c>
      <c r="B3" t="s">
        <v>403</v>
      </c>
      <c r="C3" s="6">
        <v>1</v>
      </c>
      <c r="D3" s="6">
        <v>0.6</v>
      </c>
      <c r="E3" s="6">
        <v>0.2</v>
      </c>
      <c r="G3" s="17" t="s">
        <v>518</v>
      </c>
      <c r="H3" s="3">
        <f t="array" ref="H3">IFERROR(INDEX(C2:E26,MATCH('eHP Calc'!I5&amp;'eHP Calc'!I6,A2:A26&amp;B2:B26,0),MATCH('eHP Calc'!G62,C1:E1,0)),1)</f>
        <v>1</v>
      </c>
      <c r="J3" s="16" t="s">
        <v>524</v>
      </c>
      <c r="K3" s="3">
        <f>1-((100-2*MAX(MIN(('eHP Calc'!I10+'eHP Calc'!I12),25),-25))/100)*((100-2*'eHP Calc'!I12)/100)</f>
        <v>0</v>
      </c>
    </row>
    <row r="4" spans="1:15" x14ac:dyDescent="0.2">
      <c r="A4" t="s">
        <v>401</v>
      </c>
      <c r="B4" t="s">
        <v>404</v>
      </c>
      <c r="C4" s="6">
        <v>1.2</v>
      </c>
      <c r="D4" s="6">
        <v>0.6</v>
      </c>
      <c r="E4" s="6">
        <v>0.6</v>
      </c>
      <c r="J4" s="16" t="s">
        <v>486</v>
      </c>
      <c r="K4" s="3">
        <f>1-((100-2*MAX(MIN(('eHP Calc'!I10),25),-25))/100)*((100-2*'eHP Calc'!I12)/100)</f>
        <v>0</v>
      </c>
    </row>
    <row r="5" spans="1:15" x14ac:dyDescent="0.2">
      <c r="A5" t="s">
        <v>401</v>
      </c>
      <c r="B5" t="s">
        <v>405</v>
      </c>
      <c r="C5" s="6">
        <v>0.9</v>
      </c>
      <c r="D5" s="6">
        <v>0.7</v>
      </c>
      <c r="E5" s="6">
        <v>0.4</v>
      </c>
    </row>
    <row r="6" spans="1:15" x14ac:dyDescent="0.2">
      <c r="A6" t="s">
        <v>400</v>
      </c>
      <c r="B6" t="s">
        <v>402</v>
      </c>
      <c r="C6" s="6">
        <v>1</v>
      </c>
      <c r="D6" s="6">
        <v>0.75</v>
      </c>
      <c r="E6" s="6">
        <v>0.4</v>
      </c>
      <c r="J6" s="18" t="s">
        <v>527</v>
      </c>
      <c r="K6" s="19"/>
    </row>
    <row r="7" spans="1:15" x14ac:dyDescent="0.2">
      <c r="A7" t="s">
        <v>400</v>
      </c>
      <c r="B7" t="s">
        <v>404</v>
      </c>
      <c r="C7" s="6">
        <v>1.4</v>
      </c>
      <c r="D7" s="6">
        <v>0.9</v>
      </c>
      <c r="E7" s="6">
        <v>0.7</v>
      </c>
      <c r="J7" s="18" t="s">
        <v>528</v>
      </c>
      <c r="K7" s="14">
        <f t="array" ref="K7">IFERROR(MAX(0,INDEX(C40:C48,MATCH('eHP Calc'!I5&amp;'eHP Calc'!I6,A40:A48&amp;B40:B48,0))-'eHP Calc'!R3),1)</f>
        <v>1</v>
      </c>
    </row>
    <row r="8" spans="1:15" x14ac:dyDescent="0.2">
      <c r="A8" t="s">
        <v>400</v>
      </c>
      <c r="B8" t="s">
        <v>411</v>
      </c>
      <c r="C8" s="6">
        <v>1.45</v>
      </c>
      <c r="D8" s="6">
        <v>1.05</v>
      </c>
      <c r="E8" s="6">
        <v>0.7</v>
      </c>
      <c r="G8" s="2" t="str">
        <f>IFERROR(_xlfn.IFS('eHP Calc'!$I$5="General",C29,'eHP Calc'!$I$5="DD",D29,'eHP Calc'!$I$5="CL",E29,'eHP Calc'!$I$5="CA",F29,'eHP Calc'!$I$5="BB",G29)," ")</f>
        <v>General</v>
      </c>
      <c r="J8" s="18" t="s">
        <v>531</v>
      </c>
      <c r="K8" s="14">
        <f>IFERROR(MAX(0,(15-'eHP Calc'!R4)/'eHP Calc'!I16),1)</f>
        <v>1</v>
      </c>
    </row>
    <row r="9" spans="1:15" x14ac:dyDescent="0.2">
      <c r="A9" t="s">
        <v>400</v>
      </c>
      <c r="B9" t="s">
        <v>468</v>
      </c>
      <c r="C9" s="6">
        <v>1.45</v>
      </c>
      <c r="D9" s="6">
        <v>1.1000000000000001</v>
      </c>
      <c r="E9" s="6">
        <v>0.75</v>
      </c>
      <c r="G9" s="2">
        <f>IFERROR(_xlfn.IFS('eHP Calc'!$I$5="General",C30,'eHP Calc'!$I$5="DD",D30,'eHP Calc'!$I$5="CL",E30,'eHP Calc'!$I$5="CA",F30,'eHP Calc'!$I$5="BB",G30),"")</f>
        <v>0</v>
      </c>
      <c r="J9" s="18" t="s">
        <v>530</v>
      </c>
      <c r="K9" s="14">
        <f t="array" ref="K9">IFERROR(INDEX(D40:D48,MATCH('eHP Calc'!I5&amp;'eHP Calc'!I6,A40:A48&amp;B40:B48,0))*MAX(0,(1-'eHP Calc'!R5)),1)</f>
        <v>1</v>
      </c>
    </row>
    <row r="10" spans="1:15" x14ac:dyDescent="0.2">
      <c r="A10" t="s">
        <v>400</v>
      </c>
      <c r="B10" t="s">
        <v>405</v>
      </c>
      <c r="C10" s="6">
        <v>1</v>
      </c>
      <c r="D10" s="6">
        <v>0.8</v>
      </c>
      <c r="E10" s="6">
        <v>0.6</v>
      </c>
      <c r="G10" s="2">
        <f>IFERROR(_xlfn.IFS('eHP Calc'!$I$5="General",C31,'eHP Calc'!$I$5="DD",D31,'eHP Calc'!$I$5="CL",E31,'eHP Calc'!$I$5="CA",F31,'eHP Calc'!$I$5="BB",G31),"")</f>
        <v>0</v>
      </c>
      <c r="H10" s="2" t="s">
        <v>442</v>
      </c>
      <c r="J10" s="18" t="s">
        <v>529</v>
      </c>
      <c r="K10" s="19"/>
      <c r="O10" s="27"/>
    </row>
    <row r="11" spans="1:15" x14ac:dyDescent="0.2">
      <c r="A11" t="s">
        <v>400</v>
      </c>
      <c r="B11" t="s">
        <v>412</v>
      </c>
      <c r="C11" s="6">
        <v>1.1000000000000001</v>
      </c>
      <c r="D11" s="6">
        <v>0.9</v>
      </c>
      <c r="E11" s="6">
        <v>0.7</v>
      </c>
      <c r="G11" s="2">
        <f>IFERROR(_xlfn.IFS('eHP Calc'!$I$5="General",C32,'eHP Calc'!$I$5="DD",D32,'eHP Calc'!$I$5="CL",E32,'eHP Calc'!$I$5="CA",F32,'eHP Calc'!$I$5="BB",G32),"")</f>
        <v>0</v>
      </c>
      <c r="J11" s="20" t="s">
        <v>528</v>
      </c>
      <c r="K11" s="14">
        <f>IFERROR(MAX(0,INDEX(C40:C48,MATCH('eHP Calc'!I5&amp;'eHP Calc'!I6,A40:A48&amp;B40:B48,0))-(IF('eHP Calc'!C13="Yes",0.3,0)+'eHP Calc'!R3)),1)</f>
        <v>1</v>
      </c>
      <c r="O11" s="12"/>
    </row>
    <row r="12" spans="1:15" x14ac:dyDescent="0.2">
      <c r="A12" t="s">
        <v>413</v>
      </c>
      <c r="B12" t="s">
        <v>402</v>
      </c>
      <c r="C12" s="6">
        <v>1</v>
      </c>
      <c r="D12" s="6">
        <v>0.9</v>
      </c>
      <c r="E12" s="6">
        <v>0.5</v>
      </c>
      <c r="G12" s="2">
        <f>IFERROR(_xlfn.IFS('eHP Calc'!$I$5="General",C33,'eHP Calc'!$I$5="DD",D33,'eHP Calc'!$I$5="CL",E33,'eHP Calc'!$I$5="CA",F33,'eHP Calc'!$I$5="BB",G33),"")</f>
        <v>0</v>
      </c>
      <c r="J12" s="20" t="s">
        <v>531</v>
      </c>
      <c r="K12" s="14">
        <f>IFERROR(MAX(0,(IF('eHP Calc'!C13="Yes",9,15)-'eHP Calc'!R4)/'eHP Calc'!I16),1)</f>
        <v>1</v>
      </c>
    </row>
    <row r="13" spans="1:15" x14ac:dyDescent="0.2">
      <c r="A13" t="s">
        <v>413</v>
      </c>
      <c r="B13" t="s">
        <v>404</v>
      </c>
      <c r="C13" s="6">
        <v>1.35</v>
      </c>
      <c r="D13" s="6">
        <v>0.95</v>
      </c>
      <c r="E13" s="6">
        <v>0.7</v>
      </c>
      <c r="G13" s="2">
        <f>IFERROR(_xlfn.IFS('eHP Calc'!$I$5="General",C34,'eHP Calc'!$I$5="DD",D34,'eHP Calc'!$I$5="CL",E34,'eHP Calc'!$I$5="CA",F34,'eHP Calc'!$I$5="BB",G34),"")</f>
        <v>0</v>
      </c>
      <c r="J13" s="20" t="s">
        <v>530</v>
      </c>
      <c r="K13" s="14">
        <f>IFERROR(INDEX(D40:D48,MATCH('eHP Calc'!I5&amp;'eHP Calc'!I6,A40:A48&amp;B40:B48,0))*MAX(0,(IF('eHP Calc'!C13="Yes",0.8,1)-'eHP Calc'!R5)),1)</f>
        <v>1</v>
      </c>
    </row>
    <row r="14" spans="1:15" x14ac:dyDescent="0.2">
      <c r="A14" t="s">
        <v>413</v>
      </c>
      <c r="B14" t="s">
        <v>411</v>
      </c>
      <c r="C14" s="6">
        <v>1.35</v>
      </c>
      <c r="D14" s="6">
        <v>1</v>
      </c>
      <c r="E14" s="6">
        <v>0.75</v>
      </c>
      <c r="G14">
        <f>IFERROR(_xlfn.IFS('eHP Calc'!$I$5="General",C35,'eHP Calc'!$I$5="DD",D35,'eHP Calc'!$I$5="CL",E35,'eHP Calc'!$I$5="CA",F35,'eHP Calc'!$I$5="BB",G35),"")</f>
        <v>0</v>
      </c>
    </row>
    <row r="15" spans="1:15" x14ac:dyDescent="0.2">
      <c r="A15" t="s">
        <v>413</v>
      </c>
      <c r="B15" t="s">
        <v>405</v>
      </c>
      <c r="C15" s="6">
        <v>0.75</v>
      </c>
      <c r="D15" s="6">
        <v>1.1000000000000001</v>
      </c>
      <c r="E15" s="6">
        <v>0.75</v>
      </c>
      <c r="J15" s="49" t="s">
        <v>552</v>
      </c>
      <c r="K15" s="50"/>
    </row>
    <row r="16" spans="1:15" x14ac:dyDescent="0.2">
      <c r="A16" t="s">
        <v>414</v>
      </c>
      <c r="B16" t="s">
        <v>402</v>
      </c>
      <c r="C16" s="6">
        <v>0.7</v>
      </c>
      <c r="D16" s="6">
        <v>1</v>
      </c>
      <c r="E16" s="13">
        <v>0.9</v>
      </c>
      <c r="J16" s="49" t="s">
        <v>525</v>
      </c>
      <c r="K16" s="14">
        <f>IF('eHP Calc'!I5="CV",150/(150+'eHP Calc'!N3*(1+'eHP Calc'!P5)),1)</f>
        <v>1</v>
      </c>
    </row>
    <row r="17" spans="1:11" x14ac:dyDescent="0.2">
      <c r="A17" t="s">
        <v>414</v>
      </c>
      <c r="B17" t="s">
        <v>404</v>
      </c>
      <c r="C17" s="6">
        <v>1.4</v>
      </c>
      <c r="D17" s="6">
        <v>1.1000000000000001</v>
      </c>
      <c r="E17" s="13">
        <v>0.9</v>
      </c>
    </row>
    <row r="18" spans="1:11" x14ac:dyDescent="0.2">
      <c r="A18" t="s">
        <v>414</v>
      </c>
      <c r="B18" t="s">
        <v>405</v>
      </c>
      <c r="C18" s="6">
        <v>0.45</v>
      </c>
      <c r="D18" s="6">
        <v>1.3</v>
      </c>
      <c r="E18" s="6">
        <v>1.1000000000000001</v>
      </c>
    </row>
    <row r="19" spans="1:11" x14ac:dyDescent="0.2">
      <c r="A19" t="s">
        <v>414</v>
      </c>
      <c r="B19" t="s">
        <v>412</v>
      </c>
      <c r="C19" s="6">
        <v>0.55000000000000004</v>
      </c>
      <c r="D19" s="6">
        <v>1.45</v>
      </c>
      <c r="E19" s="6">
        <v>1.25</v>
      </c>
    </row>
    <row r="20" spans="1:11" x14ac:dyDescent="0.2">
      <c r="A20" t="s">
        <v>414</v>
      </c>
      <c r="B20" t="s">
        <v>416</v>
      </c>
      <c r="C20" s="6">
        <v>1.4</v>
      </c>
      <c r="D20" s="6">
        <v>1.1000000000000001</v>
      </c>
      <c r="E20" s="6">
        <v>0.9</v>
      </c>
    </row>
    <row r="21" spans="1:11" x14ac:dyDescent="0.2">
      <c r="A21" t="s">
        <v>414</v>
      </c>
      <c r="B21" t="s">
        <v>417</v>
      </c>
      <c r="C21" s="6">
        <v>1.45</v>
      </c>
      <c r="D21" s="6">
        <v>1.05</v>
      </c>
      <c r="E21" s="6">
        <v>0.7</v>
      </c>
      <c r="J21" s="2"/>
    </row>
    <row r="22" spans="1:11" x14ac:dyDescent="0.2">
      <c r="A22" t="s">
        <v>414</v>
      </c>
      <c r="B22" t="s">
        <v>415</v>
      </c>
      <c r="C22" s="6">
        <v>0.6</v>
      </c>
      <c r="D22" s="6">
        <v>1.35</v>
      </c>
      <c r="E22" s="6">
        <v>1.1499999999999999</v>
      </c>
    </row>
    <row r="23" spans="1:11" x14ac:dyDescent="0.2">
      <c r="A23" t="s">
        <v>424</v>
      </c>
      <c r="B23" t="s">
        <v>424</v>
      </c>
      <c r="C23" s="6">
        <v>1</v>
      </c>
      <c r="D23" s="6">
        <v>1</v>
      </c>
      <c r="E23" s="6">
        <v>1</v>
      </c>
    </row>
    <row r="24" spans="1:11" x14ac:dyDescent="0.2">
      <c r="A24" t="s">
        <v>401</v>
      </c>
      <c r="B24" t="s">
        <v>425</v>
      </c>
      <c r="C24" s="6">
        <v>0.8</v>
      </c>
      <c r="D24" s="6">
        <v>1</v>
      </c>
      <c r="E24" s="6">
        <v>1.3</v>
      </c>
    </row>
    <row r="25" spans="1:11" x14ac:dyDescent="0.2">
      <c r="A25" t="s">
        <v>400</v>
      </c>
      <c r="B25" t="s">
        <v>425</v>
      </c>
      <c r="C25" s="6">
        <v>0.8</v>
      </c>
      <c r="D25" s="6">
        <v>1</v>
      </c>
      <c r="E25" s="6">
        <v>1.3</v>
      </c>
    </row>
    <row r="26" spans="1:11" x14ac:dyDescent="0.2">
      <c r="A26" t="s">
        <v>413</v>
      </c>
      <c r="B26" t="s">
        <v>425</v>
      </c>
      <c r="C26" s="6">
        <v>0.8</v>
      </c>
      <c r="D26" s="6">
        <v>1</v>
      </c>
      <c r="E26" s="6">
        <v>1.3</v>
      </c>
    </row>
    <row r="28" spans="1:11" x14ac:dyDescent="0.2">
      <c r="A28" t="s">
        <v>422</v>
      </c>
      <c r="B28" s="9" t="s">
        <v>423</v>
      </c>
      <c r="C28" t="s">
        <v>424</v>
      </c>
      <c r="D28" t="s">
        <v>401</v>
      </c>
      <c r="E28" t="s">
        <v>400</v>
      </c>
      <c r="F28" t="s">
        <v>413</v>
      </c>
      <c r="G28" t="s">
        <v>414</v>
      </c>
      <c r="H28" s="2" t="s">
        <v>427</v>
      </c>
      <c r="I28" t="s">
        <v>419</v>
      </c>
      <c r="J28" s="2" t="s">
        <v>432</v>
      </c>
      <c r="K28" t="s">
        <v>441</v>
      </c>
    </row>
    <row r="29" spans="1:11" x14ac:dyDescent="0.2">
      <c r="A29">
        <v>100</v>
      </c>
      <c r="B29" s="7" t="s">
        <v>424</v>
      </c>
      <c r="C29" t="s">
        <v>424</v>
      </c>
      <c r="D29" t="s">
        <v>402</v>
      </c>
      <c r="E29" t="s">
        <v>402</v>
      </c>
      <c r="F29" t="s">
        <v>402</v>
      </c>
      <c r="G29" t="s">
        <v>402</v>
      </c>
      <c r="H29" s="2" t="s">
        <v>424</v>
      </c>
      <c r="J29" s="2"/>
      <c r="K29" t="s">
        <v>439</v>
      </c>
    </row>
    <row r="30" spans="1:11" x14ac:dyDescent="0.2">
      <c r="A30">
        <v>120</v>
      </c>
      <c r="B30" s="8" t="s">
        <v>401</v>
      </c>
      <c r="D30" t="s">
        <v>403</v>
      </c>
      <c r="E30" t="s">
        <v>404</v>
      </c>
      <c r="F30" t="s">
        <v>404</v>
      </c>
      <c r="G30" t="s">
        <v>404</v>
      </c>
      <c r="I30" t="s">
        <v>408</v>
      </c>
      <c r="J30" s="2" t="s">
        <v>401</v>
      </c>
      <c r="K30" t="s">
        <v>440</v>
      </c>
    </row>
    <row r="31" spans="1:11" x14ac:dyDescent="0.2">
      <c r="B31" s="7" t="s">
        <v>400</v>
      </c>
      <c r="D31" t="s">
        <v>404</v>
      </c>
      <c r="E31" t="s">
        <v>411</v>
      </c>
      <c r="F31" t="s">
        <v>411</v>
      </c>
      <c r="G31" t="s">
        <v>405</v>
      </c>
      <c r="I31" t="s">
        <v>409</v>
      </c>
      <c r="J31" s="2" t="s">
        <v>400</v>
      </c>
    </row>
    <row r="32" spans="1:11" x14ac:dyDescent="0.2">
      <c r="B32" s="8" t="s">
        <v>413</v>
      </c>
      <c r="D32" t="s">
        <v>405</v>
      </c>
      <c r="E32" t="s">
        <v>468</v>
      </c>
      <c r="F32" t="s">
        <v>405</v>
      </c>
      <c r="G32" t="s">
        <v>412</v>
      </c>
      <c r="I32" t="s">
        <v>410</v>
      </c>
      <c r="J32" s="2" t="s">
        <v>413</v>
      </c>
    </row>
    <row r="33" spans="1:10" x14ac:dyDescent="0.2">
      <c r="B33" s="7" t="s">
        <v>414</v>
      </c>
      <c r="D33" t="s">
        <v>425</v>
      </c>
      <c r="E33" t="s">
        <v>405</v>
      </c>
      <c r="F33" t="s">
        <v>425</v>
      </c>
      <c r="G33" t="s">
        <v>416</v>
      </c>
      <c r="J33" s="2" t="s">
        <v>448</v>
      </c>
    </row>
    <row r="34" spans="1:10" x14ac:dyDescent="0.2">
      <c r="B34" s="51" t="s">
        <v>427</v>
      </c>
      <c r="E34" t="s">
        <v>412</v>
      </c>
      <c r="G34" t="s">
        <v>417</v>
      </c>
      <c r="J34" s="2" t="s">
        <v>414</v>
      </c>
    </row>
    <row r="35" spans="1:10" x14ac:dyDescent="0.2">
      <c r="E35" t="s">
        <v>425</v>
      </c>
      <c r="G35" t="s">
        <v>415</v>
      </c>
      <c r="J35" s="2" t="s">
        <v>429</v>
      </c>
    </row>
    <row r="36" spans="1:10" x14ac:dyDescent="0.2">
      <c r="J36" s="2" t="s">
        <v>430</v>
      </c>
    </row>
    <row r="37" spans="1:10" x14ac:dyDescent="0.2">
      <c r="J37" s="2" t="s">
        <v>546</v>
      </c>
    </row>
    <row r="38" spans="1:10" x14ac:dyDescent="0.2">
      <c r="J38" s="2" t="s">
        <v>427</v>
      </c>
    </row>
    <row r="39" spans="1:10" x14ac:dyDescent="0.2">
      <c r="A39" s="2" t="s">
        <v>406</v>
      </c>
      <c r="B39" s="2" t="s">
        <v>507</v>
      </c>
      <c r="C39" s="2" t="s">
        <v>508</v>
      </c>
      <c r="D39" s="2" t="s">
        <v>509</v>
      </c>
      <c r="J39" s="2" t="s">
        <v>426</v>
      </c>
    </row>
    <row r="40" spans="1:10" x14ac:dyDescent="0.2">
      <c r="A40" t="s">
        <v>401</v>
      </c>
      <c r="B40" t="s">
        <v>404</v>
      </c>
      <c r="C40">
        <v>0.01</v>
      </c>
      <c r="D40">
        <v>0.6</v>
      </c>
      <c r="J40" s="2" t="s">
        <v>428</v>
      </c>
    </row>
    <row r="41" spans="1:10" x14ac:dyDescent="0.2">
      <c r="A41" t="s">
        <v>400</v>
      </c>
      <c r="B41" s="2" t="s">
        <v>404</v>
      </c>
      <c r="C41">
        <v>0.03</v>
      </c>
      <c r="D41">
        <v>0.6</v>
      </c>
      <c r="J41" s="2" t="s">
        <v>431</v>
      </c>
    </row>
    <row r="42" spans="1:10" x14ac:dyDescent="0.2">
      <c r="A42" t="s">
        <v>400</v>
      </c>
      <c r="B42" t="s">
        <v>411</v>
      </c>
      <c r="C42">
        <v>0.03</v>
      </c>
      <c r="D42">
        <v>0.6</v>
      </c>
      <c r="J42" s="2" t="s">
        <v>447</v>
      </c>
    </row>
    <row r="43" spans="1:10" x14ac:dyDescent="0.2">
      <c r="A43" t="s">
        <v>400</v>
      </c>
      <c r="B43" t="s">
        <v>468</v>
      </c>
      <c r="C43">
        <v>0.03</v>
      </c>
      <c r="D43">
        <v>0.6</v>
      </c>
    </row>
    <row r="44" spans="1:10" x14ac:dyDescent="0.2">
      <c r="A44" t="s">
        <v>413</v>
      </c>
      <c r="B44" t="s">
        <v>404</v>
      </c>
      <c r="C44">
        <v>0.08</v>
      </c>
      <c r="D44">
        <v>0.6</v>
      </c>
    </row>
    <row r="45" spans="1:10" x14ac:dyDescent="0.2">
      <c r="A45" t="s">
        <v>413</v>
      </c>
      <c r="B45" t="s">
        <v>411</v>
      </c>
      <c r="C45">
        <v>0.08</v>
      </c>
      <c r="D45">
        <v>0.6</v>
      </c>
    </row>
    <row r="46" spans="1:10" x14ac:dyDescent="0.2">
      <c r="A46" t="s">
        <v>414</v>
      </c>
      <c r="B46" t="s">
        <v>404</v>
      </c>
      <c r="C46">
        <v>0.5</v>
      </c>
      <c r="D46">
        <v>0.6</v>
      </c>
    </row>
    <row r="47" spans="1:10" x14ac:dyDescent="0.2">
      <c r="A47" t="s">
        <v>414</v>
      </c>
      <c r="B47" t="s">
        <v>416</v>
      </c>
      <c r="C47">
        <v>0.3</v>
      </c>
      <c r="D47">
        <v>1.2</v>
      </c>
    </row>
    <row r="48" spans="1:10" x14ac:dyDescent="0.2">
      <c r="A48" t="s">
        <v>414</v>
      </c>
      <c r="B48" t="s">
        <v>417</v>
      </c>
      <c r="C48">
        <v>0.3</v>
      </c>
      <c r="D48">
        <v>1.2</v>
      </c>
    </row>
  </sheetData>
  <mergeCells count="2">
    <mergeCell ref="G1:H1"/>
    <mergeCell ref="J1:K1"/>
  </mergeCells>
  <dataValidations disablePrompts="1" count="1">
    <dataValidation type="list" allowBlank="1" showInputMessage="1" showErrorMessage="1" sqref="N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FA351-9054-4370-AA14-7AD706E79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2019-09-11T03:12:40Z</dcterms:modified>
</cp:coreProperties>
</file>