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johnj\Downloads\"/>
    </mc:Choice>
  </mc:AlternateContent>
  <xr:revisionPtr revIDLastSave="0" documentId="13_ncr:1_{90A9139D-73DC-41CE-93E2-BE23E8B5A579}" xr6:coauthVersionLast="36" xr6:coauthVersionMax="36" xr10:uidLastSave="{00000000-0000-0000-0000-000000000000}"/>
  <bookViews>
    <workbookView showHorizontalScroll="0" showVerticalScroll="0" showSheetTabs="0" xWindow="0" yWindow="0" windowWidth="23040" windowHeight="9060" xr2:uid="{00000000-000D-0000-FFFF-FFFF00000000}"/>
  </bookViews>
  <sheets>
    <sheet name="eHP Calc" sheetId="1" r:id="rId1"/>
    <sheet name="Ship Stats" sheetId="2" state="hidden" r:id="rId2"/>
    <sheet name="Background Tables" sheetId="4" state="hidden" r:id="rId3"/>
  </sheets>
  <definedNames>
    <definedName name="Application">'Background Tables'!$J$26:$J$27</definedName>
    <definedName name="Hull_Class" localSheetId="1">'Ship Stats'!$C$2:$C$366</definedName>
    <definedName name="Hull_Class">'Background Tables'!$B$26:$B$30</definedName>
    <definedName name="Hull_Class_2">'Background Tables'!$I$26:$I$35</definedName>
    <definedName name="Ship_Armor">'Background Tables'!$H$26:$H$28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L12" i="4" l="1"/>
  <c r="G13" i="4" l="1"/>
  <c r="G12" i="4"/>
  <c r="G9" i="4"/>
  <c r="G10" i="4"/>
  <c r="G11" i="4"/>
  <c r="G8" i="4"/>
  <c r="G5" i="4" a="1"/>
  <c r="G5" i="4" s="1"/>
  <c r="A8" i="1" l="1"/>
  <c r="B8" i="1"/>
  <c r="A27" i="1" l="1"/>
  <c r="E27" i="1"/>
  <c r="D27" i="1"/>
  <c r="C27" i="1"/>
  <c r="B27" i="1"/>
  <c r="H8" i="1"/>
  <c r="K15" i="1" s="1"/>
  <c r="G8" i="1"/>
  <c r="F8" i="1"/>
  <c r="E8" i="1"/>
  <c r="G2" i="4" s="1" a="1"/>
  <c r="G2" i="4" s="1"/>
  <c r="D8" i="1"/>
  <c r="B20" i="1" s="1"/>
  <c r="C8" i="1"/>
  <c r="K12" i="1" s="1"/>
  <c r="D39" i="1" l="1"/>
  <c r="E38" i="1"/>
  <c r="I36" i="1"/>
  <c r="E34" i="1"/>
  <c r="I32" i="1"/>
  <c r="K31" i="1"/>
  <c r="C31" i="1"/>
  <c r="E30" i="1"/>
  <c r="J31" i="1"/>
  <c r="D30" i="1"/>
  <c r="E33" i="1"/>
  <c r="K30" i="1"/>
  <c r="C30" i="1"/>
  <c r="F32" i="1"/>
  <c r="K32" i="1"/>
  <c r="F30" i="1"/>
  <c r="C39" i="1"/>
  <c r="D38" i="1"/>
  <c r="F37" i="1"/>
  <c r="H36" i="1"/>
  <c r="D34" i="1"/>
  <c r="F33" i="1"/>
  <c r="H32" i="1"/>
  <c r="B31" i="1"/>
  <c r="C34" i="1"/>
  <c r="I31" i="1"/>
  <c r="J34" i="1"/>
  <c r="H31" i="1"/>
  <c r="K36" i="1"/>
  <c r="E31" i="1"/>
  <c r="B36" i="1"/>
  <c r="J32" i="1"/>
  <c r="J39" i="1"/>
  <c r="B39" i="1"/>
  <c r="C38" i="1"/>
  <c r="E37" i="1"/>
  <c r="K34" i="1"/>
  <c r="B34" i="1"/>
  <c r="J30" i="1"/>
  <c r="I39" i="1"/>
  <c r="K38" i="1"/>
  <c r="B38" i="1"/>
  <c r="D37" i="1"/>
  <c r="F36" i="1"/>
  <c r="D33" i="1"/>
  <c r="B30" i="1"/>
  <c r="I33" i="1"/>
  <c r="H37" i="1"/>
  <c r="B32" i="1"/>
  <c r="H39" i="1"/>
  <c r="I38" i="1"/>
  <c r="K37" i="1"/>
  <c r="C37" i="1"/>
  <c r="E36" i="1"/>
  <c r="I34" i="1"/>
  <c r="K33" i="1"/>
  <c r="C33" i="1"/>
  <c r="E32" i="1"/>
  <c r="I30" i="1"/>
  <c r="F39" i="1"/>
  <c r="I37" i="1"/>
  <c r="F34" i="1"/>
  <c r="H38" i="1"/>
  <c r="J37" i="1"/>
  <c r="B37" i="1"/>
  <c r="D36" i="1"/>
  <c r="H34" i="1"/>
  <c r="J33" i="1"/>
  <c r="B33" i="1"/>
  <c r="D32" i="1"/>
  <c r="F31" i="1"/>
  <c r="H30" i="1"/>
  <c r="C36" i="1"/>
  <c r="C32" i="1"/>
  <c r="J36" i="1"/>
  <c r="H33" i="1"/>
  <c r="E39" i="1"/>
  <c r="F38" i="1"/>
  <c r="D31" i="1"/>
  <c r="H20" i="1"/>
  <c r="J20" i="1"/>
  <c r="K18" i="1"/>
  <c r="K17" i="1"/>
  <c r="K14" i="1"/>
  <c r="E20" i="1"/>
  <c r="G37" i="1"/>
  <c r="K35" i="1"/>
  <c r="C35" i="1"/>
  <c r="G33" i="1"/>
  <c r="H35" i="1"/>
  <c r="J35" i="1"/>
  <c r="B35" i="1"/>
  <c r="G36" i="1"/>
  <c r="I35" i="1"/>
  <c r="G32" i="1"/>
  <c r="E35" i="1"/>
  <c r="G35" i="1"/>
  <c r="G31" i="1"/>
  <c r="G38" i="1"/>
  <c r="G34" i="1"/>
  <c r="G30" i="1"/>
  <c r="G39" i="1"/>
  <c r="F35" i="1"/>
  <c r="D35" i="1"/>
  <c r="C20" i="1"/>
  <c r="I20" i="1"/>
  <c r="K16" i="1"/>
  <c r="K19" i="1"/>
  <c r="D20" i="1"/>
  <c r="J58" i="1"/>
  <c r="B58" i="1"/>
  <c r="C57" i="1"/>
  <c r="E56" i="1"/>
  <c r="G55" i="1"/>
  <c r="I54" i="1"/>
  <c r="K53" i="1"/>
  <c r="C53" i="1"/>
  <c r="E52" i="1"/>
  <c r="G51" i="1"/>
  <c r="I50" i="1"/>
  <c r="K49" i="1"/>
  <c r="C49" i="1"/>
  <c r="C58" i="1"/>
  <c r="H51" i="1"/>
  <c r="I58" i="1"/>
  <c r="K57" i="1"/>
  <c r="B57" i="1"/>
  <c r="D56" i="1"/>
  <c r="F55" i="1"/>
  <c r="H54" i="1"/>
  <c r="J53" i="1"/>
  <c r="B53" i="1"/>
  <c r="D52" i="1"/>
  <c r="F51" i="1"/>
  <c r="H50" i="1"/>
  <c r="J49" i="1"/>
  <c r="B49" i="1"/>
  <c r="J54" i="1"/>
  <c r="J50" i="1"/>
  <c r="H58" i="1"/>
  <c r="I57" i="1"/>
  <c r="K56" i="1"/>
  <c r="C56" i="1"/>
  <c r="E55" i="1"/>
  <c r="G54" i="1"/>
  <c r="I53" i="1"/>
  <c r="K52" i="1"/>
  <c r="C52" i="1"/>
  <c r="E51" i="1"/>
  <c r="G50" i="1"/>
  <c r="I49" i="1"/>
  <c r="D57" i="1"/>
  <c r="B50" i="1"/>
  <c r="G58" i="1"/>
  <c r="H57" i="1"/>
  <c r="J56" i="1"/>
  <c r="B56" i="1"/>
  <c r="D55" i="1"/>
  <c r="F54" i="1"/>
  <c r="H53" i="1"/>
  <c r="J52" i="1"/>
  <c r="B52" i="1"/>
  <c r="D51" i="1"/>
  <c r="F50" i="1"/>
  <c r="H49" i="1"/>
  <c r="B54" i="1"/>
  <c r="F58" i="1"/>
  <c r="G57" i="1"/>
  <c r="I56" i="1"/>
  <c r="K55" i="1"/>
  <c r="C55" i="1"/>
  <c r="E54" i="1"/>
  <c r="G53" i="1"/>
  <c r="I52" i="1"/>
  <c r="K51" i="1"/>
  <c r="C51" i="1"/>
  <c r="E50" i="1"/>
  <c r="G49" i="1"/>
  <c r="G52" i="1"/>
  <c r="H55" i="1"/>
  <c r="D49" i="1"/>
  <c r="E58" i="1"/>
  <c r="F57" i="1"/>
  <c r="H56" i="1"/>
  <c r="J55" i="1"/>
  <c r="B55" i="1"/>
  <c r="D54" i="1"/>
  <c r="F53" i="1"/>
  <c r="H52" i="1"/>
  <c r="J51" i="1"/>
  <c r="B51" i="1"/>
  <c r="D50" i="1"/>
  <c r="F49" i="1"/>
  <c r="I51" i="1"/>
  <c r="C50" i="1"/>
  <c r="F56" i="1"/>
  <c r="F52" i="1"/>
  <c r="D58" i="1"/>
  <c r="E57" i="1"/>
  <c r="G56" i="1"/>
  <c r="I55" i="1"/>
  <c r="K54" i="1"/>
  <c r="C54" i="1"/>
  <c r="E53" i="1"/>
  <c r="K50" i="1"/>
  <c r="E49" i="1"/>
  <c r="D53" i="1"/>
  <c r="G20" i="1"/>
  <c r="K11" i="1"/>
  <c r="F20" i="1"/>
  <c r="K13" i="1"/>
  <c r="D11" i="1"/>
  <c r="I18" i="1"/>
  <c r="J16" i="1"/>
  <c r="F16" i="1"/>
  <c r="J18" i="1"/>
  <c r="J11" i="1"/>
  <c r="D19" i="1"/>
  <c r="E11" i="1"/>
  <c r="G12" i="1"/>
  <c r="F13" i="1"/>
  <c r="G16" i="1"/>
  <c r="G18" i="1"/>
  <c r="D13" i="1"/>
  <c r="E13" i="1"/>
  <c r="D14" i="1"/>
  <c r="E14" i="1"/>
  <c r="J12" i="1"/>
  <c r="C12" i="1"/>
  <c r="D12" i="1"/>
  <c r="F19" i="1"/>
  <c r="C16" i="1"/>
  <c r="F12" i="1"/>
  <c r="I12" i="1"/>
  <c r="B12" i="1"/>
  <c r="H11" i="1"/>
  <c r="F11" i="1"/>
  <c r="H18" i="1"/>
  <c r="H16" i="1"/>
  <c r="G14" i="1"/>
  <c r="B14" i="1"/>
  <c r="C14" i="1"/>
  <c r="B15" i="1"/>
  <c r="E18" i="1"/>
  <c r="H13" i="1"/>
  <c r="I13" i="1"/>
  <c r="B13" i="1"/>
  <c r="E12" i="1"/>
  <c r="G19" i="1"/>
  <c r="B11" i="1"/>
  <c r="J17" i="1"/>
  <c r="H19" i="1"/>
  <c r="I16" i="1"/>
  <c r="D16" i="1"/>
  <c r="J14" i="1"/>
  <c r="I15" i="1"/>
  <c r="J15" i="1"/>
  <c r="C19" i="1"/>
  <c r="F14" i="1"/>
  <c r="E15" i="1"/>
  <c r="J13" i="1"/>
  <c r="C13" i="1"/>
  <c r="G17" i="1"/>
  <c r="G11" i="1"/>
  <c r="H15" i="1"/>
  <c r="E17" i="1"/>
  <c r="F17" i="1"/>
  <c r="H12" i="1"/>
  <c r="D15" i="1"/>
  <c r="I17" i="1"/>
  <c r="H14" i="1"/>
  <c r="I14" i="1"/>
  <c r="G13" i="1"/>
  <c r="G15" i="1"/>
  <c r="D17" i="1"/>
  <c r="C18" i="1"/>
  <c r="D18" i="1"/>
  <c r="C11" i="1"/>
  <c r="H17" i="1"/>
  <c r="E19" i="1"/>
  <c r="F15" i="1"/>
  <c r="C17" i="1"/>
  <c r="B16" i="1"/>
  <c r="E16" i="1"/>
  <c r="B18" i="1"/>
  <c r="I19" i="1"/>
  <c r="B19" i="1"/>
  <c r="C15" i="1"/>
  <c r="F18" i="1"/>
  <c r="I11" i="1"/>
  <c r="B17" i="1"/>
  <c r="M1" i="4" l="1"/>
</calcChain>
</file>

<file path=xl/sharedStrings.xml><?xml version="1.0" encoding="utf-8"?>
<sst xmlns="http://schemas.openxmlformats.org/spreadsheetml/2006/main" count="2478" uniqueCount="466">
  <si>
    <t>Name</t>
  </si>
  <si>
    <t>HP</t>
  </si>
  <si>
    <t>EVA</t>
  </si>
  <si>
    <t>EVA Rate Buff</t>
  </si>
  <si>
    <t>EVA Stat Buff</t>
  </si>
  <si>
    <t>Automatic Calculator</t>
  </si>
  <si>
    <t>Bulin</t>
  </si>
  <si>
    <t>Purin</t>
  </si>
  <si>
    <t>Name:</t>
  </si>
  <si>
    <t>Cassin</t>
  </si>
  <si>
    <t>Sirius</t>
  </si>
  <si>
    <t>Cassin Kai</t>
  </si>
  <si>
    <t>Downes</t>
  </si>
  <si>
    <t>Ship HP</t>
  </si>
  <si>
    <t>Ship EVA</t>
  </si>
  <si>
    <t>Ship LUCK</t>
  </si>
  <si>
    <t>DMG Reduc.</t>
  </si>
  <si>
    <t>Enemy HIT</t>
  </si>
  <si>
    <t>Enemy LUCK</t>
  </si>
  <si>
    <t>Downes Kai</t>
  </si>
  <si>
    <t>Gridley</t>
  </si>
  <si>
    <t>Craven</t>
  </si>
  <si>
    <t>No gear</t>
  </si>
  <si>
    <t>Fire Extin.</t>
  </si>
  <si>
    <t>Naval Camo.</t>
  </si>
  <si>
    <t>Adv. Boiler</t>
  </si>
  <si>
    <t>Fuel Filter</t>
  </si>
  <si>
    <t>Torp. Bulge</t>
  </si>
  <si>
    <t>Lunchkit</t>
  </si>
  <si>
    <t>SG Radar</t>
  </si>
  <si>
    <t>Beaver Badge</t>
  </si>
  <si>
    <t>Imp. Rudder</t>
  </si>
  <si>
    <t>Maury</t>
  </si>
  <si>
    <t>Fletcher</t>
  </si>
  <si>
    <t>Charles Ausburne</t>
  </si>
  <si>
    <t>Thatcher</t>
  </si>
  <si>
    <t>Aulick</t>
  </si>
  <si>
    <t>Foote</t>
  </si>
  <si>
    <t>Spence</t>
  </si>
  <si>
    <t>Benson</t>
  </si>
  <si>
    <t>N/A</t>
  </si>
  <si>
    <t>Laffey</t>
  </si>
  <si>
    <t>Laffey Kai</t>
  </si>
  <si>
    <t>Sims</t>
  </si>
  <si>
    <t>Hammann</t>
  </si>
  <si>
    <t>Hammann Kai</t>
  </si>
  <si>
    <t>Semi-automatic Calculator</t>
  </si>
  <si>
    <t>Eldridge</t>
  </si>
  <si>
    <t>Omaha</t>
  </si>
  <si>
    <t>Raleigh</t>
  </si>
  <si>
    <t>Brooklyn</t>
  </si>
  <si>
    <t>Phoenix</t>
  </si>
  <si>
    <t>Helena</t>
  </si>
  <si>
    <t>Atlanta</t>
  </si>
  <si>
    <t>Juneau</t>
  </si>
  <si>
    <t>San Diego</t>
  </si>
  <si>
    <t>San Diego Kai</t>
  </si>
  <si>
    <t>Cleveland</t>
  </si>
  <si>
    <t>Columbia</t>
  </si>
  <si>
    <t>Pensacola</t>
  </si>
  <si>
    <t>Salt Lake City</t>
  </si>
  <si>
    <t>Chicago</t>
  </si>
  <si>
    <t>Houston</t>
  </si>
  <si>
    <t>Portland</t>
  </si>
  <si>
    <t>Portland Kai</t>
  </si>
  <si>
    <t>Manual Calculator</t>
  </si>
  <si>
    <t>Indianapolis</t>
  </si>
  <si>
    <t>Astoria</t>
  </si>
  <si>
    <t>Quincy</t>
  </si>
  <si>
    <t>Vincennes</t>
  </si>
  <si>
    <t>Wichita</t>
  </si>
  <si>
    <t>Amazon</t>
  </si>
  <si>
    <t>Acasta</t>
  </si>
  <si>
    <t>Acasta Kai</t>
  </si>
  <si>
    <t>Ardent</t>
  </si>
  <si>
    <t>Ardent Kai</t>
  </si>
  <si>
    <t>Beagle</t>
  </si>
  <si>
    <t>Bulldog</t>
  </si>
  <si>
    <t>Comet</t>
  </si>
  <si>
    <t>Comet Kai</t>
  </si>
  <si>
    <t>Crescent</t>
  </si>
  <si>
    <t>Crescent Kai</t>
  </si>
  <si>
    <t>Cygnet</t>
  </si>
  <si>
    <t>Cygnet Kai</t>
  </si>
  <si>
    <t>Foxhound</t>
  </si>
  <si>
    <t>Foxhound Kai</t>
  </si>
  <si>
    <t>Fortune</t>
  </si>
  <si>
    <t>Fortune Kai</t>
  </si>
  <si>
    <t>Grenville</t>
  </si>
  <si>
    <t>Glowworm</t>
  </si>
  <si>
    <t>Javelin</t>
  </si>
  <si>
    <t>Javelin Kai</t>
  </si>
  <si>
    <t>Juno</t>
  </si>
  <si>
    <t>Vampire</t>
  </si>
  <si>
    <t>Leander</t>
  </si>
  <si>
    <t>Leander Kai</t>
  </si>
  <si>
    <t>Achilles</t>
  </si>
  <si>
    <t>Achilles Kai</t>
  </si>
  <si>
    <t>Ajax</t>
  </si>
  <si>
    <t>Ajax Kai</t>
  </si>
  <si>
    <t>Sheffield</t>
  </si>
  <si>
    <t>Edinburgh</t>
  </si>
  <si>
    <t>Belfast</t>
  </si>
  <si>
    <t>Arethusa</t>
  </si>
  <si>
    <t>Galatea</t>
  </si>
  <si>
    <t>Aurora</t>
  </si>
  <si>
    <t>London</t>
  </si>
  <si>
    <t>Shropshire</t>
  </si>
  <si>
    <t>Kent</t>
  </si>
  <si>
    <t>Suffolk</t>
  </si>
  <si>
    <t>Suffolk Kai</t>
  </si>
  <si>
    <t>Norfolk</t>
  </si>
  <si>
    <t>Dorsetshire</t>
  </si>
  <si>
    <t>York</t>
  </si>
  <si>
    <t>York Kai</t>
  </si>
  <si>
    <t>Exeter</t>
  </si>
  <si>
    <t>Exeter Kai</t>
  </si>
  <si>
    <t>Erebus</t>
  </si>
  <si>
    <t>Terror</t>
  </si>
  <si>
    <t>Fubuki</t>
  </si>
  <si>
    <t>Ayanami</t>
  </si>
  <si>
    <t>Ayanami Kai</t>
  </si>
  <si>
    <t>Akatsuki</t>
  </si>
  <si>
    <t>Ikazuchi</t>
  </si>
  <si>
    <t>Inazuma</t>
  </si>
  <si>
    <t>Shiratsuyu</t>
  </si>
  <si>
    <t>Yuudachi</t>
  </si>
  <si>
    <t>Shigure</t>
  </si>
  <si>
    <t>Yukikaze</t>
  </si>
  <si>
    <t>Kagerou</t>
  </si>
  <si>
    <t>Kagerou Kai</t>
  </si>
  <si>
    <t>Shiranui</t>
  </si>
  <si>
    <t>Shiranui Kai</t>
  </si>
  <si>
    <t>Nowaki</t>
  </si>
  <si>
    <t>Hatsuharu</t>
  </si>
  <si>
    <t>Wakaba</t>
  </si>
  <si>
    <t>Hatsushimo</t>
  </si>
  <si>
    <t>Ariake</t>
  </si>
  <si>
    <t>Yuugure</t>
  </si>
  <si>
    <t>Oyashio</t>
  </si>
  <si>
    <t>Yuubari</t>
  </si>
  <si>
    <t>Nagara</t>
  </si>
  <si>
    <t>Isuzu</t>
  </si>
  <si>
    <t>Mogami</t>
  </si>
  <si>
    <t>Mogami Kai</t>
  </si>
  <si>
    <t>Mikuma</t>
  </si>
  <si>
    <t>Furutaka</t>
  </si>
  <si>
    <t>Furutaka Kai</t>
  </si>
  <si>
    <t>Kako</t>
  </si>
  <si>
    <t>Kako Kai</t>
  </si>
  <si>
    <t>Aoba</t>
  </si>
  <si>
    <t>Kinugasa</t>
  </si>
  <si>
    <t>Myoukou</t>
  </si>
  <si>
    <t>Nachi</t>
  </si>
  <si>
    <t>Ashigara</t>
  </si>
  <si>
    <t>Takao</t>
  </si>
  <si>
    <t>Atago</t>
  </si>
  <si>
    <t>Maya</t>
  </si>
  <si>
    <t>Choukai</t>
  </si>
  <si>
    <t>Z1</t>
  </si>
  <si>
    <t>Z23</t>
  </si>
  <si>
    <t>Z23 Kai</t>
  </si>
  <si>
    <t>Z25</t>
  </si>
  <si>
    <t>Königsberg</t>
  </si>
  <si>
    <t>Karlsruhe</t>
  </si>
  <si>
    <t>Karlsruhe Kai</t>
  </si>
  <si>
    <t>Köln</t>
  </si>
  <si>
    <t>Leipzig</t>
  </si>
  <si>
    <t>Admiral Hipper</t>
  </si>
  <si>
    <t>Prinz Eugen</t>
  </si>
  <si>
    <t>Deutschland</t>
  </si>
  <si>
    <t>Admiral Graf Spee</t>
  </si>
  <si>
    <t>An Shan</t>
  </si>
  <si>
    <t>Fu Shun</t>
  </si>
  <si>
    <t>Chang Chun</t>
  </si>
  <si>
    <t>Tai Yuan</t>
  </si>
  <si>
    <t>Yat Sen</t>
  </si>
  <si>
    <t>Ning Hai</t>
  </si>
  <si>
    <t>Ning Hai Kai</t>
  </si>
  <si>
    <t>Ping Hai</t>
  </si>
  <si>
    <t>Ping Hai Kai</t>
  </si>
  <si>
    <t>Avrora</t>
  </si>
  <si>
    <t>Bailey</t>
  </si>
  <si>
    <t>Bailey Kai</t>
  </si>
  <si>
    <t>Z19</t>
  </si>
  <si>
    <t>Z20</t>
  </si>
  <si>
    <t>Z21</t>
  </si>
  <si>
    <t>Z46</t>
  </si>
  <si>
    <t>Kamikaze</t>
  </si>
  <si>
    <t>Kamikaze Kai</t>
  </si>
  <si>
    <t>Matsukaze</t>
  </si>
  <si>
    <t>Matsukaze Kai</t>
  </si>
  <si>
    <t>Mutsuki</t>
  </si>
  <si>
    <t>Mutsuki Kai</t>
  </si>
  <si>
    <t>Kisaragi</t>
  </si>
  <si>
    <t>Uzuki</t>
  </si>
  <si>
    <t>Minazuki</t>
  </si>
  <si>
    <t>Fumizuki</t>
  </si>
  <si>
    <t>Nagatsuki</t>
  </si>
  <si>
    <t>Mikazuki</t>
  </si>
  <si>
    <t>Kawakaze</t>
  </si>
  <si>
    <t>Niizuki</t>
  </si>
  <si>
    <t>Harutsuki</t>
  </si>
  <si>
    <t>Yoizuki</t>
  </si>
  <si>
    <t>Radford</t>
  </si>
  <si>
    <t>Jenkins</t>
  </si>
  <si>
    <t>Nicholas</t>
  </si>
  <si>
    <t>Nicholas Kai</t>
  </si>
  <si>
    <t>Richmond</t>
  </si>
  <si>
    <t>Honolulu</t>
  </si>
  <si>
    <t>St. Louis</t>
  </si>
  <si>
    <t>Jupiter</t>
  </si>
  <si>
    <t>Jersey</t>
  </si>
  <si>
    <t>Sendai</t>
  </si>
  <si>
    <t>Sendai Kai</t>
  </si>
  <si>
    <t>Jintsuu</t>
  </si>
  <si>
    <t>Jintsuu Kai</t>
  </si>
  <si>
    <t>Naka</t>
  </si>
  <si>
    <t>Urakaze</t>
  </si>
  <si>
    <t>Isokaze</t>
  </si>
  <si>
    <t>Hamakaze</t>
  </si>
  <si>
    <t>Hamakaze Kai</t>
  </si>
  <si>
    <t>Tanikaze</t>
  </si>
  <si>
    <t>Tanikaze Kai</t>
  </si>
  <si>
    <t>Agano</t>
  </si>
  <si>
    <t>Matchless</t>
  </si>
  <si>
    <t>Musketeer</t>
  </si>
  <si>
    <t>Fiji</t>
  </si>
  <si>
    <t>Jamaica</t>
  </si>
  <si>
    <t>Montpelier</t>
  </si>
  <si>
    <t>Denver</t>
  </si>
  <si>
    <t>Asashio</t>
  </si>
  <si>
    <t>Ooshio</t>
  </si>
  <si>
    <t>Michishio</t>
  </si>
  <si>
    <t>Arashio</t>
  </si>
  <si>
    <t>Belchan</t>
  </si>
  <si>
    <t>Abercrombie</t>
  </si>
  <si>
    <t>Sussex</t>
  </si>
  <si>
    <t>Z35</t>
  </si>
  <si>
    <t>Z18</t>
  </si>
  <si>
    <t>Le Triomphant</t>
  </si>
  <si>
    <t>Forbin</t>
  </si>
  <si>
    <t>Forbin Kai</t>
  </si>
  <si>
    <t>Emile Bertin</t>
  </si>
  <si>
    <t>Le Mars</t>
  </si>
  <si>
    <t>Le Mars Kai</t>
  </si>
  <si>
    <t>Bush</t>
  </si>
  <si>
    <t>Le Temeraire</t>
  </si>
  <si>
    <t>Memphis</t>
  </si>
  <si>
    <t>Newcastle</t>
  </si>
  <si>
    <t>Newcastle Kai</t>
  </si>
  <si>
    <t>Hobby</t>
  </si>
  <si>
    <t>Kalk</t>
  </si>
  <si>
    <t>Minneapolis</t>
  </si>
  <si>
    <t>Hazelwood</t>
  </si>
  <si>
    <t>Concord</t>
  </si>
  <si>
    <t>Hatakaze</t>
  </si>
  <si>
    <t>Makinami</t>
  </si>
  <si>
    <t>Curacoa</t>
  </si>
  <si>
    <t>Curlew</t>
  </si>
  <si>
    <t>Kimberly</t>
  </si>
  <si>
    <t>Mullany</t>
  </si>
  <si>
    <t>McCall</t>
  </si>
  <si>
    <t>Northampton</t>
  </si>
  <si>
    <t>Nevada</t>
  </si>
  <si>
    <t>Oklahoma</t>
  </si>
  <si>
    <t>Pennsylvania</t>
  </si>
  <si>
    <t>Arizona</t>
  </si>
  <si>
    <t>Tennessee</t>
  </si>
  <si>
    <t>California</t>
  </si>
  <si>
    <t>Colorado</t>
  </si>
  <si>
    <t>Maryland</t>
  </si>
  <si>
    <t>West Virginia</t>
  </si>
  <si>
    <t>North Carolina</t>
  </si>
  <si>
    <t>Washington</t>
  </si>
  <si>
    <t>South Dakota</t>
  </si>
  <si>
    <t>Vestal</t>
  </si>
  <si>
    <t>Renown</t>
  </si>
  <si>
    <t>Repulse</t>
  </si>
  <si>
    <t>Hood</t>
  </si>
  <si>
    <t>Queen Elizabeth</t>
  </si>
  <si>
    <t>Nelson</t>
  </si>
  <si>
    <t>Rodney</t>
  </si>
  <si>
    <t>Prince of Wales</t>
  </si>
  <si>
    <t>Duke of York</t>
  </si>
  <si>
    <t>Kuroshio</t>
  </si>
  <si>
    <t>Abukuma</t>
  </si>
  <si>
    <t>Hiei</t>
  </si>
  <si>
    <t>Haruna</t>
  </si>
  <si>
    <t>Kirishima</t>
  </si>
  <si>
    <t>Ise</t>
  </si>
  <si>
    <t>Nagato</t>
  </si>
  <si>
    <t>Mutsu</t>
  </si>
  <si>
    <t>Akashi</t>
  </si>
  <si>
    <t>Konigsberg</t>
  </si>
  <si>
    <t>Saint Louis</t>
  </si>
  <si>
    <t>Mikasa</t>
  </si>
  <si>
    <t>I-58</t>
  </si>
  <si>
    <t>U-81</t>
  </si>
  <si>
    <t>U-47</t>
  </si>
  <si>
    <t>U-557</t>
  </si>
  <si>
    <t>Surcouf</t>
  </si>
  <si>
    <t>Massachusetts</t>
  </si>
  <si>
    <t>Albacore</t>
  </si>
  <si>
    <t>Amagi</t>
  </si>
  <si>
    <t>Curacao</t>
  </si>
  <si>
    <t>Independence</t>
  </si>
  <si>
    <t>Shangri-La</t>
  </si>
  <si>
    <t>Abukuma Kai</t>
  </si>
  <si>
    <t>C001</t>
  </si>
  <si>
    <t>C002</t>
  </si>
  <si>
    <t>C003</t>
  </si>
  <si>
    <t>Blanc</t>
  </si>
  <si>
    <t>C005</t>
  </si>
  <si>
    <t>C006</t>
  </si>
  <si>
    <t>C007</t>
  </si>
  <si>
    <t>White Heart</t>
  </si>
  <si>
    <t>C031</t>
  </si>
  <si>
    <t>C032</t>
  </si>
  <si>
    <t>C033</t>
  </si>
  <si>
    <t>P001</t>
  </si>
  <si>
    <t>P002</t>
  </si>
  <si>
    <t>Monarch</t>
  </si>
  <si>
    <t>P003</t>
  </si>
  <si>
    <t>Ibuki</t>
  </si>
  <si>
    <t>P004</t>
  </si>
  <si>
    <t>Izumo</t>
  </si>
  <si>
    <t>P005</t>
  </si>
  <si>
    <t>P006</t>
  </si>
  <si>
    <t>Yamashiro Kai</t>
  </si>
  <si>
    <t>Langley</t>
  </si>
  <si>
    <t>C034</t>
  </si>
  <si>
    <t>C035</t>
  </si>
  <si>
    <t>Ranger</t>
  </si>
  <si>
    <t>Ise Kai</t>
  </si>
  <si>
    <t>Long Island</t>
  </si>
  <si>
    <t>Hermes</t>
  </si>
  <si>
    <t>Wasp</t>
  </si>
  <si>
    <t>Chaser</t>
  </si>
  <si>
    <t>C036</t>
  </si>
  <si>
    <t>Glorious</t>
  </si>
  <si>
    <t>C004</t>
  </si>
  <si>
    <t>Yorktown</t>
  </si>
  <si>
    <t>C008</t>
  </si>
  <si>
    <t>Green Heart</t>
  </si>
  <si>
    <t>Lexington</t>
  </si>
  <si>
    <t>Saratoga</t>
  </si>
  <si>
    <t>Ark Royal</t>
  </si>
  <si>
    <t>Illustrious</t>
  </si>
  <si>
    <t>Graf Zeppelin</t>
  </si>
  <si>
    <t>Hornet</t>
  </si>
  <si>
    <t>Akagi</t>
  </si>
  <si>
    <t>Victorius</t>
  </si>
  <si>
    <t>Zuikaku</t>
  </si>
  <si>
    <t>Enterprise</t>
  </si>
  <si>
    <t>Essex</t>
  </si>
  <si>
    <t>Warspite</t>
  </si>
  <si>
    <t>Kongou</t>
  </si>
  <si>
    <t>Fusou</t>
  </si>
  <si>
    <t>Yamashiro</t>
  </si>
  <si>
    <t>Hyuuga</t>
  </si>
  <si>
    <t>Sims Kai</t>
  </si>
  <si>
    <t>Nevada Kai</t>
  </si>
  <si>
    <t>Oklahoma Kai</t>
  </si>
  <si>
    <t>Warspite Kai</t>
  </si>
  <si>
    <t>Fusou Kai</t>
  </si>
  <si>
    <t>Souryuu Kai</t>
  </si>
  <si>
    <t>Hiryuu Kai</t>
  </si>
  <si>
    <t>Shouhou Kai</t>
  </si>
  <si>
    <t>Hyuuga Kai</t>
  </si>
  <si>
    <t>Saratoga Kai</t>
  </si>
  <si>
    <t>Langley Kai</t>
  </si>
  <si>
    <t>Ranger Kai</t>
  </si>
  <si>
    <t>Bogue Kai</t>
  </si>
  <si>
    <t>Long Island Kai</t>
  </si>
  <si>
    <t>Bogue</t>
  </si>
  <si>
    <t>Hiyou</t>
  </si>
  <si>
    <t>Junyou</t>
  </si>
  <si>
    <t>Houshou</t>
  </si>
  <si>
    <t>Shouhou</t>
  </si>
  <si>
    <t>Ryuujou</t>
  </si>
  <si>
    <t>Kaga</t>
  </si>
  <si>
    <t>Souryuu</t>
  </si>
  <si>
    <t>Hiryuu</t>
  </si>
  <si>
    <t>Shoukaku</t>
  </si>
  <si>
    <t>Taihou</t>
  </si>
  <si>
    <t>Koln</t>
  </si>
  <si>
    <t>Scharnhorst</t>
  </si>
  <si>
    <t>Gneisenau</t>
  </si>
  <si>
    <t>Tirpitz</t>
  </si>
  <si>
    <t>I-19</t>
  </si>
  <si>
    <t>I-26</t>
  </si>
  <si>
    <t>Dace</t>
  </si>
  <si>
    <t>Dunkerque</t>
  </si>
  <si>
    <t>Jean Bart</t>
  </si>
  <si>
    <t>Centaur</t>
  </si>
  <si>
    <t>Kaga BB</t>
  </si>
  <si>
    <t>HDN Neptune</t>
  </si>
  <si>
    <t>Noire</t>
  </si>
  <si>
    <t>Vert</t>
  </si>
  <si>
    <t>Purple Heart</t>
  </si>
  <si>
    <t>Black Heart</t>
  </si>
  <si>
    <t>Kuon</t>
  </si>
  <si>
    <t>Nekone</t>
  </si>
  <si>
    <t>Rurutie</t>
  </si>
  <si>
    <t>Uruuru</t>
  </si>
  <si>
    <t>Saraana</t>
  </si>
  <si>
    <t>Fumiruiru</t>
  </si>
  <si>
    <t>HMS Neptune</t>
  </si>
  <si>
    <t>Roon</t>
  </si>
  <si>
    <t>LUK</t>
  </si>
  <si>
    <t>Unicorn</t>
  </si>
  <si>
    <t>Kaga (Battleship)</t>
  </si>
  <si>
    <t>Victorious</t>
  </si>
  <si>
    <t>Level</t>
  </si>
  <si>
    <t>EVA Rate</t>
  </si>
  <si>
    <t>EVA Stat</t>
  </si>
  <si>
    <t>DMG Red</t>
  </si>
  <si>
    <t>Time (sec.)</t>
  </si>
  <si>
    <t>CL</t>
  </si>
  <si>
    <t>DD</t>
  </si>
  <si>
    <t>Normal</t>
  </si>
  <si>
    <t>Normal+</t>
  </si>
  <si>
    <t>HE</t>
  </si>
  <si>
    <t>AP</t>
  </si>
  <si>
    <t>Gun Type</t>
  </si>
  <si>
    <t>Ammo</t>
  </si>
  <si>
    <t>Light</t>
  </si>
  <si>
    <t>Medium</t>
  </si>
  <si>
    <t>Heavy</t>
  </si>
  <si>
    <t>HE+</t>
  </si>
  <si>
    <t>AP+</t>
  </si>
  <si>
    <t>CA</t>
  </si>
  <si>
    <t>BB</t>
  </si>
  <si>
    <t>SHS</t>
  </si>
  <si>
    <t>Type 3 Shell</t>
  </si>
  <si>
    <t>Type 3 Shell Fragment</t>
  </si>
  <si>
    <t>Armor</t>
  </si>
  <si>
    <t>Ship Armor</t>
  </si>
  <si>
    <t>Enemy Hull Class</t>
  </si>
  <si>
    <t>Enemy Shell Type</t>
  </si>
  <si>
    <t>Levels</t>
  </si>
  <si>
    <t>Hull Class</t>
  </si>
  <si>
    <t>General</t>
  </si>
  <si>
    <t>Armor Modifier (Auto)</t>
  </si>
  <si>
    <t>Armor Modifier (Manual)</t>
  </si>
  <si>
    <t>Torpedo</t>
  </si>
  <si>
    <t>Ship Hull Class</t>
  </si>
  <si>
    <t>CVL</t>
  </si>
  <si>
    <t>CV</t>
  </si>
  <si>
    <t>AR</t>
  </si>
  <si>
    <t>BC</t>
  </si>
  <si>
    <t>BM</t>
  </si>
  <si>
    <t>SS</t>
  </si>
  <si>
    <t>Hull Class 2</t>
  </si>
  <si>
    <t>Hardy</t>
  </si>
  <si>
    <t># Lvl 120</t>
  </si>
  <si>
    <t># Lvl 100</t>
  </si>
  <si>
    <t>Hunter</t>
  </si>
  <si>
    <t>Z2</t>
  </si>
  <si>
    <t>Equipment Skills</t>
  </si>
  <si>
    <t>Yes</t>
  </si>
  <si>
    <t>No</t>
  </si>
  <si>
    <t>Application</t>
  </si>
  <si>
    <t>No Gear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</si>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</sst>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9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</font>
    <font>
      <sz val="10"/>
      <name val="Arial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color theme="0"/>
      <name val="Arial"/>
    </font>
    <font>
      <sz val="10"/>
      <color theme="1"/>
      <name val="Arial"/>
    </font>
  </fonts>
  <fills count="11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E6B8AF"/>
        <bgColor rgb="FFE6B8AF"/>
      </patternFill>
    </fill>
    <fill>
      <patternFill patternType="solid">
        <fgColor rgb="FFEFEFEF"/>
        <bgColor rgb="FFEFEFEF"/>
      </patternFill>
    </fill>
    <fill>
      <patternFill patternType="solid">
        <fgColor theme="0" tint="-0.14999847407452621"/>
        <bgColor rgb="FFF3F3F3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1" fillId="0" borderId="0"/>
  </cellStyleXfs>
  <cellXfs count="46">
    <xf numFmtId="0" fontId="0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3" fillId="0" borderId="0" xfId="0" applyFont="1" applyFill="1" applyAlignment="1">
      <alignment horizontal="right"/>
    </xf>
    <xf numFmtId="0" fontId="3" fillId="6" borderId="1" xfId="0" applyFont="1" applyFill="1" applyBorder="1" applyAlignment="1"/>
    <xf numFmtId="164" fontId="3" fillId="0" borderId="1" xfId="0" applyNumberFormat="1" applyFont="1" applyBorder="1"/>
    <xf numFmtId="164" fontId="0" fillId="4" borderId="1" xfId="0" applyNumberFormat="1" applyFont="1" applyFill="1" applyBorder="1"/>
    <xf numFmtId="164" fontId="3" fillId="0" borderId="1" xfId="0" applyNumberFormat="1" applyFont="1" applyBorder="1" applyAlignment="1"/>
    <xf numFmtId="0" fontId="2" fillId="6" borderId="1" xfId="0" applyFont="1" applyFill="1" applyBorder="1" applyAlignment="1"/>
    <xf numFmtId="0" fontId="2" fillId="5" borderId="1" xfId="0" applyFont="1" applyFill="1" applyBorder="1" applyAlignment="1"/>
    <xf numFmtId="0" fontId="4" fillId="2" borderId="1" xfId="0" applyFont="1" applyFill="1" applyBorder="1" applyAlignment="1"/>
    <xf numFmtId="0" fontId="4" fillId="3" borderId="1" xfId="0" applyFont="1" applyFill="1" applyBorder="1" applyAlignment="1">
      <alignment horizontal="right"/>
    </xf>
    <xf numFmtId="0" fontId="4" fillId="3" borderId="1" xfId="0" applyFont="1" applyFill="1" applyBorder="1" applyAlignment="1"/>
    <xf numFmtId="0" fontId="4" fillId="5" borderId="1" xfId="0" applyFont="1" applyFill="1" applyBorder="1" applyAlignment="1"/>
    <xf numFmtId="0" fontId="4" fillId="6" borderId="1" xfId="0" applyFont="1" applyFill="1" applyBorder="1" applyAlignment="1"/>
    <xf numFmtId="0" fontId="2" fillId="2" borderId="2" xfId="0" applyFont="1" applyFill="1" applyBorder="1" applyAlignment="1"/>
    <xf numFmtId="0" fontId="2" fillId="2" borderId="3" xfId="0" applyFont="1" applyFill="1" applyBorder="1"/>
    <xf numFmtId="0" fontId="2" fillId="2" borderId="1" xfId="0" applyFont="1" applyFill="1" applyBorder="1" applyAlignment="1"/>
    <xf numFmtId="0" fontId="2" fillId="3" borderId="1" xfId="0" applyFont="1" applyFill="1" applyBorder="1" applyAlignment="1"/>
    <xf numFmtId="0" fontId="2" fillId="7" borderId="1" xfId="0" applyFont="1" applyFill="1" applyBorder="1" applyAlignment="1"/>
    <xf numFmtId="0" fontId="4" fillId="7" borderId="1" xfId="0" applyFont="1" applyFill="1" applyBorder="1" applyAlignment="1">
      <alignment horizontal="right"/>
    </xf>
    <xf numFmtId="0" fontId="2" fillId="7" borderId="1" xfId="0" applyFont="1" applyFill="1" applyBorder="1"/>
    <xf numFmtId="0" fontId="2" fillId="0" borderId="0" xfId="0" quotePrefix="1" applyFont="1" applyFill="1" applyAlignment="1"/>
    <xf numFmtId="0" fontId="2" fillId="0" borderId="0" xfId="0" applyFont="1" applyFill="1"/>
    <xf numFmtId="0" fontId="0" fillId="0" borderId="0" xfId="0" applyFont="1" applyFill="1" applyAlignment="1"/>
    <xf numFmtId="0" fontId="2" fillId="0" borderId="0" xfId="0" quotePrefix="1" applyFont="1" applyFill="1" applyAlignment="1">
      <alignment horizontal="left"/>
    </xf>
    <xf numFmtId="0" fontId="2" fillId="0" borderId="0" xfId="0" applyFont="1" applyFill="1" applyAlignment="1"/>
    <xf numFmtId="9" fontId="2" fillId="0" borderId="0" xfId="0" quotePrefix="1" applyNumberFormat="1" applyFont="1" applyFill="1" applyAlignment="1">
      <alignment horizontal="left"/>
    </xf>
    <xf numFmtId="9" fontId="2" fillId="0" borderId="0" xfId="0" applyNumberFormat="1" applyFont="1" applyFill="1" applyAlignment="1">
      <alignment horizontal="left"/>
    </xf>
    <xf numFmtId="9" fontId="0" fillId="0" borderId="0" xfId="0" applyNumberFormat="1" applyFont="1" applyAlignment="1"/>
    <xf numFmtId="0" fontId="2" fillId="0" borderId="0" xfId="0" applyFont="1" applyFill="1" applyBorder="1" applyAlignment="1"/>
    <xf numFmtId="0" fontId="8" fillId="9" borderId="4" xfId="0" applyFont="1" applyFill="1" applyBorder="1"/>
    <xf numFmtId="0" fontId="8" fillId="0" borderId="4" xfId="0" applyFont="1" applyBorder="1"/>
    <xf numFmtId="0" fontId="7" fillId="8" borderId="0" xfId="0" applyFont="1" applyFill="1" applyBorder="1"/>
    <xf numFmtId="164" fontId="6" fillId="0" borderId="1" xfId="0" applyNumberFormat="1" applyFont="1" applyBorder="1"/>
    <xf numFmtId="164" fontId="6" fillId="0" borderId="1" xfId="0" applyNumberFormat="1" applyFont="1" applyBorder="1" applyAlignment="1"/>
    <xf numFmtId="0" fontId="6" fillId="3" borderId="1" xfId="0" applyFont="1" applyFill="1" applyBorder="1" applyAlignment="1"/>
    <xf numFmtId="0" fontId="0" fillId="0" borderId="1" xfId="0" applyFont="1" applyFill="1" applyBorder="1" applyAlignment="1"/>
    <xf numFmtId="0" fontId="5" fillId="10" borderId="1" xfId="0" applyFont="1" applyFill="1" applyBorder="1" applyAlignment="1"/>
    <xf numFmtId="0" fontId="6" fillId="3" borderId="1" xfId="0" applyFont="1" applyFill="1" applyBorder="1" applyAlignment="1">
      <alignment horizontal="right"/>
    </xf>
    <xf numFmtId="0" fontId="0" fillId="0" borderId="0" xfId="0" quotePrefix="1" applyFont="1" applyAlignment="1"/>
    <xf numFmtId="0" fontId="2" fillId="2" borderId="2" xfId="0" applyFont="1" applyFill="1" applyBorder="1" applyAlignment="1"/>
    <xf numFmtId="0" fontId="2" fillId="2" borderId="3" xfId="0" applyFont="1" applyFill="1" applyBorder="1" applyAlignment="1"/>
    <xf numFmtId="0" fontId="6" fillId="3" borderId="2" xfId="0" applyFont="1" applyFill="1" applyBorder="1" applyAlignment="1"/>
    <xf numFmtId="0" fontId="2" fillId="3" borderId="3" xfId="0" applyFont="1" applyFill="1" applyBorder="1" applyAlignment="1"/>
  </cellXfs>
  <cellStyles count="2">
    <cellStyle name="Normal" xfId="0" builtinId="0"/>
    <cellStyle name="Normal 2" xfId="1" xr:uid="{00000000-0005-0000-0000-000031000000}"/>
  </cellStyles>
  <dxfs count="35">
    <dxf>
      <fill>
        <patternFill>
          <bgColor theme="8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3" formatCode="0%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3" formatCode="0%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3" formatCode="0%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</dxf>
    <dxf>
      <fill>
        <patternFill>
          <bgColor theme="8"/>
        </patternFill>
      </fill>
    </dxf>
    <dxf>
      <fill>
        <patternFill>
          <bgColor rgb="FFFF7171"/>
        </patternFill>
      </fill>
    </dxf>
    <dxf>
      <fill>
        <patternFill>
          <bgColor theme="9" tint="0.39994506668294322"/>
        </patternFill>
      </fill>
    </dxf>
    <dxf>
      <fill>
        <patternFill>
          <bgColor rgb="FFFF7171"/>
        </patternFill>
      </fill>
    </dxf>
    <dxf>
      <fill>
        <patternFill>
          <bgColor theme="9" tint="0.39994506668294322"/>
        </patternFill>
      </fill>
    </dxf>
    <dxf>
      <fill>
        <patternFill>
          <bgColor rgb="FFFF7171"/>
        </patternFill>
      </fill>
    </dxf>
    <dxf>
      <fill>
        <patternFill>
          <bgColor theme="9" tint="0.39994506668294322"/>
        </patternFill>
      </fill>
    </dxf>
    <dxf>
      <fill>
        <patternFill>
          <bgColor rgb="FFFF7171"/>
        </patternFill>
      </fill>
    </dxf>
    <dxf>
      <fill>
        <patternFill>
          <bgColor theme="9" tint="0.39994506668294322"/>
        </patternFill>
      </fill>
    </dxf>
    <dxf>
      <fill>
        <patternFill>
          <bgColor rgb="FFFF7171"/>
        </patternFill>
      </fill>
    </dxf>
    <dxf>
      <fill>
        <patternFill>
          <bgColor theme="9" tint="0.39994506668294322"/>
        </patternFill>
      </fill>
    </dxf>
    <dxf>
      <fill>
        <patternFill>
          <bgColor rgb="FFFF7171"/>
        </patternFill>
      </fill>
    </dxf>
    <dxf>
      <fill>
        <patternFill>
          <bgColor theme="9" tint="0.39994506668294322"/>
        </patternFill>
      </fill>
    </dxf>
    <dxf>
      <fill>
        <patternFill>
          <bgColor rgb="FFFF7171"/>
        </patternFill>
      </fill>
    </dxf>
    <dxf>
      <fill>
        <patternFill>
          <bgColor theme="9" tint="0.39994506668294322"/>
        </patternFill>
      </fill>
    </dxf>
    <dxf>
      <fill>
        <patternFill>
          <bgColor rgb="FFFF7171"/>
        </patternFill>
      </fill>
    </dxf>
    <dxf>
      <fill>
        <patternFill>
          <bgColor theme="9" tint="0.39994506668294322"/>
        </patternFill>
      </fill>
    </dxf>
    <dxf>
      <fill>
        <patternFill>
          <bgColor rgb="FFFF7171"/>
        </patternFill>
      </fill>
    </dxf>
    <dxf>
      <fill>
        <patternFill>
          <bgColor theme="9" tint="0.39994506668294322"/>
        </patternFill>
      </fill>
    </dxf>
    <dxf>
      <fill>
        <patternFill>
          <bgColor rgb="FFFF7171"/>
        </patternFill>
      </fill>
    </dxf>
    <dxf>
      <fill>
        <patternFill>
          <bgColor theme="9" tint="0.39994506668294322"/>
        </patternFill>
      </fill>
    </dxf>
    <dxf>
      <fill>
        <patternFill>
          <bgColor rgb="FFFF7171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colors>
    <mruColors>
      <color rgb="FFFF71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2392C09-0F0E-4DA1-A5C3-D721E8AEBE2E}" name="Table24" displayName="Table24" ref="A1:E23" totalsRowShown="0" dataDxfId="11">
  <autoFilter ref="A1:E23" xr:uid="{0D56F3AA-DC4A-485C-9974-BEF06B07519C}"/>
  <tableColumns count="5">
    <tableColumn id="1" xr3:uid="{B06AEEF8-F51C-4D82-8AAC-5C5921F7709D}" name="Gun Type"/>
    <tableColumn id="2" xr3:uid="{6EC50C93-1FA8-4FCD-94C0-8368B510959C}" name="Ammo"/>
    <tableColumn id="3" xr3:uid="{260D86E6-3332-4AA0-9166-0095E35710E6}" name="Light" dataDxfId="10"/>
    <tableColumn id="4" xr3:uid="{0A4F5395-51BB-4099-91EE-E8F0FA8305F2}" name="Medium" dataDxfId="9"/>
    <tableColumn id="5" xr3:uid="{84F3AB1E-A0A5-4425-84CF-282C7369C5A3}" name="Heavy" dataDxf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E3A8D5-887E-4633-A9A2-754E4A09EDD6}" name="Table1" displayName="Table1" ref="A25:A27" totalsRowShown="0">
  <autoFilter ref="A25:A27" xr:uid="{BA76E00A-8AA7-4038-8FE5-07E49995FF17}"/>
  <tableColumns count="1">
    <tableColumn id="1" xr3:uid="{A2279A0A-0B19-4011-9481-7CC349963424}" name="Level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1331DA9-F5FC-419B-97EC-057B92262B2F}" name="General" displayName="General" ref="C25:C26" totalsRowShown="0">
  <autoFilter ref="C25:C26" xr:uid="{F824CCDD-63FC-4A33-A231-1F7E1BE2FE08}"/>
  <tableColumns count="1">
    <tableColumn id="1" xr3:uid="{6926D579-A40C-4CEB-AA3C-ED8B1C139A80}" name="General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00860C3-1CEF-4365-853D-D4A86AEAB7DB}" name="DD" displayName="DD" ref="D25:D30" totalsRowShown="0">
  <autoFilter ref="D25:D30" xr:uid="{B7A95CDE-0B84-480E-9EB1-3621ED7AF2C4}"/>
  <tableColumns count="1">
    <tableColumn id="1" xr3:uid="{FF623B3E-402C-4E7B-99B6-6249A21205EF}" name="D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4549FBF-9B4F-441C-AFAC-390FEBFF5FBB}" name="CL" displayName="CL" ref="E25:E31" totalsRowShown="0">
  <autoFilter ref="E25:E31" xr:uid="{8C402F34-BBA6-44CB-9734-97AB256A87A0}"/>
  <tableColumns count="1">
    <tableColumn id="1" xr3:uid="{DA5C0EA4-257A-41B2-9B71-100B0E699396}" name="CL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AB026DD-DAEC-4438-89F4-0EF3388E9123}" name="CA" displayName="CA" ref="F25:F29" totalsRowShown="0">
  <autoFilter ref="F25:F29" xr:uid="{09D87499-D0C7-4CEF-81AB-93758261B7E4}"/>
  <tableColumns count="1">
    <tableColumn id="1" xr3:uid="{AF4CB435-F624-4B60-9851-D7B9BEBF8C7B}" name="CA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44FE8B8-0824-4B9E-B3D7-44E7C7919B6C}" name="BB" displayName="BB" ref="G25:G31" totalsRowShown="0">
  <autoFilter ref="G25:G31" xr:uid="{B688B9D5-BAA1-4938-B996-2B6AC007AD0F}"/>
  <tableColumns count="1">
    <tableColumn id="1" xr3:uid="{7E847BBD-66F6-43F6-A2E7-5B47AADE37CD}" name="BB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4C20D48-84C6-4B5D-8EB3-4014C0BDF608}" name="Hull" displayName="Hull" ref="B25:B30" totalsRowShown="0" headerRowDxfId="7" dataDxfId="6" tableBorderDxfId="5">
  <autoFilter ref="B25:B30" xr:uid="{4F7E1C47-FB5E-4E98-A28A-321A928E5123}"/>
  <tableColumns count="1">
    <tableColumn id="1" xr3:uid="{EB97A1AF-8DD2-4D44-92D2-3BB09BA6DF6E}" name="Hull Class" dataDxfId="4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B487470-40E1-4123-B992-203EEC04A010}" name="Table12" displayName="Table12" ref="H25:H28" totalsRowShown="0">
  <autoFilter ref="H25:H28" xr:uid="{63032938-61C3-4D55-B601-AD1448E7DD4F}"/>
  <tableColumns count="1">
    <tableColumn id="1" xr3:uid="{801DBC44-8A07-4903-ADAD-260CB7C355CF}" name="Ship Armor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E0FA14-4F8C-45C9-9F40-470E16CA26F2}" name="Table2" displayName="Table2" ref="I25:I35" totalsRowShown="0" headerRowDxfId="3" dataDxfId="2">
  <autoFilter ref="I25:I35" xr:uid="{2025355D-0CBF-42F6-84F7-CCF0141134A5}"/>
  <tableColumns count="1">
    <tableColumn id="1" xr3:uid="{F7AA5280-9281-4AA3-953C-F277228E6B80}" name="Hull Class 2" dataDxfId="1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A4EC5AA-D4D0-48E5-AE50-5C792AFFD13A}" name="Table9" displayName="Table9" ref="J25:J27" totalsRowShown="0">
  <autoFilter ref="J25:J27" xr:uid="{876A502B-5CBE-45A0-841B-2200C0EBD363}"/>
  <tableColumns count="1">
    <tableColumn id="1" xr3:uid="{27867DE1-DD70-4E58-A564-4BE395500116}" name="Applic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45"/>
  <sheetViews>
    <sheetView tabSelected="1" zoomScaleNormal="100" workbookViewId="0">
      <selection activeCell="A6" sqref="A6"/>
    </sheetView>
  </sheetViews>
  <sheetFormatPr defaultColWidth="14.44140625" defaultRowHeight="15.75" customHeight="1" x14ac:dyDescent="0.25"/>
  <cols>
    <col min="1" max="11" width="15.88671875" customWidth="1"/>
    <col min="17" max="18" width="14.44140625" customWidth="1"/>
    <col min="19" max="19" width="6.5546875" customWidth="1"/>
    <col min="20" max="20" width="19.44140625" customWidth="1"/>
  </cols>
  <sheetData>
    <row r="1" spans="1:26" ht="15.75" customHeight="1" x14ac:dyDescent="0.25">
      <c r="L1" s="23"/>
      <c r="M1" s="24"/>
      <c r="N1" s="24"/>
      <c r="O1" s="24"/>
      <c r="P1" s="23"/>
      <c r="Q1" s="24"/>
      <c r="R1" s="24"/>
      <c r="S1" s="24"/>
      <c r="T1" s="25"/>
      <c r="U1" s="25"/>
      <c r="V1" s="25"/>
      <c r="W1" s="25"/>
      <c r="X1" s="25"/>
      <c r="Y1" s="25"/>
      <c r="Z1" s="25"/>
    </row>
    <row r="2" spans="1:26" ht="15.75" customHeight="1" x14ac:dyDescent="0.25">
      <c r="A2" s="16" t="s">
        <v>5</v>
      </c>
      <c r="B2" s="17"/>
      <c r="L2" s="26"/>
      <c r="M2" s="24"/>
      <c r="N2" s="24"/>
      <c r="O2" s="24"/>
      <c r="P2" s="27"/>
      <c r="Q2" s="28"/>
      <c r="R2" s="27"/>
      <c r="S2" s="24"/>
      <c r="T2" s="27"/>
      <c r="U2" s="24"/>
      <c r="V2" s="24"/>
      <c r="W2" s="24"/>
      <c r="X2" s="24"/>
      <c r="Y2" s="24"/>
      <c r="Z2" s="24"/>
    </row>
    <row r="3" spans="1:26" ht="15.75" customHeight="1" x14ac:dyDescent="0.25">
      <c r="L3" s="23"/>
      <c r="M3" s="24"/>
      <c r="N3" s="24"/>
      <c r="O3" s="24"/>
      <c r="P3" s="27"/>
      <c r="Q3" s="29"/>
      <c r="R3" s="24"/>
      <c r="S3" s="24"/>
      <c r="T3" s="27"/>
      <c r="U3" s="27"/>
      <c r="V3" s="27"/>
      <c r="W3" s="27"/>
      <c r="X3" s="27"/>
      <c r="Y3" s="27"/>
      <c r="Z3" s="27"/>
    </row>
    <row r="4" spans="1:26" ht="15.75" customHeight="1" x14ac:dyDescent="0.25">
      <c r="A4" s="42" t="s">
        <v>8</v>
      </c>
      <c r="B4" s="43"/>
      <c r="C4" s="18" t="s">
        <v>414</v>
      </c>
      <c r="E4" s="14" t="s">
        <v>17</v>
      </c>
      <c r="F4" s="14" t="s">
        <v>18</v>
      </c>
      <c r="G4" s="10" t="s">
        <v>439</v>
      </c>
      <c r="H4" s="10" t="s">
        <v>440</v>
      </c>
      <c r="K4" s="38" t="s">
        <v>460</v>
      </c>
      <c r="L4" s="23"/>
      <c r="M4" s="38" t="s">
        <v>464</v>
      </c>
      <c r="N4" s="24"/>
      <c r="O4" s="24"/>
      <c r="P4" s="27"/>
      <c r="Q4" s="29"/>
      <c r="R4" s="24"/>
      <c r="S4" s="24"/>
      <c r="T4" s="27"/>
      <c r="U4" s="25"/>
      <c r="V4" s="25"/>
      <c r="W4" s="25"/>
      <c r="X4" s="25"/>
      <c r="Y4" s="25"/>
      <c r="Z4" s="25"/>
    </row>
    <row r="5" spans="1:26" ht="15.75" customHeight="1" x14ac:dyDescent="0.25">
      <c r="A5" s="44" t="s">
        <v>64</v>
      </c>
      <c r="B5" s="45"/>
      <c r="C5" s="13">
        <v>100</v>
      </c>
      <c r="E5" s="12">
        <v>45</v>
      </c>
      <c r="F5" s="12">
        <v>0</v>
      </c>
      <c r="G5" s="12" t="s">
        <v>443</v>
      </c>
      <c r="H5" s="12" t="s">
        <v>443</v>
      </c>
      <c r="K5" s="40" t="s">
        <v>461</v>
      </c>
      <c r="L5" s="23"/>
      <c r="M5" s="40" t="s">
        <v>461</v>
      </c>
      <c r="N5" s="24"/>
      <c r="O5" s="24"/>
      <c r="P5" s="24"/>
      <c r="Q5" s="24"/>
      <c r="R5" s="24"/>
      <c r="S5" s="24"/>
      <c r="T5" s="27"/>
      <c r="U5" s="27"/>
      <c r="V5" s="27"/>
      <c r="W5" s="27"/>
      <c r="X5" s="25"/>
      <c r="Y5" s="25"/>
      <c r="Z5" s="25"/>
    </row>
    <row r="6" spans="1:26" ht="15.75" customHeight="1" x14ac:dyDescent="0.25">
      <c r="L6" s="23"/>
      <c r="M6" s="24"/>
      <c r="N6" s="24"/>
      <c r="O6" s="24"/>
      <c r="P6" s="24"/>
      <c r="Q6" s="24"/>
      <c r="R6" s="24"/>
      <c r="S6" s="24"/>
      <c r="T6" s="27"/>
      <c r="U6" s="27"/>
      <c r="V6" s="27"/>
      <c r="W6" s="27"/>
      <c r="X6" s="25"/>
      <c r="Y6" s="25"/>
      <c r="Z6" s="25"/>
    </row>
    <row r="7" spans="1:26" ht="15.75" customHeight="1" x14ac:dyDescent="0.25">
      <c r="A7" s="18" t="s">
        <v>447</v>
      </c>
      <c r="B7" s="18" t="s">
        <v>13</v>
      </c>
      <c r="C7" s="18" t="s">
        <v>14</v>
      </c>
      <c r="D7" s="18" t="s">
        <v>15</v>
      </c>
      <c r="E7" s="18" t="s">
        <v>438</v>
      </c>
      <c r="F7" s="18" t="s">
        <v>3</v>
      </c>
      <c r="G7" s="18" t="s">
        <v>4</v>
      </c>
      <c r="H7" s="18" t="s">
        <v>16</v>
      </c>
      <c r="I7" s="31"/>
      <c r="K7" s="39" t="s">
        <v>418</v>
      </c>
      <c r="L7" s="23"/>
      <c r="M7" s="38" t="s">
        <v>23</v>
      </c>
      <c r="N7" s="24"/>
      <c r="O7" s="24"/>
      <c r="P7" s="24"/>
      <c r="Q7" s="24"/>
      <c r="R7" s="24"/>
      <c r="S7" s="24"/>
      <c r="T7" s="27"/>
      <c r="U7" s="27"/>
      <c r="V7" s="27"/>
      <c r="W7" s="27"/>
      <c r="X7" s="25"/>
      <c r="Y7" s="25"/>
      <c r="Z7" s="25"/>
    </row>
    <row r="8" spans="1:26" ht="15.75" customHeight="1" x14ac:dyDescent="0.25">
      <c r="A8" s="20" t="str">
        <f>IFERROR(INDEX(IF(C5=120,'Ship Stats'!C2:C1000,IF(C5=100,'Ship Stats'!N2:N1000,0)),MATCH(A5,'Ship Stats'!B2:B1000,0)),0)</f>
        <v>CA</v>
      </c>
      <c r="B8" s="20">
        <f>IFERROR(INDEX(IF(C5=120,'Ship Stats'!D2:D1000,IF(C5=100,'Ship Stats'!O2:O1000,0)),MATCH(A5,'Ship Stats'!B2:B1000,0)),0)</f>
        <v>4866</v>
      </c>
      <c r="C8" s="20">
        <f>IFERROR(INDEX(IF(C5=120,'Ship Stats'!E2:E1000,IF(C5=100,'Ship Stats'!P2:P1000,0)),MATCH(A5,'Ship Stats'!B2:B1000,0)),0)</f>
        <v>45</v>
      </c>
      <c r="D8" s="20">
        <f>IFERROR(INDEX(IF(C5=120,'Ship Stats'!F2:F1000,IF(C5=100,'Ship Stats'!Q2:Q1000,0)),MATCH(A5,'Ship Stats'!B2:B1000,0)),0)</f>
        <v>78</v>
      </c>
      <c r="E8" s="20" t="str">
        <f>IFERROR(INDEX(IF(C5=120,'Ship Stats'!G2:G1000,IF(C5=100,'Ship Stats'!R2:R1000,0)),MATCH(A5,'Ship Stats'!B2:B1000,0)),"General")</f>
        <v>Medium</v>
      </c>
      <c r="F8" s="22">
        <f>IFERROR(INDEX(IF(C5=120,'Ship Stats'!H2:H1000,IF(C5=100,'Ship Stats'!S2:S1000,0)),MATCH(A5,'Ship Stats'!B2:B1000,0)),0)</f>
        <v>0</v>
      </c>
      <c r="G8" s="20">
        <f>IFERROR(INDEX(IF(C5=120,'Ship Stats'!I2:I1000,IF(C5=100,'Ship Stats'!T2:T1000,0)),MATCH(A5,'Ship Stats'!B2:B1000,0)),0)</f>
        <v>0</v>
      </c>
      <c r="H8" s="20">
        <f>IFERROR(INDEX(IF(C5=120,'Ship Stats'!J2:J1000,IF(C5=100,'Ship Stats'!U2:U1000,0)),MATCH(A5,'Ship Stats'!B2:B1000,0)),0)</f>
        <v>0</v>
      </c>
      <c r="I8" s="31"/>
      <c r="K8" s="19">
        <v>60</v>
      </c>
      <c r="L8" s="23"/>
      <c r="M8" s="12" t="s">
        <v>461</v>
      </c>
      <c r="N8" s="24"/>
      <c r="O8" s="24"/>
      <c r="P8" s="24"/>
      <c r="Q8" s="24"/>
      <c r="R8" s="27"/>
      <c r="S8" s="24"/>
      <c r="T8" s="27"/>
      <c r="U8" s="27"/>
      <c r="V8" s="27"/>
      <c r="W8" s="27"/>
      <c r="X8" s="25"/>
      <c r="Y8" s="25"/>
      <c r="Z8" s="25"/>
    </row>
    <row r="9" spans="1:26" ht="15.75" customHeight="1" x14ac:dyDescent="0.25">
      <c r="L9" s="4"/>
      <c r="M9" s="25"/>
      <c r="N9" s="25"/>
      <c r="O9" s="25"/>
      <c r="P9" s="25"/>
      <c r="Q9" s="25"/>
      <c r="R9" s="25"/>
      <c r="S9" s="27"/>
      <c r="T9" s="27"/>
      <c r="U9" s="27"/>
      <c r="V9" s="27"/>
      <c r="W9" s="27"/>
      <c r="X9" s="25"/>
      <c r="Y9" s="25"/>
      <c r="Z9" s="25"/>
    </row>
    <row r="10" spans="1:26" ht="15.75" customHeight="1" x14ac:dyDescent="0.25">
      <c r="B10" s="9" t="s">
        <v>22</v>
      </c>
      <c r="C10" s="9" t="s">
        <v>23</v>
      </c>
      <c r="D10" s="9" t="s">
        <v>24</v>
      </c>
      <c r="E10" s="9" t="s">
        <v>25</v>
      </c>
      <c r="F10" s="9" t="s">
        <v>26</v>
      </c>
      <c r="G10" s="9" t="s">
        <v>27</v>
      </c>
      <c r="H10" s="9" t="s">
        <v>28</v>
      </c>
      <c r="I10" s="9" t="s">
        <v>29</v>
      </c>
      <c r="J10" s="9" t="s">
        <v>30</v>
      </c>
      <c r="K10" s="9" t="s">
        <v>31</v>
      </c>
      <c r="L10" s="4"/>
      <c r="M10" s="38" t="s">
        <v>24</v>
      </c>
      <c r="N10" s="25"/>
      <c r="O10" s="25"/>
      <c r="P10" s="25"/>
      <c r="Q10" s="25"/>
      <c r="R10" s="25"/>
      <c r="S10" s="27"/>
      <c r="T10" s="27"/>
      <c r="U10" s="27"/>
      <c r="V10" s="27"/>
      <c r="W10" s="27"/>
      <c r="X10" s="25"/>
      <c r="Y10" s="25"/>
      <c r="Z10" s="25"/>
    </row>
    <row r="11" spans="1:26" ht="15.75" customHeight="1" x14ac:dyDescent="0.25">
      <c r="A11" s="5" t="s">
        <v>22</v>
      </c>
      <c r="B11" s="6">
        <f>IF($M$5="Yes",ROUND((B8/(1-H8)/MIN(MAX((0.1+($E$5/($E$5+(C8*(1+G8)+2)))+(($F$5-D8)/1000)-(F8)),0.1),1))/'Background Tables'!$G$2,0),"Calc. Off")</f>
        <v>9520</v>
      </c>
      <c r="C11" s="7">
        <f>IF($M$8="Yes",IF($M$5="Yes",ROUND(((B8+266)/(1-H8)/MIN(MAX((0.1+($E$5/($E$5+(C8*(1+G8)+2)))+(($F$5-D8)/1000)-(F8)),0.1),1))/'Background Tables'!$G$2,0),"Calc. Off"),"Calc. Off")</f>
        <v>10040</v>
      </c>
      <c r="D11" s="6">
        <f>IF($M$11="Yes",IF($M$5="Yes",ROUND(((B8+44)/(1-H8)/MIN(MAX((0.1+($E$5/($E$5+((C8+17)*(1+G8)+2)))+(($F$5-D8)/1000)-(F8)),0.1),1))/'Background Tables'!$G$2,0),"Calc. Off"),"Calc. Off")</f>
        <v>11291</v>
      </c>
      <c r="E11" s="7">
        <f>IF($M$14="Yes",IF($M$5="Yes",ROUND(((B8+245)/(1-H8)/MIN(MAX((0.1+($E$5/($E$5+(C8*(1+G8)+2)))+(($F$5-D8)/1000)-(F8)),0.1),1))/'Background Tables'!$G$2,0),"Calc. Off"),"Calc. Off")</f>
        <v>9999</v>
      </c>
      <c r="F11" s="7">
        <f>IF($M$17="Yes",IF($M$5="Yes",ROUND(((B8+350)/(1-H8)/MIN(MAX((0.1+($E$5/($E$5+((C8+5)*(1+G8)+2)))+(($F$5-D8)/1000)-(F8)),0.1),1))/'Background Tables'!$G$2,0),"Calc. Off"),"Calc. Off")</f>
        <v>10734</v>
      </c>
      <c r="G11" s="7">
        <f>IF($M$20="Yes",IF($M$5="Yes",IFERROR(_xlfn.IFS(A8="DD","N/A",A8="SS","N/A"),ROUND(((B8+350)/(1-H8)/MIN(MAX((0.1+($E$5/($E$5+(C8*(1+G8)+2)))+(($F$5-D8)/1000)-(F8)),0.1),1))/'Background Tables'!$G$2/IF($K$5="Yes",IF(H5="Torpedo",0.7,1),1),0)),"Calc. Off"),"Calc. Off")</f>
        <v>10205</v>
      </c>
      <c r="H11" s="7">
        <f>IF($M$23="Yes",IF($M$5="Yes",ROUND(((B8+500+IF($K$5="Yes",ROUNDDOWN($K$8/15,0)*0.01*(B8+500),0))/(1-H8)/MIN(MAX((0.1+($E$5/($E$5+(C8*(1+G8)+2)))+(($F$5-D8)/1000)-(F8)),0.1),1))/'Background Tables'!$G$2,0),"Calc. Off"),"Calc. Off")</f>
        <v>10918</v>
      </c>
      <c r="I11" s="7">
        <f>IF($M$26="Yes",IF($M$5="Yes",ROUND((B8/(1-H8)/MIN(MAX((0.1+($E$5/($E$5+((C8+15)*(1+G8)+2)))+(($F$5-D8)/1000)-(F8)),0.1),1))/'Background Tables'!$G$2,0),"Calc. Off"),"Calc. Off")</f>
        <v>10995</v>
      </c>
      <c r="J11" s="7">
        <f>IF($M$29="Yes",IF($M$5="Yes",ROUND(((B8+75)/(1-H8)/MIN(MAX((0.1+($E$5/($E$5+((C8+35)*(1+G8)+2)))+(($F$5-D8)/1000)-(F8)),0.1),1))/'Background Tables'!$G$2,0),"Calc. Off"),"Calc. Off")</f>
        <v>13129</v>
      </c>
      <c r="K11" s="7">
        <f>IF($M$32="Yes",IF($M$5="Yes",ROUND((((B8+60)/(1-H8)/MIN(MAX((0.1+($E$5/($E$5+((C8+40)*(1+G8)+2)))+(($F$5-D8)/1000)-(F8)),0.1),1))/'Background Tables'!$G$2)/IF($K$5="Yes",0.97,1),0),"Calc. Off"),"Calc. Off")</f>
        <v>13993</v>
      </c>
      <c r="L11" s="4"/>
      <c r="M11" s="12" t="s">
        <v>461</v>
      </c>
      <c r="N11" s="25"/>
      <c r="O11" s="25"/>
      <c r="P11" s="25"/>
      <c r="Q11" s="25"/>
      <c r="R11" s="25"/>
      <c r="S11" s="27"/>
      <c r="T11" s="27"/>
      <c r="U11" s="27"/>
      <c r="V11" s="27"/>
      <c r="W11" s="27"/>
      <c r="X11" s="25"/>
      <c r="Y11" s="25"/>
      <c r="Z11" s="25"/>
    </row>
    <row r="12" spans="1:26" ht="15.75" customHeight="1" x14ac:dyDescent="0.25">
      <c r="A12" s="5" t="s">
        <v>23</v>
      </c>
      <c r="B12" s="6">
        <f>IF($M$5="Yes",IF($M$8="Yes",ROUND(((B8+266)/(1-H8)/MIN(MAX((0.1+($E$5/($E$5+(C8*(1+G8)+2)))+(($F$5-D8)/1000)-(F8)),0.1),1))/'Background Tables'!$G$2,0),"Calc. Off"),"Calc. Off")</f>
        <v>10040</v>
      </c>
      <c r="C12" s="7">
        <f>IF($M$8="Yes",ROUND(((B8+266+266)/(1-H8)/MIN(MAX((0.1+($E$5/($E$5+(C8*(1+G8)+2)))+(($F$5-D8)/1000)-(F8)),0.1),1))/'Background Tables'!$G$2,0),"Calc. Off")</f>
        <v>10561</v>
      </c>
      <c r="D12" s="7">
        <f>IF($M$11="Yes",IF($M$8="Yes",ROUND(((B8+266+44)/(1-H8)/MIN(MAX((0.1+($E$5/($E$5+((C8+17)*(1+G8)+2)))+(($F$5-D8)/1000)-(F8)),0.1),1))/'Background Tables'!$G$2,0),"Calc. Off"),"Calc. Off")</f>
        <v>11903</v>
      </c>
      <c r="E12" s="7">
        <f>IF($M$14="Yes",IF($M$8="Yes",ROUND(((B8+266+245)/(1-H8)/MIN(MAX((0.1+($E$5/($E$5+(C8*(1+G8)+2)))+(($F$5-D8)/1000)-(F8)),0.1),1))/'Background Tables'!$G$2,0),"Calc. Off"),"Calc. Off")</f>
        <v>10520</v>
      </c>
      <c r="F12" s="7">
        <f>IF($M$17="Yes",IF($M$8="Yes",ROUND(((B8+266+350)/(1-H8)/MIN(MAX((0.1+($E$5/($E$5+((C8+5)*(1+G8)+2)))+(($F$5-D8)/1000)-(F8)),0.1),1))/'Background Tables'!$G$2,0),"Calc. Off"),"Calc. Off")</f>
        <v>11282</v>
      </c>
      <c r="G12" s="7">
        <f>IF($M$20="Yes",IF($M$8="Yes",IFERROR(_xlfn.IFS(A8="DD","N/A",A8="SS","N/A"),ROUND(((B8+266+350)/(1-H8)/MIN(MAX((0.1+($E$5/($E$5+(C8*(1+G8)+2)))+(($F$5-D8)/1000)-(F8)),0.1),1))/'Background Tables'!$G$2/IF($K$5="Yes",IF(H5="Torpedo",0.7,1),1),0)),"Calc. Off"),"Calc. Off")</f>
        <v>10725</v>
      </c>
      <c r="H12" s="7">
        <f>IF($M$23="Yes",IF($M$8="Yes",ROUND(((B8+266+500+IF($K$5="Yes",ROUNDDOWN($K$8/15,0)*0.01*(B8+266+500),0))/(1-H8)/MIN(MAX((0.1+($E$5/($E$5+(C8*(1+G8)+2)))+(($F$5-D8)/1000)-(F8)),0.1),1))/'Background Tables'!$G$2,0),"Calc. Off"),"Calc. Off")</f>
        <v>11459</v>
      </c>
      <c r="I12" s="7">
        <f>IF($M$26="Yes",IF($M$8="Yes",ROUND(((B8+266)/(1-H8)/MIN(MAX((0.1+($E$5/($E$5+((C8+15)*(1+G8)+2)))+(($F$5-D8)/1000)-(F8)),0.1),1))/'Background Tables'!$G$2,0),"Calc. Off"),"Calc. Off")</f>
        <v>11596</v>
      </c>
      <c r="J12" s="7">
        <f>IF($M$29="Yes",IF($M$8="Yes",ROUND(((B8+266+75)/(1-H8)/MIN(MAX((0.1+($E$5/($E$5+((C8+35)*(1+G8)+2)))+(($F$5-D8)/1000)-(F8)),0.1),1))/'Background Tables'!$G$2,0),"Calc. Off"),"Calc. Off")</f>
        <v>13836</v>
      </c>
      <c r="K12" s="7">
        <f>IF($M$32="Yes",IF($M$8="Yes",ROUND((((B8+266+60)/(1-H8)/MIN(MAX((0.1+($E$5/($E$5+((C8+40)*(1+G8)+2)))+(($F$5-D8)/1000)-(F8)),0.1),1))/'Background Tables'!$G$2)/IF($K$5="Yes",0.97,1),0),"Calc. Off"),"Calc. Off")</f>
        <v>14749</v>
      </c>
      <c r="L12" s="4"/>
      <c r="M12" s="25"/>
      <c r="N12" s="25"/>
      <c r="O12" s="25"/>
      <c r="P12" s="25"/>
      <c r="Q12" s="25"/>
      <c r="R12" s="25"/>
      <c r="S12" s="27"/>
      <c r="T12" s="27"/>
      <c r="U12" s="27"/>
      <c r="V12" s="27"/>
      <c r="W12" s="27"/>
      <c r="X12" s="25"/>
      <c r="Y12" s="25"/>
      <c r="Z12" s="25"/>
    </row>
    <row r="13" spans="1:26" ht="15.75" customHeight="1" x14ac:dyDescent="0.25">
      <c r="A13" s="5" t="s">
        <v>24</v>
      </c>
      <c r="B13" s="6">
        <f>IF($M$5="Yes",IF($M$11="Yes",ROUND(((B8+44)/(1-H8)/MIN(MAX((0.1+($E$5/($E$5+((C8+17)*(1+G8)+2)))+(($F$5-D8)/1000)-(F8)),0.1),1))/'Background Tables'!$G$2,0),"Calc. Off"),"Calc. Off")</f>
        <v>11291</v>
      </c>
      <c r="C13" s="6">
        <f>IF($M$8="Yes",IF($M$11="Yes",ROUND(((B8+266+44)/(1-H8)/MIN(MAX((0.1+($E$5/($E$5+((C8+17)*(1+G8)+2)))+(($F$5-D8)/1000)-(F8)),0.1),1))/'Background Tables'!$G$2,0),"Calc. Off"),"Calc. Off")</f>
        <v>11903</v>
      </c>
      <c r="D13" s="6">
        <f>IF($M$11="Yes",ROUND(((B8+44+44)/(1-H8)/MIN(MAX((0.1+($E$5/($E$5+((C8+17+17)*(1+G8)+2)))+(($F$5-D8)/1000)-(F8)),0.1),1))/'Background Tables'!$G$2,0),"Calc. Off")</f>
        <v>13066</v>
      </c>
      <c r="E13" s="6">
        <f>IF($M$14="Yes",IF($M$11="Yes",ROUND(((B8+44+245)/(1-H8)/MIN(MAX((0.1+($E$5/($E$5+((C8+17)*(1+G8)+2)))+(($F$5-D8)/1000)-(F8)),0.1),1))/'Background Tables'!$G$2,0),"Calc. Off"),"Calc. Off")</f>
        <v>11855</v>
      </c>
      <c r="F13" s="6">
        <f>IF($M$17="Yes",IF($M$11="Yes",ROUND(((B8+44+350)/(1-H8)/MIN(MAX((0.1+($E$5/($E$5+((C8+17+5)*(1+G8)+2)))+(($F$5-D8)/1000)-(F8)),0.1),1))/'Background Tables'!$G$2,0),"Calc. Off"),"Calc. Off")</f>
        <v>12622</v>
      </c>
      <c r="G13" s="6">
        <f>IF($M$20="Yes",IF($M$11="Yes",IFERROR(_xlfn.IFS(A8="DD","N/A",A8="SS","N/A"),ROUND(((B8+44+350)/(1-H8)/MIN(MAX((0.1+($E$5/($E$5+((C8+17)*(1+G8)+2)))+(($F$5-D8)/1000)-F8),0.1),1))/'Background Tables'!$G$2/IF($K$5="Yes",IF(H5="Torpedo",0.7,1),1),0)),"Calc. Off"),"Calc. Off")</f>
        <v>12096</v>
      </c>
      <c r="H13" s="6">
        <f>IF($M$23="Yes",IF($M$11="Yes",ROUND(((B8+44+500+IF($K$5="Yes",ROUNDDOWN($K$8/15,0)*0.01*(B8+44+500),0))/(1-H8)/MIN(MAX((0.1+($E$5/($E$5+((C8+17)*(1+G8)+2)))+(($F$5-D8)/1000)-F8),0.1),1))/'Background Tables'!$G$2,0),"Calc. Off"),"Calc. Off")</f>
        <v>12939</v>
      </c>
      <c r="I13" s="6">
        <f>IF($M$26="Yes",IF($M$11="Yes",ROUND(((B8+44)/(1-H8)/MIN(MAX((0.1+($E$5/($E$5+((C8+17+15)*(1+G8)+2)))+(($F$5-D8)/1000)-F8),0.1),1))/'Background Tables'!$G$2,0),"Calc. Off"),"Calc. Off")</f>
        <v>12756</v>
      </c>
      <c r="J13" s="6">
        <f>IF($M$29="Yes",IF($M$11="Yes",ROUND(((B8+44+75)/(1-H8)/MIN(MAX((0.1+($E$5/($E$5+((C8+17+35)*(1+G8)+2)))+(($F$5-D8)/1000)-F8),0.1),1))/'Background Tables'!$G$2,0),"Calc. Off"),"Calc. Off")</f>
        <v>14903</v>
      </c>
      <c r="K13" s="6">
        <f>IF($M$32="Yes",IF($M$11="Yes",ROUND((((B8+44+60)/(1-H8)/MIN(MAX((0.1+($E$5/($E$5+((C8+17+40)*(1+G8)+2)))+(($F$5-D8)/1000)-F8),0.1),1))/'Background Tables'!$G$2)/IF($K$5="Yes",0.97,1),0),"Calc. Off"),"Calc. Off")</f>
        <v>15813</v>
      </c>
      <c r="L13" s="4"/>
      <c r="M13" s="38" t="s">
        <v>25</v>
      </c>
      <c r="N13" s="25"/>
      <c r="O13" s="25"/>
      <c r="P13" s="25"/>
      <c r="Q13" s="25"/>
      <c r="R13" s="25"/>
      <c r="S13" s="27"/>
      <c r="T13" s="27"/>
      <c r="U13" s="27"/>
      <c r="V13" s="27"/>
      <c r="W13" s="27"/>
      <c r="X13" s="25"/>
      <c r="Y13" s="25"/>
      <c r="Z13" s="25"/>
    </row>
    <row r="14" spans="1:26" ht="15.75" customHeight="1" x14ac:dyDescent="0.25">
      <c r="A14" s="5" t="s">
        <v>25</v>
      </c>
      <c r="B14" s="6">
        <f>IF($M$5="Yes",IF($M$14="Yes",ROUND(((B8+245)/(1-H8)/MIN(MAX((0.1+($E$5/($E$5+(C8*(1+G8)+2)))+(($F$5-D8)/1000)-(F8)),0.1),1))/'Background Tables'!$G$2,0),"Calc. Off"),"Calc. Off")</f>
        <v>9999</v>
      </c>
      <c r="C14" s="6">
        <f>IF($M$8="Yes",IF($M$14="Yes",ROUND(((B8+266+245)/(1-H8)/MIN(MAX((0.1+($E$5/($E$5+(C8*(1+G8)+2)))+(($F$5-D8)/1000)-(F8)),0.1),1))/'Background Tables'!$G$2,0),"Calc. Off"),"Calc. Off")</f>
        <v>10520</v>
      </c>
      <c r="D14" s="6">
        <f>IF($M$11="Yes",IF($M$14="Yes",ROUND(((B8+44+245)/(1-H8)/MIN(MAX((0.1+($E$5/($E$5+((C8+17)*(1+G8)+2)))+(($F$5-D8)/1000)-(F8)),0.1),1))/'Background Tables'!$G$2,0),"Calc. Off"),"Calc. Off")</f>
        <v>11855</v>
      </c>
      <c r="E14" s="6">
        <f>IF($M$14="Yes",ROUND(((B8+245+245)/(1-H8)/MIN(MAX((0.1+($E$5/($E$5+((C8+0)*(1+G8)+2)))+(($F$5-D8)/1000)-F8),0.1),1))/'Background Tables'!$G$2,0),"Calc. Off")</f>
        <v>10479</v>
      </c>
      <c r="F14" s="6">
        <f>IF($M$17="Yes",IF($M$14="Yes",ROUND(((B8+245+350)/(1-H8)/MIN(MAX((0.1+($E$5/($E$5+((C8+5)*(1+G8)+2)))+(($F$5-D8)/1000)-F8),0.1),1))/'Background Tables'!$G$2,0),"Calc. Off"),"Calc. Off")</f>
        <v>11239</v>
      </c>
      <c r="G14" s="6">
        <f>IF($M$20="Yes",IF($M$14="Yes",IFERROR(_xlfn.IFS(A8="DD","N/A",A8="SS","N/A"),ROUND(((B8+245+350)/(1-H8)/MIN(MAX((0.1+($E$5/($E$5+((C8+0)*(1+G8)+2)))+(($F$5-D8)/1000)-F8),0.1),1))/'Background Tables'!$G$2/IF($K$5="Yes",IF(H5="Torpedo",0.7,1),1),0)),"Calc. Off"),"Calc. Off")</f>
        <v>10684</v>
      </c>
      <c r="H14" s="6">
        <f>IF($M$23="Yes",IF($M$14="Yes",ROUND(((B8+245+500+IF($K$5="Yes",ROUNDDOWN($K$8/15,0)*0.01*(B8+245+500),0))/(1-H8)/MIN(MAX((0.1+($E$5/($E$5+((C8+0)*(1+G8)+2)))+(($F$5-D8)/1000)-F8),0.1),1))/'Background Tables'!$G$2,0),"Calc. Off"),"Calc. Off")</f>
        <v>11417</v>
      </c>
      <c r="I14" s="6">
        <f>IF($M$26="Yes",IF($M$14="Yes",ROUND(((B8+245)/(1-H8)/MIN(MAX((0.1+($E$5/($E$5+((C8+15)*(1+G8)+2)))+(($F$5-D8)/1000)-F8),0.1),1))/'Background Tables'!$G$2,0),"Calc. Off"),"Calc. Off")</f>
        <v>11549</v>
      </c>
      <c r="J14" s="6">
        <f>IF($M$29="Yes",IF($M$14="Yes",ROUND(((B8+245+75)/(1-H8)/MIN(MAX((0.1+($E$5/($E$5+((C8+35)*(1+G8)+2)))+(($F$5-D8)/1000)-F8),0.1),1))/'Background Tables'!$G$2,0),"Calc. Off"),"Calc. Off")</f>
        <v>13780</v>
      </c>
      <c r="K14" s="6">
        <f>IF($M$32="Yes",IF($M$14="Yes",ROUND((((B8+245+60)/(1-H8)/MIN(MAX((0.1+($E$5/($E$5+((C8+40)*(1+G8)+2)))+(($F$5-D8)/1000)-F8),0.1),1))/'Background Tables'!$G$2)/IF($K$5="Yes",0.97,1),0),"Calc. Off"),"Calc. Off")</f>
        <v>14689</v>
      </c>
      <c r="L14" s="4"/>
      <c r="M14" s="12" t="s">
        <v>461</v>
      </c>
      <c r="N14" s="25"/>
      <c r="O14" s="25"/>
      <c r="P14" s="25"/>
      <c r="Q14" s="25"/>
      <c r="R14" s="25"/>
      <c r="S14" s="27"/>
      <c r="T14" s="27"/>
      <c r="U14" s="27"/>
      <c r="V14" s="27"/>
      <c r="W14" s="27"/>
      <c r="X14" s="25"/>
      <c r="Y14" s="25"/>
      <c r="Z14" s="25"/>
    </row>
    <row r="15" spans="1:26" ht="15.75" customHeight="1" x14ac:dyDescent="0.25">
      <c r="A15" s="5" t="s">
        <v>26</v>
      </c>
      <c r="B15" s="6">
        <f>IF($M$5="Yes",IF($M$17="Yes",ROUND(((B8+350)/(1-H8)/MIN(MAX((0.1+($E$5/($E$5+((C8+5)*(1+G8)+2)))+(($F$5-D8)/1000)-(F8)),0.1),1))/'Background Tables'!$G$2,0),"Calc. Off"),"Calc. Off")</f>
        <v>10734</v>
      </c>
      <c r="C15" s="6">
        <f>IF($M$8="Yes",IF($M$17="Yes",ROUND(((B8+266+350)/(1-H8)/MIN(MAX((0.1+($E$5/($E$5+((C8+5)*(1+G8)+2)))+(($F$5-D8)/1000)-(F8)),0.1),1))/'Background Tables'!$G$2,0),"Calc. Off"),"Calc. Off")</f>
        <v>11282</v>
      </c>
      <c r="D15" s="6">
        <f>IF($M$11="Yes",IF($M$17="Yes",ROUND(((B8+44+350)/(1-H8)/MIN(MAX((0.1+($E$5/($E$5+((C8+17+5)*(1+G8)+2)))+(($F$5-D8)/1000)-(F8)),0.1),1))/'Background Tables'!$G$2,0),"Calc. Off"),"Calc. Off")</f>
        <v>12622</v>
      </c>
      <c r="E15" s="6">
        <f>IF($M$14="Yes",IF($M$17="Yes",ROUND(((B8+245+350)/(1-H8)/MIN(MAX((0.1+($E$5/($E$5+((C8+5)*(1+G8)+2)))+(($F$5-D8)/1000)-F8),0.1),1))/'Background Tables'!$G$2,0),"Calc. Off"),"Calc. Off")</f>
        <v>11239</v>
      </c>
      <c r="F15" s="6">
        <f>IF($M$17="Yes",ROUND(((B8+350+350)/(1-H8)/MIN(MAX((0.1+($E$5/($E$5+((C8+5+5)*(1+G8)+2)))+(($F$5-D8)/1000)-F8),0.1),1))/'Background Tables'!$G$2,0),"Calc. Off")</f>
        <v>12017</v>
      </c>
      <c r="G15" s="6">
        <f>IF($M$20="Yes",IF($M$17="Yes",IFERROR(_xlfn.IFS(A8="DD","N/A",A8="SS","N/A"),ROUND(((B8+350+350)/(1-H8)/MIN(MAX((0.1+($E$5/($E$5+((C8+5)*(1+G8)+2)))+(($F$5-D8)/1000)-F8),0.1),1))/'Background Tables'!$G$2/IF($K$5="Yes",IF(H5="Torpedo",0.7,1),1),0)),"Calc. Off"),"Calc. Off")</f>
        <v>11455</v>
      </c>
      <c r="H15" s="6">
        <f>IF($M$23="Yes",IF($M$17="Yes",ROUND(((B8+350+500+IF($K$5="Yes",ROUNDDOWN($K$8/15,0)*0.01*(B8+350+500),0))/(1-H8)/MIN(MAX((0.1+($E$5/($E$5+((C8+5)*(1+G8)+2)))+(($F$5-D8)/1000)-F8),0.1),1))/'Background Tables'!$G$2,0),"Calc. Off"),"Calc. Off")</f>
        <v>12234</v>
      </c>
      <c r="I15" s="6">
        <f>IF($M$26="Yes",IF($M$17="Yes",ROUND(((B8+350)/(1-H8)/MIN(MAX((0.1+($E$5/($E$5+((C8+5+15)*(1+G8)+2)))+(($F$5-D8)/1000)-F8),0.1),1))/'Background Tables'!$G$2,0),"Calc. Off"),"Calc. Off")</f>
        <v>12308</v>
      </c>
      <c r="J15" s="6">
        <f>IF($M$29="Yes",IF($M$17="Yes",ROUND(((B8+350+75)/(1-H8)/MIN(MAX((0.1+($E$5/($E$5+((C8+5+35)*(1+G8)+2)))+(($F$5-D8)/1000)-F8),0.1),1))/'Background Tables'!$G$2,0),"Calc. Off"),"Calc. Off")</f>
        <v>14579</v>
      </c>
      <c r="K15" s="6">
        <f>IF($M$17="Yes",IF($M$32="Yes",ROUND((((B8+350+60)/(1-H8)/MIN(MAX((0.1+($E$5/($E$5+((C8+5+40)*(1+G8)+2)))+(($F$5-D8)/1000)-F8),0.1),1))/'Background Tables'!$G$2)/IF($K$5="Yes",0.97,1),0),"Calc. Off"),"Calc. Off")</f>
        <v>15520</v>
      </c>
      <c r="L15" s="25"/>
      <c r="M15" s="25"/>
      <c r="N15" s="25"/>
      <c r="O15" s="25"/>
      <c r="P15" s="25"/>
      <c r="Q15" s="25"/>
      <c r="R15" s="25"/>
      <c r="S15" s="27"/>
      <c r="T15" s="27"/>
      <c r="U15" s="27"/>
      <c r="V15" s="27"/>
      <c r="W15" s="27"/>
      <c r="X15" s="25"/>
      <c r="Y15" s="27"/>
      <c r="Z15" s="25"/>
    </row>
    <row r="16" spans="1:26" ht="15.75" customHeight="1" x14ac:dyDescent="0.25">
      <c r="A16" s="5" t="s">
        <v>27</v>
      </c>
      <c r="B16" s="6">
        <f>IF($M$5="Yes",IF($M$20="Yes",IFERROR(_xlfn.IFS(A8="DD","N/A",A8="SS","N/A"),ROUND(((B8+350)/(1-H8)/MIN(MAX((0.1+($E$5/($E$5+(C8*(1+G8)+2)))+(($F$5-D8)/1000)-(F8)),0.1),1))/'Background Tables'!$G$2/IF($K$5="Yes",IF(H5="Torpedo",0.7,1),1),0)),"Calc. Off"),"Calc. Off")</f>
        <v>10205</v>
      </c>
      <c r="C16" s="6">
        <f>IF($M$8="Yes",IF($M$20="Yes",IFERROR(_xlfn.IFS(A8="DD","N/A",A8="SS","N/A"),ROUND(((B8+266+350)/(1-H8)/MIN(MAX((0.1+($E$5/($E$5+(C8*(1+G8)+2)))+(($F$5-D8)/1000)-(F8)),0.1),1))/'Background Tables'!$G$2/IF($K$5="Yes",IF(H5="Torpedo",0.7,1),1),0)),"Calc. Off"),"Calc. Off")</f>
        <v>10725</v>
      </c>
      <c r="D16" s="6">
        <f>IF($M$11="Yes",IF($M$20="Yes",IFERROR(_xlfn.IFS(A8="DD","N/A",A8="SS","N/A"),ROUND(((B8+44+350)/(1-H8)/MIN(MAX((0.1+($E$5/($E$5+((C8+17)*(1+G8)+2)))+(($F$5-D8)/1000)-F8),0.1),1))/'Background Tables'!$G$2/IF($K$5="Yes",IF(H5="Torpedo",0.7,1),1),0)),"Calc. Off"),"Calc. Off")</f>
        <v>12096</v>
      </c>
      <c r="E16" s="6">
        <f>IF($M$14="Yes",IF($M$20="Yes",IFERROR(_xlfn.IFS(A8="DD","N/A",A8="SS","N/A"),ROUND(((B8+245+350)/(1-H8)/MIN(MAX((0.1+($E$5/($E$5+((C8+0)*(1+G8)+2)))+(($F$5-D8)/1000)-F8),0.1),1))/'Background Tables'!$G$2/IF($K$5="Yes",IF(H5="Torpedo",0.7,1),1),0)),"Calc. Off"),"Calc. Off")</f>
        <v>10684</v>
      </c>
      <c r="F16" s="6">
        <f>IF($M$17="Yes",IF($M$20="Yes",IFERROR(_xlfn.IFS(A8="DD","N/A",A8="SS","N/A"),ROUND(((B8+350+350)/(1-H8)/MIN(MAX((0.1+($E$5/($E$5+((C8+5)*(1+G8)+2)))+(($F$5-D8)/1000)-F8),0.1),1))/'Background Tables'!$G$2/IF($K$5="Yes",IF(H5="Torpedo",0.7,1),1),0)),"Calc. Off"),"Calc. Off")</f>
        <v>11455</v>
      </c>
      <c r="G16" s="6">
        <f>IF($M$20="Yes",IFERROR(_xlfn.IFS(A8="DD","N/A",A8="SS","N/A"),ROUND(((B8+350+350)/(1-H8)/MIN(MAX((0.1+($E$5/($E$5+((C8+0)*(1+G8)+2)))+(($F$5-D8)/1000)-F8),0.1),1))/'Background Tables'!$G$2/IF($K$5="Yes",IF(H5="Torpedo",0.7,1),1),0)),"Calc. Off")</f>
        <v>10890</v>
      </c>
      <c r="H16" s="6">
        <f>IF($M$23="Yes",IF($M$20="Yes",IFERROR(_xlfn.IFS(A8="DD","N/A",A8="SS","N/A"),ROUND(((B8+350+500+IF($K$5="Yes",ROUNDDOWN($K$8/15,0)*0.01*(B8+350+500),0))/(1-H8)/MIN(MAX((0.1+($E$5/($E$5+((C8+0)*(1+G8)+2)))+(($F$5-D8)/1000)-F8),0.1),1))/'Background Tables'!$G$2/IF($K$5="Yes",IF(H5="Torpedo",0.7,1),1),0)),"Calc. Off"),"Calc. Off")</f>
        <v>11630</v>
      </c>
      <c r="I16" s="6">
        <f>IF($M$26="Yes",IF($M$20="Yes",IFERROR(_xlfn.IFS(A8="DD","N/A",A8="SS","N/A"),ROUND(((B8+350)/(1-H8)/MIN(MAX((0.1+($E$5/($E$5+((C8+15)*(1+G8)+2)))+(($F$5-D8)/1000)-F8),0.1),1))/'Background Tables'!$G$2/IF($K$5="Yes",IF(H5="Torpedo",0.7,1),1),0)),"Calc. Off"),"Calc. Off")</f>
        <v>11786</v>
      </c>
      <c r="J16" s="6">
        <f>IF($M$29="Yes",IF($M$20="Yes",IFERROR(_xlfn.IFS(A8="DD","N/A",A8="SS","N/A"),ROUND(((B8+350+75)/(1-H8)/MIN(MAX((0.1+($E$5/($E$5+((C8+35)*(1+G8)+2)))+(($F$5-D8)/1000)-F8),0.1),1))/'Background Tables'!$G$2/IF($K$5="Yes",IF(H5="Torpedo",0.7,1),1),0)),"Calc. Off"),"Calc. Off")</f>
        <v>14059</v>
      </c>
      <c r="K16" s="6">
        <f>IF($M$32="Yes",IF($M$20="Yes",IFERROR(_xlfn.IFS(A8="DD","N/A",A8="SS","N/A"),ROUND((((B8+350+60)/(1-H8)/MIN(MAX((0.1+($E$5/($E$5+((C8+40)*(1+G8)+2)))+(($F$5-D8)/1000)-F8),0.1),1))/'Background Tables'!$G$2/IF($K$5="Yes",IF(H5="Torpedo",0.7,1),1))/IF($K$5="Yes",0.97,1),0)),"Calc. Off"),"Calc. Off")</f>
        <v>14988</v>
      </c>
      <c r="L16" s="25"/>
      <c r="M16" s="38" t="s">
        <v>26</v>
      </c>
      <c r="N16" s="25"/>
      <c r="O16" s="25"/>
      <c r="P16" s="25"/>
      <c r="Q16" s="25"/>
      <c r="R16" s="25"/>
      <c r="S16" s="27"/>
      <c r="T16" s="27"/>
      <c r="U16" s="27"/>
      <c r="V16" s="27"/>
      <c r="W16" s="27"/>
      <c r="X16" s="25"/>
      <c r="Y16" s="25"/>
      <c r="Z16" s="25"/>
    </row>
    <row r="17" spans="1:26" ht="15.75" customHeight="1" x14ac:dyDescent="0.25">
      <c r="A17" s="5" t="s">
        <v>28</v>
      </c>
      <c r="B17" s="6">
        <f>IF($M$5="Yes",IF($M$23="Yes",ROUND(((B8+500+IF($K$5="Yes",ROUNDDOWN($K$8/15,0)*0.01*(B8+500),0))/(1-H8)/MIN(MAX((0.1+($E$5/($E$5+(C8*(1+G8)+2)))+(($F$5-D8)/1000)-(F8)),0.1),1))/'Background Tables'!$G$2,0),"Calc. Off"),"Calc. Off")</f>
        <v>10918</v>
      </c>
      <c r="C17" s="6">
        <f>IF($M$8="Yes",IF($M$23="Yes",ROUND(((B8+266+500+IF($K$5="Yes",ROUNDDOWN($K$8/15,0)*0.01*(B8+266+500),0))/(1-H8)/MIN(MAX((0.1+($E$5/($E$5+(C8*(1+G8)+2)))+(($F$5-D8)/1000)-(F8)),0.1),1))/'Background Tables'!$G$2,0),"Calc. Off"),"Calc. Off")</f>
        <v>11459</v>
      </c>
      <c r="D17" s="6">
        <f>IF($M$11="Yes",IF($M$23="Yes",ROUND(((B8+44+500+IF($K$5="Yes",ROUNDDOWN($K$8/15,0)*0.01*(B8+44+500),0))/(1-H8)/MIN(MAX((0.1+($E$5/($E$5+((C8+17)*(1+G8)+2)))+(($F$5-D8)/1000)-F8),0.1),1))/'Background Tables'!$G$2,0),"Calc. Off"),"Calc. Off")</f>
        <v>12939</v>
      </c>
      <c r="E17" s="6">
        <f>IF($M$14="Yes",IF($M$23="Yes",ROUND(((B8+245+500+IF($K$5="Yes",ROUNDDOWN($K$8/15,0)*0.01*(B8+245+500),0))/(1-H8)/MIN(MAX((0.1+($E$5/($E$5+((C8+0)*(1+G8)+2)))+(($F$5-D8)/1000)-F8),0.1),1))/'Background Tables'!$G$2,0),"Calc. Off"),"Calc. Off")</f>
        <v>11417</v>
      </c>
      <c r="F17" s="6">
        <f>IF($M$17="Yes",IF($M$23="Yes",ROUND(((B8+350+500+IF($K$5="Yes",ROUNDDOWN($K$8/15,0)*0.01*(B8+350+500),0))/(1-H8)/MIN(MAX((0.1+($E$5/($E$5+((C8+5)*(1+G8)+2)))+(($F$5-D8)/1000)-F8),0.1),1))/'Background Tables'!$G$2,0),"Calc. Off"),"Calc. Off")</f>
        <v>12234</v>
      </c>
      <c r="G17" s="6">
        <f>IF($M$20="Yes",IF($M$23="Yes",IFERROR(_xlfn.IFS(A8="DD","N/A",A8="SS","N/A"),ROUND(((B8+350+500+IF($K$5="Yes",ROUNDDOWN($K$8/15,0)*0.01*(B8+350+500),0))/(1-H8)/MIN(MAX((0.1+($E$5/($E$5+((C8+0)*(1+G8)+2)))+(($F$5-D8)/1000)-F8),0.1),1))/'Background Tables'!$G$2/IF($K$5="Yes",IF(H5="Torpedo",0.7,1),1),0)),"Calc. Off"),"Calc. Off")</f>
        <v>11630</v>
      </c>
      <c r="H17" s="6">
        <f>IF($M$23="Yes",ROUND(((B8+500+500+IF($K$5="Yes",ROUNDDOWN($K$8/15,0)*0.01*(B8+500+500),0))/(1-H8)/MIN(MAX((0.1+($E$5/($E$5+((C8+0)*(1+G8)+2)))+(($F$5-D8)/1000)-F8),0.1),1))/'Background Tables'!$G$2,0),"Calc. Off")</f>
        <v>11936</v>
      </c>
      <c r="I17" s="6">
        <f>IF($M$26="Yes",IF($M$23="Yes",ROUND(((B8+500+IF($K$5="Yes",ROUNDDOWN($K$8/15,0)*0.01*(B8+500),0))/(1-H8)/MIN(MAX((0.1+($E$5/($E$5+((C8+15)*(1+G8)+2)))+(($F$5-D8)/1000)-F8),0.1),1))/'Background Tables'!$G$2,0),"Calc. Off"),"Calc. Off")</f>
        <v>12610</v>
      </c>
      <c r="J17" s="6">
        <f>IF($M$29="Yes",IF($M$23="Yes",ROUND(((B8+500+75+IF($K$5="Yes",ROUNDDOWN($K$8/15,0)*0.01*(B8+500+75),0))/(1-H8)/MIN(MAX((0.1+($E$5/($E$5+((C8+35)*(1+G8)+2)))+(($F$5-D8)/1000)-F8),0.1),1))/'Background Tables'!$G$2,0),"Calc. Off"),"Calc. Off")</f>
        <v>15036</v>
      </c>
      <c r="K17" s="6">
        <f>IF($M$32="Yes",IF($M$23="Yes",ROUND((((B8+500+60+IF($K$5="Yes",ROUNDDOWN($K$8/15,0)*0.01*(B8+500+60),0))/(1-H8)/MIN(MAX((0.1+($E$5/($E$5+((C8+40)*(1+G8)+2)))+(($F$5-D8)/1000)-F8),0.1),1))/'Background Tables'!$G$2)/IF($K$5="Yes",0.97,1),0),"Calc. Off"),"Calc. Off")</f>
        <v>16030</v>
      </c>
      <c r="L17" s="25"/>
      <c r="M17" s="40" t="s">
        <v>461</v>
      </c>
      <c r="N17" s="25"/>
      <c r="O17" s="25"/>
      <c r="P17" s="25"/>
      <c r="Q17" s="25"/>
      <c r="R17" s="25"/>
      <c r="S17" s="27"/>
      <c r="T17" s="27"/>
      <c r="U17" s="27"/>
      <c r="V17" s="27"/>
      <c r="W17" s="27"/>
      <c r="X17" s="25"/>
      <c r="Y17" s="25"/>
      <c r="Z17" s="25"/>
    </row>
    <row r="18" spans="1:26" ht="15.75" customHeight="1" x14ac:dyDescent="0.25">
      <c r="A18" s="5" t="s">
        <v>29</v>
      </c>
      <c r="B18" s="6">
        <f>IF($M$5="Yes",IF($M$26="Yes",ROUND((B8/(1-H8)/MIN(MAX((0.1+($E$5/($E$5+((C8+15)*(1+G8)+2)))+(($F$5-D8)/1000)-(F8)),0.1),1))/'Background Tables'!$G$2,0),"Calc. Off"),"Calc. Off")</f>
        <v>10995</v>
      </c>
      <c r="C18" s="6">
        <f>IF($M$8="Yes",IF($M$26="Yes",ROUND(((B8+266)/(1-H8)/MIN(MAX((0.1+($E$5/($E$5+((C8+15)*(1+G8)+2)))+(($F$5-D8)/1000)-(F8)),0.1),1))/'Background Tables'!$G$2,0),"Calc. Off"),"Calc. Off")</f>
        <v>11596</v>
      </c>
      <c r="D18" s="35">
        <f>IF($M$11="Yes",IF($M$26="Yes",ROUND(((B8+44)/(1-H8)/MIN(MAX((0.1+($E$5/($E$5+((C8+17+15)*(1+G8)+2)))+(($F$5-D8)/1000)-F8),0.1),1))/'Background Tables'!$G$2,0),"Calc. Off"),"Calc. Off")</f>
        <v>12756</v>
      </c>
      <c r="E18" s="6">
        <f>IF($M$14="Yes",IF($M$26="Yes",ROUND(((B8+245)/(1-H8)/MIN(MAX((0.1+($E$5/($E$5+((C8+15)*(1+G8)+2)))+(($F$5-D8)/1000)-F8),0.1),1))/'Background Tables'!$G$2,0),"Calc. Off"),"Calc. Off")</f>
        <v>11549</v>
      </c>
      <c r="F18" s="6">
        <f>IF($M$17="Yes",IF($M$26="Yes",ROUND(((B8+350)/(1-H8)/MIN(MAX((0.1+($E$5/($E$5+((C8+5+15)*(1+G8)+2)))+(($F$5-D8)/1000)-F8),0.1),1))/'Background Tables'!$G$2,0),"Calc. Off"),"Calc. Off")</f>
        <v>12308</v>
      </c>
      <c r="G18" s="6">
        <f>IF($M$20="Yes",IF($M$26="Yes",IFERROR(_xlfn.IFS(A8="DD","N/A",A8="SS","N/A"),ROUND(((B8+350)/(1-H8)/MIN(MAX((0.1+($E$5/($E$5+((C8+15)*(1+G8)+2)))+(($F$5-D8)/1000)-F8),0.1),1))/'Background Tables'!$G$2/IF($K$5="Yes",IF(H5="Torpedo",0.7,1),1),0)),"Calc. Off"),"Calc. Off")</f>
        <v>11786</v>
      </c>
      <c r="H18" s="6">
        <f>IF($M$23="Yes",IF($M$26="Yes",ROUND(((B8+500+IF($K$5="Yes",ROUNDDOWN($K$8/15,0)*0.01*(B8+500),0))/(1-H8)/MIN(MAX((0.1+($E$5/($E$5+((C8+15)*(1+G8)+2)))+(($F$5-D8)/1000)-F8),0.1),1))/'Background Tables'!$G$2,0),"Calc. Off"),"Calc. Off")</f>
        <v>12610</v>
      </c>
      <c r="I18" s="6">
        <f>IF($M$26="Yes",ROUND(((B8+0)/(1-H8)/MIN(MAX((0.1+($E$5/($E$5+((C8+15+15)*(1+G8)+2)))+(($F$5-D8)/1000)-F8),0.1),1))/'Background Tables'!$G$2,0),"Calc. Off")</f>
        <v>12450</v>
      </c>
      <c r="J18" s="6">
        <f>IF($M$29="Yes",IF($M$26="Yes",ROUND(((B8+75)/(1-H8)/MIN(MAX((0.1+($E$5/($E$5+((C8+15+35)*(1+G8)+2)))+(($F$5-D8)/1000)-F8),0.1),1))/'Background Tables'!$G$2,0),"Calc. Off"),"Calc. Off")</f>
        <v>14579</v>
      </c>
      <c r="K18" s="6">
        <f>IF($M$32="Yes",IF($M$26="Yes",ROUND((((B8+60)/(1-H8)/MIN(MAX((0.1+($E$5/($E$5+((C8+15+40)*(1+G8)+2)))+(($F$5-D8)/1000)-F8),0.1),1))/'Background Tables'!$G$2)/IF($K$5="Yes",0.97,1),0),"Calc. Off"),"Calc. Off")</f>
        <v>15477</v>
      </c>
      <c r="L18" s="25"/>
      <c r="M18" s="25"/>
      <c r="N18" s="25"/>
      <c r="O18" s="25"/>
      <c r="P18" s="25"/>
      <c r="Q18" s="25"/>
      <c r="R18" s="25"/>
      <c r="S18" s="27"/>
      <c r="T18" s="27"/>
      <c r="U18" s="27"/>
      <c r="V18" s="27"/>
      <c r="W18" s="27"/>
      <c r="X18" s="25"/>
      <c r="Y18" s="25"/>
      <c r="Z18" s="25"/>
    </row>
    <row r="19" spans="1:26" ht="15.75" customHeight="1" x14ac:dyDescent="0.25">
      <c r="A19" s="5" t="s">
        <v>30</v>
      </c>
      <c r="B19" s="8">
        <f>IF($M$5="Yes",IF($M$29="Yes",ROUND(((B8+75)/(1-H8)/MIN(MAX((0.1+($E$5/($E$5+((C8+35)*(1+G8)+2)))+(($F$5-D8)/1000)-(F8)),0.1),1))/'Background Tables'!$G$2,0),"Calc. Off"),"Calc. Off")</f>
        <v>13129</v>
      </c>
      <c r="C19" s="6">
        <f>IF($M$8="Yes",IF($M$29="Yes",ROUND(((B8+266+75)/(1-H8)/MIN(MAX((0.1+($E$5/($E$5+((C8+35)*(1+G8)+2)))+(($F$5-D8)/1000)-(F8)),0.1),1))/'Background Tables'!$G$2,0),"Calc. Off"),"Calc. Off")</f>
        <v>13836</v>
      </c>
      <c r="D19" s="6">
        <f>IF($M$11="Yes",IF($M$29="Yes",ROUND(((B8+44+75)/(1-H8)/MIN(MAX((0.1+($E$5/($E$5+((C8+17+35)*(1+G8)+2)))+(($F$5-D8)/1000)-F8),0.1),1))/'Background Tables'!$G$2,0),"Calc. Off"),"Calc. Off")</f>
        <v>14903</v>
      </c>
      <c r="E19" s="6">
        <f>IF($M$14="Yes",IF($M$29="Yes",ROUND(((B8+245+75)/(1-H8)/MIN(MAX((0.1+($E$5/($E$5+((C8+35)*(1+G8)+2)))+(($F$5-D8)/1000)-F8),0.1),1))/'Background Tables'!$G$2,0),"Calc. Off"),"Calc. Off")</f>
        <v>13780</v>
      </c>
      <c r="F19" s="6">
        <f>IF($M$17="Yes",IF($M$29="Yes",ROUND(((B8+350+75)/(1-H8)/MIN(MAX((0.1+($E$5/($E$5+((C8+5+35)*(1+G8)+2)))+(($F$5-D8)/1000)-F8),0.1),1))/'Background Tables'!$G$2,0),"Calc. Off"),"Calc. Off")</f>
        <v>14579</v>
      </c>
      <c r="G19" s="6">
        <f>IF($M$20="Yes",IF($M$29="Yes",IFERROR(_xlfn.IFS(A8="DD","N/A",A8="SS","N/A"),ROUND(((B8+350+75)/(1-H8)/MIN(MAX((0.1+($E$5/($E$5+((C8+35)*(1+G8)+2)))+(($F$5-D8)/1000)-F8),0.1),1))/'Background Tables'!$G$2/IF($K$5="Yes",IF(H5="Torpedo",0.7,1),1),0)),"Calc. Off"),"Calc. Off")</f>
        <v>14059</v>
      </c>
      <c r="H19" s="6">
        <f>IF($M$23="Yes",IF($M$29="Yes",ROUND(((B8+500+75+IF($K$5="Yes",ROUNDDOWN($K$8/15,0)*0.01*(B8+500+75),0))/(1-H8)/MIN(MAX((0.1+($E$5/($E$5+((C8+35)*(1+G8)+2)))+(($F$5-D8)/1000)-F8),0.1),1))/'Background Tables'!$G$2,0),"Calc. Off"),"Calc. Off")</f>
        <v>15036</v>
      </c>
      <c r="I19" s="6">
        <f>IF($M$26="Yes",IF($M$29="Yes",ROUND(((B8+75)/(1-H8)/MIN(MAX((0.1+($E$5/($E$5+((C8+15+35)*(1+G8)+2)))+(($F$5-D8)/1000)-F8),0.1),1))/'Background Tables'!$G$2,0),"Calc. Off"),"Calc. Off")</f>
        <v>14579</v>
      </c>
      <c r="J19" s="36" t="s">
        <v>40</v>
      </c>
      <c r="K19" s="6">
        <f>IF($M$32="Yes",IF($M$29="Yes",ROUND((((B8+75+60)/(1-H8)/MIN(MAX((0.1+($E$5/($E$5+((C8+35+40)*(1+G8)+2)))+(($F$5-D8)/1000)-F8),0.1),1))/'Background Tables'!$G$2)/IF($K$5="Yes",0.97,1),0),"Calc. Off"),"Calc. Off")</f>
        <v>17689</v>
      </c>
      <c r="L19" s="25"/>
      <c r="M19" s="38" t="s">
        <v>27</v>
      </c>
      <c r="N19" s="25"/>
      <c r="O19" s="25"/>
      <c r="P19" s="25"/>
      <c r="Q19" s="25"/>
      <c r="R19" s="25"/>
      <c r="S19" s="27"/>
      <c r="T19" s="27"/>
      <c r="U19" s="27"/>
      <c r="V19" s="27"/>
      <c r="W19" s="27"/>
      <c r="X19" s="25"/>
      <c r="Y19" s="25"/>
      <c r="Z19" s="25"/>
    </row>
    <row r="20" spans="1:26" ht="15.75" customHeight="1" x14ac:dyDescent="0.25">
      <c r="A20" s="5" t="s">
        <v>31</v>
      </c>
      <c r="B20" s="6">
        <f>IF($M$5="Yes",IF($M$32="Yes",ROUND((((B8+60)/(1-H8)/MIN(MAX((0.1+($E$5/($E$5+((C8+40)*(1+G8)+2)))+(($F$5-D8)/1000)-(F8)),0.1),1))/'Background Tables'!$G$2)/IF($K$5="Yes",0.97,1),0),"Calc. Off"),"Calc. Off")</f>
        <v>13993</v>
      </c>
      <c r="C20" s="6">
        <f>IF($M$8="Yes",IF($M$32="Yes",ROUND((((B8+266+60)/(1-H8)/MIN(MAX((0.1+($E$5/($E$5+((C8+40)*(1+G8)+2)))+(($F$5-D8)/1000)-(F8)),0.1),1))/'Background Tables'!$G$2)/IF($K$5="Yes",0.97,1),0),"Calc. Off"),"Calc. Off")</f>
        <v>14749</v>
      </c>
      <c r="D20" s="6">
        <f>IF($M$11="Yes",IF($M$32="Yes",ROUND((((B8+44+60)/(1-H8)/MIN(MAX((0.1+($E$5/($E$5+((C8+17+40)*(1+G8)+2)))+(($F$5-D8)/1000)-F8),0.1),1))/'Background Tables'!$G$2)/IF($K$5="Yes",0.97,1),0),"Calc. Off"),"Calc. Off")</f>
        <v>15813</v>
      </c>
      <c r="E20" s="6">
        <f>IF($M$14="Yes",IF($M$32="Yes",ROUND((((B8+245+60)/(1-H8)/MIN(MAX((0.1+($E$5/($E$5+((C8+40)*(1+G8)+2)))+(($F$5-D8)/1000)-F8),0.1),1))/'Background Tables'!$G$2)/IF($K$5="Yes",0.97,1),0),"Calc. Off"),"Calc. Off")</f>
        <v>14689</v>
      </c>
      <c r="F20" s="6">
        <f>IF($M$17="Yes",IF($M$32="Yes",ROUND((((B8+350+60)/(1-H8)/MIN(MAX((0.1+($E$5/($E$5+((C8+5+40)*(1+G8)+2)))+(($F$5-D8)/1000)-F8),0.1),1))/'Background Tables'!$G$2)/IF($K$5="Yes",0.97,1),0),"Calc. Off"),"Calc. Off")</f>
        <v>15520</v>
      </c>
      <c r="G20" s="6">
        <f>IF($M$20="Yes",IF($M$32="Yes",IFERROR(_xlfn.IFS(A8="DD","N/A",A8="SS","N/A"),ROUND((((B8+350+60)/(1-H8)/MIN(MAX((0.1+($E$5/($E$5+((C8+40)*(1+G8)+2)))+(($F$5-D8)/1000)-F8),0.1),1))/'Background Tables'!$G$2/IF($K$5="Yes",IF(H5="Torpedo",0.7,1),1))/IF($K$5="Yes",0.97,1),0)),"Calc. Off"),"Calc. Off")</f>
        <v>14988</v>
      </c>
      <c r="H20" s="6">
        <f>IF($M$23="Yes",IF($M$32="Yes",ROUND((((B8+500+60+IF($K$5="Yes",ROUNDDOWN($K$8/15,0)*0.01*(B8+500+60),0))/(1-H8)/MIN(MAX((0.1+($E$5/($E$5+((C8+40)*(1+G8)+2)))+(($F$5-D8)/1000)-F8),0.1),1))/'Background Tables'!$G$2)/IF($K$5="Yes",0.97,1),0),"Calc. Off"),"Calc. Off")</f>
        <v>16030</v>
      </c>
      <c r="I20" s="6">
        <f>IF($M$26="Yes",IF($M$32="Yes",ROUND((((B8+60)/(1-H8)/MIN(MAX((0.1+($E$5/($E$5+((C8+15+40)*(1+G8)+2)))+(($F$5-D8)/1000)-F8),0.1),1))/'Background Tables'!$G$2)/IF($K$5="Yes",0.97,1),0),"Calc. Off"),"Calc. Off")</f>
        <v>15477</v>
      </c>
      <c r="J20" s="6">
        <f>IF($M$29="Yes",IF($M$32="Yes",ROUND((((B8+75+60)/(1-H8)/MIN(MAX((0.1+($E$5/($E$5+((C8+35+40)*(1+G8)+2)))+(($F$5-D8)/1000)-F8),0.1),1))/'Background Tables'!$G$2)/IF($K$5="Yes",0.97,1),0),"Calc. Off"),"Calc. Off")</f>
        <v>17689</v>
      </c>
      <c r="K20" s="35" t="s">
        <v>40</v>
      </c>
      <c r="L20" s="25"/>
      <c r="M20" s="40" t="s">
        <v>461</v>
      </c>
      <c r="N20" s="25"/>
      <c r="O20" s="25"/>
      <c r="P20" s="25"/>
      <c r="Q20" s="25"/>
      <c r="R20" s="25"/>
      <c r="S20" s="27"/>
      <c r="T20" s="27"/>
      <c r="U20" s="27"/>
      <c r="V20" s="27"/>
      <c r="W20" s="27"/>
      <c r="X20" s="25"/>
      <c r="Y20" s="25"/>
      <c r="Z20" s="25"/>
    </row>
    <row r="21" spans="1:26" ht="15.75" customHeight="1" x14ac:dyDescent="0.25">
      <c r="L21" s="25"/>
      <c r="M21" s="25"/>
      <c r="N21" s="25"/>
      <c r="O21" s="25"/>
      <c r="P21" s="25"/>
      <c r="Q21" s="25"/>
      <c r="R21" s="25"/>
      <c r="S21" s="27"/>
      <c r="T21" s="27"/>
      <c r="U21" s="27"/>
      <c r="V21" s="27"/>
      <c r="W21" s="27"/>
      <c r="X21" s="25"/>
      <c r="Y21" s="25"/>
      <c r="Z21" s="25"/>
    </row>
    <row r="22" spans="1:26" ht="15.75" customHeight="1" x14ac:dyDescent="0.25">
      <c r="L22" s="25"/>
      <c r="M22" s="38" t="s">
        <v>28</v>
      </c>
      <c r="N22" s="25"/>
      <c r="O22" s="25"/>
      <c r="P22" s="25"/>
      <c r="Q22" s="25"/>
      <c r="R22" s="25"/>
      <c r="S22" s="27"/>
      <c r="T22" s="27"/>
      <c r="U22" s="27"/>
      <c r="V22" s="27"/>
      <c r="W22" s="27"/>
      <c r="X22" s="25"/>
      <c r="Y22" s="25"/>
      <c r="Z22" s="25"/>
    </row>
    <row r="23" spans="1:26" ht="15.75" customHeight="1" x14ac:dyDescent="0.25">
      <c r="L23" s="25"/>
      <c r="M23" s="40" t="s">
        <v>461</v>
      </c>
      <c r="N23" s="25"/>
      <c r="O23" s="25"/>
      <c r="P23" s="25"/>
      <c r="Q23" s="25"/>
      <c r="R23" s="25"/>
      <c r="S23" s="27"/>
      <c r="T23" s="27"/>
      <c r="U23" s="27"/>
      <c r="V23" s="27"/>
      <c r="W23" s="27"/>
      <c r="X23" s="25"/>
      <c r="Y23" s="25"/>
      <c r="Z23" s="25"/>
    </row>
    <row r="24" spans="1:26" ht="15.75" customHeight="1" x14ac:dyDescent="0.25">
      <c r="A24" s="16" t="s">
        <v>46</v>
      </c>
      <c r="B24" s="17"/>
      <c r="D24" s="1"/>
      <c r="L24" s="25"/>
      <c r="M24" s="25"/>
      <c r="N24" s="25"/>
      <c r="O24" s="25"/>
      <c r="P24" s="25"/>
      <c r="Q24" s="25"/>
      <c r="R24" s="25"/>
      <c r="S24" s="27"/>
      <c r="T24" s="27"/>
      <c r="U24" s="27"/>
      <c r="V24" s="27"/>
      <c r="W24" s="27"/>
      <c r="X24" s="25"/>
      <c r="Y24" s="25"/>
      <c r="Z24" s="25"/>
    </row>
    <row r="25" spans="1:26" ht="15.75" customHeight="1" x14ac:dyDescent="0.25">
      <c r="L25" s="25"/>
      <c r="M25" s="38" t="s">
        <v>29</v>
      </c>
      <c r="N25" s="25"/>
      <c r="O25" s="25"/>
      <c r="P25" s="25"/>
      <c r="Q25" s="25"/>
      <c r="R25" s="25"/>
      <c r="S25" s="27"/>
      <c r="T25" s="27"/>
      <c r="U25" s="27"/>
      <c r="V25" s="27"/>
      <c r="W25" s="27"/>
      <c r="X25" s="25"/>
      <c r="Y25" s="25"/>
      <c r="Z25" s="25"/>
    </row>
    <row r="26" spans="1:26" ht="15.75" customHeight="1" x14ac:dyDescent="0.25">
      <c r="A26" s="18" t="s">
        <v>447</v>
      </c>
      <c r="B26" s="11" t="s">
        <v>13</v>
      </c>
      <c r="C26" s="11" t="s">
        <v>14</v>
      </c>
      <c r="D26" s="11" t="s">
        <v>15</v>
      </c>
      <c r="E26" s="18" t="s">
        <v>438</v>
      </c>
      <c r="F26" s="11" t="s">
        <v>3</v>
      </c>
      <c r="G26" s="11" t="s">
        <v>4</v>
      </c>
      <c r="H26" s="11" t="s">
        <v>16</v>
      </c>
      <c r="J26" s="2"/>
      <c r="L26" s="25"/>
      <c r="M26" s="40" t="s">
        <v>461</v>
      </c>
      <c r="N26" s="25"/>
      <c r="O26" s="25"/>
      <c r="P26" s="25"/>
      <c r="Q26" s="25"/>
      <c r="R26" s="25"/>
      <c r="S26" s="27"/>
      <c r="T26" s="27"/>
      <c r="U26" s="27"/>
      <c r="V26" s="27"/>
      <c r="W26" s="27"/>
      <c r="X26" s="25"/>
      <c r="Y26" s="25"/>
      <c r="Z26" s="25"/>
    </row>
    <row r="27" spans="1:26" ht="15.75" customHeight="1" x14ac:dyDescent="0.25">
      <c r="A27" s="20" t="str">
        <f>IFERROR(INDEX(IF(C5=120,'Ship Stats'!C2:C1000,IF(C5=100,'Ship Stats'!N2:N1000,0)),MATCH(A5,'Ship Stats'!B2:B1000,0)),0)</f>
        <v>CA</v>
      </c>
      <c r="B27" s="21">
        <f>IFERROR(INDEX(IF(C5=120,'Ship Stats'!D2:D1000,IF(C5=100,'Ship Stats'!O2:O1000,0)),MATCH(A5,'Ship Stats'!B2:B1000,0)),0)</f>
        <v>4866</v>
      </c>
      <c r="C27" s="21">
        <f>IFERROR(INDEX(IF(C5=120,'Ship Stats'!E2:E1000,IF(C5=100,'Ship Stats'!P2:P1000,0)),MATCH(A5,'Ship Stats'!B2:B1000,0)),0)</f>
        <v>45</v>
      </c>
      <c r="D27" s="21">
        <f>IFERROR(INDEX(IF(C5=120,'Ship Stats'!F2:F1000,IF(C5=100,'Ship Stats'!Q2:Q1000,0)),MATCH(A5,'Ship Stats'!B2:B1000,0)),0)</f>
        <v>78</v>
      </c>
      <c r="E27" s="22" t="str">
        <f>IFERROR(INDEX(IF(C5=120,'Ship Stats'!G2:G1000,IF(C5=100,'Ship Stats'!R2:R1000,0)),MATCH(A5,'Ship Stats'!B2:B1000,0)),"General")</f>
        <v>Medium</v>
      </c>
      <c r="F27" s="13"/>
      <c r="G27" s="13">
        <v>4.6870000000000002E-2</v>
      </c>
      <c r="H27" s="13"/>
      <c r="J27" s="2"/>
      <c r="L27" s="25"/>
      <c r="M27" s="25"/>
      <c r="N27" s="25"/>
      <c r="O27" s="25"/>
      <c r="P27" s="25"/>
      <c r="Q27" s="25"/>
      <c r="R27" s="25"/>
      <c r="S27" s="27"/>
      <c r="T27" s="27"/>
      <c r="U27" s="27"/>
      <c r="V27" s="27"/>
      <c r="W27" s="27"/>
      <c r="X27" s="25"/>
      <c r="Y27" s="25"/>
      <c r="Z27" s="25"/>
    </row>
    <row r="28" spans="1:2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5"/>
      <c r="M28" s="38" t="s">
        <v>30</v>
      </c>
      <c r="N28" s="25"/>
      <c r="O28" s="25"/>
      <c r="P28" s="25"/>
      <c r="Q28" s="25"/>
      <c r="R28" s="25"/>
      <c r="S28" s="27"/>
      <c r="T28" s="27"/>
      <c r="U28" s="27"/>
      <c r="V28" s="27"/>
      <c r="W28" s="27"/>
      <c r="X28" s="25"/>
      <c r="Y28" s="25"/>
      <c r="Z28" s="25"/>
    </row>
    <row r="29" spans="1:26" ht="15.75" customHeight="1" x14ac:dyDescent="0.25">
      <c r="A29" s="2"/>
      <c r="B29" s="15" t="s">
        <v>22</v>
      </c>
      <c r="C29" s="15" t="s">
        <v>23</v>
      </c>
      <c r="D29" s="15" t="s">
        <v>24</v>
      </c>
      <c r="E29" s="15" t="s">
        <v>25</v>
      </c>
      <c r="F29" s="15" t="s">
        <v>26</v>
      </c>
      <c r="G29" s="15" t="s">
        <v>27</v>
      </c>
      <c r="H29" s="15" t="s">
        <v>28</v>
      </c>
      <c r="I29" s="15" t="s">
        <v>29</v>
      </c>
      <c r="J29" s="15" t="s">
        <v>30</v>
      </c>
      <c r="K29" s="15" t="s">
        <v>31</v>
      </c>
      <c r="L29" s="25"/>
      <c r="M29" s="40" t="s">
        <v>461</v>
      </c>
      <c r="N29" s="25"/>
      <c r="O29" s="25"/>
      <c r="P29" s="25"/>
      <c r="Q29" s="25"/>
      <c r="R29" s="25"/>
      <c r="S29" s="27"/>
      <c r="T29" s="27"/>
      <c r="U29" s="27"/>
      <c r="V29" s="27"/>
      <c r="W29" s="27"/>
      <c r="X29" s="25"/>
      <c r="Y29" s="25"/>
      <c r="Z29" s="25"/>
    </row>
    <row r="30" spans="1:26" ht="15.75" customHeight="1" x14ac:dyDescent="0.25">
      <c r="A30" s="15" t="s">
        <v>22</v>
      </c>
      <c r="B30" s="6">
        <f>IF($M$5="Yes",ROUND((B27/(1-H27)/MIN(MAX((0.1+($E$5/($E$5+(C27*(1+G27)+2)))+(($F$5-D27)/1000)-(F27)),0.1),1))/'Background Tables'!$G$2,0),"Calc. Off")</f>
        <v>9729</v>
      </c>
      <c r="C30" s="7">
        <f>IF($M$8="Yes",IF($M$5="Yes",ROUND(((B27+266)/(1-H27)/MIN(MAX((0.1+($E$5/($E$5+(C27*(1+G27)+2)))+(($F$5-D27)/1000)-(F27)),0.1),1))/'Background Tables'!$G$2,0),"Calc. Off"),"Calc. Off")</f>
        <v>10261</v>
      </c>
      <c r="D30" s="6">
        <f>IF($M$11="Yes",IF($M$5="Yes",ROUND(((B27+44)/(1-H27)/MIN(MAX((0.1+($E$5/($E$5+((C27+17)*(1+G27)+2)))+(($F$5-D27)/1000)-(F27)),0.1),1))/'Background Tables'!$G$2,0),"Calc. Off"),"Calc. Off")</f>
        <v>11577</v>
      </c>
      <c r="E30" s="7">
        <f>IF($M$14="Yes",IF($M$5="Yes",ROUND(((B27+245)/(1-H27)/MIN(MAX((0.1+($E$5/($E$5+(C27*(1+G27)+2)))+(($F$5-D27)/1000)-(F27)),0.1),1))/'Background Tables'!$G$2,0),"Calc. Off"),"Calc. Off")</f>
        <v>10219</v>
      </c>
      <c r="F30" s="7">
        <f>IF($M$17="Yes",IF($M$5="Yes",ROUND(((B27+350)/(1-H27)/MIN(MAX((0.1+($E$5/($E$5+((C27+5)*(1+G27)+2)))+(($F$5-D27)/1000)-(F27)),0.1),1))/'Background Tables'!$G$2,0),"Calc. Off"),"Calc. Off")</f>
        <v>10982</v>
      </c>
      <c r="G30" s="7">
        <f>IF($M$20="Yes",IF($M$5="Yes",IFERROR(_xlfn.IFS(A27="DD","N/A",A27="SS","N/A"),ROUND(((B27+350)/(1-H27)/MIN(MAX((0.1+($E$5/($E$5+(C27*(1+G27)+2)))+(($F$5-D27)/1000)-(F27)),0.1),1))/'Background Tables'!$G$2/IF($K$5="Yes",IF(H24="Torpedo",0.7,1),1),0)),"Calc. Off"),"Calc. Off")</f>
        <v>10428</v>
      </c>
      <c r="H30" s="7">
        <f>IF($M$23="Yes",IF($M$5="Yes",ROUND(((B27+500+IF($K$5="Yes",ROUNDDOWN($K$8/15,0)*0.01*(B27+500),0))/(1-H27)/MIN(MAX((0.1+($E$5/($E$5+(C27*(1+G27)+2)))+(($F$5-D27)/1000)-(F27)),0.1),1))/'Background Tables'!$G$2,0),"Calc. Off"),"Calc. Off")</f>
        <v>11158</v>
      </c>
      <c r="I30" s="7">
        <f>IF($M$26="Yes",IF($M$5="Yes",ROUND((B27/(1-H27)/MIN(MAX((0.1+($E$5/($E$5+((C27+15)*(1+G27)+2)))+(($F$5-D27)/1000)-(F27)),0.1),1))/'Background Tables'!$G$2,0),"Calc. Off"),"Calc. Off")</f>
        <v>11269</v>
      </c>
      <c r="J30" s="7">
        <f>IF($M$29="Yes",IF($M$5="Yes",ROUND(((B27+75)/(1-H27)/MIN(MAX((0.1+($E$5/($E$5+((C27+35)*(1+G27)+2)))+(($F$5-D27)/1000)-(F27)),0.1),1))/'Background Tables'!$G$2,0),"Calc. Off"),"Calc. Off")</f>
        <v>13494</v>
      </c>
      <c r="K30" s="7">
        <f>IF($M$32="Yes",IF($M$5="Yes",ROUND((((B27+60)/(1-H27)/MIN(MAX((0.1+($E$5/($E$5+((C27+40)*(1+G27)+2)))+(($F$5-D27)/1000)-(F27)),0.1),1))/'Background Tables'!$G$2)/IF($K$5="Yes",0.97,1),0),"Calc. Off"),"Calc. Off")</f>
        <v>14389</v>
      </c>
      <c r="L30" s="25"/>
      <c r="M30" s="25"/>
      <c r="N30" s="25"/>
      <c r="O30" s="25"/>
      <c r="P30" s="25"/>
      <c r="Q30" s="25"/>
      <c r="R30" s="25"/>
      <c r="S30" s="27"/>
      <c r="T30" s="27"/>
      <c r="U30" s="27"/>
      <c r="V30" s="27"/>
      <c r="W30" s="27"/>
      <c r="X30" s="25"/>
      <c r="Y30" s="25"/>
      <c r="Z30" s="25"/>
    </row>
    <row r="31" spans="1:26" ht="15.75" customHeight="1" x14ac:dyDescent="0.25">
      <c r="A31" s="15" t="s">
        <v>23</v>
      </c>
      <c r="B31" s="6">
        <f>IF($M$5="Yes",IF($M$8="Yes",ROUND(((B27+266)/(1-H27)/MIN(MAX((0.1+($E$5/($E$5+(C27*(1+G27)+2)))+(($F$5-D27)/1000)-(F27)),0.1),1))/'Background Tables'!$G$2,0),"Calc. Off"),"Calc. Off")</f>
        <v>10261</v>
      </c>
      <c r="C31" s="7">
        <f>IF($M$8="Yes",ROUND(((B27+266+266)/(1-H27)/MIN(MAX((0.1+($E$5/($E$5+(C27*(1+G27)+2)))+(($F$5-D27)/1000)-(F27)),0.1),1))/'Background Tables'!$G$2,0),"Calc. Off")</f>
        <v>10792</v>
      </c>
      <c r="D31" s="7">
        <f>IF($M$11="Yes",IF($M$8="Yes",ROUND(((B27+266+44)/(1-H27)/MIN(MAX((0.1+($E$5/($E$5+((C27+17)*(1+G27)+2)))+(($F$5-D27)/1000)-(F27)),0.1),1))/'Background Tables'!$G$2,0),"Calc. Off"),"Calc. Off")</f>
        <v>12204</v>
      </c>
      <c r="E31" s="7">
        <f>IF($M$14="Yes",IF($M$8="Yes",ROUND(((B27+266+245)/(1-H27)/MIN(MAX((0.1+($E$5/($E$5+(C27*(1+G27)+2)))+(($F$5-D27)/1000)-(F27)),0.1),1))/'Background Tables'!$G$2,0),"Calc. Off"),"Calc. Off")</f>
        <v>10750</v>
      </c>
      <c r="F31" s="7">
        <f>IF($M$17="Yes",IF($M$8="Yes",ROUND(((B27+266+350)/(1-H27)/MIN(MAX((0.1+($E$5/($E$5+((C27+5)*(1+G27)+2)))+(($F$5-D27)/1000)-(F27)),0.1),1))/'Background Tables'!$G$2,0),"Calc. Off"),"Calc. Off")</f>
        <v>11542</v>
      </c>
      <c r="G31" s="7">
        <f>IF($M$20="Yes",IF($M$8="Yes",IFERROR(_xlfn.IFS(A27="DD","N/A",A27="SS","N/A"),ROUND(((B27+266+350)/(1-H27)/MIN(MAX((0.1+($E$5/($E$5+(C27*(1+G27)+2)))+(($F$5-D27)/1000)-(F27)),0.1),1))/'Background Tables'!$G$2/IF($K$5="Yes",IF(H24="Torpedo",0.7,1),1),0)),"Calc. Off"),"Calc. Off")</f>
        <v>10960</v>
      </c>
      <c r="H31" s="7">
        <f>IF($M$23="Yes",IF($M$8="Yes",ROUND(((B27+266+500+IF($K$5="Yes",ROUNDDOWN($K$8/15,0)*0.01*(B27+266+500),0))/(1-H27)/MIN(MAX((0.1+($E$5/($E$5+(C27*(1+G27)+2)))+(($F$5-D27)/1000)-(F27)),0.1),1))/'Background Tables'!$G$2,0),"Calc. Off"),"Calc. Off")</f>
        <v>11711</v>
      </c>
      <c r="I31" s="7">
        <f>IF($M$26="Yes",IF($M$8="Yes",ROUND(((B27+266)/(1-H27)/MIN(MAX((0.1+($E$5/($E$5+((C27+15)*(1+G27)+2)))+(($F$5-D27)/1000)-(F27)),0.1),1))/'Background Tables'!$G$2,0),"Calc. Off"),"Calc. Off")</f>
        <v>11885</v>
      </c>
      <c r="J31" s="7">
        <f>IF($M$29="Yes",IF($M$8="Yes",ROUND(((B27+266+75)/(1-H27)/MIN(MAX((0.1+($E$5/($E$5+((C27+35)*(1+G27)+2)))+(($F$5-D27)/1000)-(F27)),0.1),1))/'Background Tables'!$G$2,0),"Calc. Off"),"Calc. Off")</f>
        <v>14220</v>
      </c>
      <c r="K31" s="7">
        <f>IF($M$32="Yes",IF($M$8="Yes",ROUND((((B27+266+60)/(1-H27)/MIN(MAX((0.1+($E$5/($E$5+((C27+40)*(1+G27)+2)))+(($F$5-D27)/1000)-(F27)),0.1),1))/'Background Tables'!$G$2)/IF($K$5="Yes",0.97,1),0),"Calc. Off"),"Calc. Off")</f>
        <v>15166</v>
      </c>
      <c r="L31" s="25"/>
      <c r="M31" s="38" t="s">
        <v>31</v>
      </c>
      <c r="N31" s="25"/>
      <c r="O31" s="25"/>
      <c r="P31" s="25"/>
      <c r="Q31" s="25"/>
      <c r="R31" s="25"/>
      <c r="S31" s="27"/>
      <c r="T31" s="27"/>
      <c r="U31" s="27"/>
      <c r="V31" s="27"/>
      <c r="W31" s="27"/>
      <c r="X31" s="25"/>
      <c r="Y31" s="25"/>
      <c r="Z31" s="25"/>
    </row>
    <row r="32" spans="1:26" ht="15.75" customHeight="1" x14ac:dyDescent="0.25">
      <c r="A32" s="15" t="s">
        <v>24</v>
      </c>
      <c r="B32" s="6">
        <f>IF($M$5="Yes",IF($M$11="Yes",ROUND(((B27+44)/(1-H27)/MIN(MAX((0.1+($E$5/($E$5+((C27+17)*(1+G27)+2)))+(($F$5-D27)/1000)-(F27)),0.1),1))/'Background Tables'!$G$2,0),"Calc. Off"),"Calc. Off")</f>
        <v>11577</v>
      </c>
      <c r="C32" s="6">
        <f>IF($M$8="Yes",IF($M$11="Yes",ROUND(((B27+266+44)/(1-H27)/MIN(MAX((0.1+($E$5/($E$5+((C27+17)*(1+G27)+2)))+(($F$5-D27)/1000)-(F27)),0.1),1))/'Background Tables'!$G$2,0),"Calc. Off"),"Calc. Off")</f>
        <v>12204</v>
      </c>
      <c r="D32" s="6">
        <f>IF($M$11="Yes",ROUND(((B27+44+44)/(1-H27)/MIN(MAX((0.1+($E$5/($E$5+((C27+17+17)*(1+G27)+2)))+(($F$5-D27)/1000)-(F27)),0.1),1))/'Background Tables'!$G$2,0),"Calc. Off")</f>
        <v>13427</v>
      </c>
      <c r="E32" s="6">
        <f>IF($M$14="Yes",IF($M$11="Yes",ROUND(((B27+44+245)/(1-H27)/MIN(MAX((0.1+($E$5/($E$5+((C27+17)*(1+G27)+2)))+(($F$5-D27)/1000)-(F27)),0.1),1))/'Background Tables'!$G$2,0),"Calc. Off"),"Calc. Off")</f>
        <v>12154</v>
      </c>
      <c r="F32" s="6">
        <f>IF($M$17="Yes",IF($M$11="Yes",ROUND(((B27+44+350)/(1-H27)/MIN(MAX((0.1+($E$5/($E$5+((C27+17+5)*(1+G27)+2)))+(($F$5-D27)/1000)-(F27)),0.1),1))/'Background Tables'!$G$2,0),"Calc. Off"),"Calc. Off")</f>
        <v>12951</v>
      </c>
      <c r="G32" s="6">
        <f>IF($M$20="Yes",IF($M$11="Yes",IFERROR(_xlfn.IFS(A27="DD","N/A",A27="SS","N/A"),ROUND(((B27+44+350)/(1-H27)/MIN(MAX((0.1+($E$5/($E$5+((C27+17)*(1+G27)+2)))+(($F$5-D27)/1000)-F27),0.1),1))/'Background Tables'!$G$2/IF($K$5="Yes",IF(H24="Torpedo",0.7,1),1),0)),"Calc. Off"),"Calc. Off")</f>
        <v>12402</v>
      </c>
      <c r="H32" s="6">
        <f>IF($M$23="Yes",IF($M$11="Yes",ROUND(((B27+44+500+IF($K$5="Yes",ROUNDDOWN($K$8/15,0)*0.01*(B27+44+500),0))/(1-H27)/MIN(MAX((0.1+($E$5/($E$5+((C27+17)*(1+G27)+2)))+(($F$5-D27)/1000)-F27),0.1),1))/'Background Tables'!$G$2,0),"Calc. Off"),"Calc. Off")</f>
        <v>13266</v>
      </c>
      <c r="I32" s="6">
        <f>IF($M$26="Yes",IF($M$11="Yes",ROUND(((B27+44)/(1-H27)/MIN(MAX((0.1+($E$5/($E$5+((C27+17+15)*(1+G27)+2)))+(($F$5-D27)/1000)-F27),0.1),1))/'Background Tables'!$G$2,0),"Calc. Off"),"Calc. Off")</f>
        <v>13106</v>
      </c>
      <c r="J32" s="6">
        <f>IF($M$29="Yes",IF($M$11="Yes",ROUND(((B27+44+75)/(1-H27)/MIN(MAX((0.1+($E$5/($E$5+((C27+17+35)*(1+G27)+2)))+(($F$5-D27)/1000)-F27),0.1),1))/'Background Tables'!$G$2,0),"Calc. Off"),"Calc. Off")</f>
        <v>15341</v>
      </c>
      <c r="K32" s="6">
        <f>IF($M$32="Yes",IF($M$11="Yes",ROUND((((B27+44+60)/(1-H27)/MIN(MAX((0.1+($E$5/($E$5+((C27+17+40)*(1+G27)+2)))+(($F$5-D27)/1000)-F27),0.1),1))/'Background Tables'!$G$2)/IF($K$5="Yes",0.97,1),0),"Calc. Off"),"Calc. Off")</f>
        <v>16285</v>
      </c>
      <c r="L32" s="25"/>
      <c r="M32" s="40" t="s">
        <v>461</v>
      </c>
      <c r="N32" s="25"/>
      <c r="O32" s="25"/>
      <c r="P32" s="25"/>
      <c r="Q32" s="25"/>
      <c r="R32" s="25"/>
      <c r="S32" s="27"/>
      <c r="T32" s="27"/>
      <c r="U32" s="27"/>
      <c r="V32" s="27"/>
      <c r="W32" s="27"/>
      <c r="X32" s="25"/>
      <c r="Y32" s="25"/>
      <c r="Z32" s="25"/>
    </row>
    <row r="33" spans="1:26" ht="15.75" customHeight="1" x14ac:dyDescent="0.25">
      <c r="A33" s="15" t="s">
        <v>25</v>
      </c>
      <c r="B33" s="6">
        <f>IF($M$5="Yes",IF($M$14="Yes",ROUND(((B27+245)/(1-H27)/MIN(MAX((0.1+($E$5/($E$5+(C27*(1+G27)+2)))+(($F$5-D27)/1000)-(F27)),0.1),1))/'Background Tables'!$G$2,0),"Calc. Off"),"Calc. Off")</f>
        <v>10219</v>
      </c>
      <c r="C33" s="6">
        <f>IF($M$8="Yes",IF($M$14="Yes",ROUND(((B27+266+245)/(1-H27)/MIN(MAX((0.1+($E$5/($E$5+(C27*(1+G27)+2)))+(($F$5-D27)/1000)-(F27)),0.1),1))/'Background Tables'!$G$2,0),"Calc. Off"),"Calc. Off")</f>
        <v>10750</v>
      </c>
      <c r="D33" s="6">
        <f>IF($M$11="Yes",IF($M$14="Yes",ROUND(((B27+44+245)/(1-H27)/MIN(MAX((0.1+($E$5/($E$5+((C27+17)*(1+G27)+2)))+(($F$5-D27)/1000)-(F27)),0.1),1))/'Background Tables'!$G$2,0),"Calc. Off"),"Calc. Off")</f>
        <v>12154</v>
      </c>
      <c r="E33" s="6">
        <f>IF($M$14="Yes",ROUND(((B27+245+245)/(1-H27)/MIN(MAX((0.1+($E$5/($E$5+((C27+0)*(1+G27)+2)))+(($F$5-D27)/1000)-F27),0.1),1))/'Background Tables'!$G$2,0),"Calc. Off")</f>
        <v>10708</v>
      </c>
      <c r="F33" s="6">
        <f>IF($M$17="Yes",IF($M$14="Yes",ROUND(((B27+245+350)/(1-H27)/MIN(MAX((0.1+($E$5/($E$5+((C27+5)*(1+G27)+2)))+(($F$5-D27)/1000)-F27),0.1),1))/'Background Tables'!$G$2,0),"Calc. Off"),"Calc. Off")</f>
        <v>11497</v>
      </c>
      <c r="G33" s="6">
        <f>IF($M$20="Yes",IF($M$14="Yes",IFERROR(_xlfn.IFS(A27="DD","N/A",A27="SS","N/A"),ROUND(((B27+245+350)/(1-H27)/MIN(MAX((0.1+($E$5/($E$5+((C27+0)*(1+G27)+2)))+(($F$5-D27)/1000)-F27),0.1),1))/'Background Tables'!$G$2/IF($K$5="Yes",IF(H24="Torpedo",0.7,1),1),0)),"Calc. Off"),"Calc. Off")</f>
        <v>10918</v>
      </c>
      <c r="H33" s="6">
        <f>IF($M$23="Yes",IF($M$14="Yes",ROUND(((B27+245+500+IF($K$5="Yes",ROUNDDOWN($K$8/15,0)*0.01*(B27+245+500),0))/(1-H27)/MIN(MAX((0.1+($E$5/($E$5+((C27+0)*(1+G27)+2)))+(($F$5-D27)/1000)-F27),0.1),1))/'Background Tables'!$G$2,0),"Calc. Off"),"Calc. Off")</f>
        <v>11667</v>
      </c>
      <c r="I33" s="6">
        <f>IF($M$26="Yes",IF($M$14="Yes",ROUND(((B27+245)/(1-H27)/MIN(MAX((0.1+($E$5/($E$5+((C27+15)*(1+G27)+2)))+(($F$5-D27)/1000)-F27),0.1),1))/'Background Tables'!$G$2,0),"Calc. Off"),"Calc. Off")</f>
        <v>11837</v>
      </c>
      <c r="J33" s="6">
        <f>IF($M$29="Yes",IF($M$14="Yes",ROUND(((B27+245+75)/(1-H27)/MIN(MAX((0.1+($E$5/($E$5+((C27+35)*(1+G27)+2)))+(($F$5-D27)/1000)-F27),0.1),1))/'Background Tables'!$G$2,0),"Calc. Off"),"Calc. Off")</f>
        <v>14163</v>
      </c>
      <c r="K33" s="6">
        <f>IF($M$32="Yes",IF($M$14="Yes",ROUND((((B27+245+60)/(1-H27)/MIN(MAX((0.1+($E$5/($E$5+((C27+40)*(1+G27)+2)))+(($F$5-D27)/1000)-F27),0.1),1))/'Background Tables'!$G$2)/IF($K$5="Yes",0.97,1),0),"Calc. Off"),"Calc. Off")</f>
        <v>15105</v>
      </c>
      <c r="L33" s="25"/>
      <c r="M33" s="25"/>
      <c r="N33" s="25"/>
      <c r="O33" s="25"/>
      <c r="P33" s="25"/>
      <c r="Q33" s="25"/>
      <c r="R33" s="25"/>
      <c r="S33" s="27"/>
      <c r="T33" s="27"/>
      <c r="U33" s="27"/>
      <c r="V33" s="27"/>
      <c r="W33" s="27"/>
      <c r="X33" s="25"/>
      <c r="Y33" s="25"/>
      <c r="Z33" s="25"/>
    </row>
    <row r="34" spans="1:26" ht="15.75" customHeight="1" x14ac:dyDescent="0.25">
      <c r="A34" s="15" t="s">
        <v>26</v>
      </c>
      <c r="B34" s="6">
        <f>IF($M$5="Yes",IF($M$17="Yes",ROUND(((B27+350)/(1-H27)/MIN(MAX((0.1+($E$5/($E$5+((C27+5)*(1+G27)+2)))+(($F$5-D27)/1000)-(F27)),0.1),1))/'Background Tables'!$G$2,0),"Calc. Off"),"Calc. Off")</f>
        <v>10982</v>
      </c>
      <c r="C34" s="6">
        <f>IF($M$8="Yes",IF($M$17="Yes",ROUND(((B27+266+350)/(1-H27)/MIN(MAX((0.1+($E$5/($E$5+((C27+5)*(1+G27)+2)))+(($F$5-D27)/1000)-(F27)),0.1),1))/'Background Tables'!$G$2,0),"Calc. Off"),"Calc. Off")</f>
        <v>11542</v>
      </c>
      <c r="D34" s="6">
        <f>IF($M$11="Yes",IF($M$17="Yes",ROUND(((B27+44+350)/(1-H27)/MIN(MAX((0.1+($E$5/($E$5+((C27+17+5)*(1+G27)+2)))+(($F$5-D27)/1000)-(F27)),0.1),1))/'Background Tables'!$G$2,0),"Calc. Off"),"Calc. Off")</f>
        <v>12951</v>
      </c>
      <c r="E34" s="6">
        <f>IF($M$14="Yes",IF($M$17="Yes",ROUND(((B27+245+350)/(1-H27)/MIN(MAX((0.1+($E$5/($E$5+((C27+5)*(1+G27)+2)))+(($F$5-D27)/1000)-F27),0.1),1))/'Background Tables'!$G$2,0),"Calc. Off"),"Calc. Off")</f>
        <v>11497</v>
      </c>
      <c r="F34" s="6">
        <f>IF($M$17="Yes",ROUND(((B27+350+350)/(1-H27)/MIN(MAX((0.1+($E$5/($E$5+((C27+5+5)*(1+G27)+2)))+(($F$5-D27)/1000)-F27),0.1),1))/'Background Tables'!$G$2,0),"Calc. Off")</f>
        <v>12306</v>
      </c>
      <c r="G34" s="6">
        <f>IF($M$20="Yes",IF($M$17="Yes",IFERROR(_xlfn.IFS(A27="DD","N/A",A27="SS","N/A"),ROUND(((B27+350+350)/(1-H27)/MIN(MAX((0.1+($E$5/($E$5+((C27+5)*(1+G27)+2)))+(($F$5-D27)/1000)-F27),0.1),1))/'Background Tables'!$G$2/IF($K$5="Yes",IF(H24="Torpedo",0.7,1),1),0)),"Calc. Off"),"Calc. Off")</f>
        <v>11719</v>
      </c>
      <c r="H34" s="6">
        <f>IF($M$23="Yes",IF($M$17="Yes",ROUND(((B27+350+500+IF($K$5="Yes",ROUNDDOWN($K$8/15,0)*0.01*(B27+350+500),0))/(1-H27)/MIN(MAX((0.1+($E$5/($E$5+((C27+5)*(1+G27)+2)))+(($F$5-D27)/1000)-F27),0.1),1))/'Background Tables'!$G$2,0),"Calc. Off"),"Calc. Off")</f>
        <v>12516</v>
      </c>
      <c r="I34" s="6">
        <f>IF($M$26="Yes",IF($M$17="Yes",ROUND(((B27+350)/(1-H27)/MIN(MAX((0.1+($E$5/($E$5+((C27+5+15)*(1+G27)+2)))+(($F$5-D27)/1000)-F27),0.1),1))/'Background Tables'!$G$2,0),"Calc. Off"),"Calc. Off")</f>
        <v>12625</v>
      </c>
      <c r="J34" s="6">
        <f>IF($M$29="Yes",IF($M$17="Yes",ROUND(((B27+350+75)/(1-H27)/MIN(MAX((0.1+($E$5/($E$5+((C27+5+35)*(1+G27)+2)))+(($F$5-D27)/1000)-F27),0.1),1))/'Background Tables'!$G$2,0),"Calc. Off"),"Calc. Off")</f>
        <v>14992</v>
      </c>
      <c r="K34" s="6">
        <f>IF($M$17="Yes",IF($M$32="Yes",ROUND((((B27+350+60)/(1-H27)/MIN(MAX((0.1+($E$5/($E$5+((C27+5+40)*(1+G27)+2)))+(($F$5-D27)/1000)-F27),0.1),1))/'Background Tables'!$G$2)/IF($K$5="Yes",0.97,1),0),"Calc. Off"),"Calc. Off")</f>
        <v>15967</v>
      </c>
      <c r="L34" s="25"/>
      <c r="M34" s="25"/>
      <c r="N34" s="25"/>
      <c r="O34" s="25"/>
      <c r="P34" s="25"/>
      <c r="Q34" s="25"/>
      <c r="R34" s="25"/>
      <c r="S34" s="27"/>
      <c r="T34" s="27"/>
      <c r="U34" s="27"/>
      <c r="V34" s="27"/>
      <c r="W34" s="27"/>
      <c r="X34" s="25"/>
      <c r="Y34" s="25"/>
      <c r="Z34" s="25"/>
    </row>
    <row r="35" spans="1:26" ht="15.75" customHeight="1" x14ac:dyDescent="0.25">
      <c r="A35" s="15" t="s">
        <v>27</v>
      </c>
      <c r="B35" s="6">
        <f>IF($M$5="Yes",IF($M$20="Yes",IFERROR(_xlfn.IFS(A27="DD","N/A",A27="SS","N/A"),ROUND(((B27+350)/(1-H27)/MIN(MAX((0.1+($E$5/($E$5+(C27*(1+G27)+2)))+(($F$5-D27)/1000)-(F27)),0.1),1))/'Background Tables'!$G$2/IF($K$5="Yes",IF(H24="Torpedo",0.7,1),1),0)),"Calc. Off"),"Calc. Off")</f>
        <v>10428</v>
      </c>
      <c r="C35" s="6">
        <f>IF($M$8="Yes",IF($M$20="Yes",IFERROR(_xlfn.IFS(A27="DD","N/A",A27="SS","N/A"),ROUND(((B27+266+350)/(1-H27)/MIN(MAX((0.1+($E$5/($E$5+(C27*(1+G27)+2)))+(($F$5-D27)/1000)-(F27)),0.1),1))/'Background Tables'!$G$2/IF($K$5="Yes",IF(H24="Torpedo",0.7,1),1),0)),"Calc. Off"),"Calc. Off")</f>
        <v>10960</v>
      </c>
      <c r="D35" s="6">
        <f>IF($M$11="Yes",IF($M$20="Yes",IFERROR(_xlfn.IFS(A27="DD","N/A",A27="SS","N/A"),ROUND(((B27+44+350)/(1-H27)/MIN(MAX((0.1+($E$5/($E$5+((C27+17)*(1+G27)+2)))+(($F$5-D27)/1000)-F27),0.1),1))/'Background Tables'!$G$2/IF($K$5="Yes",IF(H24="Torpedo",0.7,1),1),0)),"Calc. Off"),"Calc. Off")</f>
        <v>12402</v>
      </c>
      <c r="E35" s="6">
        <f>IF($M$14="Yes",IF($M$20="Yes",IFERROR(_xlfn.IFS(A27="DD","N/A",A27="SS","N/A"),ROUND(((B27+245+350)/(1-H27)/MIN(MAX((0.1+($E$5/($E$5+((C27+0)*(1+G27)+2)))+(($F$5-D27)/1000)-F27),0.1),1))/'Background Tables'!$G$2/IF($K$5="Yes",IF(H24="Torpedo",0.7,1),1),0)),"Calc. Off"),"Calc. Off")</f>
        <v>10918</v>
      </c>
      <c r="F35" s="6">
        <f>IF($M$17="Yes",IF($M$20="Yes",IFERROR(_xlfn.IFS(A27="DD","N/A",A27="SS","N/A"),ROUND(((B27+350+350)/(1-H27)/MIN(MAX((0.1+($E$5/($E$5+((C27+5)*(1+G27)+2)))+(($F$5-D27)/1000)-F27),0.1),1))/'Background Tables'!$G$2/IF($K$5="Yes",IF(H24="Torpedo",0.7,1),1),0)),"Calc. Off"),"Calc. Off")</f>
        <v>11719</v>
      </c>
      <c r="G35" s="6">
        <f>IF($M$20="Yes",IFERROR(_xlfn.IFS(A27="DD","N/A",A27="SS","N/A"),ROUND(((B27+350+350)/(1-H27)/MIN(MAX((0.1+($E$5/($E$5+((C27+0)*(1+G27)+2)))+(($F$5-D27)/1000)-F27),0.1),1))/'Background Tables'!$G$2/IF($K$5="Yes",IF(H24="Torpedo",0.7,1),1),0)),"Calc. Off")</f>
        <v>11128</v>
      </c>
      <c r="H35" s="6">
        <f>IF($M$23="Yes",IF($M$20="Yes",IFERROR(_xlfn.IFS(A27="DD","N/A",A27="SS","N/A"),ROUND(((B27+350+500+IF($K$5="Yes",ROUNDDOWN($K$8/15,0)*0.01*(B27+350+500),0))/(1-H27)/MIN(MAX((0.1+($E$5/($E$5+((C27+0)*(1+G27)+2)))+(($F$5-D27)/1000)-F27),0.1),1))/'Background Tables'!$G$2/IF($K$5="Yes",IF(H24="Torpedo",0.7,1),1),0)),"Calc. Off"),"Calc. Off")</f>
        <v>11885</v>
      </c>
      <c r="I35" s="6">
        <f>IF($M$26="Yes",IF($M$20="Yes",IFERROR(_xlfn.IFS(A27="DD","N/A",A27="SS","N/A"),ROUND(((B27+350)/(1-H27)/MIN(MAX((0.1+($E$5/($E$5+((C27+15)*(1+G27)+2)))+(($F$5-D27)/1000)-F27),0.1),1))/'Background Tables'!$G$2/IF($K$5="Yes",IF(H24="Torpedo",0.7,1),1),0)),"Calc. Off"),"Calc. Off")</f>
        <v>12080</v>
      </c>
      <c r="J35" s="6">
        <f>IF($M$29="Yes",IF($M$20="Yes",IFERROR(_xlfn.IFS(A27="DD","N/A",A27="SS","N/A"),ROUND(((B27+350+75)/(1-H27)/MIN(MAX((0.1+($E$5/($E$5+((C27+35)*(1+G27)+2)))+(($F$5-D27)/1000)-F27),0.1),1))/'Background Tables'!$G$2/IF($K$5="Yes",IF(H24="Torpedo",0.7,1),1),0)),"Calc. Off"),"Calc. Off")</f>
        <v>14450</v>
      </c>
      <c r="K35" s="6">
        <f>IF($M$32="Yes",IF($M$20="Yes",IFERROR(_xlfn.IFS(A27="DD","N/A",A27="SS","N/A"),ROUND((((B27+350+60)/(1-H27)/MIN(MAX((0.1+($E$5/($E$5+((C27+40)*(1+G27)+2)))+(($F$5-D27)/1000)-F27),0.1),1))/'Background Tables'!$G$2/IF($K$5="Yes",IF(H24="Torpedo",0.7,1),1))/IF($K$5="Yes",0.97,1),0)),"Calc. Off"),"Calc. Off")</f>
        <v>15412</v>
      </c>
      <c r="L35" s="25"/>
      <c r="M35" s="25"/>
      <c r="N35" s="25"/>
      <c r="O35" s="25"/>
      <c r="P35" s="25"/>
      <c r="Q35" s="25"/>
      <c r="R35" s="25"/>
      <c r="S35" s="27"/>
      <c r="T35" s="27"/>
      <c r="U35" s="27"/>
      <c r="V35" s="27"/>
      <c r="W35" s="27"/>
      <c r="X35" s="25"/>
      <c r="Y35" s="25"/>
      <c r="Z35" s="25"/>
    </row>
    <row r="36" spans="1:26" ht="15.75" customHeight="1" x14ac:dyDescent="0.25">
      <c r="A36" s="15" t="s">
        <v>28</v>
      </c>
      <c r="B36" s="6">
        <f>IF($M$5="Yes",IF($M$23="Yes",ROUND(((B27+500+IF($K$5="Yes",ROUNDDOWN($K$8/15,0)*0.01*(B27+500),0))/(1-H27)/MIN(MAX((0.1+($E$5/($E$5+(C27*(1+G27)+2)))+(($F$5-D27)/1000)-(F27)),0.1),1))/'Background Tables'!$G$2,0),"Calc. Off"),"Calc. Off")</f>
        <v>11158</v>
      </c>
      <c r="C36" s="6">
        <f>IF($M$8="Yes",IF($M$23="Yes",ROUND(((B27+266+500+IF($K$5="Yes",ROUNDDOWN($K$8/15,0)*0.01*(B27+266+500),0))/(1-H27)/MIN(MAX((0.1+($E$5/($E$5+(C27*(1+G27)+2)))+(($F$5-D27)/1000)-(F27)),0.1),1))/'Background Tables'!$G$2,0),"Calc. Off"),"Calc. Off")</f>
        <v>11711</v>
      </c>
      <c r="D36" s="6">
        <f>IF($M$11="Yes",IF($M$23="Yes",ROUND(((B27+44+500+IF($K$5="Yes",ROUNDDOWN($K$8/15,0)*0.01*(B27+44+500),0))/(1-H27)/MIN(MAX((0.1+($E$5/($E$5+((C27+17)*(1+G27)+2)))+(($F$5-D27)/1000)-F27),0.1),1))/'Background Tables'!$G$2,0),"Calc. Off"),"Calc. Off")</f>
        <v>13266</v>
      </c>
      <c r="E36" s="6">
        <f>IF($M$14="Yes",IF($M$23="Yes",ROUND(((B27+245+500+IF($K$5="Yes",ROUNDDOWN($K$8/15,0)*0.01*(B27+245+500),0))/(1-H27)/MIN(MAX((0.1+($E$5/($E$5+((C27+0)*(1+G27)+2)))+(($F$5-D27)/1000)-F27),0.1),1))/'Background Tables'!$G$2,0),"Calc. Off"),"Calc. Off")</f>
        <v>11667</v>
      </c>
      <c r="F36" s="6">
        <f>IF($M$17="Yes",IF($M$23="Yes",ROUND(((B27+350+500+IF($K$5="Yes",ROUNDDOWN($K$8/15,0)*0.01*(B27+350+500),0))/(1-H27)/MIN(MAX((0.1+($E$5/($E$5+((C27+5)*(1+G27)+2)))+(($F$5-D27)/1000)-F27),0.1),1))/'Background Tables'!$G$2,0),"Calc. Off"),"Calc. Off")</f>
        <v>12516</v>
      </c>
      <c r="G36" s="6">
        <f>IF($M$20="Yes",IF($M$23="Yes",IFERROR(_xlfn.IFS(A27="DD","N/A",A27="SS","N/A"),ROUND(((B27+350+500+IF($K$5="Yes",ROUNDDOWN($K$8/15,0)*0.01*(B27+350+500),0))/(1-H27)/MIN(MAX((0.1+($E$5/($E$5+((C27+0)*(1+G27)+2)))+(($F$5-D27)/1000)-F27),0.1),1))/'Background Tables'!$G$2/IF($K$5="Yes",IF(H24="Torpedo",0.7,1),1),0)),"Calc. Off"),"Calc. Off")</f>
        <v>11885</v>
      </c>
      <c r="H36" s="6">
        <f>IF($M$23="Yes",ROUND(((B27+500+500+IF($K$5="Yes",ROUNDDOWN($K$8/15,0)*0.01*(B27+500+500),0))/(1-H27)/MIN(MAX((0.1+($E$5/($E$5+((C27+0)*(1+G27)+2)))+(($F$5-D27)/1000)-F27),0.1),1))/'Background Tables'!$G$2,0),"Calc. Off")</f>
        <v>12197</v>
      </c>
      <c r="I36" s="6">
        <f>IF($M$26="Yes",IF($M$23="Yes",ROUND(((B27+500+IF($K$5="Yes",ROUNDDOWN($K$8/15,0)*0.01*(B27+500),0))/(1-H27)/MIN(MAX((0.1+($E$5/($E$5+((C27+15)*(1+G27)+2)))+(($F$5-D27)/1000)-F27),0.1),1))/'Background Tables'!$G$2,0),"Calc. Off"),"Calc. Off")</f>
        <v>12924</v>
      </c>
      <c r="J36" s="6">
        <f>IF($M$29="Yes",IF($M$23="Yes",ROUND(((B27+500+75+IF($K$5="Yes",ROUNDDOWN($K$8/15,0)*0.01*(B27+500+75),0))/(1-H27)/MIN(MAX((0.1+($E$5/($E$5+((C27+35)*(1+G27)+2)))+(($F$5-D27)/1000)-F27),0.1),1))/'Background Tables'!$G$2,0),"Calc. Off"),"Calc. Off")</f>
        <v>15454</v>
      </c>
      <c r="K36" s="6">
        <f>IF($M$32="Yes",IF($M$23="Yes",ROUND((((B27+500+60+IF($K$5="Yes",ROUNDDOWN($K$8/15,0)*0.01*(B27+500+60),0))/(1-H27)/MIN(MAX((0.1+($E$5/($E$5+((C27+40)*(1+G27)+2)))+(($F$5-D27)/1000)-F27),0.1),1))/'Background Tables'!$G$2)/IF($K$5="Yes",0.97,1),0),"Calc. Off"),"Calc. Off")</f>
        <v>16484</v>
      </c>
      <c r="L36" s="25"/>
      <c r="M36" s="25"/>
      <c r="N36" s="25"/>
      <c r="O36" s="25"/>
      <c r="P36" s="25"/>
      <c r="Q36" s="25"/>
      <c r="R36" s="25"/>
      <c r="S36" s="27"/>
      <c r="T36" s="27"/>
      <c r="U36" s="27"/>
      <c r="V36" s="27"/>
      <c r="W36" s="27"/>
      <c r="X36" s="25"/>
      <c r="Y36" s="25"/>
      <c r="Z36" s="25"/>
    </row>
    <row r="37" spans="1:26" ht="15.75" customHeight="1" x14ac:dyDescent="0.25">
      <c r="A37" s="15" t="s">
        <v>29</v>
      </c>
      <c r="B37" s="6">
        <f>IF($M$5="Yes",IF($M$26="Yes",ROUND((B27/(1-H27)/MIN(MAX((0.1+($E$5/($E$5+((C27+15)*(1+G27)+2)))+(($F$5-D27)/1000)-(F27)),0.1),1))/'Background Tables'!$G$2,0),"Calc. Off"),"Calc. Off")</f>
        <v>11269</v>
      </c>
      <c r="C37" s="6">
        <f>IF($M$8="Yes",IF($M$26="Yes",ROUND(((B27+266)/(1-H27)/MIN(MAX((0.1+($E$5/($E$5+((C27+15)*(1+G27)+2)))+(($F$5-D27)/1000)-(F27)),0.1),1))/'Background Tables'!$G$2,0),"Calc. Off"),"Calc. Off")</f>
        <v>11885</v>
      </c>
      <c r="D37" s="35">
        <f>IF($M$11="Yes",IF($M$26="Yes",ROUND(((B27+44)/(1-H27)/MIN(MAX((0.1+($E$5/($E$5+((C27+17+15)*(1+G27)+2)))+(($F$5-D27)/1000)-F27),0.1),1))/'Background Tables'!$G$2,0),"Calc. Off"),"Calc. Off")</f>
        <v>13106</v>
      </c>
      <c r="E37" s="6">
        <f>IF($M$14="Yes",IF($M$26="Yes",ROUND(((B27+245)/(1-H27)/MIN(MAX((0.1+($E$5/($E$5+((C27+15)*(1+G27)+2)))+(($F$5-D27)/1000)-F27),0.1),1))/'Background Tables'!$G$2,0),"Calc. Off"),"Calc. Off")</f>
        <v>11837</v>
      </c>
      <c r="F37" s="6">
        <f>IF($M$17="Yes",IF($M$26="Yes",ROUND(((B27+350)/(1-H27)/MIN(MAX((0.1+($E$5/($E$5+((C27+5+15)*(1+G27)+2)))+(($F$5-D27)/1000)-F27),0.1),1))/'Background Tables'!$G$2,0),"Calc. Off"),"Calc. Off")</f>
        <v>12625</v>
      </c>
      <c r="G37" s="6">
        <f>IF($M$20="Yes",IF($M$26="Yes",IFERROR(_xlfn.IFS(A27="DD","N/A",A27="SS","N/A"),ROUND(((B27+350)/(1-H27)/MIN(MAX((0.1+($E$5/($E$5+((C27+15)*(1+G27)+2)))+(($F$5-D27)/1000)-F27),0.1),1))/'Background Tables'!$G$2/IF($K$5="Yes",IF(H24="Torpedo",0.7,1),1),0)),"Calc. Off"),"Calc. Off")</f>
        <v>12080</v>
      </c>
      <c r="H37" s="6">
        <f>IF($M$23="Yes",IF($M$26="Yes",ROUND(((B27+500+IF($K$5="Yes",ROUNDDOWN($K$8/15,0)*0.01*(B27+500),0))/(1-H27)/MIN(MAX((0.1+($E$5/($E$5+((C27+15)*(1+G27)+2)))+(($F$5-D27)/1000)-F27),0.1),1))/'Background Tables'!$G$2,0),"Calc. Off"),"Calc. Off")</f>
        <v>12924</v>
      </c>
      <c r="I37" s="6">
        <f>IF($M$26="Yes",ROUND(((B27+0)/(1-H27)/MIN(MAX((0.1+($E$5/($E$5+((C27+15+15)*(1+G27)+2)))+(($F$5-D27)/1000)-F27),0.1),1))/'Background Tables'!$G$2,0),"Calc. Off")</f>
        <v>12788</v>
      </c>
      <c r="J37" s="6">
        <f>IF($M$29="Yes",IF($M$26="Yes",ROUND(((B27+75)/(1-H27)/MIN(MAX((0.1+($E$5/($E$5+((C27+15+35)*(1+G27)+2)))+(($F$5-D27)/1000)-F27),0.1),1))/'Background Tables'!$G$2,0),"Calc. Off"),"Calc. Off")</f>
        <v>15006</v>
      </c>
      <c r="K37" s="6">
        <f>IF($M$32="Yes",IF($M$26="Yes",ROUND((((B27+60)/(1-H27)/MIN(MAX((0.1+($E$5/($E$5+((C27+15+40)*(1+G27)+2)))+(($F$5-D27)/1000)-F27),0.1),1))/'Background Tables'!$G$2)/IF($K$5="Yes",0.97,1),0),"Calc. Off"),"Calc. Off")</f>
        <v>15936</v>
      </c>
      <c r="L37" s="25"/>
      <c r="M37" s="25"/>
      <c r="N37" s="25"/>
      <c r="O37" s="25"/>
      <c r="P37" s="25"/>
      <c r="Q37" s="25"/>
      <c r="R37" s="25"/>
      <c r="S37" s="27"/>
      <c r="T37" s="27"/>
      <c r="U37" s="27"/>
      <c r="V37" s="27"/>
      <c r="W37" s="27"/>
      <c r="X37" s="25"/>
      <c r="Y37" s="25"/>
      <c r="Z37" s="25"/>
    </row>
    <row r="38" spans="1:26" ht="15.75" customHeight="1" x14ac:dyDescent="0.25">
      <c r="A38" s="15" t="s">
        <v>30</v>
      </c>
      <c r="B38" s="8">
        <f>IF($M$5="Yes",IF($M$29="Yes",ROUND(((B27+75)/(1-H27)/MIN(MAX((0.1+($E$5/($E$5+((C27+35)*(1+G27)+2)))+(($F$5-D27)/1000)-(F27)),0.1),1))/'Background Tables'!$G$2,0),"Calc. Off"),"Calc. Off")</f>
        <v>13494</v>
      </c>
      <c r="C38" s="6">
        <f>IF($M$8="Yes",IF($M$29="Yes",ROUND(((B27+266+75)/(1-H27)/MIN(MAX((0.1+($E$5/($E$5+((C27+35)*(1+G27)+2)))+(($F$5-D27)/1000)-(F27)),0.1),1))/'Background Tables'!$G$2,0),"Calc. Off"),"Calc. Off")</f>
        <v>14220</v>
      </c>
      <c r="D38" s="6">
        <f>IF($M$11="Yes",IF($M$29="Yes",ROUND(((B27+44+75)/(1-H27)/MIN(MAX((0.1+($E$5/($E$5+((C27+17+35)*(1+G27)+2)))+(($F$5-D27)/1000)-F27),0.1),1))/'Background Tables'!$G$2,0),"Calc. Off"),"Calc. Off")</f>
        <v>15341</v>
      </c>
      <c r="E38" s="6">
        <f>IF($M$14="Yes",IF($M$29="Yes",ROUND(((B27+245+75)/(1-H27)/MIN(MAX((0.1+($E$5/($E$5+((C27+35)*(1+G27)+2)))+(($F$5-D27)/1000)-F27),0.1),1))/'Background Tables'!$G$2,0),"Calc. Off"),"Calc. Off")</f>
        <v>14163</v>
      </c>
      <c r="F38" s="6">
        <f>IF($M$17="Yes",IF($M$29="Yes",ROUND(((B27+350+75)/(1-H27)/MIN(MAX((0.1+($E$5/($E$5+((C27+5+35)*(1+G27)+2)))+(($F$5-D27)/1000)-F27),0.1),1))/'Background Tables'!$G$2,0),"Calc. Off"),"Calc. Off")</f>
        <v>14992</v>
      </c>
      <c r="G38" s="6">
        <f>IF($M$20="Yes",IF($M$29="Yes",IFERROR(_xlfn.IFS(A27="DD","N/A",A27="SS","N/A"),ROUND(((B27+350+75)/(1-H27)/MIN(MAX((0.1+($E$5/($E$5+((C27+35)*(1+G27)+2)))+(($F$5-D27)/1000)-F27),0.1),1))/'Background Tables'!$G$2/IF($K$5="Yes",IF(H24="Torpedo",0.7,1),1),0)),"Calc. Off"),"Calc. Off")</f>
        <v>14450</v>
      </c>
      <c r="H38" s="6">
        <f>IF($M$23="Yes",IF($M$29="Yes",ROUND(((B27+500+75+IF($K$5="Yes",ROUNDDOWN($K$8/15,0)*0.01*(B27+500+75),0))/(1-H27)/MIN(MAX((0.1+($E$5/($E$5+((C27+35)*(1+G27)+2)))+(($F$5-D27)/1000)-F27),0.1),1))/'Background Tables'!$G$2,0),"Calc. Off"),"Calc. Off")</f>
        <v>15454</v>
      </c>
      <c r="I38" s="6">
        <f>IF($M$26="Yes",IF($M$29="Yes",ROUND(((B27+75)/(1-H27)/MIN(MAX((0.1+($E$5/($E$5+((C27+15+35)*(1+G27)+2)))+(($F$5-D27)/1000)-F27),0.1),1))/'Background Tables'!$G$2,0),"Calc. Off"),"Calc. Off")</f>
        <v>15006</v>
      </c>
      <c r="J38" s="36" t="s">
        <v>40</v>
      </c>
      <c r="K38" s="6">
        <f>IF($M$32="Yes",IF($M$29="Yes",ROUND((((B27+75+60)/(1-H27)/MIN(MAX((0.1+($E$5/($E$5+((C27+35+40)*(1+G27)+2)))+(($F$5-D27)/1000)-F27),0.1),1))/'Background Tables'!$G$2)/IF($K$5="Yes",0.97,1),0),"Calc. Off"),"Calc. Off")</f>
        <v>18238</v>
      </c>
      <c r="L38" s="25"/>
      <c r="M38" s="25"/>
      <c r="N38" s="25"/>
      <c r="O38" s="25"/>
      <c r="P38" s="25"/>
      <c r="Q38" s="25"/>
      <c r="R38" s="25"/>
      <c r="S38" s="27"/>
      <c r="T38" s="27"/>
      <c r="U38" s="27"/>
      <c r="V38" s="27"/>
      <c r="W38" s="27"/>
      <c r="X38" s="25"/>
      <c r="Y38" s="25"/>
      <c r="Z38" s="25"/>
    </row>
    <row r="39" spans="1:26" ht="15.75" customHeight="1" x14ac:dyDescent="0.25">
      <c r="A39" s="15" t="s">
        <v>31</v>
      </c>
      <c r="B39" s="6">
        <f>IF($M$5="Yes",IF($M$32="Yes",ROUND((((B27+60)/(1-H27)/MIN(MAX((0.1+($E$5/($E$5+((C27+40)*(1+G27)+2)))+(($F$5-D27)/1000)-(F27)),0.1),1))/'Background Tables'!$G$2)/IF($K$5="Yes",0.97,1),0),"Calc. Off"),"Calc. Off")</f>
        <v>14389</v>
      </c>
      <c r="C39" s="6">
        <f>IF($M$8="Yes",IF($M$32="Yes",ROUND((((B27+266+60)/(1-H27)/MIN(MAX((0.1+($E$5/($E$5+((C27+40)*(1+G27)+2)))+(($F$5-D27)/1000)-(F27)),0.1),1))/'Background Tables'!$G$2)/IF($K$5="Yes",0.97,1),0),"Calc. Off"),"Calc. Off")</f>
        <v>15166</v>
      </c>
      <c r="D39" s="6">
        <f>IF($M$11="Yes",IF($M$32="Yes",ROUND((((B27+44+60)/(1-H27)/MIN(MAX((0.1+($E$5/($E$5+((C27+17+40)*(1+G27)+2)))+(($F$5-D27)/1000)-F27),0.1),1))/'Background Tables'!$G$2)/IF($K$5="Yes",0.97,1),0),"Calc. Off"),"Calc. Off")</f>
        <v>16285</v>
      </c>
      <c r="E39" s="6">
        <f>IF($M$14="Yes",IF($M$32="Yes",ROUND((((B27+245+60)/(1-H27)/MIN(MAX((0.1+($E$5/($E$5+((C27+40)*(1+G27)+2)))+(($F$5-D27)/1000)-F27),0.1),1))/'Background Tables'!$G$2)/IF($K$5="Yes",0.97,1),0),"Calc. Off"),"Calc. Off")</f>
        <v>15105</v>
      </c>
      <c r="F39" s="6">
        <f>IF($M$17="Yes",IF($M$32="Yes",ROUND((((B27+350+60)/(1-H27)/MIN(MAX((0.1+($E$5/($E$5+((C27+5+40)*(1+G27)+2)))+(($F$5-D27)/1000)-F27),0.1),1))/'Background Tables'!$G$2)/IF($K$5="Yes",0.97,1),0),"Calc. Off"),"Calc. Off")</f>
        <v>15967</v>
      </c>
      <c r="G39" s="6">
        <f>IF($M$20="Yes",IF($M$32="Yes",IFERROR(_xlfn.IFS(A27="DD","N/A",A27="SS","N/A"),ROUND((((B27+350+60)/(1-H27)/MIN(MAX((0.1+($E$5/($E$5+((C27+40)*(1+G27)+2)))+(($F$5-D27)/1000)-F27),0.1),1))/'Background Tables'!$G$2/IF($K$5="Yes",IF(H24="Torpedo",0.7,1),1))/IF($K$5="Yes",0.97,1),0)),"Calc. Off"),"Calc. Off")</f>
        <v>15412</v>
      </c>
      <c r="H39" s="6">
        <f>IF($M$23="Yes",IF($M$32="Yes",ROUND((((B27+500+60+IF($K$5="Yes",ROUNDDOWN($K$8/15,0)*0.01*(B27+500+60),0))/(1-H27)/MIN(MAX((0.1+($E$5/($E$5+((C27+40)*(1+G27)+2)))+(($F$5-D27)/1000)-F27),0.1),1))/'Background Tables'!$G$2)/IF($K$5="Yes",0.97,1),0),"Calc. Off"),"Calc. Off")</f>
        <v>16484</v>
      </c>
      <c r="I39" s="6">
        <f>IF($M$26="Yes",IF($M$32="Yes",ROUND((((B27+60)/(1-H27)/MIN(MAX((0.1+($E$5/($E$5+((C27+15+40)*(1+G27)+2)))+(($F$5-D27)/1000)-F27),0.1),1))/'Background Tables'!$G$2)/IF($K$5="Yes",0.97,1),0),"Calc. Off"),"Calc. Off")</f>
        <v>15936</v>
      </c>
      <c r="J39" s="6">
        <f>IF($M$29="Yes",IF($M$32="Yes",ROUND((((B27+75+60)/(1-H27)/MIN(MAX((0.1+($E$5/($E$5+((C27+35+40)*(1+G27)+2)))+(($F$5-D27)/1000)-F27),0.1),1))/'Background Tables'!$G$2)/IF($K$5="Yes",0.97,1),0),"Calc. Off"),"Calc. Off")</f>
        <v>18238</v>
      </c>
      <c r="K39" s="35" t="s">
        <v>40</v>
      </c>
      <c r="L39" s="25"/>
      <c r="M39" s="25"/>
      <c r="N39" s="25"/>
      <c r="O39" s="25"/>
      <c r="P39" s="25"/>
      <c r="Q39" s="25"/>
      <c r="R39" s="25"/>
      <c r="S39" s="27"/>
      <c r="T39" s="27"/>
      <c r="U39" s="27"/>
      <c r="V39" s="27"/>
      <c r="W39" s="27"/>
      <c r="X39" s="25"/>
      <c r="Y39" s="25"/>
      <c r="Z39" s="25"/>
    </row>
    <row r="40" spans="1:26" ht="15.75" customHeight="1" x14ac:dyDescent="0.25">
      <c r="L40" s="25"/>
      <c r="M40" s="25"/>
      <c r="N40" s="25"/>
      <c r="O40" s="25"/>
      <c r="P40" s="25"/>
      <c r="Q40" s="25"/>
      <c r="R40" s="25"/>
      <c r="S40" s="27"/>
      <c r="T40" s="27"/>
      <c r="U40" s="27"/>
      <c r="V40" s="27"/>
      <c r="W40" s="27"/>
      <c r="X40" s="25"/>
      <c r="Y40" s="25"/>
      <c r="Z40" s="25"/>
    </row>
    <row r="41" spans="1:26" ht="15.75" customHeight="1" x14ac:dyDescent="0.25">
      <c r="L41" s="25"/>
      <c r="M41" s="25"/>
      <c r="N41" s="25"/>
      <c r="O41" s="25"/>
      <c r="P41" s="25"/>
      <c r="Q41" s="25"/>
      <c r="R41" s="25"/>
      <c r="S41" s="27"/>
      <c r="T41" s="27"/>
      <c r="U41" s="27"/>
      <c r="V41" s="27"/>
      <c r="W41" s="27"/>
      <c r="X41" s="25"/>
      <c r="Y41" s="25"/>
      <c r="Z41" s="25"/>
    </row>
    <row r="42" spans="1:26" ht="15.75" customHeight="1" x14ac:dyDescent="0.25">
      <c r="L42" s="25"/>
      <c r="M42" s="25"/>
      <c r="N42" s="25"/>
      <c r="O42" s="25"/>
      <c r="P42" s="25"/>
      <c r="Q42" s="25"/>
      <c r="R42" s="25"/>
      <c r="S42" s="27"/>
      <c r="T42" s="27"/>
      <c r="U42" s="27"/>
      <c r="V42" s="27"/>
      <c r="W42" s="27"/>
      <c r="X42" s="25"/>
      <c r="Y42" s="25"/>
      <c r="Z42" s="25"/>
    </row>
    <row r="43" spans="1:26" ht="15.75" customHeight="1" x14ac:dyDescent="0.25">
      <c r="A43" s="16" t="s">
        <v>65</v>
      </c>
      <c r="B43" s="17"/>
      <c r="L43" s="25"/>
      <c r="M43" s="25"/>
      <c r="N43" s="25"/>
      <c r="O43" s="25"/>
      <c r="P43" s="25"/>
      <c r="Q43" s="25"/>
      <c r="R43" s="25"/>
      <c r="S43" s="27"/>
      <c r="T43" s="27"/>
      <c r="U43" s="27"/>
      <c r="V43" s="27"/>
      <c r="W43" s="27"/>
      <c r="X43" s="25"/>
      <c r="Y43" s="25"/>
      <c r="Z43" s="25"/>
    </row>
    <row r="44" spans="1:26" ht="15.75" customHeight="1" x14ac:dyDescent="0.25">
      <c r="L44" s="25"/>
      <c r="M44" s="25"/>
      <c r="N44" s="25"/>
      <c r="O44" s="25"/>
      <c r="P44" s="25"/>
      <c r="Q44" s="25"/>
      <c r="R44" s="25"/>
      <c r="S44" s="27"/>
      <c r="T44" s="27"/>
      <c r="U44" s="27"/>
      <c r="V44" s="27"/>
      <c r="W44" s="27"/>
      <c r="X44" s="25"/>
      <c r="Y44" s="25"/>
      <c r="Z44" s="25"/>
    </row>
    <row r="45" spans="1:26" ht="15.75" customHeight="1" x14ac:dyDescent="0.25">
      <c r="A45" s="18" t="s">
        <v>447</v>
      </c>
      <c r="B45" s="18" t="s">
        <v>13</v>
      </c>
      <c r="C45" s="18" t="s">
        <v>14</v>
      </c>
      <c r="D45" s="18" t="s">
        <v>15</v>
      </c>
      <c r="E45" s="18" t="s">
        <v>438</v>
      </c>
      <c r="F45" s="18" t="s">
        <v>3</v>
      </c>
      <c r="G45" s="18" t="s">
        <v>4</v>
      </c>
      <c r="H45" s="18" t="s">
        <v>16</v>
      </c>
      <c r="L45" s="25"/>
      <c r="M45" s="25"/>
      <c r="N45" s="25"/>
      <c r="O45" s="25"/>
      <c r="P45" s="25"/>
      <c r="Q45" s="25"/>
      <c r="R45" s="25"/>
      <c r="S45" s="27"/>
      <c r="T45" s="27"/>
      <c r="U45" s="27"/>
      <c r="V45" s="27"/>
      <c r="W45" s="27"/>
      <c r="X45" s="25"/>
      <c r="Y45" s="25"/>
      <c r="Z45" s="25"/>
    </row>
    <row r="46" spans="1:26" ht="15.75" customHeight="1" x14ac:dyDescent="0.25">
      <c r="A46" s="37"/>
      <c r="B46" s="19"/>
      <c r="C46" s="19"/>
      <c r="D46" s="19"/>
      <c r="E46" s="19"/>
      <c r="F46" s="19"/>
      <c r="G46" s="19"/>
      <c r="H46" s="19"/>
      <c r="L46" s="25"/>
      <c r="M46" s="25"/>
      <c r="N46" s="25"/>
      <c r="O46" s="25"/>
      <c r="P46" s="25"/>
      <c r="Q46" s="25"/>
      <c r="R46" s="25"/>
      <c r="S46" s="27"/>
      <c r="T46" s="27"/>
      <c r="U46" s="27"/>
      <c r="V46" s="27"/>
      <c r="W46" s="27"/>
      <c r="X46" s="25"/>
      <c r="Y46" s="25"/>
      <c r="Z46" s="25"/>
    </row>
    <row r="47" spans="1:26" ht="15.75" customHeight="1" x14ac:dyDescent="0.25">
      <c r="L47" s="25"/>
      <c r="M47" s="25"/>
      <c r="N47" s="25"/>
      <c r="O47" s="25"/>
      <c r="P47" s="25"/>
      <c r="Q47" s="25"/>
      <c r="R47" s="25"/>
      <c r="S47" s="27"/>
      <c r="T47" s="27"/>
      <c r="U47" s="27"/>
      <c r="V47" s="27"/>
      <c r="W47" s="27"/>
      <c r="X47" s="25"/>
      <c r="Y47" s="25"/>
      <c r="Z47" s="25"/>
    </row>
    <row r="48" spans="1:26" ht="15.75" customHeight="1" x14ac:dyDescent="0.25">
      <c r="B48" s="9" t="s">
        <v>22</v>
      </c>
      <c r="C48" s="9" t="s">
        <v>23</v>
      </c>
      <c r="D48" s="9" t="s">
        <v>24</v>
      </c>
      <c r="E48" s="9" t="s">
        <v>25</v>
      </c>
      <c r="F48" s="9" t="s">
        <v>26</v>
      </c>
      <c r="G48" s="9" t="s">
        <v>27</v>
      </c>
      <c r="H48" s="9" t="s">
        <v>28</v>
      </c>
      <c r="I48" s="9" t="s">
        <v>29</v>
      </c>
      <c r="J48" s="9" t="s">
        <v>30</v>
      </c>
      <c r="K48" s="9" t="s">
        <v>31</v>
      </c>
      <c r="L48" s="25"/>
      <c r="M48" s="25"/>
      <c r="N48" s="25"/>
      <c r="O48" s="25"/>
      <c r="P48" s="25"/>
      <c r="Q48" s="25"/>
      <c r="R48" s="25"/>
      <c r="S48" s="27"/>
      <c r="T48" s="27"/>
      <c r="U48" s="27"/>
      <c r="V48" s="27"/>
      <c r="W48" s="27"/>
      <c r="X48" s="25"/>
      <c r="Y48" s="25"/>
      <c r="Z48" s="25"/>
    </row>
    <row r="49" spans="1:26" ht="15.75" customHeight="1" x14ac:dyDescent="0.25">
      <c r="A49" s="5" t="s">
        <v>22</v>
      </c>
      <c r="B49" s="6">
        <f>IF($M$5="Yes",ROUND((B46/(1-H46)/MIN(MAX((0.1+($E$5/($E$5+(C46*(1+G46)+2)))+(($F$5-D46)/1000)-(F46)),0.1),1))/'Background Tables'!$G$2,0),"Calc. Off")</f>
        <v>0</v>
      </c>
      <c r="C49" s="7">
        <f>IF($M$8="Yes",IF($M$5="Yes",ROUND(((B46+266)/(1-H46)/MIN(MAX((0.1+($E$5/($E$5+(C46*(1+G46)+2)))+(($F$5-D46)/1000)-(F46)),0.1),1))/'Background Tables'!$G$2,0),"Calc. Off"),"Calc. Off")</f>
        <v>266</v>
      </c>
      <c r="D49" s="6">
        <f>IF($M$11="Yes",IF($M$5="Yes",ROUND(((B46+44)/(1-H46)/MIN(MAX((0.1+($E$5/($E$5+((C46+17)*(1+G46)+2)))+(($F$5-D46)/1000)-(F46)),0.1),1))/'Background Tables'!$G$2,0),"Calc. Off"),"Calc. Off")</f>
        <v>55</v>
      </c>
      <c r="E49" s="7">
        <f>IF($M$14="Yes",IF($M$5="Yes",ROUND(((B46+245)/(1-H46)/MIN(MAX((0.1+($E$5/($E$5+(C46*(1+G46)+2)))+(($F$5-D46)/1000)-(F46)),0.1),1))/'Background Tables'!$G$2,0),"Calc. Off"),"Calc. Off")</f>
        <v>245</v>
      </c>
      <c r="F49" s="7">
        <f>IF($M$17="Yes",IF($M$5="Yes",ROUND(((B46+350)/(1-H46)/MIN(MAX((0.1+($E$5/($E$5+((C46+5)*(1+G46)+2)))+(($F$5-D46)/1000)-(F46)),0.1),1))/'Background Tables'!$G$2,0),"Calc. Off"),"Calc. Off")</f>
        <v>363</v>
      </c>
      <c r="G49" s="7">
        <f>IF($M$20="Yes",IF($M$5="Yes",IFERROR(_xlfn.IFS(A46="DD","N/A",A46="SS","N/A"),ROUND(((B46+350)/(1-H46)/MIN(MAX((0.1+($E$5/($E$5+(C46*(1+G46)+2)))+(($F$5-D46)/1000)-(F46)),0.1),1))/'Background Tables'!$G$2/IF($K$5="Yes",IF(H43="Torpedo",0.7,1),1),0)),"Calc. Off"),"Calc. Off")</f>
        <v>350</v>
      </c>
      <c r="H49" s="7">
        <f>IF($M$23="Yes",IF($M$5="Yes",ROUND(((B46+500+IF($K$5="Yes",ROUNDDOWN($K$8/15,0)*0.01*(B46+500),0))/(1-H46)/MIN(MAX((0.1+($E$5/($E$5+(C46*(1+G46)+2)))+(($F$5-D46)/1000)-(F46)),0.1),1))/'Background Tables'!$G$2,0),"Calc. Off"),"Calc. Off")</f>
        <v>520</v>
      </c>
      <c r="I49" s="7">
        <f>IF($M$26="Yes",IF($M$5="Yes",ROUND((B46/(1-H46)/MIN(MAX((0.1+($E$5/($E$5+((C46+15)*(1+G46)+2)))+(($F$5-D46)/1000)-(F46)),0.1),1))/'Background Tables'!$G$2,0),"Calc. Off"),"Calc. Off")</f>
        <v>0</v>
      </c>
      <c r="J49" s="7">
        <f>IF($M$29="Yes",IF($M$5="Yes",ROUND(((B46+75)/(1-H46)/MIN(MAX((0.1+($E$5/($E$5+((C46+35)*(1+G46)+2)))+(($F$5-D46)/1000)-(F46)),0.1),1))/'Background Tables'!$G$2,0),"Calc. Off"),"Calc. Off")</f>
        <v>116</v>
      </c>
      <c r="K49" s="7">
        <f>IF($M$32="Yes",IF($M$5="Yes",ROUND((((B46+60)/(1-H46)/MIN(MAX((0.1+($E$5/($E$5+((C46+40)*(1+G46)+2)))+(($F$5-D46)/1000)-(F46)),0.1),1))/'Background Tables'!$G$2)/IF($K$5="Yes",0.97,1),0),"Calc. Off"),"Calc. Off")</f>
        <v>100</v>
      </c>
      <c r="L49" s="25"/>
      <c r="M49" s="25"/>
      <c r="N49" s="25"/>
      <c r="O49" s="25"/>
      <c r="P49" s="25"/>
      <c r="Q49" s="25"/>
      <c r="R49" s="25"/>
      <c r="S49" s="27"/>
      <c r="T49" s="27"/>
      <c r="U49" s="27"/>
      <c r="V49" s="27"/>
      <c r="W49" s="27"/>
      <c r="X49" s="25"/>
      <c r="Y49" s="25"/>
      <c r="Z49" s="25"/>
    </row>
    <row r="50" spans="1:26" ht="15.75" customHeight="1" x14ac:dyDescent="0.25">
      <c r="A50" s="5" t="s">
        <v>23</v>
      </c>
      <c r="B50" s="6">
        <f>IF($M$5="Yes",IF($M$8="Yes",ROUND(((B46+266)/(1-H46)/MIN(MAX((0.1+($E$5/($E$5+(C46*(1+G46)+2)))+(($F$5-D46)/1000)-(F46)),0.1),1))/'Background Tables'!$G$2,0),"Calc. Off"),"Calc. Off")</f>
        <v>266</v>
      </c>
      <c r="C50" s="7">
        <f>IF($M$8="Yes",ROUND(((B46+266+266)/(1-H46)/MIN(MAX((0.1+($E$5/($E$5+(C46*(1+G46)+2)))+(($F$5-D46)/1000)-(F46)),0.1),1))/'Background Tables'!$G$2,0),"Calc. Off")</f>
        <v>532</v>
      </c>
      <c r="D50" s="7">
        <f>IF($M$11="Yes",IF($M$8="Yes",ROUND(((B46+266+44)/(1-H46)/MIN(MAX((0.1+($E$5/($E$5+((C46+17)*(1+G46)+2)))+(($F$5-D46)/1000)-(F46)),0.1),1))/'Background Tables'!$G$2,0),"Calc. Off"),"Calc. Off")</f>
        <v>386</v>
      </c>
      <c r="E50" s="7">
        <f>IF($M$14="Yes",IF($M$8="Yes",ROUND(((B46+266+245)/(1-H46)/MIN(MAX((0.1+($E$5/($E$5+(C46*(1+G46)+2)))+(($F$5-D46)/1000)-(F46)),0.1),1))/'Background Tables'!$G$2,0),"Calc. Off"),"Calc. Off")</f>
        <v>511</v>
      </c>
      <c r="F50" s="7">
        <f>IF($M$17="Yes",IF($M$8="Yes",ROUND(((B46+266+350)/(1-H46)/MIN(MAX((0.1+($E$5/($E$5+((C46+5)*(1+G46)+2)))+(($F$5-D46)/1000)-(F46)),0.1),1))/'Background Tables'!$G$2,0),"Calc. Off"),"Calc. Off")</f>
        <v>638</v>
      </c>
      <c r="G50" s="7">
        <f>IF($M$20="Yes",IF($M$8="Yes",IFERROR(_xlfn.IFS(A46="DD","N/A",A46="SS","N/A"),ROUND(((B46+266+350)/(1-H46)/MIN(MAX((0.1+($E$5/($E$5+(C46*(1+G46)+2)))+(($F$5-D46)/1000)-(F46)),0.1),1))/'Background Tables'!$G$2/IF($K$5="Yes",IF(H43="Torpedo",0.7,1),1),0)),"Calc. Off"),"Calc. Off")</f>
        <v>616</v>
      </c>
      <c r="H50" s="7">
        <f>IF($M$23="Yes",IF($M$8="Yes",ROUND(((B46+266+500+IF($K$5="Yes",ROUNDDOWN($K$8/15,0)*0.01*(B46+266+500),0))/(1-H46)/MIN(MAX((0.1+($E$5/($E$5+(C46*(1+G46)+2)))+(($F$5-D46)/1000)-(F46)),0.1),1))/'Background Tables'!$G$2,0),"Calc. Off"),"Calc. Off")</f>
        <v>797</v>
      </c>
      <c r="I50" s="7">
        <f>IF($M$26="Yes",IF($M$8="Yes",ROUND(((B46+266)/(1-H46)/MIN(MAX((0.1+($E$5/($E$5+((C46+15)*(1+G46)+2)))+(($F$5-D46)/1000)-(F46)),0.1),1))/'Background Tables'!$G$2,0),"Calc. Off"),"Calc. Off")</f>
        <v>322</v>
      </c>
      <c r="J50" s="7">
        <f>IF($M$29="Yes",IF($M$8="Yes",ROUND(((B46+266+75)/(1-H46)/MIN(MAX((0.1+($E$5/($E$5+((C46+35)*(1+G46)+2)))+(($F$5-D46)/1000)-(F46)),0.1),1))/'Background Tables'!$G$2,0),"Calc. Off"),"Calc. Off")</f>
        <v>526</v>
      </c>
      <c r="K50" s="7">
        <f>IF($M$32="Yes",IF($M$8="Yes",ROUND((((B46+266+60)/(1-H46)/MIN(MAX((0.1+($E$5/($E$5+((C46+40)*(1+G46)+2)))+(($F$5-D46)/1000)-(F46)),0.1),1))/'Background Tables'!$G$2)/IF($K$5="Yes",0.97,1),0),"Calc. Off"),"Calc. Off")</f>
        <v>544</v>
      </c>
      <c r="L50" s="25"/>
      <c r="M50" s="25"/>
      <c r="N50" s="25"/>
      <c r="O50" s="25"/>
      <c r="P50" s="25"/>
      <c r="Q50" s="25"/>
      <c r="R50" s="25"/>
      <c r="S50" s="27"/>
      <c r="T50" s="27"/>
      <c r="U50" s="27"/>
      <c r="V50" s="27"/>
      <c r="W50" s="27"/>
      <c r="X50" s="25"/>
      <c r="Y50" s="25"/>
      <c r="Z50" s="25"/>
    </row>
    <row r="51" spans="1:26" ht="15.75" customHeight="1" x14ac:dyDescent="0.25">
      <c r="A51" s="5" t="s">
        <v>24</v>
      </c>
      <c r="B51" s="6">
        <f>IF($M$5="Yes",IF($M$11="Yes",ROUND(((B46+44)/(1-H46)/MIN(MAX((0.1+($E$5/($E$5+((C46+17)*(1+G46)+2)))+(($F$5-D46)/1000)-(F46)),0.1),1))/'Background Tables'!$G$2,0),"Calc. Off"),"Calc. Off")</f>
        <v>55</v>
      </c>
      <c r="C51" s="6">
        <f>IF($M$8="Yes",IF($M$11="Yes",ROUND(((B46+266+44)/(1-H46)/MIN(MAX((0.1+($E$5/($E$5+((C46+17)*(1+G46)+2)))+(($F$5-D46)/1000)-(F46)),0.1),1))/'Background Tables'!$G$2,0),"Calc. Off"),"Calc. Off")</f>
        <v>386</v>
      </c>
      <c r="D51" s="6">
        <f>IF($M$11="Yes",ROUND(((B46+44+44)/(1-H46)/MIN(MAX((0.1+($E$5/($E$5+((C46+17+17)*(1+G46)+2)))+(($F$5-D46)/1000)-(F46)),0.1),1))/'Background Tables'!$G$2,0),"Calc. Off")</f>
        <v>134</v>
      </c>
      <c r="E51" s="6">
        <f>IF($M$14="Yes",IF($M$11="Yes",ROUND(((B46+44+245)/(1-H46)/MIN(MAX((0.1+($E$5/($E$5+((C46+17)*(1+G46)+2)))+(($F$5-D46)/1000)-(F46)),0.1),1))/'Background Tables'!$G$2,0),"Calc. Off"),"Calc. Off")</f>
        <v>360</v>
      </c>
      <c r="F51" s="6">
        <f>IF($M$17="Yes",IF($M$11="Yes",ROUND(((B46+44+350)/(1-H46)/MIN(MAX((0.1+($E$5/($E$5+((C46+17+5)*(1+G46)+2)))+(($F$5-D46)/1000)-(F46)),0.1),1))/'Background Tables'!$G$2,0),"Calc. Off"),"Calc. Off")</f>
        <v>524</v>
      </c>
      <c r="G51" s="6">
        <f>IF($M$20="Yes",IF($M$11="Yes",IFERROR(_xlfn.IFS(A46="DD","N/A",A46="SS","N/A"),ROUND(((B46+44+350)/(1-H46)/MIN(MAX((0.1+($E$5/($E$5+((C46+17)*(1+G46)+2)))+(($F$5-D46)/1000)-F46),0.1),1))/'Background Tables'!$G$2/IF($K$5="Yes",IF(H43="Torpedo",0.7,1),1),0)),"Calc. Off"),"Calc. Off")</f>
        <v>491</v>
      </c>
      <c r="H51" s="6">
        <f>IF($M$23="Yes",IF($M$11="Yes",ROUND(((B46+44+500+IF($K$5="Yes",ROUNDDOWN($K$8/15,0)*0.01*(B46+44+500),0))/(1-H46)/MIN(MAX((0.1+($E$5/($E$5+((C46+17)*(1+G46)+2)))+(($F$5-D46)/1000)-F46),0.1),1))/'Background Tables'!$G$2,0),"Calc. Off"),"Calc. Off")</f>
        <v>704</v>
      </c>
      <c r="I51" s="6">
        <f>IF($M$26="Yes",IF($M$11="Yes",ROUND(((B46+44)/(1-H46)/MIN(MAX((0.1+($E$5/($E$5+((C46+17+15)*(1+G46)+2)))+(($F$5-D46)/1000)-F46),0.1),1))/'Background Tables'!$G$2,0),"Calc. Off"),"Calc. Off")</f>
        <v>66</v>
      </c>
      <c r="J51" s="6">
        <f>IF($M$29="Yes",IF($M$11="Yes",ROUND(((B46+44+75)/(1-H46)/MIN(MAX((0.1+($E$5/($E$5+((C46+17+35)*(1+G46)+2)))+(($F$5-D46)/1000)-F46),0.1),1))/'Background Tables'!$G$2,0),"Calc. Off"),"Calc. Off")</f>
        <v>215</v>
      </c>
      <c r="K51" s="6">
        <f>IF($M$32="Yes",IF($M$11="Yes",ROUND((((B46+44+60)/(1-H46)/MIN(MAX((0.1+($E$5/($E$5+((C46+17+40)*(1+G46)+2)))+(($F$5-D46)/1000)-F46),0.1),1))/'Background Tables'!$G$2)/IF($K$5="Yes",0.97,1),0),"Calc. Off"),"Calc. Off")</f>
        <v>201</v>
      </c>
      <c r="L51" s="25"/>
      <c r="M51" s="25"/>
      <c r="N51" s="25"/>
      <c r="O51" s="25"/>
      <c r="P51" s="25"/>
      <c r="Q51" s="25"/>
      <c r="R51" s="25"/>
      <c r="S51" s="27"/>
      <c r="T51" s="27"/>
      <c r="U51" s="27"/>
      <c r="V51" s="27"/>
      <c r="W51" s="27"/>
      <c r="X51" s="25"/>
      <c r="Y51" s="25"/>
      <c r="Z51" s="25"/>
    </row>
    <row r="52" spans="1:26" ht="15.75" customHeight="1" x14ac:dyDescent="0.25">
      <c r="A52" s="5" t="s">
        <v>25</v>
      </c>
      <c r="B52" s="6">
        <f>IF($M$5="Yes",IF($M$14="Yes",ROUND(((B46+245)/(1-H46)/MIN(MAX((0.1+($E$5/($E$5+(C46*(1+G46)+2)))+(($F$5-D46)/1000)-(F46)),0.1),1))/'Background Tables'!$G$2,0),"Calc. Off"),"Calc. Off")</f>
        <v>245</v>
      </c>
      <c r="C52" s="6">
        <f>IF($M$8="Yes",IF($M$14="Yes",ROUND(((B46+266+245)/(1-H46)/MIN(MAX((0.1+($E$5/($E$5+(C46*(1+G46)+2)))+(($F$5-D46)/1000)-(F46)),0.1),1))/'Background Tables'!$G$2,0),"Calc. Off"),"Calc. Off")</f>
        <v>511</v>
      </c>
      <c r="D52" s="6">
        <f>IF($M$11="Yes",IF($M$14="Yes",ROUND(((B46+44+245)/(1-H46)/MIN(MAX((0.1+($E$5/($E$5+((C46+17)*(1+G46)+2)))+(($F$5-D46)/1000)-(F46)),0.1),1))/'Background Tables'!$G$2,0),"Calc. Off"),"Calc. Off")</f>
        <v>360</v>
      </c>
      <c r="E52" s="6">
        <f>IF($M$14="Yes",ROUND(((B46+245+245)/(1-H46)/MIN(MAX((0.1+($E$5/($E$5+((C46+0)*(1+G46)+2)))+(($F$5-D46)/1000)-F46),0.1),1))/'Background Tables'!$G$2,0),"Calc. Off")</f>
        <v>490</v>
      </c>
      <c r="F52" s="6">
        <f>IF($M$17="Yes",IF($M$14="Yes",ROUND(((B46+245+350)/(1-H46)/MIN(MAX((0.1+($E$5/($E$5+((C46+5)*(1+G46)+2)))+(($F$5-D46)/1000)-F46),0.1),1))/'Background Tables'!$G$2,0),"Calc. Off"),"Calc. Off")</f>
        <v>616</v>
      </c>
      <c r="G52" s="6">
        <f>IF($M$20="Yes",IF($M$14="Yes",IFERROR(_xlfn.IFS(A46="DD","N/A",A46="SS","N/A"),ROUND(((B46+245+350)/(1-H46)/MIN(MAX((0.1+($E$5/($E$5+((C46+0)*(1+G46)+2)))+(($F$5-D46)/1000)-F46),0.1),1))/'Background Tables'!$G$2/IF($K$5="Yes",IF(H43="Torpedo",0.7,1),1),0)),"Calc. Off"),"Calc. Off")</f>
        <v>595</v>
      </c>
      <c r="H52" s="6">
        <f>IF($M$23="Yes",IF($M$14="Yes",ROUND(((B46+245+500+IF($K$5="Yes",ROUNDDOWN($K$8/15,0)*0.01*(B46+245+500),0))/(1-H46)/MIN(MAX((0.1+($E$5/($E$5+((C46+0)*(1+G46)+2)))+(($F$5-D46)/1000)-F46),0.1),1))/'Background Tables'!$G$2,0),"Calc. Off"),"Calc. Off")</f>
        <v>775</v>
      </c>
      <c r="I52" s="6">
        <f>IF($M$26="Yes",IF($M$14="Yes",ROUND(((B46+245)/(1-H46)/MIN(MAX((0.1+($E$5/($E$5+((C46+15)*(1+G46)+2)))+(($F$5-D46)/1000)-F46),0.1),1))/'Background Tables'!$G$2,0),"Calc. Off"),"Calc. Off")</f>
        <v>297</v>
      </c>
      <c r="J52" s="6">
        <f>IF($M$29="Yes",IF($M$14="Yes",ROUND(((B46+245+75)/(1-H46)/MIN(MAX((0.1+($E$5/($E$5+((C46+35)*(1+G46)+2)))+(($F$5-D46)/1000)-F46),0.1),1))/'Background Tables'!$G$2,0),"Calc. Off"),"Calc. Off")</f>
        <v>493</v>
      </c>
      <c r="K52" s="6">
        <f>IF($M$32="Yes",IF($M$14="Yes",ROUND((((B46+245+60)/(1-H46)/MIN(MAX((0.1+($E$5/($E$5+((C46+40)*(1+G46)+2)))+(($F$5-D46)/1000)-F46),0.1),1))/'Background Tables'!$G$2)/IF($K$5="Yes",0.97,1),0),"Calc. Off"),"Calc. Off")</f>
        <v>509</v>
      </c>
      <c r="L52" s="25"/>
      <c r="M52" s="25"/>
      <c r="N52" s="25"/>
      <c r="O52" s="25"/>
      <c r="P52" s="25"/>
      <c r="Q52" s="25"/>
      <c r="R52" s="25"/>
      <c r="S52" s="27"/>
      <c r="T52" s="27"/>
      <c r="U52" s="27"/>
      <c r="V52" s="27"/>
      <c r="W52" s="27"/>
      <c r="X52" s="25"/>
      <c r="Y52" s="25"/>
      <c r="Z52" s="25"/>
    </row>
    <row r="53" spans="1:26" ht="15.75" customHeight="1" x14ac:dyDescent="0.25">
      <c r="A53" s="5" t="s">
        <v>26</v>
      </c>
      <c r="B53" s="6">
        <f>IF($M$5="Yes",IF($M$17="Yes",ROUND(((B46+350)/(1-H46)/MIN(MAX((0.1+($E$5/($E$5+((C46+5)*(1+G46)+2)))+(($F$5-D46)/1000)-(F46)),0.1),1))/'Background Tables'!$G$2,0),"Calc. Off"),"Calc. Off")</f>
        <v>363</v>
      </c>
      <c r="C53" s="6">
        <f>IF($M$8="Yes",IF($M$17="Yes",ROUND(((B46+266+350)/(1-H46)/MIN(MAX((0.1+($E$5/($E$5+((C46+5)*(1+G46)+2)))+(($F$5-D46)/1000)-(F46)),0.1),1))/'Background Tables'!$G$2,0),"Calc. Off"),"Calc. Off")</f>
        <v>638</v>
      </c>
      <c r="D53" s="6">
        <f>IF($M$11="Yes",IF($M$17="Yes",ROUND(((B46+44+350)/(1-H46)/MIN(MAX((0.1+($E$5/($E$5+((C46+17+5)*(1+G46)+2)))+(($F$5-D46)/1000)-(F46)),0.1),1))/'Background Tables'!$G$2,0),"Calc. Off"),"Calc. Off")</f>
        <v>524</v>
      </c>
      <c r="E53" s="6">
        <f>IF($M$14="Yes",IF($M$17="Yes",ROUND(((B46+245+350)/(1-H46)/MIN(MAX((0.1+($E$5/($E$5+((C46+5)*(1+G46)+2)))+(($F$5-D46)/1000)-F46),0.1),1))/'Background Tables'!$G$2,0),"Calc. Off"),"Calc. Off")</f>
        <v>616</v>
      </c>
      <c r="F53" s="6">
        <f>IF($M$17="Yes",ROUND(((B46+350+350)/(1-H46)/MIN(MAX((0.1+($E$5/($E$5+((C46+5+5)*(1+G46)+2)))+(($F$5-D46)/1000)-F46),0.1),1))/'Background Tables'!$G$2,0),"Calc. Off")</f>
        <v>787</v>
      </c>
      <c r="G53" s="6">
        <f>IF($M$20="Yes",IF($M$17="Yes",IFERROR(_xlfn.IFS(A46="DD","N/A",A46="SS","N/A"),ROUND(((B46+350+350)/(1-H46)/MIN(MAX((0.1+($E$5/($E$5+((C46+5)*(1+G46)+2)))+(($F$5-D46)/1000)-F46),0.1),1))/'Background Tables'!$G$2/IF($K$5="Yes",IF(H43="Torpedo",0.7,1),1),0)),"Calc. Off"),"Calc. Off")</f>
        <v>725</v>
      </c>
      <c r="H53" s="6">
        <f>IF($M$23="Yes",IF($M$17="Yes",ROUND(((B46+350+500+IF($K$5="Yes",ROUNDDOWN($K$8/15,0)*0.01*(B46+350+500),0))/(1-H46)/MIN(MAX((0.1+($E$5/($E$5+((C46+5)*(1+G46)+2)))+(($F$5-D46)/1000)-F46),0.1),1))/'Background Tables'!$G$2,0),"Calc. Off"),"Calc. Off")</f>
        <v>916</v>
      </c>
      <c r="I53" s="6">
        <f>IF($M$26="Yes",IF($M$17="Yes",ROUND(((B46+350)/(1-H46)/MIN(MAX((0.1+($E$5/($E$5+((C46+5+15)*(1+G46)+2)))+(($F$5-D46)/1000)-F46),0.1),1))/'Background Tables'!$G$2,0),"Calc. Off"),"Calc. Off")</f>
        <v>454</v>
      </c>
      <c r="J53" s="6">
        <f>IF($M$29="Yes",IF($M$17="Yes",ROUND(((B46+350+75)/(1-H46)/MIN(MAX((0.1+($E$5/($E$5+((C46+5+35)*(1+G46)+2)))+(($F$5-D46)/1000)-F46),0.1),1))/'Background Tables'!$G$2,0),"Calc. Off"),"Calc. Off")</f>
        <v>689</v>
      </c>
      <c r="K53" s="6">
        <f>IF($M$17="Yes",IF($M$32="Yes",ROUND((((B46+350+60)/(1-H46)/MIN(MAX((0.1+($E$5/($E$5+((C46+5+40)*(1+G46)+2)))+(($F$5-D46)/1000)-F46),0.1),1))/'Background Tables'!$G$2)/IF($K$5="Yes",0.97,1),0),"Calc. Off"),"Calc. Off")</f>
        <v>717</v>
      </c>
      <c r="L53" s="25"/>
      <c r="M53" s="25"/>
      <c r="N53" s="25"/>
      <c r="O53" s="25"/>
      <c r="P53" s="25"/>
      <c r="Q53" s="25"/>
      <c r="R53" s="25"/>
      <c r="S53" s="27"/>
      <c r="T53" s="27"/>
      <c r="U53" s="27"/>
      <c r="V53" s="27"/>
      <c r="W53" s="27"/>
      <c r="X53" s="25"/>
      <c r="Y53" s="25"/>
      <c r="Z53" s="25"/>
    </row>
    <row r="54" spans="1:26" ht="15.75" customHeight="1" x14ac:dyDescent="0.25">
      <c r="A54" s="5" t="s">
        <v>27</v>
      </c>
      <c r="B54" s="6">
        <f>IF($M$5="Yes",IF($M$20="Yes",IFERROR(_xlfn.IFS(A46="DD","N/A",A46="SS","N/A"),ROUND(((B46+350)/(1-H46)/MIN(MAX((0.1+($E$5/($E$5+(C46*(1+G46)+2)))+(($F$5-D46)/1000)-(F46)),0.1),1))/'Background Tables'!$G$2/IF($K$5="Yes",IF(H43="Torpedo",0.7,1),1),0)),"Calc. Off"),"Calc. Off")</f>
        <v>350</v>
      </c>
      <c r="C54" s="6">
        <f>IF($M$8="Yes",IF($M$20="Yes",IFERROR(_xlfn.IFS(A46="DD","N/A",A46="SS","N/A"),ROUND(((B46+266+350)/(1-H46)/MIN(MAX((0.1+($E$5/($E$5+(C46*(1+G46)+2)))+(($F$5-D46)/1000)-(F46)),0.1),1))/'Background Tables'!$G$2/IF($K$5="Yes",IF(H43="Torpedo",0.7,1),1),0)),"Calc. Off"),"Calc. Off")</f>
        <v>616</v>
      </c>
      <c r="D54" s="6">
        <f>IF($M$11="Yes",IF($M$20="Yes",IFERROR(_xlfn.IFS(A46="DD","N/A",A46="SS","N/A"),ROUND(((B46+44+350)/(1-H46)/MIN(MAX((0.1+($E$5/($E$5+((C46+17)*(1+G46)+2)))+(($F$5-D46)/1000)-F46),0.1),1))/'Background Tables'!$G$2/IF($K$5="Yes",IF(H43="Torpedo",0.7,1),1),0)),"Calc. Off"),"Calc. Off")</f>
        <v>491</v>
      </c>
      <c r="E54" s="6">
        <f>IF($M$14="Yes",IF($M$20="Yes",IFERROR(_xlfn.IFS(A46="DD","N/A",A46="SS","N/A"),ROUND(((B46+245+350)/(1-H46)/MIN(MAX((0.1+($E$5/($E$5+((C46+0)*(1+G46)+2)))+(($F$5-D46)/1000)-F46),0.1),1))/'Background Tables'!$G$2/IF($K$5="Yes",IF(H43="Torpedo",0.7,1),1),0)),"Calc. Off"),"Calc. Off")</f>
        <v>595</v>
      </c>
      <c r="F54" s="6">
        <f>IF($M$17="Yes",IF($M$20="Yes",IFERROR(_xlfn.IFS(A46="DD","N/A",A46="SS","N/A"),ROUND(((B46+350+350)/(1-H46)/MIN(MAX((0.1+($E$5/($E$5+((C46+5)*(1+G46)+2)))+(($F$5-D46)/1000)-F46),0.1),1))/'Background Tables'!$G$2/IF($K$5="Yes",IF(H43="Torpedo",0.7,1),1),0)),"Calc. Off"),"Calc. Off")</f>
        <v>725</v>
      </c>
      <c r="G54" s="6">
        <f>IF($M$20="Yes",IFERROR(_xlfn.IFS(A46="DD","N/A",A46="SS","N/A"),ROUND(((B46+350+350)/(1-H46)/MIN(MAX((0.1+($E$5/($E$5+((C46+0)*(1+G46)+2)))+(($F$5-D46)/1000)-F46),0.1),1))/'Background Tables'!$G$2/IF($K$5="Yes",IF(H43="Torpedo",0.7,1),1),0)),"Calc. Off")</f>
        <v>700</v>
      </c>
      <c r="H54" s="6">
        <f>IF($M$23="Yes",IF($M$20="Yes",IFERROR(_xlfn.IFS(A46="DD","N/A",A46="SS","N/A"),ROUND(((B46+350+500+IF($K$5="Yes",ROUNDDOWN($K$8/15,0)*0.01*(B46+350+500),0))/(1-H46)/MIN(MAX((0.1+($E$5/($E$5+((C46+0)*(1+G46)+2)))+(($F$5-D46)/1000)-F46),0.1),1))/'Background Tables'!$G$2/IF($K$5="Yes",IF(H43="Torpedo",0.7,1),1),0)),"Calc. Off"),"Calc. Off")</f>
        <v>884</v>
      </c>
      <c r="I54" s="6">
        <f>IF($M$26="Yes",IF($M$20="Yes",IFERROR(_xlfn.IFS(A46="DD","N/A",A46="SS","N/A"),ROUND(((B46+350)/(1-H46)/MIN(MAX((0.1+($E$5/($E$5+((C46+15)*(1+G46)+2)))+(($F$5-D46)/1000)-F46),0.1),1))/'Background Tables'!$G$2/IF($K$5="Yes",IF(H43="Torpedo",0.7,1),1),0)),"Calc. Off"),"Calc. Off")</f>
        <v>424</v>
      </c>
      <c r="J54" s="6">
        <f>IF($M$29="Yes",IF($M$20="Yes",IFERROR(_xlfn.IFS(A46="DD","N/A",A46="SS","N/A"),ROUND(((B46+350+75)/(1-H46)/MIN(MAX((0.1+($E$5/($E$5+((C46+35)*(1+G46)+2)))+(($F$5-D46)/1000)-F46),0.1),1))/'Background Tables'!$G$2/IF($K$5="Yes",IF(H43="Torpedo",0.7,1),1),0)),"Calc. Off"),"Calc. Off")</f>
        <v>655</v>
      </c>
      <c r="K54" s="6">
        <f>IF($M$32="Yes",IF($M$20="Yes",IFERROR(_xlfn.IFS(A46="DD","N/A",A46="SS","N/A"),ROUND((((B46+350+60)/(1-H46)/MIN(MAX((0.1+($E$5/($E$5+((C46+40)*(1+G46)+2)))+(($F$5-D46)/1000)-F46),0.1),1))/'Background Tables'!$G$2/IF($K$5="Yes",IF(H43="Torpedo",0.7,1),1))/IF($K$5="Yes",0.97,1),0)),"Calc. Off"),"Calc. Off")</f>
        <v>685</v>
      </c>
      <c r="L54" s="25"/>
      <c r="M54" s="25"/>
      <c r="N54" s="25"/>
      <c r="O54" s="25"/>
      <c r="P54" s="25"/>
      <c r="Q54" s="25"/>
      <c r="R54" s="25"/>
      <c r="S54" s="27"/>
      <c r="T54" s="27"/>
      <c r="U54" s="27"/>
      <c r="V54" s="27"/>
      <c r="W54" s="27"/>
      <c r="X54" s="25"/>
      <c r="Y54" s="25"/>
      <c r="Z54" s="25"/>
    </row>
    <row r="55" spans="1:26" ht="15.75" customHeight="1" x14ac:dyDescent="0.25">
      <c r="A55" s="5" t="s">
        <v>28</v>
      </c>
      <c r="B55" s="6">
        <f>IF($M$5="Yes",IF($M$23="Yes",ROUND(((B46+500+IF($K$5="Yes",ROUNDDOWN($K$8/15,0)*0.01*(B46+500),0))/(1-H46)/MIN(MAX((0.1+($E$5/($E$5+(C46*(1+G46)+2)))+(($F$5-D46)/1000)-(F46)),0.1),1))/'Background Tables'!$G$2,0),"Calc. Off"),"Calc. Off")</f>
        <v>520</v>
      </c>
      <c r="C55" s="6">
        <f>IF($M$8="Yes",IF($M$23="Yes",ROUND(((B46+266+500+IF($K$5="Yes",ROUNDDOWN($K$8/15,0)*0.01*(B46+266+500),0))/(1-H46)/MIN(MAX((0.1+($E$5/($E$5+(C46*(1+G46)+2)))+(($F$5-D46)/1000)-(F46)),0.1),1))/'Background Tables'!$G$2,0),"Calc. Off"),"Calc. Off")</f>
        <v>797</v>
      </c>
      <c r="D55" s="6">
        <f>IF($M$11="Yes",IF($M$23="Yes",ROUND(((B46+44+500+IF($K$5="Yes",ROUNDDOWN($K$8/15,0)*0.01*(B46+44+500),0))/(1-H46)/MIN(MAX((0.1+($E$5/($E$5+((C46+17)*(1+G46)+2)))+(($F$5-D46)/1000)-F46),0.1),1))/'Background Tables'!$G$2,0),"Calc. Off"),"Calc. Off")</f>
        <v>704</v>
      </c>
      <c r="E55" s="6">
        <f>IF($M$14="Yes",IF($M$23="Yes",ROUND(((B46+245+500+IF($K$5="Yes",ROUNDDOWN($K$8/15,0)*0.01*(B46+245+500),0))/(1-H46)/MIN(MAX((0.1+($E$5/($E$5+((C46+0)*(1+G46)+2)))+(($F$5-D46)/1000)-F46),0.1),1))/'Background Tables'!$G$2,0),"Calc. Off"),"Calc. Off")</f>
        <v>775</v>
      </c>
      <c r="F55" s="6">
        <f>IF($M$17="Yes",IF($M$23="Yes",ROUND(((B46+350+500+IF($K$5="Yes",ROUNDDOWN($K$8/15,0)*0.01*(B46+350+500),0))/(1-H46)/MIN(MAX((0.1+($E$5/($E$5+((C46+5)*(1+G46)+2)))+(($F$5-D46)/1000)-F46),0.1),1))/'Background Tables'!$G$2,0),"Calc. Off"),"Calc. Off")</f>
        <v>916</v>
      </c>
      <c r="G55" s="6">
        <f>IF($M$20="Yes",IF($M$23="Yes",IFERROR(_xlfn.IFS(A46="DD","N/A",A46="SS","N/A"),ROUND(((B46+350+500+IF($K$5="Yes",ROUNDDOWN($K$8/15,0)*0.01*(B46+350+500),0))/(1-H46)/MIN(MAX((0.1+($E$5/($E$5+((C46+0)*(1+G46)+2)))+(($F$5-D46)/1000)-F46),0.1),1))/'Background Tables'!$G$2/IF($K$5="Yes",IF(H43="Torpedo",0.7,1),1),0)),"Calc. Off"),"Calc. Off")</f>
        <v>884</v>
      </c>
      <c r="H55" s="6">
        <f>IF($M$23="Yes",ROUND(((B46+500+500+IF($K$5="Yes",ROUNDDOWN($K$8/15,0)*0.01*(B46+500+500),0))/(1-H46)/MIN(MAX((0.1+($E$5/($E$5+((C46+0)*(1+G46)+2)))+(($F$5-D46)/1000)-F46),0.1),1))/'Background Tables'!$G$2,0),"Calc. Off")</f>
        <v>1040</v>
      </c>
      <c r="I55" s="6">
        <f>IF($M$26="Yes",IF($M$23="Yes",ROUND(((B46+500+IF($K$5="Yes",ROUNDDOWN($K$8/15,0)*0.01*(B46+500),0))/(1-H46)/MIN(MAX((0.1+($E$5/($E$5+((C46+15)*(1+G46)+2)))+(($F$5-D46)/1000)-F46),0.1),1))/'Background Tables'!$G$2,0),"Calc. Off"),"Calc. Off")</f>
        <v>630</v>
      </c>
      <c r="J55" s="6">
        <f>IF($M$29="Yes",IF($M$23="Yes",ROUND(((B46+500+75+IF($K$5="Yes",ROUNDDOWN($K$8/15,0)*0.01*(B46+500+75),0))/(1-H46)/MIN(MAX((0.1+($E$5/($E$5+((C46+35)*(1+G46)+2)))+(($F$5-D46)/1000)-F46),0.1),1))/'Background Tables'!$G$2,0),"Calc. Off"),"Calc. Off")</f>
        <v>922</v>
      </c>
      <c r="K55" s="6">
        <f>IF($M$32="Yes",IF($M$23="Yes",ROUND((((B46+500+60+IF($K$5="Yes",ROUNDDOWN($K$8/15,0)*0.01*(B46+500+60),0))/(1-H46)/MIN(MAX((0.1+($E$5/($E$5+((C46+40)*(1+G46)+2)))+(($F$5-D46)/1000)-F46),0.1),1))/'Background Tables'!$G$2)/IF($K$5="Yes",0.97,1),0),"Calc. Off"),"Calc. Off")</f>
        <v>973</v>
      </c>
      <c r="L55" s="25"/>
      <c r="M55" s="25"/>
      <c r="N55" s="25"/>
      <c r="O55" s="25"/>
      <c r="P55" s="25"/>
      <c r="Q55" s="25"/>
      <c r="R55" s="25"/>
      <c r="S55" s="27"/>
      <c r="T55" s="27"/>
      <c r="U55" s="27"/>
      <c r="V55" s="27"/>
      <c r="W55" s="27"/>
      <c r="X55" s="25"/>
      <c r="Y55" s="25"/>
      <c r="Z55" s="25"/>
    </row>
    <row r="56" spans="1:26" ht="15.75" customHeight="1" x14ac:dyDescent="0.25">
      <c r="A56" s="5" t="s">
        <v>29</v>
      </c>
      <c r="B56" s="6">
        <f>IF($M$5="Yes",IF($M$26="Yes",ROUND((B46/(1-H46)/MIN(MAX((0.1+($E$5/($E$5+((C46+15)*(1+G46)+2)))+(($F$5-D46)/1000)-(F46)),0.1),1))/'Background Tables'!$G$2,0),"Calc. Off"),"Calc. Off")</f>
        <v>0</v>
      </c>
      <c r="C56" s="6">
        <f>IF($M$8="Yes",IF($M$26="Yes",ROUND(((B46+266)/(1-H46)/MIN(MAX((0.1+($E$5/($E$5+((C46+15)*(1+G46)+2)))+(($F$5-D46)/1000)-(F46)),0.1),1))/'Background Tables'!$G$2,0),"Calc. Off"),"Calc. Off")</f>
        <v>322</v>
      </c>
      <c r="D56" s="35">
        <f>IF($M$11="Yes",IF($M$26="Yes",ROUND(((B46+44)/(1-H46)/MIN(MAX((0.1+($E$5/($E$5+((C46+17+15)*(1+G46)+2)))+(($F$5-D46)/1000)-F46),0.1),1))/'Background Tables'!$G$2,0),"Calc. Off"),"Calc. Off")</f>
        <v>66</v>
      </c>
      <c r="E56" s="6">
        <f>IF($M$14="Yes",IF($M$26="Yes",ROUND(((B46+245)/(1-H46)/MIN(MAX((0.1+($E$5/($E$5+((C46+15)*(1+G46)+2)))+(($F$5-D46)/1000)-F46),0.1),1))/'Background Tables'!$G$2,0),"Calc. Off"),"Calc. Off")</f>
        <v>297</v>
      </c>
      <c r="F56" s="6">
        <f>IF($M$17="Yes",IF($M$26="Yes",ROUND(((B46+350)/(1-H46)/MIN(MAX((0.1+($E$5/($E$5+((C46+5+15)*(1+G46)+2)))+(($F$5-D46)/1000)-F46),0.1),1))/'Background Tables'!$G$2,0),"Calc. Off"),"Calc. Off")</f>
        <v>454</v>
      </c>
      <c r="G56" s="6">
        <f>IF($M$20="Yes",IF($M$26="Yes",IFERROR(_xlfn.IFS(A46="DD","N/A",A46="SS","N/A"),ROUND(((B46+350)/(1-H46)/MIN(MAX((0.1+($E$5/($E$5+((C46+15)*(1+G46)+2)))+(($F$5-D46)/1000)-F46),0.1),1))/'Background Tables'!$G$2/IF($K$5="Yes",IF(H43="Torpedo",0.7,1),1),0)),"Calc. Off"),"Calc. Off")</f>
        <v>424</v>
      </c>
      <c r="H56" s="6">
        <f>IF($M$23="Yes",IF($M$26="Yes",ROUND(((B46+500+IF($K$5="Yes",ROUNDDOWN($K$8/15,0)*0.01*(B46+500),0))/(1-H46)/MIN(MAX((0.1+($E$5/($E$5+((C46+15)*(1+G46)+2)))+(($F$5-D46)/1000)-F46),0.1),1))/'Background Tables'!$G$2,0),"Calc. Off"),"Calc. Off")</f>
        <v>630</v>
      </c>
      <c r="I56" s="6">
        <f>IF($M$26="Yes",ROUND(((B46+0)/(1-H46)/MIN(MAX((0.1+($E$5/($E$5+((C46+15+15)*(1+G46)+2)))+(($F$5-D46)/1000)-F46),0.1),1))/'Background Tables'!$G$2,0),"Calc. Off")</f>
        <v>0</v>
      </c>
      <c r="J56" s="6">
        <f>IF($M$29="Yes",IF($M$26="Yes",ROUND(((B46+75)/(1-H46)/MIN(MAX((0.1+($E$5/($E$5+((C46+15+35)*(1+G46)+2)))+(($F$5-D46)/1000)-F46),0.1),1))/'Background Tables'!$G$2,0),"Calc. Off"),"Calc. Off")</f>
        <v>133</v>
      </c>
      <c r="K56" s="6">
        <f>IF($M$32="Yes",IF($M$26="Yes",ROUND((((B46+60)/(1-H46)/MIN(MAX((0.1+($E$5/($E$5+((C46+15+40)*(1+G46)+2)))+(($F$5-D46)/1000)-F46),0.1),1))/'Background Tables'!$G$2)/IF($K$5="Yes",0.97,1),0),"Calc. Off"),"Calc. Off")</f>
        <v>114</v>
      </c>
      <c r="L56" s="25"/>
      <c r="M56" s="25"/>
      <c r="N56" s="25"/>
      <c r="O56" s="25"/>
      <c r="P56" s="25"/>
      <c r="Q56" s="25"/>
      <c r="R56" s="25"/>
      <c r="S56" s="27"/>
      <c r="T56" s="27"/>
      <c r="U56" s="27"/>
      <c r="V56" s="27"/>
      <c r="W56" s="27"/>
      <c r="X56" s="25"/>
      <c r="Y56" s="25"/>
      <c r="Z56" s="25"/>
    </row>
    <row r="57" spans="1:26" ht="15.75" customHeight="1" x14ac:dyDescent="0.25">
      <c r="A57" s="5" t="s">
        <v>30</v>
      </c>
      <c r="B57" s="8">
        <f>IF($M$5="Yes",IF($M$29="Yes",ROUND(((B46+75)/(1-H46)/MIN(MAX((0.1+($E$5/($E$5+((C46+35)*(1+G46)+2)))+(($F$5-D46)/1000)-(F46)),0.1),1))/'Background Tables'!$G$2,0),"Calc. Off"),"Calc. Off")</f>
        <v>116</v>
      </c>
      <c r="C57" s="6">
        <f>IF($M$8="Yes",IF($M$29="Yes",ROUND(((B46+266+75)/(1-H46)/MIN(MAX((0.1+($E$5/($E$5+((C46+35)*(1+G46)+2)))+(($F$5-D46)/1000)-(F46)),0.1),1))/'Background Tables'!$G$2,0),"Calc. Off"),"Calc. Off")</f>
        <v>526</v>
      </c>
      <c r="D57" s="6">
        <f>IF($M$11="Yes",IF($M$29="Yes",ROUND(((B46+44+75)/(1-H46)/MIN(MAX((0.1+($E$5/($E$5+((C46+17+35)*(1+G46)+2)))+(($F$5-D46)/1000)-F46),0.1),1))/'Background Tables'!$G$2,0),"Calc. Off"),"Calc. Off")</f>
        <v>215</v>
      </c>
      <c r="E57" s="6">
        <f>IF($M$14="Yes",IF($M$29="Yes",ROUND(((B46+245+75)/(1-H46)/MIN(MAX((0.1+($E$5/($E$5+((C46+35)*(1+G46)+2)))+(($F$5-D46)/1000)-F46),0.1),1))/'Background Tables'!$G$2,0),"Calc. Off"),"Calc. Off")</f>
        <v>493</v>
      </c>
      <c r="F57" s="6">
        <f>IF($M$17="Yes",IF($M$29="Yes",ROUND(((B46+350+75)/(1-H46)/MIN(MAX((0.1+($E$5/($E$5+((C46+5+35)*(1+G46)+2)))+(($F$5-D46)/1000)-F46),0.1),1))/'Background Tables'!$G$2,0),"Calc. Off"),"Calc. Off")</f>
        <v>689</v>
      </c>
      <c r="G57" s="6">
        <f>IF($M$20="Yes",IF($M$29="Yes",IFERROR(_xlfn.IFS(A46="DD","N/A",A46="SS","N/A"),ROUND(((B46+350+75)/(1-H46)/MIN(MAX((0.1+($E$5/($E$5+((C46+35)*(1+G46)+2)))+(($F$5-D46)/1000)-F46),0.1),1))/'Background Tables'!$G$2/IF($K$5="Yes",IF(H43="Torpedo",0.7,1),1),0)),"Calc. Off"),"Calc. Off")</f>
        <v>655</v>
      </c>
      <c r="H57" s="6">
        <f>IF($M$23="Yes",IF($M$29="Yes",ROUND(((B46+500+75+IF($K$5="Yes",ROUNDDOWN($K$8/15,0)*0.01*(B46+500+75),0))/(1-H46)/MIN(MAX((0.1+($E$5/($E$5+((C46+35)*(1+G46)+2)))+(($F$5-D46)/1000)-F46),0.1),1))/'Background Tables'!$G$2,0),"Calc. Off"),"Calc. Off")</f>
        <v>922</v>
      </c>
      <c r="I57" s="6">
        <f>IF($M$26="Yes",IF($M$29="Yes",ROUND(((B46+75)/(1-H46)/MIN(MAX((0.1+($E$5/($E$5+((C46+15+35)*(1+G46)+2)))+(($F$5-D46)/1000)-F46),0.1),1))/'Background Tables'!$G$2,0),"Calc. Off"),"Calc. Off")</f>
        <v>133</v>
      </c>
      <c r="J57" s="36" t="s">
        <v>40</v>
      </c>
      <c r="K57" s="6">
        <f>IF($M$32="Yes",IF($M$29="Yes",ROUND((((B46+75+60)/(1-H46)/MIN(MAX((0.1+($E$5/($E$5+((C46+35+40)*(1+G46)+2)))+(($F$5-D46)/1000)-F46),0.1),1))/'Background Tables'!$G$2)/IF($K$5="Yes",0.97,1),0),"Calc. Off"),"Calc. Off")</f>
        <v>297</v>
      </c>
      <c r="L57" s="25"/>
      <c r="M57" s="25"/>
      <c r="N57" s="25"/>
      <c r="O57" s="25"/>
      <c r="P57" s="25"/>
      <c r="Q57" s="25"/>
      <c r="R57" s="25"/>
      <c r="S57" s="27"/>
      <c r="T57" s="27"/>
      <c r="U57" s="27"/>
      <c r="V57" s="27"/>
      <c r="W57" s="27"/>
      <c r="X57" s="25"/>
      <c r="Y57" s="25"/>
      <c r="Z57" s="25"/>
    </row>
    <row r="58" spans="1:26" ht="15.75" customHeight="1" x14ac:dyDescent="0.25">
      <c r="A58" s="5" t="s">
        <v>31</v>
      </c>
      <c r="B58" s="6">
        <f>IF($M$5="Yes",IF($M$32="Yes",ROUND((((B46+60)/(1-H46)/MIN(MAX((0.1+($E$5/($E$5+((C46+40)*(1+G46)+2)))+(($F$5-D46)/1000)-(F46)),0.1),1))/'Background Tables'!$G$2)/IF($K$5="Yes",0.97,1),0),"Calc. Off"),"Calc. Off")</f>
        <v>100</v>
      </c>
      <c r="C58" s="6">
        <f>IF($M$8="Yes",IF($M$32="Yes",ROUND((((B46+266+60)/(1-H46)/MIN(MAX((0.1+($E$5/($E$5+((C46+40)*(1+G46)+2)))+(($F$5-D46)/1000)-(F46)),0.1),1))/'Background Tables'!$G$2)/IF($K$5="Yes",0.97,1),0),"Calc. Off"),"Calc. Off")</f>
        <v>544</v>
      </c>
      <c r="D58" s="6">
        <f>IF($M$11="Yes",IF($M$32="Yes",ROUND((((B46+44+60)/(1-H46)/MIN(MAX((0.1+($E$5/($E$5+((C46+17+40)*(1+G46)+2)))+(($F$5-D46)/1000)-F46),0.1),1))/'Background Tables'!$G$2)/IF($K$5="Yes",0.97,1),0),"Calc. Off"),"Calc. Off")</f>
        <v>201</v>
      </c>
      <c r="E58" s="6">
        <f>IF($M$14="Yes",IF($M$32="Yes",ROUND((((B46+245+60)/(1-H46)/MIN(MAX((0.1+($E$5/($E$5+((C46+40)*(1+G46)+2)))+(($F$5-D46)/1000)-F46),0.1),1))/'Background Tables'!$G$2)/IF($K$5="Yes",0.97,1),0),"Calc. Off"),"Calc. Off")</f>
        <v>509</v>
      </c>
      <c r="F58" s="6">
        <f>IF($M$17="Yes",IF($M$32="Yes",ROUND((((B46+350+60)/(1-H46)/MIN(MAX((0.1+($E$5/($E$5+((C46+5+40)*(1+G46)+2)))+(($F$5-D46)/1000)-F46),0.1),1))/'Background Tables'!$G$2)/IF($K$5="Yes",0.97,1),0),"Calc. Off"),"Calc. Off")</f>
        <v>717</v>
      </c>
      <c r="G58" s="6">
        <f>IF($M$20="Yes",IF($M$32="Yes",IFERROR(_xlfn.IFS(A46="DD","N/A",A46="SS","N/A"),ROUND((((B46+350+60)/(1-H46)/MIN(MAX((0.1+($E$5/($E$5+((C46+40)*(1+G46)+2)))+(($F$5-D46)/1000)-F46),0.1),1))/'Background Tables'!$G$2/IF($K$5="Yes",IF(H43="Torpedo",0.7,1),1))/IF($K$5="Yes",0.97,1),0)),"Calc. Off"),"Calc. Off")</f>
        <v>685</v>
      </c>
      <c r="H58" s="6">
        <f>IF($M$23="Yes",IF($M$32="Yes",ROUND((((B46+500+60+IF($K$5="Yes",ROUNDDOWN($K$8/15,0)*0.01*(B46+500+60),0))/(1-H46)/MIN(MAX((0.1+($E$5/($E$5+((C46+40)*(1+G46)+2)))+(($F$5-D46)/1000)-F46),0.1),1))/'Background Tables'!$G$2)/IF($K$5="Yes",0.97,1),0),"Calc. Off"),"Calc. Off")</f>
        <v>973</v>
      </c>
      <c r="I58" s="6">
        <f>IF($M$26="Yes",IF($M$32="Yes",ROUND((((B46+60)/(1-H46)/MIN(MAX((0.1+($E$5/($E$5+((C46+15+40)*(1+G46)+2)))+(($F$5-D46)/1000)-F46),0.1),1))/'Background Tables'!$G$2)/IF($K$5="Yes",0.97,1),0),"Calc. Off"),"Calc. Off")</f>
        <v>114</v>
      </c>
      <c r="J58" s="6">
        <f>IF($M$29="Yes",IF($M$32="Yes",ROUND((((B46+75+60)/(1-H46)/MIN(MAX((0.1+($E$5/($E$5+((C46+35+40)*(1+G46)+2)))+(($F$5-D46)/1000)-F46),0.1),1))/'Background Tables'!$G$2)/IF($K$5="Yes",0.97,1),0),"Calc. Off"),"Calc. Off")</f>
        <v>297</v>
      </c>
      <c r="K58" s="35" t="s">
        <v>40</v>
      </c>
      <c r="L58" s="25"/>
      <c r="M58" s="25"/>
      <c r="N58" s="25"/>
      <c r="O58" s="25"/>
      <c r="P58" s="25"/>
      <c r="Q58" s="25"/>
      <c r="R58" s="25"/>
      <c r="S58" s="27"/>
      <c r="T58" s="27"/>
      <c r="U58" s="27"/>
      <c r="V58" s="27"/>
      <c r="W58" s="27"/>
      <c r="X58" s="25"/>
      <c r="Y58" s="25"/>
      <c r="Z58" s="25"/>
    </row>
    <row r="59" spans="1:26" ht="13.2" x14ac:dyDescent="0.25">
      <c r="L59" s="25"/>
      <c r="M59" s="25"/>
      <c r="N59" s="25"/>
      <c r="O59" s="25"/>
      <c r="P59" s="25"/>
      <c r="Q59" s="25"/>
      <c r="R59" s="25"/>
      <c r="S59" s="27"/>
      <c r="T59" s="27"/>
      <c r="U59" s="27"/>
      <c r="V59" s="27"/>
      <c r="W59" s="27"/>
      <c r="X59" s="25"/>
      <c r="Y59" s="25"/>
      <c r="Z59" s="25"/>
    </row>
    <row r="60" spans="1:26" ht="13.2" x14ac:dyDescent="0.25">
      <c r="L60" s="25"/>
      <c r="M60" s="25"/>
      <c r="N60" s="25"/>
      <c r="O60" s="25"/>
      <c r="P60" s="25"/>
      <c r="Q60" s="25"/>
      <c r="R60" s="25"/>
      <c r="S60" s="27"/>
      <c r="T60" s="27"/>
      <c r="U60" s="27"/>
      <c r="V60" s="27"/>
      <c r="W60" s="27"/>
      <c r="X60" s="25"/>
      <c r="Y60" s="25"/>
      <c r="Z60" s="25"/>
    </row>
    <row r="61" spans="1:26" ht="13.2" x14ac:dyDescent="0.25">
      <c r="L61" s="25"/>
      <c r="M61" s="25"/>
      <c r="N61" s="25"/>
      <c r="O61" s="25"/>
      <c r="P61" s="25"/>
      <c r="Q61" s="25"/>
      <c r="R61" s="25"/>
      <c r="S61" s="27"/>
      <c r="T61" s="27"/>
      <c r="U61" s="27"/>
      <c r="V61" s="27"/>
      <c r="W61" s="27"/>
      <c r="X61" s="25"/>
      <c r="Y61" s="25"/>
      <c r="Z61" s="25"/>
    </row>
    <row r="62" spans="1:26" ht="13.2" x14ac:dyDescent="0.25">
      <c r="L62" s="25"/>
      <c r="M62" s="25"/>
      <c r="N62" s="25"/>
      <c r="O62" s="25"/>
      <c r="P62" s="25"/>
      <c r="Q62" s="25"/>
      <c r="R62" s="25"/>
      <c r="S62" s="27"/>
      <c r="T62" s="27"/>
      <c r="U62" s="27"/>
      <c r="V62" s="27"/>
      <c r="W62" s="27"/>
      <c r="X62" s="25"/>
      <c r="Y62" s="25"/>
      <c r="Z62" s="25"/>
    </row>
    <row r="63" spans="1:26" ht="13.2" x14ac:dyDescent="0.25">
      <c r="L63" s="25"/>
      <c r="M63" s="25"/>
      <c r="N63" s="25"/>
      <c r="O63" s="25"/>
      <c r="P63" s="25"/>
      <c r="Q63" s="25"/>
      <c r="R63" s="25"/>
      <c r="S63" s="27"/>
      <c r="T63" s="27"/>
      <c r="U63" s="27"/>
      <c r="V63" s="27"/>
      <c r="W63" s="27"/>
      <c r="X63" s="25"/>
      <c r="Y63" s="25"/>
      <c r="Z63" s="25"/>
    </row>
    <row r="64" spans="1:26" ht="13.2" x14ac:dyDescent="0.25">
      <c r="L64" s="25"/>
      <c r="M64" s="25"/>
      <c r="N64" s="25"/>
      <c r="O64" s="25"/>
      <c r="P64" s="25"/>
      <c r="Q64" s="25"/>
      <c r="R64" s="25"/>
      <c r="S64" s="27"/>
      <c r="T64" s="27"/>
      <c r="U64" s="27"/>
      <c r="V64" s="27"/>
      <c r="W64" s="27"/>
      <c r="X64" s="25"/>
      <c r="Y64" s="25"/>
      <c r="Z64" s="25"/>
    </row>
    <row r="65" spans="12:26" ht="13.2" x14ac:dyDescent="0.25">
      <c r="L65" s="25"/>
      <c r="M65" s="25"/>
      <c r="N65" s="25"/>
      <c r="O65" s="25"/>
      <c r="P65" s="25"/>
      <c r="Q65" s="25"/>
      <c r="R65" s="25"/>
      <c r="S65" s="27"/>
      <c r="T65" s="27"/>
      <c r="U65" s="27"/>
      <c r="V65" s="27"/>
      <c r="W65" s="27"/>
      <c r="X65" s="25"/>
      <c r="Y65" s="25"/>
      <c r="Z65" s="25"/>
    </row>
    <row r="66" spans="12:26" ht="13.2" x14ac:dyDescent="0.25">
      <c r="L66" s="25"/>
      <c r="M66" s="25"/>
      <c r="N66" s="25"/>
      <c r="O66" s="25"/>
      <c r="P66" s="25"/>
      <c r="Q66" s="25"/>
      <c r="R66" s="25"/>
      <c r="S66" s="27"/>
      <c r="T66" s="27"/>
      <c r="U66" s="27"/>
      <c r="V66" s="27"/>
      <c r="W66" s="27"/>
      <c r="X66" s="25"/>
      <c r="Y66" s="25"/>
      <c r="Z66" s="25"/>
    </row>
    <row r="67" spans="12:26" ht="13.2" x14ac:dyDescent="0.25">
      <c r="L67" s="25"/>
      <c r="M67" s="25"/>
      <c r="N67" s="25"/>
      <c r="O67" s="25"/>
      <c r="P67" s="25"/>
      <c r="Q67" s="25"/>
      <c r="R67" s="25"/>
      <c r="S67" s="27"/>
      <c r="T67" s="27"/>
      <c r="U67" s="27"/>
      <c r="V67" s="27"/>
      <c r="W67" s="27"/>
      <c r="X67" s="25"/>
      <c r="Y67" s="25"/>
      <c r="Z67" s="25"/>
    </row>
    <row r="68" spans="12:26" ht="13.2" x14ac:dyDescent="0.25">
      <c r="L68" s="25"/>
      <c r="M68" s="25"/>
      <c r="N68" s="25"/>
      <c r="O68" s="25"/>
      <c r="P68" s="25"/>
      <c r="Q68" s="25"/>
      <c r="R68" s="25"/>
      <c r="S68" s="27"/>
      <c r="T68" s="27"/>
      <c r="U68" s="27"/>
      <c r="V68" s="27"/>
      <c r="W68" s="27"/>
      <c r="X68" s="25"/>
      <c r="Y68" s="25"/>
      <c r="Z68" s="25"/>
    </row>
    <row r="69" spans="12:26" ht="13.2" x14ac:dyDescent="0.25">
      <c r="L69" s="25"/>
      <c r="M69" s="25"/>
      <c r="N69" s="25"/>
      <c r="O69" s="25"/>
      <c r="P69" s="25"/>
      <c r="Q69" s="25"/>
      <c r="R69" s="25"/>
      <c r="S69" s="27"/>
      <c r="T69" s="27"/>
      <c r="U69" s="27"/>
      <c r="V69" s="27"/>
      <c r="W69" s="27"/>
      <c r="X69" s="25"/>
      <c r="Y69" s="25"/>
      <c r="Z69" s="25"/>
    </row>
    <row r="70" spans="12:26" ht="13.2" x14ac:dyDescent="0.25">
      <c r="L70" s="25"/>
      <c r="M70" s="25"/>
      <c r="N70" s="25"/>
      <c r="O70" s="25"/>
      <c r="P70" s="25"/>
      <c r="Q70" s="25"/>
      <c r="R70" s="25"/>
      <c r="S70" s="27"/>
      <c r="T70" s="27"/>
      <c r="U70" s="27"/>
      <c r="V70" s="27"/>
      <c r="W70" s="27"/>
      <c r="X70" s="25"/>
      <c r="Y70" s="25"/>
      <c r="Z70" s="25"/>
    </row>
    <row r="71" spans="12:26" ht="13.2" x14ac:dyDescent="0.25">
      <c r="L71" s="25"/>
      <c r="M71" s="25"/>
      <c r="N71" s="25"/>
      <c r="O71" s="25"/>
      <c r="P71" s="25"/>
      <c r="Q71" s="25"/>
      <c r="R71" s="25"/>
      <c r="S71" s="27"/>
      <c r="T71" s="27"/>
      <c r="U71" s="27"/>
      <c r="V71" s="27"/>
      <c r="W71" s="27"/>
      <c r="X71" s="25"/>
      <c r="Y71" s="25"/>
      <c r="Z71" s="25"/>
    </row>
    <row r="72" spans="12:26" ht="13.2" x14ac:dyDescent="0.25">
      <c r="L72" s="25"/>
      <c r="M72" s="25"/>
      <c r="N72" s="25"/>
      <c r="O72" s="25"/>
      <c r="P72" s="25"/>
      <c r="Q72" s="25"/>
      <c r="R72" s="25"/>
      <c r="S72" s="27"/>
      <c r="T72" s="27"/>
      <c r="U72" s="27"/>
      <c r="V72" s="27"/>
      <c r="W72" s="27"/>
      <c r="X72" s="25"/>
      <c r="Y72" s="25"/>
      <c r="Z72" s="25"/>
    </row>
    <row r="73" spans="12:26" ht="13.2" x14ac:dyDescent="0.25">
      <c r="L73" s="25"/>
      <c r="M73" s="25"/>
      <c r="N73" s="25"/>
      <c r="O73" s="25"/>
      <c r="P73" s="25"/>
      <c r="Q73" s="25"/>
      <c r="R73" s="25"/>
      <c r="S73" s="27"/>
      <c r="T73" s="27"/>
      <c r="U73" s="27"/>
      <c r="V73" s="27"/>
      <c r="W73" s="27"/>
      <c r="X73" s="25"/>
      <c r="Y73" s="25"/>
      <c r="Z73" s="25"/>
    </row>
    <row r="74" spans="12:26" ht="13.2" x14ac:dyDescent="0.25">
      <c r="L74" s="25"/>
      <c r="M74" s="25"/>
      <c r="N74" s="25"/>
      <c r="O74" s="25"/>
      <c r="P74" s="25"/>
      <c r="Q74" s="25"/>
      <c r="R74" s="25"/>
      <c r="S74" s="27"/>
      <c r="T74" s="27"/>
      <c r="U74" s="27"/>
      <c r="V74" s="27"/>
      <c r="W74" s="27"/>
      <c r="X74" s="25"/>
      <c r="Y74" s="25"/>
      <c r="Z74" s="25"/>
    </row>
    <row r="75" spans="12:26" ht="13.2" x14ac:dyDescent="0.25">
      <c r="L75" s="25"/>
      <c r="M75" s="25"/>
      <c r="N75" s="25"/>
      <c r="O75" s="25"/>
      <c r="P75" s="25"/>
      <c r="Q75" s="25"/>
      <c r="R75" s="25"/>
      <c r="S75" s="27"/>
      <c r="T75" s="27"/>
      <c r="U75" s="27"/>
      <c r="V75" s="27"/>
      <c r="W75" s="27"/>
      <c r="X75" s="25"/>
      <c r="Y75" s="25"/>
      <c r="Z75" s="25"/>
    </row>
    <row r="76" spans="12:26" ht="13.2" x14ac:dyDescent="0.25">
      <c r="L76" s="25"/>
      <c r="M76" s="25"/>
      <c r="N76" s="25"/>
      <c r="O76" s="25"/>
      <c r="P76" s="25"/>
      <c r="Q76" s="25"/>
      <c r="R76" s="25"/>
      <c r="S76" s="27"/>
      <c r="T76" s="27"/>
      <c r="U76" s="27"/>
      <c r="V76" s="27"/>
      <c r="W76" s="27"/>
      <c r="X76" s="25"/>
      <c r="Y76" s="25"/>
      <c r="Z76" s="25"/>
    </row>
    <row r="77" spans="12:26" ht="13.2" x14ac:dyDescent="0.25">
      <c r="L77" s="25"/>
      <c r="M77" s="25"/>
      <c r="N77" s="25"/>
      <c r="O77" s="25"/>
      <c r="P77" s="25"/>
      <c r="Q77" s="25"/>
      <c r="R77" s="25"/>
      <c r="S77" s="27"/>
      <c r="T77" s="27"/>
      <c r="U77" s="27"/>
      <c r="V77" s="27"/>
      <c r="W77" s="27"/>
      <c r="X77" s="25"/>
      <c r="Y77" s="25"/>
      <c r="Z77" s="25"/>
    </row>
    <row r="78" spans="12:26" ht="13.2" x14ac:dyDescent="0.25">
      <c r="L78" s="25"/>
      <c r="M78" s="25"/>
      <c r="N78" s="25"/>
      <c r="O78" s="25"/>
      <c r="P78" s="25"/>
      <c r="Q78" s="25"/>
      <c r="R78" s="25"/>
      <c r="S78" s="27"/>
      <c r="T78" s="27"/>
      <c r="U78" s="27"/>
      <c r="V78" s="27"/>
      <c r="W78" s="27"/>
      <c r="X78" s="25"/>
      <c r="Y78" s="25"/>
      <c r="Z78" s="25"/>
    </row>
    <row r="79" spans="12:26" ht="13.2" x14ac:dyDescent="0.25">
      <c r="L79" s="25"/>
      <c r="M79" s="25"/>
      <c r="N79" s="25"/>
      <c r="O79" s="25"/>
      <c r="P79" s="25"/>
      <c r="Q79" s="25"/>
      <c r="R79" s="25"/>
      <c r="S79" s="27"/>
      <c r="T79" s="27"/>
      <c r="U79" s="27"/>
      <c r="V79" s="27"/>
      <c r="W79" s="27"/>
      <c r="X79" s="25"/>
      <c r="Y79" s="25"/>
      <c r="Z79" s="25"/>
    </row>
    <row r="80" spans="12:26" ht="13.2" x14ac:dyDescent="0.25">
      <c r="L80" s="25"/>
      <c r="M80" s="25"/>
      <c r="N80" s="25"/>
      <c r="O80" s="25"/>
      <c r="P80" s="25"/>
      <c r="Q80" s="25"/>
      <c r="R80" s="25"/>
      <c r="S80" s="27"/>
      <c r="T80" s="27"/>
      <c r="U80" s="27"/>
      <c r="V80" s="27"/>
      <c r="W80" s="27"/>
      <c r="X80" s="25"/>
      <c r="Y80" s="25"/>
      <c r="Z80" s="25"/>
    </row>
    <row r="81" spans="12:26" ht="13.2" x14ac:dyDescent="0.25">
      <c r="L81" s="25"/>
      <c r="M81" s="25"/>
      <c r="N81" s="25"/>
      <c r="O81" s="25"/>
      <c r="P81" s="25"/>
      <c r="Q81" s="25"/>
      <c r="R81" s="25"/>
      <c r="S81" s="27"/>
      <c r="T81" s="27"/>
      <c r="U81" s="27"/>
      <c r="V81" s="27"/>
      <c r="W81" s="27"/>
      <c r="X81" s="25"/>
      <c r="Y81" s="25"/>
      <c r="Z81" s="25"/>
    </row>
    <row r="82" spans="12:26" ht="13.2" x14ac:dyDescent="0.25">
      <c r="L82" s="25"/>
      <c r="M82" s="25"/>
      <c r="N82" s="25"/>
      <c r="O82" s="25"/>
      <c r="P82" s="25"/>
      <c r="Q82" s="25"/>
      <c r="R82" s="25"/>
      <c r="S82" s="27"/>
      <c r="T82" s="27"/>
      <c r="U82" s="27"/>
      <c r="V82" s="27"/>
      <c r="W82" s="27"/>
      <c r="X82" s="25"/>
      <c r="Y82" s="25"/>
      <c r="Z82" s="25"/>
    </row>
    <row r="83" spans="12:26" ht="13.2" x14ac:dyDescent="0.25">
      <c r="L83" s="25"/>
      <c r="M83" s="25"/>
      <c r="N83" s="25"/>
      <c r="O83" s="25"/>
      <c r="P83" s="25"/>
      <c r="Q83" s="25"/>
      <c r="R83" s="25"/>
      <c r="S83" s="27"/>
      <c r="T83" s="27"/>
      <c r="U83" s="27"/>
      <c r="V83" s="27"/>
      <c r="W83" s="27"/>
      <c r="X83" s="25"/>
      <c r="Y83" s="25"/>
      <c r="Z83" s="25"/>
    </row>
    <row r="84" spans="12:26" ht="13.2" x14ac:dyDescent="0.25">
      <c r="L84" s="25"/>
      <c r="M84" s="25"/>
      <c r="N84" s="25"/>
      <c r="O84" s="25"/>
      <c r="P84" s="25"/>
      <c r="Q84" s="25"/>
      <c r="R84" s="25"/>
      <c r="S84" s="27"/>
      <c r="T84" s="27"/>
      <c r="U84" s="27"/>
      <c r="V84" s="27"/>
      <c r="W84" s="27"/>
      <c r="X84" s="25"/>
      <c r="Y84" s="25"/>
      <c r="Z84" s="25"/>
    </row>
    <row r="85" spans="12:26" ht="13.2" x14ac:dyDescent="0.25">
      <c r="L85" s="25"/>
      <c r="M85" s="25"/>
      <c r="N85" s="25"/>
      <c r="O85" s="25"/>
      <c r="P85" s="25"/>
      <c r="Q85" s="25"/>
      <c r="R85" s="25"/>
      <c r="S85" s="27"/>
      <c r="T85" s="27"/>
      <c r="U85" s="27"/>
      <c r="V85" s="27"/>
      <c r="W85" s="27"/>
      <c r="X85" s="25"/>
      <c r="Y85" s="25"/>
      <c r="Z85" s="25"/>
    </row>
    <row r="86" spans="12:26" ht="13.2" x14ac:dyDescent="0.25">
      <c r="L86" s="25"/>
      <c r="M86" s="25"/>
      <c r="N86" s="25"/>
      <c r="O86" s="25"/>
      <c r="P86" s="25"/>
      <c r="Q86" s="25"/>
      <c r="R86" s="25"/>
      <c r="S86" s="27"/>
      <c r="T86" s="27"/>
      <c r="U86" s="27"/>
      <c r="V86" s="27"/>
      <c r="W86" s="27"/>
      <c r="X86" s="25"/>
      <c r="Y86" s="25"/>
      <c r="Z86" s="25"/>
    </row>
    <row r="87" spans="12:26" ht="13.2" x14ac:dyDescent="0.25">
      <c r="L87" s="25"/>
      <c r="M87" s="25"/>
      <c r="N87" s="25"/>
      <c r="O87" s="25"/>
      <c r="P87" s="25"/>
      <c r="Q87" s="25"/>
      <c r="R87" s="25"/>
      <c r="S87" s="27"/>
      <c r="T87" s="27"/>
      <c r="U87" s="27"/>
      <c r="V87" s="27"/>
      <c r="W87" s="27"/>
      <c r="X87" s="25"/>
      <c r="Y87" s="25"/>
      <c r="Z87" s="25"/>
    </row>
    <row r="88" spans="12:26" ht="13.2" x14ac:dyDescent="0.25">
      <c r="L88" s="25"/>
      <c r="M88" s="25"/>
      <c r="N88" s="25"/>
      <c r="O88" s="25"/>
      <c r="P88" s="25"/>
      <c r="Q88" s="25"/>
      <c r="R88" s="25"/>
      <c r="S88" s="27"/>
      <c r="T88" s="27"/>
      <c r="U88" s="27"/>
      <c r="V88" s="27"/>
      <c r="W88" s="27"/>
      <c r="X88" s="25"/>
      <c r="Y88" s="25"/>
      <c r="Z88" s="25"/>
    </row>
    <row r="89" spans="12:26" ht="13.2" x14ac:dyDescent="0.25">
      <c r="L89" s="25"/>
      <c r="M89" s="25"/>
      <c r="N89" s="25"/>
      <c r="O89" s="25"/>
      <c r="P89" s="25"/>
      <c r="Q89" s="25"/>
      <c r="R89" s="25"/>
      <c r="S89" s="27"/>
      <c r="T89" s="27"/>
      <c r="U89" s="27"/>
      <c r="V89" s="27"/>
      <c r="W89" s="27"/>
      <c r="X89" s="25"/>
      <c r="Y89" s="25"/>
      <c r="Z89" s="25"/>
    </row>
    <row r="90" spans="12:26" ht="13.2" x14ac:dyDescent="0.25">
      <c r="L90" s="25"/>
      <c r="M90" s="25"/>
      <c r="N90" s="25"/>
      <c r="O90" s="25"/>
      <c r="P90" s="25"/>
      <c r="Q90" s="25"/>
      <c r="R90" s="25"/>
      <c r="S90" s="27"/>
      <c r="T90" s="27"/>
      <c r="U90" s="27"/>
      <c r="V90" s="27"/>
      <c r="W90" s="27"/>
      <c r="X90" s="25"/>
      <c r="Y90" s="25"/>
      <c r="Z90" s="25"/>
    </row>
    <row r="91" spans="12:26" ht="13.2" x14ac:dyDescent="0.25">
      <c r="L91" s="25"/>
      <c r="M91" s="25"/>
      <c r="N91" s="25"/>
      <c r="O91" s="25"/>
      <c r="P91" s="25"/>
      <c r="Q91" s="25"/>
      <c r="R91" s="25"/>
      <c r="S91" s="27"/>
      <c r="T91" s="27"/>
      <c r="U91" s="27"/>
      <c r="V91" s="27"/>
      <c r="W91" s="27"/>
      <c r="X91" s="25"/>
      <c r="Y91" s="25"/>
      <c r="Z91" s="25"/>
    </row>
    <row r="92" spans="12:26" ht="13.2" x14ac:dyDescent="0.25">
      <c r="L92" s="25"/>
      <c r="M92" s="25"/>
      <c r="N92" s="25"/>
      <c r="O92" s="25"/>
      <c r="P92" s="25"/>
      <c r="Q92" s="25"/>
      <c r="R92" s="25"/>
      <c r="S92" s="27"/>
      <c r="T92" s="27"/>
      <c r="U92" s="27"/>
      <c r="V92" s="27"/>
      <c r="W92" s="27"/>
      <c r="X92" s="25"/>
      <c r="Y92" s="25"/>
      <c r="Z92" s="25"/>
    </row>
    <row r="93" spans="12:26" ht="13.2" x14ac:dyDescent="0.25">
      <c r="L93" s="25"/>
      <c r="M93" s="25"/>
      <c r="N93" s="25"/>
      <c r="O93" s="25"/>
      <c r="P93" s="25"/>
      <c r="Q93" s="25"/>
      <c r="R93" s="25"/>
      <c r="S93" s="27"/>
      <c r="T93" s="27"/>
      <c r="U93" s="27"/>
      <c r="V93" s="27"/>
      <c r="W93" s="27"/>
      <c r="X93" s="25"/>
      <c r="Y93" s="25"/>
      <c r="Z93" s="25"/>
    </row>
    <row r="94" spans="12:26" ht="13.2" x14ac:dyDescent="0.25">
      <c r="L94" s="25"/>
      <c r="M94" s="25"/>
      <c r="N94" s="25"/>
      <c r="O94" s="25"/>
      <c r="P94" s="25"/>
      <c r="Q94" s="25"/>
      <c r="R94" s="25"/>
      <c r="S94" s="27"/>
      <c r="T94" s="27"/>
      <c r="U94" s="27"/>
      <c r="V94" s="27"/>
      <c r="W94" s="27"/>
      <c r="X94" s="25"/>
      <c r="Y94" s="25"/>
      <c r="Z94" s="25"/>
    </row>
    <row r="95" spans="12:26" ht="13.2" x14ac:dyDescent="0.25">
      <c r="L95" s="25"/>
      <c r="M95" s="25"/>
      <c r="N95" s="25"/>
      <c r="O95" s="25"/>
      <c r="P95" s="25"/>
      <c r="Q95" s="25"/>
      <c r="R95" s="25"/>
      <c r="S95" s="27"/>
      <c r="T95" s="27"/>
      <c r="U95" s="27"/>
      <c r="V95" s="27"/>
      <c r="W95" s="27"/>
      <c r="X95" s="25"/>
      <c r="Y95" s="25"/>
      <c r="Z95" s="25"/>
    </row>
    <row r="96" spans="12:26" ht="13.2" x14ac:dyDescent="0.25">
      <c r="L96" s="25"/>
      <c r="M96" s="25"/>
      <c r="N96" s="25"/>
      <c r="O96" s="25"/>
      <c r="P96" s="25"/>
      <c r="Q96" s="25"/>
      <c r="R96" s="25"/>
      <c r="S96" s="27"/>
      <c r="T96" s="27"/>
      <c r="U96" s="27"/>
      <c r="V96" s="27"/>
      <c r="W96" s="27"/>
      <c r="X96" s="25"/>
      <c r="Y96" s="25"/>
      <c r="Z96" s="25"/>
    </row>
    <row r="97" spans="12:26" ht="13.2" x14ac:dyDescent="0.25">
      <c r="L97" s="25"/>
      <c r="M97" s="25"/>
      <c r="N97" s="25"/>
      <c r="O97" s="25"/>
      <c r="P97" s="25"/>
      <c r="Q97" s="25"/>
      <c r="R97" s="25"/>
      <c r="S97" s="27"/>
      <c r="T97" s="27"/>
      <c r="U97" s="27"/>
      <c r="V97" s="27"/>
      <c r="W97" s="27"/>
      <c r="X97" s="25"/>
      <c r="Y97" s="25"/>
      <c r="Z97" s="25"/>
    </row>
    <row r="98" spans="12:26" ht="13.2" x14ac:dyDescent="0.25">
      <c r="L98" s="25"/>
      <c r="M98" s="25"/>
      <c r="N98" s="25"/>
      <c r="O98" s="25"/>
      <c r="P98" s="25"/>
      <c r="Q98" s="25"/>
      <c r="R98" s="25"/>
      <c r="S98" s="27"/>
      <c r="T98" s="27"/>
      <c r="U98" s="27"/>
      <c r="V98" s="27"/>
      <c r="W98" s="27"/>
      <c r="X98" s="25"/>
      <c r="Y98" s="25"/>
      <c r="Z98" s="25"/>
    </row>
    <row r="99" spans="12:26" ht="13.2" x14ac:dyDescent="0.25">
      <c r="L99" s="25"/>
      <c r="M99" s="25"/>
      <c r="N99" s="25"/>
      <c r="O99" s="25"/>
      <c r="P99" s="25"/>
      <c r="Q99" s="25"/>
      <c r="R99" s="25"/>
      <c r="S99" s="27"/>
      <c r="T99" s="27"/>
      <c r="U99" s="27"/>
      <c r="V99" s="27"/>
      <c r="W99" s="27"/>
      <c r="X99" s="25"/>
      <c r="Y99" s="27"/>
      <c r="Z99" s="25"/>
    </row>
    <row r="100" spans="12:26" ht="13.2" x14ac:dyDescent="0.25">
      <c r="L100" s="25"/>
      <c r="M100" s="25"/>
      <c r="N100" s="25"/>
      <c r="O100" s="25"/>
      <c r="P100" s="25"/>
      <c r="Q100" s="25"/>
      <c r="R100" s="25"/>
      <c r="S100" s="27"/>
      <c r="T100" s="27"/>
      <c r="U100" s="27"/>
      <c r="V100" s="27"/>
      <c r="W100" s="27"/>
      <c r="X100" s="25"/>
      <c r="Y100" s="25"/>
      <c r="Z100" s="25"/>
    </row>
    <row r="101" spans="12:26" ht="13.2" x14ac:dyDescent="0.25">
      <c r="L101" s="25"/>
      <c r="M101" s="25"/>
      <c r="N101" s="25"/>
      <c r="O101" s="25"/>
      <c r="P101" s="25"/>
      <c r="Q101" s="25"/>
      <c r="R101" s="25"/>
      <c r="S101" s="27"/>
      <c r="T101" s="27"/>
      <c r="U101" s="27"/>
      <c r="V101" s="27"/>
      <c r="W101" s="27"/>
      <c r="X101" s="25"/>
      <c r="Y101" s="25"/>
      <c r="Z101" s="25"/>
    </row>
    <row r="102" spans="12:26" ht="13.2" x14ac:dyDescent="0.25">
      <c r="L102" s="25"/>
      <c r="M102" s="25"/>
      <c r="N102" s="25"/>
      <c r="O102" s="25"/>
      <c r="P102" s="25"/>
      <c r="Q102" s="25"/>
      <c r="R102" s="25"/>
      <c r="S102" s="27"/>
      <c r="T102" s="27"/>
      <c r="U102" s="27"/>
      <c r="V102" s="27"/>
      <c r="W102" s="27"/>
      <c r="X102" s="25"/>
      <c r="Y102" s="25"/>
      <c r="Z102" s="25"/>
    </row>
    <row r="103" spans="12:26" ht="13.2" x14ac:dyDescent="0.25">
      <c r="L103" s="25"/>
      <c r="M103" s="25"/>
      <c r="N103" s="25"/>
      <c r="O103" s="25"/>
      <c r="P103" s="25"/>
      <c r="Q103" s="25"/>
      <c r="R103" s="25"/>
      <c r="S103" s="27"/>
      <c r="T103" s="27"/>
      <c r="U103" s="27"/>
      <c r="V103" s="27"/>
      <c r="W103" s="27"/>
      <c r="X103" s="25"/>
      <c r="Y103" s="25"/>
      <c r="Z103" s="25"/>
    </row>
    <row r="104" spans="12:26" ht="13.2" x14ac:dyDescent="0.25">
      <c r="L104" s="25"/>
      <c r="M104" s="25"/>
      <c r="N104" s="25"/>
      <c r="O104" s="25"/>
      <c r="P104" s="25"/>
      <c r="Q104" s="25"/>
      <c r="R104" s="25"/>
      <c r="S104" s="27"/>
      <c r="T104" s="27"/>
      <c r="U104" s="27"/>
      <c r="V104" s="27"/>
      <c r="W104" s="27"/>
      <c r="X104" s="25"/>
      <c r="Y104" s="25"/>
      <c r="Z104" s="25"/>
    </row>
    <row r="105" spans="12:26" ht="13.2" x14ac:dyDescent="0.25">
      <c r="L105" s="25"/>
      <c r="M105" s="25"/>
      <c r="N105" s="25"/>
      <c r="O105" s="25"/>
      <c r="P105" s="25"/>
      <c r="Q105" s="25"/>
      <c r="R105" s="25"/>
      <c r="S105" s="27"/>
      <c r="T105" s="27"/>
      <c r="U105" s="27"/>
      <c r="V105" s="27"/>
      <c r="W105" s="27"/>
      <c r="X105" s="25"/>
      <c r="Y105" s="25"/>
      <c r="Z105" s="25"/>
    </row>
    <row r="106" spans="12:26" ht="13.2" x14ac:dyDescent="0.25">
      <c r="L106" s="25"/>
      <c r="M106" s="25"/>
      <c r="N106" s="25"/>
      <c r="O106" s="25"/>
      <c r="P106" s="25"/>
      <c r="Q106" s="25"/>
      <c r="R106" s="25"/>
      <c r="S106" s="27"/>
      <c r="T106" s="27"/>
      <c r="U106" s="27"/>
      <c r="V106" s="27"/>
      <c r="W106" s="27"/>
      <c r="X106" s="25"/>
      <c r="Y106" s="25"/>
      <c r="Z106" s="25"/>
    </row>
    <row r="107" spans="12:26" ht="13.2" x14ac:dyDescent="0.25">
      <c r="L107" s="25"/>
      <c r="M107" s="25"/>
      <c r="N107" s="25"/>
      <c r="O107" s="25"/>
      <c r="P107" s="25"/>
      <c r="Q107" s="25"/>
      <c r="R107" s="25"/>
      <c r="S107" s="27"/>
      <c r="T107" s="27"/>
      <c r="U107" s="27"/>
      <c r="V107" s="27"/>
      <c r="W107" s="27"/>
      <c r="X107" s="25"/>
      <c r="Y107" s="25"/>
      <c r="Z107" s="25"/>
    </row>
    <row r="108" spans="12:26" ht="13.2" x14ac:dyDescent="0.25">
      <c r="L108" s="25"/>
      <c r="M108" s="25"/>
      <c r="N108" s="25"/>
      <c r="O108" s="25"/>
      <c r="P108" s="25"/>
      <c r="Q108" s="25"/>
      <c r="R108" s="25"/>
      <c r="S108" s="27"/>
      <c r="T108" s="27"/>
      <c r="U108" s="27"/>
      <c r="V108" s="27"/>
      <c r="W108" s="27"/>
      <c r="X108" s="25"/>
      <c r="Y108" s="25"/>
      <c r="Z108" s="25"/>
    </row>
    <row r="109" spans="12:26" ht="13.2" x14ac:dyDescent="0.25">
      <c r="L109" s="25"/>
      <c r="M109" s="25"/>
      <c r="N109" s="25"/>
      <c r="O109" s="25"/>
      <c r="P109" s="25"/>
      <c r="Q109" s="25"/>
      <c r="R109" s="25"/>
      <c r="S109" s="27"/>
      <c r="T109" s="27"/>
      <c r="U109" s="27"/>
      <c r="V109" s="27"/>
      <c r="W109" s="27"/>
      <c r="X109" s="25"/>
      <c r="Y109" s="25"/>
      <c r="Z109" s="25"/>
    </row>
    <row r="110" spans="12:26" ht="13.2" x14ac:dyDescent="0.25">
      <c r="L110" s="25"/>
      <c r="M110" s="25"/>
      <c r="N110" s="25"/>
      <c r="O110" s="25"/>
      <c r="P110" s="25"/>
      <c r="Q110" s="25"/>
      <c r="R110" s="25"/>
      <c r="S110" s="27"/>
      <c r="T110" s="27"/>
      <c r="U110" s="27"/>
      <c r="V110" s="27"/>
      <c r="W110" s="27"/>
      <c r="X110" s="25"/>
      <c r="Y110" s="25"/>
      <c r="Z110" s="25"/>
    </row>
    <row r="111" spans="12:26" ht="13.2" x14ac:dyDescent="0.25">
      <c r="L111" s="25"/>
      <c r="M111" s="25"/>
      <c r="N111" s="25"/>
      <c r="O111" s="25"/>
      <c r="P111" s="25"/>
      <c r="Q111" s="25"/>
      <c r="R111" s="25"/>
      <c r="S111" s="27"/>
      <c r="T111" s="27"/>
      <c r="U111" s="27"/>
      <c r="V111" s="27"/>
      <c r="W111" s="27"/>
      <c r="X111" s="25"/>
      <c r="Y111" s="25"/>
      <c r="Z111" s="25"/>
    </row>
    <row r="112" spans="12:26" ht="13.2" x14ac:dyDescent="0.25">
      <c r="L112" s="25"/>
      <c r="M112" s="25"/>
      <c r="N112" s="25"/>
      <c r="O112" s="25"/>
      <c r="P112" s="25"/>
      <c r="Q112" s="25"/>
      <c r="R112" s="25"/>
      <c r="S112" s="27"/>
      <c r="T112" s="27"/>
      <c r="U112" s="27"/>
      <c r="V112" s="27"/>
      <c r="W112" s="27"/>
      <c r="X112" s="25"/>
      <c r="Y112" s="25"/>
      <c r="Z112" s="25"/>
    </row>
    <row r="113" spans="12:26" ht="13.2" x14ac:dyDescent="0.25">
      <c r="L113" s="25"/>
      <c r="M113" s="25"/>
      <c r="N113" s="25"/>
      <c r="O113" s="25"/>
      <c r="P113" s="25"/>
      <c r="Q113" s="25"/>
      <c r="R113" s="25"/>
      <c r="S113" s="27"/>
      <c r="T113" s="27"/>
      <c r="U113" s="27"/>
      <c r="V113" s="27"/>
      <c r="W113" s="27"/>
      <c r="X113" s="25"/>
      <c r="Y113" s="25"/>
      <c r="Z113" s="25"/>
    </row>
    <row r="114" spans="12:26" ht="13.2" x14ac:dyDescent="0.25">
      <c r="L114" s="25"/>
      <c r="M114" s="25"/>
      <c r="N114" s="25"/>
      <c r="O114" s="25"/>
      <c r="P114" s="25"/>
      <c r="Q114" s="25"/>
      <c r="R114" s="25"/>
      <c r="S114" s="27"/>
      <c r="T114" s="27"/>
      <c r="U114" s="27"/>
      <c r="V114" s="27"/>
      <c r="W114" s="27"/>
      <c r="X114" s="25"/>
      <c r="Y114" s="25"/>
      <c r="Z114" s="25"/>
    </row>
    <row r="115" spans="12:26" ht="13.2" x14ac:dyDescent="0.25">
      <c r="L115" s="25"/>
      <c r="M115" s="25"/>
      <c r="N115" s="25"/>
      <c r="O115" s="25"/>
      <c r="P115" s="25"/>
      <c r="Q115" s="25"/>
      <c r="R115" s="25"/>
      <c r="S115" s="27"/>
      <c r="T115" s="27"/>
      <c r="U115" s="27"/>
      <c r="V115" s="27"/>
      <c r="W115" s="27"/>
      <c r="X115" s="25"/>
      <c r="Y115" s="25"/>
      <c r="Z115" s="25"/>
    </row>
    <row r="116" spans="12:26" ht="13.2" x14ac:dyDescent="0.25">
      <c r="L116" s="25"/>
      <c r="M116" s="25"/>
      <c r="N116" s="25"/>
      <c r="O116" s="25"/>
      <c r="P116" s="25"/>
      <c r="Q116" s="25"/>
      <c r="R116" s="25"/>
      <c r="S116" s="27"/>
      <c r="T116" s="27"/>
      <c r="U116" s="27"/>
      <c r="V116" s="27"/>
      <c r="W116" s="27"/>
      <c r="X116" s="25"/>
      <c r="Y116" s="25"/>
      <c r="Z116" s="25"/>
    </row>
    <row r="117" spans="12:26" ht="13.2" x14ac:dyDescent="0.25">
      <c r="L117" s="25"/>
      <c r="M117" s="25"/>
      <c r="N117" s="25"/>
      <c r="O117" s="25"/>
      <c r="P117" s="25"/>
      <c r="Q117" s="25"/>
      <c r="R117" s="25"/>
      <c r="S117" s="27"/>
      <c r="T117" s="27"/>
      <c r="U117" s="27"/>
      <c r="V117" s="27"/>
      <c r="W117" s="27"/>
      <c r="X117" s="25"/>
      <c r="Y117" s="25"/>
      <c r="Z117" s="25"/>
    </row>
    <row r="118" spans="12:26" ht="13.2" x14ac:dyDescent="0.25">
      <c r="L118" s="25"/>
      <c r="M118" s="25"/>
      <c r="N118" s="25"/>
      <c r="O118" s="25"/>
      <c r="P118" s="25"/>
      <c r="Q118" s="25"/>
      <c r="R118" s="25"/>
      <c r="S118" s="27"/>
      <c r="T118" s="27"/>
      <c r="U118" s="27"/>
      <c r="V118" s="27"/>
      <c r="W118" s="27"/>
      <c r="X118" s="25"/>
      <c r="Y118" s="25"/>
      <c r="Z118" s="25"/>
    </row>
    <row r="119" spans="12:26" ht="13.2" x14ac:dyDescent="0.25">
      <c r="L119" s="25"/>
      <c r="M119" s="25"/>
      <c r="N119" s="25"/>
      <c r="O119" s="25"/>
      <c r="P119" s="25"/>
      <c r="Q119" s="25"/>
      <c r="R119" s="25"/>
      <c r="S119" s="27"/>
      <c r="T119" s="27"/>
      <c r="U119" s="27"/>
      <c r="V119" s="27"/>
      <c r="W119" s="27"/>
      <c r="X119" s="25"/>
      <c r="Y119" s="25"/>
      <c r="Z119" s="25"/>
    </row>
    <row r="120" spans="12:26" ht="13.2" x14ac:dyDescent="0.25">
      <c r="L120" s="25"/>
      <c r="M120" s="25"/>
      <c r="N120" s="25"/>
      <c r="O120" s="25"/>
      <c r="P120" s="25"/>
      <c r="Q120" s="25"/>
      <c r="R120" s="25"/>
      <c r="S120" s="27"/>
      <c r="T120" s="27"/>
      <c r="U120" s="27"/>
      <c r="V120" s="27"/>
      <c r="W120" s="27"/>
      <c r="X120" s="25"/>
      <c r="Y120" s="25"/>
      <c r="Z120" s="25"/>
    </row>
    <row r="121" spans="12:26" ht="13.2" x14ac:dyDescent="0.25">
      <c r="L121" s="25"/>
      <c r="M121" s="25"/>
      <c r="N121" s="25"/>
      <c r="O121" s="25"/>
      <c r="P121" s="25"/>
      <c r="Q121" s="25"/>
      <c r="R121" s="25"/>
      <c r="S121" s="27"/>
      <c r="T121" s="27"/>
      <c r="U121" s="27"/>
      <c r="V121" s="27"/>
      <c r="W121" s="27"/>
      <c r="X121" s="25"/>
      <c r="Y121" s="25"/>
      <c r="Z121" s="25"/>
    </row>
    <row r="122" spans="12:26" ht="13.2" x14ac:dyDescent="0.25">
      <c r="L122" s="25"/>
      <c r="M122" s="25"/>
      <c r="N122" s="25"/>
      <c r="O122" s="25"/>
      <c r="P122" s="25"/>
      <c r="Q122" s="25"/>
      <c r="R122" s="25"/>
      <c r="S122" s="27"/>
      <c r="T122" s="27"/>
      <c r="U122" s="27"/>
      <c r="V122" s="27"/>
      <c r="W122" s="27"/>
      <c r="X122" s="25"/>
      <c r="Y122" s="25"/>
      <c r="Z122" s="25"/>
    </row>
    <row r="123" spans="12:26" ht="13.2" x14ac:dyDescent="0.25">
      <c r="L123" s="25"/>
      <c r="M123" s="25"/>
      <c r="N123" s="25"/>
      <c r="O123" s="25"/>
      <c r="P123" s="25"/>
      <c r="Q123" s="25"/>
      <c r="R123" s="25"/>
      <c r="S123" s="27"/>
      <c r="T123" s="27"/>
      <c r="U123" s="27"/>
      <c r="V123" s="27"/>
      <c r="W123" s="27"/>
      <c r="X123" s="25"/>
      <c r="Y123" s="25"/>
      <c r="Z123" s="25"/>
    </row>
    <row r="124" spans="12:26" ht="13.2" x14ac:dyDescent="0.25">
      <c r="L124" s="25"/>
      <c r="M124" s="25"/>
      <c r="N124" s="25"/>
      <c r="O124" s="25"/>
      <c r="P124" s="25"/>
      <c r="Q124" s="25"/>
      <c r="R124" s="25"/>
      <c r="S124" s="27"/>
      <c r="T124" s="27"/>
      <c r="U124" s="27"/>
      <c r="V124" s="27"/>
      <c r="W124" s="27"/>
      <c r="X124" s="25"/>
      <c r="Y124" s="25"/>
      <c r="Z124" s="25"/>
    </row>
    <row r="125" spans="12:26" ht="13.2" x14ac:dyDescent="0.25">
      <c r="L125" s="25"/>
      <c r="M125" s="25"/>
      <c r="N125" s="25"/>
      <c r="O125" s="25"/>
      <c r="P125" s="25"/>
      <c r="Q125" s="25"/>
      <c r="R125" s="25"/>
      <c r="S125" s="27"/>
      <c r="T125" s="27"/>
      <c r="U125" s="27"/>
      <c r="V125" s="27"/>
      <c r="W125" s="27"/>
      <c r="X125" s="25"/>
      <c r="Y125" s="25"/>
      <c r="Z125" s="25"/>
    </row>
    <row r="126" spans="12:26" ht="13.2" x14ac:dyDescent="0.25">
      <c r="L126" s="25"/>
      <c r="M126" s="25"/>
      <c r="N126" s="25"/>
      <c r="O126" s="25"/>
      <c r="P126" s="25"/>
      <c r="Q126" s="25"/>
      <c r="R126" s="25"/>
      <c r="S126" s="27"/>
      <c r="T126" s="27"/>
      <c r="U126" s="27"/>
      <c r="V126" s="27"/>
      <c r="W126" s="27"/>
      <c r="X126" s="25"/>
      <c r="Y126" s="25"/>
      <c r="Z126" s="25"/>
    </row>
    <row r="127" spans="12:26" ht="13.2" x14ac:dyDescent="0.25">
      <c r="L127" s="25"/>
      <c r="M127" s="25"/>
      <c r="N127" s="25"/>
      <c r="O127" s="25"/>
      <c r="P127" s="25"/>
      <c r="Q127" s="25"/>
      <c r="R127" s="25"/>
      <c r="S127" s="27"/>
      <c r="T127" s="27"/>
      <c r="U127" s="27"/>
      <c r="V127" s="27"/>
      <c r="W127" s="27"/>
      <c r="X127" s="25"/>
      <c r="Y127" s="25"/>
      <c r="Z127" s="25"/>
    </row>
    <row r="128" spans="12:26" ht="13.2" x14ac:dyDescent="0.25">
      <c r="L128" s="25"/>
      <c r="M128" s="25"/>
      <c r="N128" s="25"/>
      <c r="O128" s="25"/>
      <c r="P128" s="25"/>
      <c r="Q128" s="25"/>
      <c r="R128" s="25"/>
      <c r="S128" s="27"/>
      <c r="T128" s="27"/>
      <c r="U128" s="27"/>
      <c r="V128" s="27"/>
      <c r="W128" s="27"/>
      <c r="X128" s="25"/>
      <c r="Y128" s="25"/>
      <c r="Z128" s="25"/>
    </row>
    <row r="129" spans="12:26" ht="13.2" x14ac:dyDescent="0.25">
      <c r="L129" s="25"/>
      <c r="M129" s="25"/>
      <c r="N129" s="25"/>
      <c r="O129" s="25"/>
      <c r="P129" s="25"/>
      <c r="Q129" s="25"/>
      <c r="R129" s="25"/>
      <c r="S129" s="27"/>
      <c r="T129" s="27"/>
      <c r="U129" s="27"/>
      <c r="V129" s="27"/>
      <c r="W129" s="27"/>
      <c r="X129" s="25"/>
      <c r="Y129" s="25"/>
      <c r="Z129" s="25"/>
    </row>
    <row r="130" spans="12:26" ht="13.2" x14ac:dyDescent="0.25">
      <c r="L130" s="25"/>
      <c r="M130" s="25"/>
      <c r="N130" s="25"/>
      <c r="O130" s="25"/>
      <c r="P130" s="25"/>
      <c r="Q130" s="25"/>
      <c r="R130" s="25"/>
      <c r="S130" s="27"/>
      <c r="T130" s="27"/>
      <c r="U130" s="27"/>
      <c r="V130" s="27"/>
      <c r="W130" s="27"/>
      <c r="X130" s="25"/>
      <c r="Y130" s="25"/>
      <c r="Z130" s="25"/>
    </row>
    <row r="131" spans="12:26" ht="13.2" x14ac:dyDescent="0.25">
      <c r="L131" s="25"/>
      <c r="M131" s="25"/>
      <c r="N131" s="25"/>
      <c r="O131" s="25"/>
      <c r="P131" s="25"/>
      <c r="Q131" s="25"/>
      <c r="R131" s="25"/>
      <c r="S131" s="27"/>
      <c r="T131" s="27"/>
      <c r="U131" s="27"/>
      <c r="V131" s="27"/>
      <c r="W131" s="27"/>
      <c r="X131" s="25"/>
      <c r="Y131" s="25"/>
      <c r="Z131" s="25"/>
    </row>
    <row r="132" spans="12:26" ht="13.2" x14ac:dyDescent="0.25">
      <c r="L132" s="25"/>
      <c r="M132" s="25"/>
      <c r="N132" s="25"/>
      <c r="O132" s="25"/>
      <c r="P132" s="25"/>
      <c r="Q132" s="25"/>
      <c r="R132" s="25"/>
      <c r="S132" s="27"/>
      <c r="T132" s="27"/>
      <c r="U132" s="27"/>
      <c r="V132" s="27"/>
      <c r="W132" s="27"/>
      <c r="X132" s="25"/>
      <c r="Y132" s="25"/>
      <c r="Z132" s="25"/>
    </row>
    <row r="133" spans="12:26" ht="13.2" x14ac:dyDescent="0.25">
      <c r="L133" s="25"/>
      <c r="M133" s="25"/>
      <c r="N133" s="25"/>
      <c r="O133" s="25"/>
      <c r="P133" s="25"/>
      <c r="Q133" s="25"/>
      <c r="R133" s="25"/>
      <c r="S133" s="27"/>
      <c r="T133" s="27"/>
      <c r="U133" s="27"/>
      <c r="V133" s="27"/>
      <c r="W133" s="27"/>
      <c r="X133" s="25"/>
      <c r="Y133" s="25"/>
      <c r="Z133" s="25"/>
    </row>
    <row r="134" spans="12:26" ht="13.2" x14ac:dyDescent="0.25">
      <c r="L134" s="25"/>
      <c r="M134" s="25"/>
      <c r="N134" s="25"/>
      <c r="O134" s="25"/>
      <c r="P134" s="25"/>
      <c r="Q134" s="25"/>
      <c r="R134" s="25"/>
      <c r="S134" s="27"/>
      <c r="T134" s="27"/>
      <c r="U134" s="27"/>
      <c r="V134" s="27"/>
      <c r="W134" s="27"/>
      <c r="X134" s="25"/>
      <c r="Y134" s="25"/>
      <c r="Z134" s="25"/>
    </row>
    <row r="135" spans="12:26" ht="13.2" x14ac:dyDescent="0.25">
      <c r="L135" s="25"/>
      <c r="M135" s="25"/>
      <c r="N135" s="25"/>
      <c r="O135" s="25"/>
      <c r="P135" s="25"/>
      <c r="Q135" s="25"/>
      <c r="R135" s="25"/>
      <c r="S135" s="27"/>
      <c r="T135" s="27"/>
      <c r="U135" s="27"/>
      <c r="V135" s="27"/>
      <c r="W135" s="27"/>
      <c r="X135" s="25"/>
      <c r="Y135" s="25"/>
      <c r="Z135" s="25"/>
    </row>
    <row r="136" spans="12:26" ht="13.2" x14ac:dyDescent="0.25">
      <c r="L136" s="25"/>
      <c r="M136" s="25"/>
      <c r="N136" s="25"/>
      <c r="O136" s="25"/>
      <c r="P136" s="25"/>
      <c r="Q136" s="25"/>
      <c r="R136" s="25"/>
      <c r="S136" s="27"/>
      <c r="T136" s="27"/>
      <c r="U136" s="27"/>
      <c r="V136" s="27"/>
      <c r="W136" s="27"/>
      <c r="X136" s="25"/>
      <c r="Y136" s="25"/>
      <c r="Z136" s="25"/>
    </row>
    <row r="137" spans="12:26" ht="13.2" x14ac:dyDescent="0.25">
      <c r="L137" s="25"/>
      <c r="M137" s="25"/>
      <c r="N137" s="25"/>
      <c r="O137" s="25"/>
      <c r="P137" s="25"/>
      <c r="Q137" s="25"/>
      <c r="R137" s="25"/>
      <c r="S137" s="27"/>
      <c r="T137" s="27"/>
      <c r="U137" s="27"/>
      <c r="V137" s="27"/>
      <c r="W137" s="27"/>
      <c r="X137" s="25"/>
      <c r="Y137" s="25"/>
      <c r="Z137" s="25"/>
    </row>
    <row r="138" spans="12:26" ht="13.2" x14ac:dyDescent="0.25">
      <c r="L138" s="25"/>
      <c r="M138" s="25"/>
      <c r="N138" s="25"/>
      <c r="O138" s="25"/>
      <c r="P138" s="25"/>
      <c r="Q138" s="25"/>
      <c r="R138" s="25"/>
      <c r="S138" s="27"/>
      <c r="T138" s="27"/>
      <c r="U138" s="27"/>
      <c r="V138" s="27"/>
      <c r="W138" s="27"/>
      <c r="X138" s="25"/>
      <c r="Y138" s="25"/>
      <c r="Z138" s="25"/>
    </row>
    <row r="139" spans="12:26" ht="13.2" x14ac:dyDescent="0.25">
      <c r="L139" s="25"/>
      <c r="M139" s="25"/>
      <c r="N139" s="25"/>
      <c r="O139" s="25"/>
      <c r="P139" s="25"/>
      <c r="Q139" s="25"/>
      <c r="R139" s="25"/>
      <c r="S139" s="27"/>
      <c r="T139" s="27"/>
      <c r="U139" s="27"/>
      <c r="V139" s="27"/>
      <c r="W139" s="27"/>
      <c r="X139" s="25"/>
      <c r="Y139" s="25"/>
      <c r="Z139" s="25"/>
    </row>
    <row r="140" spans="12:26" ht="13.2" x14ac:dyDescent="0.25">
      <c r="L140" s="25"/>
      <c r="M140" s="25"/>
      <c r="N140" s="25"/>
      <c r="O140" s="25"/>
      <c r="P140" s="25"/>
      <c r="Q140" s="25"/>
      <c r="R140" s="25"/>
      <c r="S140" s="27"/>
      <c r="T140" s="27"/>
      <c r="U140" s="27"/>
      <c r="V140" s="27"/>
      <c r="W140" s="27"/>
      <c r="X140" s="25"/>
      <c r="Y140" s="25"/>
      <c r="Z140" s="25"/>
    </row>
    <row r="141" spans="12:26" ht="13.2" x14ac:dyDescent="0.25">
      <c r="L141" s="25"/>
      <c r="M141" s="25"/>
      <c r="N141" s="25"/>
      <c r="O141" s="25"/>
      <c r="P141" s="25"/>
      <c r="Q141" s="25"/>
      <c r="R141" s="25"/>
      <c r="S141" s="27"/>
      <c r="T141" s="27"/>
      <c r="U141" s="27"/>
      <c r="V141" s="27"/>
      <c r="W141" s="27"/>
      <c r="X141" s="25"/>
      <c r="Y141" s="25"/>
      <c r="Z141" s="25"/>
    </row>
    <row r="142" spans="12:26" ht="13.2" x14ac:dyDescent="0.25">
      <c r="L142" s="25"/>
      <c r="M142" s="25"/>
      <c r="N142" s="25"/>
      <c r="O142" s="25"/>
      <c r="P142" s="25"/>
      <c r="Q142" s="25"/>
      <c r="R142" s="25"/>
      <c r="S142" s="27"/>
      <c r="T142" s="27"/>
      <c r="U142" s="27"/>
      <c r="V142" s="27"/>
      <c r="W142" s="27"/>
      <c r="X142" s="25"/>
      <c r="Y142" s="27"/>
      <c r="Z142" s="25"/>
    </row>
    <row r="143" spans="12:26" ht="13.2" x14ac:dyDescent="0.25">
      <c r="L143" s="25"/>
      <c r="M143" s="25"/>
      <c r="N143" s="25"/>
      <c r="O143" s="25"/>
      <c r="P143" s="25"/>
      <c r="Q143" s="25"/>
      <c r="R143" s="25"/>
      <c r="S143" s="27"/>
      <c r="T143" s="27"/>
      <c r="U143" s="27"/>
      <c r="V143" s="27"/>
      <c r="W143" s="27"/>
      <c r="X143" s="25"/>
      <c r="Y143" s="25"/>
      <c r="Z143" s="25"/>
    </row>
    <row r="144" spans="12:26" ht="13.2" x14ac:dyDescent="0.25">
      <c r="L144" s="25"/>
      <c r="M144" s="25"/>
      <c r="N144" s="25"/>
      <c r="O144" s="25"/>
      <c r="P144" s="25"/>
      <c r="Q144" s="25"/>
      <c r="R144" s="25"/>
      <c r="S144" s="27"/>
      <c r="T144" s="27"/>
      <c r="U144" s="27"/>
      <c r="V144" s="27"/>
      <c r="W144" s="27"/>
      <c r="X144" s="25"/>
      <c r="Y144" s="25"/>
      <c r="Z144" s="25"/>
    </row>
    <row r="145" spans="12:26" ht="13.2" x14ac:dyDescent="0.25">
      <c r="L145" s="25"/>
      <c r="M145" s="25"/>
      <c r="N145" s="25"/>
      <c r="O145" s="25"/>
      <c r="P145" s="25"/>
      <c r="Q145" s="25"/>
      <c r="R145" s="25"/>
      <c r="S145" s="27"/>
      <c r="T145" s="27"/>
      <c r="U145" s="27"/>
      <c r="V145" s="27"/>
      <c r="W145" s="27"/>
      <c r="X145" s="25"/>
      <c r="Y145" s="25"/>
      <c r="Z145" s="25"/>
    </row>
    <row r="146" spans="12:26" ht="13.2" x14ac:dyDescent="0.25">
      <c r="L146" s="25"/>
      <c r="M146" s="25"/>
      <c r="N146" s="25"/>
      <c r="O146" s="25"/>
      <c r="P146" s="25"/>
      <c r="Q146" s="25"/>
      <c r="R146" s="25"/>
      <c r="S146" s="27"/>
      <c r="T146" s="27"/>
      <c r="U146" s="27"/>
      <c r="V146" s="27"/>
      <c r="W146" s="27"/>
      <c r="X146" s="25"/>
      <c r="Y146" s="25"/>
      <c r="Z146" s="25"/>
    </row>
    <row r="147" spans="12:26" ht="13.2" x14ac:dyDescent="0.25">
      <c r="L147" s="25"/>
      <c r="M147" s="25"/>
      <c r="N147" s="25"/>
      <c r="O147" s="25"/>
      <c r="P147" s="25"/>
      <c r="Q147" s="25"/>
      <c r="R147" s="25"/>
      <c r="S147" s="27"/>
      <c r="T147" s="27"/>
      <c r="U147" s="27"/>
      <c r="V147" s="27"/>
      <c r="W147" s="27"/>
      <c r="X147" s="25"/>
      <c r="Y147" s="25"/>
      <c r="Z147" s="25"/>
    </row>
    <row r="148" spans="12:26" ht="13.2" x14ac:dyDescent="0.25">
      <c r="L148" s="25"/>
      <c r="M148" s="25"/>
      <c r="N148" s="25"/>
      <c r="O148" s="25"/>
      <c r="P148" s="25"/>
      <c r="Q148" s="25"/>
      <c r="R148" s="25"/>
      <c r="S148" s="27"/>
      <c r="T148" s="27"/>
      <c r="U148" s="27"/>
      <c r="V148" s="27"/>
      <c r="W148" s="27"/>
      <c r="X148" s="25"/>
      <c r="Y148" s="25"/>
      <c r="Z148" s="25"/>
    </row>
    <row r="149" spans="12:26" ht="13.2" x14ac:dyDescent="0.25">
      <c r="L149" s="25"/>
      <c r="M149" s="25"/>
      <c r="N149" s="25"/>
      <c r="O149" s="25"/>
      <c r="P149" s="25"/>
      <c r="Q149" s="25"/>
      <c r="R149" s="25"/>
      <c r="S149" s="27"/>
      <c r="T149" s="27"/>
      <c r="U149" s="27"/>
      <c r="V149" s="27"/>
      <c r="W149" s="27"/>
      <c r="X149" s="25"/>
      <c r="Y149" s="25"/>
      <c r="Z149" s="25"/>
    </row>
    <row r="150" spans="12:26" ht="13.2" x14ac:dyDescent="0.25">
      <c r="L150" s="25"/>
      <c r="M150" s="25"/>
      <c r="N150" s="25"/>
      <c r="O150" s="25"/>
      <c r="P150" s="25"/>
      <c r="Q150" s="25"/>
      <c r="R150" s="25"/>
      <c r="S150" s="27"/>
      <c r="T150" s="27"/>
      <c r="U150" s="27"/>
      <c r="V150" s="27"/>
      <c r="W150" s="27"/>
      <c r="X150" s="25"/>
      <c r="Y150" s="25"/>
      <c r="Z150" s="25"/>
    </row>
    <row r="151" spans="12:26" ht="13.2" x14ac:dyDescent="0.25">
      <c r="L151" s="25"/>
      <c r="M151" s="25"/>
      <c r="N151" s="25"/>
      <c r="O151" s="25"/>
      <c r="P151" s="25"/>
      <c r="Q151" s="25"/>
      <c r="R151" s="25"/>
      <c r="S151" s="27"/>
      <c r="T151" s="27"/>
      <c r="U151" s="27"/>
      <c r="V151" s="27"/>
      <c r="W151" s="27"/>
      <c r="X151" s="25"/>
      <c r="Y151" s="25"/>
      <c r="Z151" s="25"/>
    </row>
    <row r="152" spans="12:26" ht="13.2" x14ac:dyDescent="0.25">
      <c r="L152" s="25"/>
      <c r="M152" s="25"/>
      <c r="N152" s="25"/>
      <c r="O152" s="25"/>
      <c r="P152" s="25"/>
      <c r="Q152" s="25"/>
      <c r="R152" s="25"/>
      <c r="S152" s="27"/>
      <c r="T152" s="27"/>
      <c r="U152" s="27"/>
      <c r="V152" s="27"/>
      <c r="W152" s="27"/>
      <c r="X152" s="25"/>
      <c r="Y152" s="25"/>
      <c r="Z152" s="25"/>
    </row>
    <row r="153" spans="12:26" ht="13.2" x14ac:dyDescent="0.25">
      <c r="L153" s="25"/>
      <c r="M153" s="25"/>
      <c r="N153" s="25"/>
      <c r="O153" s="25"/>
      <c r="P153" s="25"/>
      <c r="Q153" s="25"/>
      <c r="R153" s="25"/>
      <c r="S153" s="27"/>
      <c r="T153" s="27"/>
      <c r="U153" s="27"/>
      <c r="V153" s="27"/>
      <c r="W153" s="27"/>
      <c r="X153" s="25"/>
      <c r="Y153" s="25"/>
      <c r="Z153" s="25"/>
    </row>
    <row r="154" spans="12:26" ht="13.2" x14ac:dyDescent="0.25">
      <c r="L154" s="25"/>
      <c r="M154" s="25"/>
      <c r="N154" s="25"/>
      <c r="O154" s="25"/>
      <c r="P154" s="25"/>
      <c r="Q154" s="25"/>
      <c r="R154" s="25"/>
      <c r="S154" s="27"/>
      <c r="T154" s="27"/>
      <c r="U154" s="27"/>
      <c r="V154" s="27"/>
      <c r="W154" s="27"/>
      <c r="X154" s="25"/>
      <c r="Y154" s="25"/>
      <c r="Z154" s="25"/>
    </row>
    <row r="155" spans="12:26" ht="13.2" x14ac:dyDescent="0.25">
      <c r="L155" s="25"/>
      <c r="M155" s="25"/>
      <c r="N155" s="25"/>
      <c r="O155" s="25"/>
      <c r="P155" s="25"/>
      <c r="Q155" s="25"/>
      <c r="R155" s="25"/>
      <c r="S155" s="27"/>
      <c r="T155" s="27"/>
      <c r="U155" s="27"/>
      <c r="V155" s="27"/>
      <c r="W155" s="27"/>
      <c r="X155" s="25"/>
      <c r="Y155" s="27"/>
      <c r="Z155" s="25"/>
    </row>
    <row r="156" spans="12:26" ht="13.2" x14ac:dyDescent="0.25">
      <c r="L156" s="25"/>
      <c r="M156" s="25"/>
      <c r="N156" s="25"/>
      <c r="O156" s="25"/>
      <c r="P156" s="25"/>
      <c r="Q156" s="25"/>
      <c r="R156" s="25"/>
      <c r="S156" s="27"/>
      <c r="T156" s="27"/>
      <c r="U156" s="27"/>
      <c r="V156" s="27"/>
      <c r="W156" s="27"/>
      <c r="X156" s="25"/>
      <c r="Y156" s="25"/>
      <c r="Z156" s="25"/>
    </row>
    <row r="157" spans="12:26" ht="13.2" x14ac:dyDescent="0.25">
      <c r="L157" s="25"/>
      <c r="M157" s="25"/>
      <c r="N157" s="25"/>
      <c r="O157" s="25"/>
      <c r="P157" s="25"/>
      <c r="Q157" s="25"/>
      <c r="R157" s="25"/>
      <c r="S157" s="27"/>
      <c r="T157" s="27"/>
      <c r="U157" s="27"/>
      <c r="V157" s="27"/>
      <c r="W157" s="27"/>
      <c r="X157" s="25"/>
      <c r="Y157" s="25"/>
      <c r="Z157" s="25"/>
    </row>
    <row r="158" spans="12:26" ht="13.2" x14ac:dyDescent="0.25">
      <c r="L158" s="25"/>
      <c r="M158" s="25"/>
      <c r="N158" s="25"/>
      <c r="O158" s="25"/>
      <c r="P158" s="25"/>
      <c r="Q158" s="25"/>
      <c r="R158" s="25"/>
      <c r="S158" s="27"/>
      <c r="T158" s="27"/>
      <c r="U158" s="27"/>
      <c r="V158" s="27"/>
      <c r="W158" s="27"/>
      <c r="X158" s="25"/>
      <c r="Y158" s="25"/>
      <c r="Z158" s="25"/>
    </row>
    <row r="159" spans="12:26" ht="13.2" x14ac:dyDescent="0.25">
      <c r="L159" s="25"/>
      <c r="M159" s="25"/>
      <c r="N159" s="25"/>
      <c r="O159" s="25"/>
      <c r="P159" s="25"/>
      <c r="Q159" s="25"/>
      <c r="R159" s="25"/>
      <c r="S159" s="27"/>
      <c r="T159" s="27"/>
      <c r="U159" s="27"/>
      <c r="V159" s="27"/>
      <c r="W159" s="27"/>
      <c r="X159" s="25"/>
      <c r="Y159" s="25"/>
      <c r="Z159" s="25"/>
    </row>
    <row r="160" spans="12:26" ht="13.2" x14ac:dyDescent="0.25">
      <c r="L160" s="25"/>
      <c r="M160" s="25"/>
      <c r="N160" s="25"/>
      <c r="O160" s="25"/>
      <c r="P160" s="25"/>
      <c r="Q160" s="25"/>
      <c r="R160" s="25"/>
      <c r="S160" s="27"/>
      <c r="T160" s="27"/>
      <c r="U160" s="27"/>
      <c r="V160" s="27"/>
      <c r="W160" s="27"/>
      <c r="X160" s="25"/>
      <c r="Y160" s="25"/>
      <c r="Z160" s="25"/>
    </row>
    <row r="161" spans="12:26" ht="13.2" x14ac:dyDescent="0.25">
      <c r="L161" s="25"/>
      <c r="M161" s="25"/>
      <c r="N161" s="25"/>
      <c r="O161" s="25"/>
      <c r="P161" s="25"/>
      <c r="Q161" s="25"/>
      <c r="R161" s="25"/>
      <c r="S161" s="27"/>
      <c r="T161" s="27"/>
      <c r="U161" s="27"/>
      <c r="V161" s="27"/>
      <c r="W161" s="27"/>
      <c r="X161" s="25"/>
      <c r="Y161" s="25"/>
      <c r="Z161" s="25"/>
    </row>
    <row r="162" spans="12:26" ht="13.2" x14ac:dyDescent="0.25">
      <c r="L162" s="25"/>
      <c r="M162" s="25"/>
      <c r="N162" s="25"/>
      <c r="O162" s="25"/>
      <c r="P162" s="25"/>
      <c r="Q162" s="25"/>
      <c r="R162" s="25"/>
      <c r="S162" s="27"/>
      <c r="T162" s="27"/>
      <c r="U162" s="27"/>
      <c r="V162" s="27"/>
      <c r="W162" s="27"/>
      <c r="X162" s="25"/>
      <c r="Y162" s="25"/>
      <c r="Z162" s="25"/>
    </row>
    <row r="163" spans="12:26" ht="13.2" x14ac:dyDescent="0.25">
      <c r="L163" s="25"/>
      <c r="M163" s="25"/>
      <c r="N163" s="25"/>
      <c r="O163" s="25"/>
      <c r="P163" s="25"/>
      <c r="Q163" s="25"/>
      <c r="R163" s="25"/>
      <c r="S163" s="27"/>
      <c r="T163" s="27"/>
      <c r="U163" s="27"/>
      <c r="V163" s="27"/>
      <c r="W163" s="27"/>
      <c r="X163" s="25"/>
      <c r="Y163" s="25"/>
      <c r="Z163" s="25"/>
    </row>
    <row r="164" spans="12:26" ht="13.2" x14ac:dyDescent="0.25">
      <c r="L164" s="25"/>
      <c r="M164" s="25"/>
      <c r="N164" s="25"/>
      <c r="O164" s="25"/>
      <c r="P164" s="25"/>
      <c r="Q164" s="25"/>
      <c r="R164" s="25"/>
      <c r="S164" s="27"/>
      <c r="T164" s="27"/>
      <c r="U164" s="27"/>
      <c r="V164" s="27"/>
      <c r="W164" s="27"/>
      <c r="X164" s="25"/>
      <c r="Y164" s="25"/>
      <c r="Z164" s="25"/>
    </row>
    <row r="165" spans="12:26" ht="13.2" x14ac:dyDescent="0.25">
      <c r="L165" s="25"/>
      <c r="M165" s="25"/>
      <c r="N165" s="25"/>
      <c r="O165" s="25"/>
      <c r="P165" s="25"/>
      <c r="Q165" s="25"/>
      <c r="R165" s="25"/>
      <c r="S165" s="27"/>
      <c r="T165" s="27"/>
      <c r="U165" s="27"/>
      <c r="V165" s="27"/>
      <c r="W165" s="27"/>
      <c r="X165" s="25"/>
      <c r="Y165" s="25"/>
      <c r="Z165" s="25"/>
    </row>
    <row r="166" spans="12:26" ht="13.2" x14ac:dyDescent="0.25">
      <c r="L166" s="25"/>
      <c r="M166" s="25"/>
      <c r="N166" s="25"/>
      <c r="O166" s="25"/>
      <c r="P166" s="25"/>
      <c r="Q166" s="25"/>
      <c r="R166" s="25"/>
      <c r="S166" s="27"/>
      <c r="T166" s="27"/>
      <c r="U166" s="27"/>
      <c r="V166" s="27"/>
      <c r="W166" s="27"/>
      <c r="X166" s="25"/>
      <c r="Y166" s="25"/>
      <c r="Z166" s="25"/>
    </row>
    <row r="167" spans="12:26" ht="13.2" x14ac:dyDescent="0.25">
      <c r="L167" s="25"/>
      <c r="M167" s="25"/>
      <c r="N167" s="25"/>
      <c r="O167" s="25"/>
      <c r="P167" s="25"/>
      <c r="Q167" s="25"/>
      <c r="R167" s="25"/>
      <c r="S167" s="27"/>
      <c r="T167" s="27"/>
      <c r="U167" s="27"/>
      <c r="V167" s="27"/>
      <c r="W167" s="27"/>
      <c r="X167" s="25"/>
      <c r="Y167" s="25"/>
      <c r="Z167" s="25"/>
    </row>
    <row r="168" spans="12:26" ht="13.2" x14ac:dyDescent="0.25">
      <c r="L168" s="25"/>
      <c r="M168" s="25"/>
      <c r="N168" s="25"/>
      <c r="O168" s="25"/>
      <c r="P168" s="25"/>
      <c r="Q168" s="25"/>
      <c r="R168" s="25"/>
      <c r="S168" s="27"/>
      <c r="T168" s="27"/>
      <c r="U168" s="27"/>
      <c r="V168" s="27"/>
      <c r="W168" s="27"/>
      <c r="X168" s="25"/>
      <c r="Y168" s="25"/>
      <c r="Z168" s="25"/>
    </row>
    <row r="169" spans="12:26" ht="13.2" x14ac:dyDescent="0.25">
      <c r="L169" s="25"/>
      <c r="M169" s="25"/>
      <c r="N169" s="25"/>
      <c r="O169" s="25"/>
      <c r="P169" s="25"/>
      <c r="Q169" s="25"/>
      <c r="R169" s="25"/>
      <c r="S169" s="27"/>
      <c r="T169" s="27"/>
      <c r="U169" s="27"/>
      <c r="V169" s="27"/>
      <c r="W169" s="27"/>
      <c r="X169" s="25"/>
      <c r="Y169" s="25"/>
      <c r="Z169" s="25"/>
    </row>
    <row r="170" spans="12:26" ht="13.2" x14ac:dyDescent="0.25">
      <c r="L170" s="25"/>
      <c r="M170" s="25"/>
      <c r="N170" s="25"/>
      <c r="O170" s="25"/>
      <c r="P170" s="25"/>
      <c r="Q170" s="25"/>
      <c r="R170" s="25"/>
      <c r="S170" s="27"/>
      <c r="T170" s="27"/>
      <c r="U170" s="27"/>
      <c r="V170" s="27"/>
      <c r="W170" s="27"/>
      <c r="X170" s="25"/>
      <c r="Y170" s="25"/>
      <c r="Z170" s="25"/>
    </row>
    <row r="171" spans="12:26" ht="13.2" x14ac:dyDescent="0.25">
      <c r="L171" s="25"/>
      <c r="M171" s="25"/>
      <c r="N171" s="25"/>
      <c r="O171" s="25"/>
      <c r="P171" s="25"/>
      <c r="Q171" s="25"/>
      <c r="R171" s="25"/>
      <c r="S171" s="27"/>
      <c r="T171" s="27"/>
      <c r="U171" s="27"/>
      <c r="V171" s="27"/>
      <c r="W171" s="27"/>
      <c r="X171" s="25"/>
      <c r="Y171" s="25"/>
      <c r="Z171" s="25"/>
    </row>
    <row r="172" spans="12:26" ht="13.2" x14ac:dyDescent="0.25">
      <c r="L172" s="25"/>
      <c r="M172" s="25"/>
      <c r="N172" s="25"/>
      <c r="O172" s="25"/>
      <c r="P172" s="25"/>
      <c r="Q172" s="25"/>
      <c r="R172" s="25"/>
      <c r="S172" s="27"/>
      <c r="T172" s="27"/>
      <c r="U172" s="27"/>
      <c r="V172" s="27"/>
      <c r="W172" s="27"/>
      <c r="X172" s="25"/>
      <c r="Y172" s="25"/>
      <c r="Z172" s="25"/>
    </row>
    <row r="173" spans="12:26" ht="13.2" x14ac:dyDescent="0.25">
      <c r="L173" s="25"/>
      <c r="M173" s="25"/>
      <c r="N173" s="25"/>
      <c r="O173" s="25"/>
      <c r="P173" s="25"/>
      <c r="Q173" s="25"/>
      <c r="R173" s="25"/>
      <c r="S173" s="27"/>
      <c r="T173" s="27"/>
      <c r="U173" s="27"/>
      <c r="V173" s="27"/>
      <c r="W173" s="27"/>
      <c r="X173" s="25"/>
      <c r="Y173" s="25"/>
      <c r="Z173" s="25"/>
    </row>
    <row r="174" spans="12:26" ht="13.2" x14ac:dyDescent="0.25">
      <c r="L174" s="25"/>
      <c r="M174" s="25"/>
      <c r="N174" s="25"/>
      <c r="O174" s="25"/>
      <c r="P174" s="25"/>
      <c r="Q174" s="25"/>
      <c r="R174" s="25"/>
      <c r="S174" s="27"/>
      <c r="T174" s="27"/>
      <c r="U174" s="27"/>
      <c r="V174" s="27"/>
      <c r="W174" s="27"/>
      <c r="X174" s="25"/>
      <c r="Y174" s="25"/>
      <c r="Z174" s="25"/>
    </row>
    <row r="175" spans="12:26" ht="13.2" x14ac:dyDescent="0.25">
      <c r="L175" s="25"/>
      <c r="M175" s="25"/>
      <c r="N175" s="25"/>
      <c r="O175" s="25"/>
      <c r="P175" s="25"/>
      <c r="Q175" s="25"/>
      <c r="R175" s="25"/>
      <c r="S175" s="27"/>
      <c r="T175" s="27"/>
      <c r="U175" s="27"/>
      <c r="V175" s="27"/>
      <c r="W175" s="27"/>
      <c r="X175" s="25"/>
      <c r="Y175" s="25"/>
      <c r="Z175" s="25"/>
    </row>
    <row r="176" spans="12:26" ht="13.2" x14ac:dyDescent="0.25">
      <c r="L176" s="25"/>
      <c r="M176" s="25"/>
      <c r="N176" s="25"/>
      <c r="O176" s="25"/>
      <c r="P176" s="25"/>
      <c r="Q176" s="25"/>
      <c r="R176" s="25"/>
      <c r="S176" s="27"/>
      <c r="T176" s="27"/>
      <c r="U176" s="27"/>
      <c r="V176" s="27"/>
      <c r="W176" s="27"/>
      <c r="X176" s="25"/>
      <c r="Y176" s="25"/>
      <c r="Z176" s="25"/>
    </row>
    <row r="177" spans="12:26" ht="13.2" x14ac:dyDescent="0.25">
      <c r="L177" s="25"/>
      <c r="M177" s="25"/>
      <c r="N177" s="25"/>
      <c r="O177" s="25"/>
      <c r="P177" s="25"/>
      <c r="Q177" s="25"/>
      <c r="R177" s="25"/>
      <c r="S177" s="27"/>
      <c r="T177" s="27"/>
      <c r="U177" s="27"/>
      <c r="V177" s="27"/>
      <c r="W177" s="27"/>
      <c r="X177" s="25"/>
      <c r="Y177" s="25"/>
      <c r="Z177" s="25"/>
    </row>
    <row r="178" spans="12:26" ht="13.2" x14ac:dyDescent="0.25">
      <c r="L178" s="25"/>
      <c r="M178" s="25"/>
      <c r="N178" s="25"/>
      <c r="O178" s="25"/>
      <c r="P178" s="25"/>
      <c r="Q178" s="25"/>
      <c r="R178" s="25"/>
      <c r="S178" s="27"/>
      <c r="T178" s="27"/>
      <c r="U178" s="27"/>
      <c r="V178" s="27"/>
      <c r="W178" s="27"/>
      <c r="X178" s="25"/>
      <c r="Y178" s="25"/>
      <c r="Z178" s="25"/>
    </row>
    <row r="179" spans="12:26" ht="13.2" x14ac:dyDescent="0.25">
      <c r="L179" s="25"/>
      <c r="M179" s="25"/>
      <c r="N179" s="25"/>
      <c r="O179" s="25"/>
      <c r="P179" s="25"/>
      <c r="Q179" s="25"/>
      <c r="R179" s="25"/>
      <c r="S179" s="27"/>
      <c r="T179" s="27"/>
      <c r="U179" s="27"/>
      <c r="V179" s="27"/>
      <c r="W179" s="27"/>
      <c r="X179" s="25"/>
      <c r="Y179" s="25"/>
      <c r="Z179" s="25"/>
    </row>
    <row r="180" spans="12:26" ht="13.2" x14ac:dyDescent="0.25">
      <c r="L180" s="25"/>
      <c r="M180" s="25"/>
      <c r="N180" s="25"/>
      <c r="O180" s="25"/>
      <c r="P180" s="25"/>
      <c r="Q180" s="25"/>
      <c r="R180" s="25"/>
      <c r="S180" s="27"/>
      <c r="T180" s="27"/>
      <c r="U180" s="27"/>
      <c r="V180" s="27"/>
      <c r="W180" s="27"/>
      <c r="X180" s="25"/>
      <c r="Y180" s="25"/>
      <c r="Z180" s="25"/>
    </row>
    <row r="181" spans="12:26" ht="13.2" x14ac:dyDescent="0.25">
      <c r="L181" s="25"/>
      <c r="M181" s="25"/>
      <c r="N181" s="25"/>
      <c r="O181" s="25"/>
      <c r="P181" s="25"/>
      <c r="Q181" s="25"/>
      <c r="R181" s="25"/>
      <c r="S181" s="27"/>
      <c r="T181" s="27"/>
      <c r="U181" s="25"/>
      <c r="V181" s="25"/>
      <c r="W181" s="27"/>
      <c r="X181" s="25"/>
      <c r="Y181" s="25"/>
      <c r="Z181" s="25"/>
    </row>
    <row r="182" spans="12:26" ht="13.2" x14ac:dyDescent="0.25">
      <c r="L182" s="25"/>
      <c r="M182" s="25"/>
      <c r="N182" s="25"/>
      <c r="O182" s="25"/>
      <c r="P182" s="25"/>
      <c r="Q182" s="25"/>
      <c r="R182" s="25"/>
      <c r="S182" s="27"/>
      <c r="T182" s="27"/>
      <c r="U182" s="27"/>
      <c r="V182" s="27"/>
      <c r="W182" s="27"/>
      <c r="X182" s="25"/>
      <c r="Y182" s="25"/>
      <c r="Z182" s="25"/>
    </row>
    <row r="183" spans="12:26" ht="13.2" x14ac:dyDescent="0.25">
      <c r="L183" s="25"/>
      <c r="M183" s="25"/>
      <c r="N183" s="25"/>
      <c r="O183" s="25"/>
      <c r="P183" s="25"/>
      <c r="Q183" s="25"/>
      <c r="R183" s="25"/>
      <c r="S183" s="27"/>
      <c r="T183" s="27"/>
      <c r="U183" s="27"/>
      <c r="V183" s="27"/>
      <c r="W183" s="27"/>
      <c r="X183" s="25"/>
      <c r="Y183" s="25"/>
      <c r="Z183" s="25"/>
    </row>
    <row r="184" spans="12:26" ht="13.2" x14ac:dyDescent="0.25">
      <c r="L184" s="25"/>
      <c r="M184" s="25"/>
      <c r="N184" s="25"/>
      <c r="O184" s="25"/>
      <c r="P184" s="25"/>
      <c r="Q184" s="25"/>
      <c r="R184" s="25"/>
      <c r="S184" s="27"/>
      <c r="T184" s="27"/>
      <c r="U184" s="27"/>
      <c r="V184" s="27"/>
      <c r="W184" s="27"/>
      <c r="X184" s="25"/>
      <c r="Y184" s="25"/>
      <c r="Z184" s="25"/>
    </row>
    <row r="185" spans="12:26" ht="13.2" x14ac:dyDescent="0.25">
      <c r="L185" s="25"/>
      <c r="M185" s="25"/>
      <c r="N185" s="25"/>
      <c r="O185" s="25"/>
      <c r="P185" s="25"/>
      <c r="Q185" s="25"/>
      <c r="R185" s="25"/>
      <c r="S185" s="27"/>
      <c r="T185" s="27"/>
      <c r="U185" s="27"/>
      <c r="V185" s="27"/>
      <c r="W185" s="27"/>
      <c r="X185" s="25"/>
      <c r="Y185" s="25"/>
      <c r="Z185" s="25"/>
    </row>
    <row r="186" spans="12:26" ht="13.2" x14ac:dyDescent="0.25">
      <c r="L186" s="25"/>
      <c r="M186" s="25"/>
      <c r="N186" s="25"/>
      <c r="O186" s="25"/>
      <c r="P186" s="25"/>
      <c r="Q186" s="25"/>
      <c r="R186" s="25"/>
      <c r="S186" s="27"/>
      <c r="T186" s="27"/>
      <c r="U186" s="27"/>
      <c r="V186" s="27"/>
      <c r="W186" s="27"/>
      <c r="X186" s="25"/>
      <c r="Y186" s="25"/>
      <c r="Z186" s="25"/>
    </row>
    <row r="187" spans="12:26" ht="13.2" x14ac:dyDescent="0.25">
      <c r="L187" s="25"/>
      <c r="M187" s="25"/>
      <c r="N187" s="25"/>
      <c r="O187" s="25"/>
      <c r="P187" s="25"/>
      <c r="Q187" s="25"/>
      <c r="R187" s="25"/>
      <c r="S187" s="27"/>
      <c r="T187" s="27"/>
      <c r="U187" s="27"/>
      <c r="V187" s="27"/>
      <c r="W187" s="27"/>
      <c r="X187" s="25"/>
      <c r="Y187" s="25"/>
      <c r="Z187" s="25"/>
    </row>
    <row r="188" spans="12:26" ht="13.2" x14ac:dyDescent="0.25">
      <c r="L188" s="25"/>
      <c r="M188" s="25"/>
      <c r="N188" s="25"/>
      <c r="O188" s="25"/>
      <c r="P188" s="25"/>
      <c r="Q188" s="25"/>
      <c r="R188" s="25"/>
      <c r="S188" s="27"/>
      <c r="T188" s="27"/>
      <c r="U188" s="27"/>
      <c r="V188" s="27"/>
      <c r="W188" s="27"/>
      <c r="X188" s="25"/>
      <c r="Y188" s="25"/>
      <c r="Z188" s="25"/>
    </row>
    <row r="189" spans="12:26" ht="13.2" x14ac:dyDescent="0.25">
      <c r="L189" s="25"/>
      <c r="M189" s="25"/>
      <c r="N189" s="25"/>
      <c r="O189" s="25"/>
      <c r="P189" s="25"/>
      <c r="Q189" s="25"/>
      <c r="R189" s="25"/>
      <c r="S189" s="27"/>
      <c r="T189" s="27"/>
      <c r="U189" s="27"/>
      <c r="V189" s="27"/>
      <c r="W189" s="27"/>
      <c r="X189" s="25"/>
      <c r="Y189" s="25"/>
      <c r="Z189" s="25"/>
    </row>
    <row r="190" spans="12:26" ht="13.2" x14ac:dyDescent="0.25">
      <c r="L190" s="25"/>
      <c r="M190" s="25"/>
      <c r="N190" s="25"/>
      <c r="O190" s="25"/>
      <c r="P190" s="25"/>
      <c r="Q190" s="25"/>
      <c r="R190" s="25"/>
      <c r="S190" s="27"/>
      <c r="T190" s="27"/>
      <c r="U190" s="27"/>
      <c r="V190" s="27"/>
      <c r="W190" s="27"/>
      <c r="X190" s="25"/>
      <c r="Y190" s="25"/>
      <c r="Z190" s="25"/>
    </row>
    <row r="191" spans="12:26" ht="13.2" x14ac:dyDescent="0.25">
      <c r="L191" s="25"/>
      <c r="M191" s="25"/>
      <c r="N191" s="25"/>
      <c r="O191" s="25"/>
      <c r="P191" s="25"/>
      <c r="Q191" s="25"/>
      <c r="R191" s="25"/>
      <c r="S191" s="27"/>
      <c r="T191" s="27"/>
      <c r="U191" s="27"/>
      <c r="V191" s="27"/>
      <c r="W191" s="27"/>
      <c r="X191" s="25"/>
      <c r="Y191" s="25"/>
      <c r="Z191" s="25"/>
    </row>
    <row r="192" spans="12:26" ht="13.2" x14ac:dyDescent="0.25">
      <c r="L192" s="25"/>
      <c r="M192" s="25"/>
      <c r="N192" s="25"/>
      <c r="O192" s="25"/>
      <c r="P192" s="25"/>
      <c r="Q192" s="25"/>
      <c r="R192" s="25"/>
      <c r="S192" s="27"/>
      <c r="T192" s="27"/>
      <c r="U192" s="27"/>
      <c r="V192" s="27"/>
      <c r="W192" s="27"/>
      <c r="X192" s="25"/>
      <c r="Y192" s="25"/>
      <c r="Z192" s="25"/>
    </row>
    <row r="193" spans="12:26" ht="13.2" x14ac:dyDescent="0.25">
      <c r="L193" s="25"/>
      <c r="M193" s="25"/>
      <c r="N193" s="25"/>
      <c r="O193" s="25"/>
      <c r="P193" s="25"/>
      <c r="Q193" s="25"/>
      <c r="R193" s="25"/>
      <c r="S193" s="27"/>
      <c r="T193" s="27"/>
      <c r="U193" s="27"/>
      <c r="V193" s="27"/>
      <c r="W193" s="27"/>
      <c r="X193" s="25"/>
      <c r="Y193" s="25"/>
      <c r="Z193" s="25"/>
    </row>
    <row r="194" spans="12:26" ht="13.2" x14ac:dyDescent="0.25">
      <c r="L194" s="25"/>
      <c r="M194" s="25"/>
      <c r="N194" s="25"/>
      <c r="O194" s="25"/>
      <c r="P194" s="25"/>
      <c r="Q194" s="25"/>
      <c r="R194" s="25"/>
      <c r="S194" s="27"/>
      <c r="T194" s="27"/>
      <c r="U194" s="27"/>
      <c r="V194" s="27"/>
      <c r="W194" s="27"/>
      <c r="X194" s="25"/>
      <c r="Y194" s="25"/>
      <c r="Z194" s="25"/>
    </row>
    <row r="195" spans="12:26" ht="13.2" x14ac:dyDescent="0.25">
      <c r="L195" s="25"/>
      <c r="M195" s="25"/>
      <c r="N195" s="25"/>
      <c r="O195" s="25"/>
      <c r="P195" s="25"/>
      <c r="Q195" s="25"/>
      <c r="R195" s="25"/>
      <c r="S195" s="27"/>
      <c r="T195" s="27"/>
      <c r="U195" s="27"/>
      <c r="V195" s="27"/>
      <c r="W195" s="27"/>
      <c r="X195" s="25"/>
      <c r="Y195" s="25"/>
      <c r="Z195" s="25"/>
    </row>
    <row r="196" spans="12:26" ht="13.2" x14ac:dyDescent="0.25">
      <c r="L196" s="25"/>
      <c r="M196" s="25"/>
      <c r="N196" s="25"/>
      <c r="O196" s="25"/>
      <c r="P196" s="25"/>
      <c r="Q196" s="25"/>
      <c r="R196" s="25"/>
      <c r="S196" s="27"/>
      <c r="T196" s="27"/>
      <c r="U196" s="27"/>
      <c r="V196" s="27"/>
      <c r="W196" s="27"/>
      <c r="X196" s="25"/>
      <c r="Y196" s="25"/>
      <c r="Z196" s="25"/>
    </row>
    <row r="197" spans="12:26" ht="13.2" x14ac:dyDescent="0.25">
      <c r="L197" s="25"/>
      <c r="M197" s="25"/>
      <c r="N197" s="25"/>
      <c r="O197" s="25"/>
      <c r="P197" s="25"/>
      <c r="Q197" s="25"/>
      <c r="R197" s="25"/>
      <c r="S197" s="27"/>
      <c r="T197" s="27"/>
      <c r="U197" s="27"/>
      <c r="V197" s="27"/>
      <c r="W197" s="27"/>
      <c r="X197" s="25"/>
      <c r="Y197" s="25"/>
      <c r="Z197" s="25"/>
    </row>
    <row r="198" spans="12:26" ht="13.2" x14ac:dyDescent="0.25">
      <c r="L198" s="25"/>
      <c r="M198" s="25"/>
      <c r="N198" s="25"/>
      <c r="O198" s="25"/>
      <c r="P198" s="25"/>
      <c r="Q198" s="25"/>
      <c r="R198" s="25"/>
      <c r="S198" s="27"/>
      <c r="T198" s="27"/>
      <c r="U198" s="27"/>
      <c r="V198" s="27"/>
      <c r="W198" s="27"/>
      <c r="X198" s="25"/>
      <c r="Y198" s="25"/>
      <c r="Z198" s="25"/>
    </row>
    <row r="199" spans="12:26" ht="13.2" x14ac:dyDescent="0.25">
      <c r="L199" s="25"/>
      <c r="M199" s="25"/>
      <c r="N199" s="25"/>
      <c r="O199" s="25"/>
      <c r="P199" s="25"/>
      <c r="Q199" s="25"/>
      <c r="R199" s="25"/>
      <c r="S199" s="27"/>
      <c r="T199" s="27"/>
      <c r="U199" s="27"/>
      <c r="V199" s="27"/>
      <c r="W199" s="27"/>
      <c r="X199" s="25"/>
      <c r="Y199" s="25"/>
      <c r="Z199" s="27"/>
    </row>
    <row r="200" spans="12:26" ht="13.2" x14ac:dyDescent="0.25">
      <c r="L200" s="25"/>
      <c r="M200" s="25"/>
      <c r="N200" s="25"/>
      <c r="O200" s="25"/>
      <c r="P200" s="25"/>
      <c r="Q200" s="25"/>
      <c r="R200" s="25"/>
      <c r="S200" s="27"/>
      <c r="T200" s="27"/>
      <c r="U200" s="27"/>
      <c r="V200" s="27"/>
      <c r="W200" s="27"/>
      <c r="X200" s="25"/>
      <c r="Y200" s="25"/>
      <c r="Z200" s="25"/>
    </row>
    <row r="201" spans="12:26" ht="13.2" x14ac:dyDescent="0.25">
      <c r="L201" s="25"/>
      <c r="M201" s="25"/>
      <c r="N201" s="25"/>
      <c r="O201" s="25"/>
      <c r="P201" s="25"/>
      <c r="Q201" s="25"/>
      <c r="R201" s="25"/>
      <c r="S201" s="27"/>
      <c r="T201" s="27"/>
      <c r="U201" s="27"/>
      <c r="V201" s="27"/>
      <c r="W201" s="27"/>
      <c r="X201" s="25"/>
      <c r="Y201" s="25"/>
      <c r="Z201" s="25"/>
    </row>
    <row r="202" spans="12:26" ht="13.2" x14ac:dyDescent="0.25">
      <c r="L202" s="25"/>
      <c r="M202" s="25"/>
      <c r="N202" s="25"/>
      <c r="O202" s="25"/>
      <c r="P202" s="25"/>
      <c r="Q202" s="25"/>
      <c r="R202" s="25"/>
      <c r="S202" s="27"/>
      <c r="T202" s="27"/>
      <c r="U202" s="27"/>
      <c r="V202" s="27"/>
      <c r="W202" s="27"/>
      <c r="X202" s="25"/>
      <c r="Y202" s="25"/>
      <c r="Z202" s="25"/>
    </row>
    <row r="203" spans="12:26" ht="13.2" x14ac:dyDescent="0.25">
      <c r="L203" s="25"/>
      <c r="M203" s="25"/>
      <c r="N203" s="25"/>
      <c r="O203" s="25"/>
      <c r="P203" s="25"/>
      <c r="Q203" s="25"/>
      <c r="R203" s="25"/>
      <c r="S203" s="27"/>
      <c r="T203" s="27"/>
      <c r="U203" s="27"/>
      <c r="V203" s="27"/>
      <c r="W203" s="27"/>
      <c r="X203" s="25"/>
      <c r="Y203" s="25"/>
      <c r="Z203" s="25"/>
    </row>
    <row r="204" spans="12:26" ht="13.2" x14ac:dyDescent="0.25">
      <c r="L204" s="25"/>
      <c r="M204" s="25"/>
      <c r="N204" s="25"/>
      <c r="O204" s="25"/>
      <c r="P204" s="25"/>
      <c r="Q204" s="25"/>
      <c r="R204" s="25"/>
      <c r="S204" s="27"/>
      <c r="T204" s="27"/>
      <c r="U204" s="27"/>
      <c r="V204" s="27"/>
      <c r="W204" s="27"/>
      <c r="X204" s="25"/>
      <c r="Y204" s="25"/>
      <c r="Z204" s="25"/>
    </row>
    <row r="205" spans="12:26" ht="13.2" x14ac:dyDescent="0.25">
      <c r="L205" s="25"/>
      <c r="M205" s="25"/>
      <c r="N205" s="25"/>
      <c r="O205" s="25"/>
      <c r="P205" s="25"/>
      <c r="Q205" s="25"/>
      <c r="R205" s="25"/>
      <c r="S205" s="27"/>
      <c r="T205" s="27"/>
      <c r="U205" s="27"/>
      <c r="V205" s="27"/>
      <c r="W205" s="27"/>
      <c r="X205" s="25"/>
      <c r="Y205" s="25"/>
      <c r="Z205" s="25"/>
    </row>
    <row r="206" spans="12:26" ht="13.2" x14ac:dyDescent="0.25">
      <c r="L206" s="25"/>
      <c r="M206" s="25"/>
      <c r="N206" s="25"/>
      <c r="O206" s="25"/>
      <c r="P206" s="25"/>
      <c r="Q206" s="25"/>
      <c r="R206" s="25"/>
      <c r="S206" s="27"/>
      <c r="T206" s="27"/>
      <c r="U206" s="27"/>
      <c r="V206" s="27"/>
      <c r="W206" s="27"/>
      <c r="X206" s="25"/>
      <c r="Y206" s="25"/>
      <c r="Z206" s="25"/>
    </row>
    <row r="207" spans="12:26" ht="13.2" x14ac:dyDescent="0.25">
      <c r="L207" s="25"/>
      <c r="M207" s="25"/>
      <c r="N207" s="25"/>
      <c r="O207" s="25"/>
      <c r="P207" s="25"/>
      <c r="Q207" s="25"/>
      <c r="R207" s="25"/>
      <c r="S207" s="27"/>
      <c r="T207" s="27"/>
      <c r="U207" s="27"/>
      <c r="V207" s="27"/>
      <c r="W207" s="27"/>
      <c r="X207" s="25"/>
      <c r="Y207" s="25"/>
      <c r="Z207" s="25"/>
    </row>
    <row r="208" spans="12:26" ht="13.2" x14ac:dyDescent="0.25">
      <c r="L208" s="25"/>
      <c r="M208" s="25"/>
      <c r="N208" s="25"/>
      <c r="O208" s="25"/>
      <c r="P208" s="25"/>
      <c r="Q208" s="25"/>
      <c r="R208" s="25"/>
      <c r="S208" s="27"/>
      <c r="T208" s="27"/>
      <c r="U208" s="27"/>
      <c r="V208" s="27"/>
      <c r="W208" s="27"/>
      <c r="X208" s="25"/>
      <c r="Y208" s="25"/>
      <c r="Z208" s="25"/>
    </row>
    <row r="209" spans="12:26" ht="13.2" x14ac:dyDescent="0.25">
      <c r="L209" s="25"/>
      <c r="M209" s="25"/>
      <c r="N209" s="25"/>
      <c r="O209" s="25"/>
      <c r="P209" s="25"/>
      <c r="Q209" s="25"/>
      <c r="R209" s="25"/>
      <c r="S209" s="27"/>
      <c r="T209" s="27"/>
      <c r="U209" s="27"/>
      <c r="V209" s="27"/>
      <c r="W209" s="27"/>
      <c r="X209" s="25"/>
      <c r="Y209" s="25"/>
      <c r="Z209" s="25"/>
    </row>
    <row r="210" spans="12:26" ht="13.2" x14ac:dyDescent="0.25">
      <c r="L210" s="25"/>
      <c r="M210" s="25"/>
      <c r="N210" s="25"/>
      <c r="O210" s="25"/>
      <c r="P210" s="25"/>
      <c r="Q210" s="25"/>
      <c r="R210" s="25"/>
      <c r="S210" s="27"/>
      <c r="T210" s="27"/>
      <c r="U210" s="27"/>
      <c r="V210" s="27"/>
      <c r="W210" s="27"/>
      <c r="X210" s="25"/>
      <c r="Y210" s="25"/>
      <c r="Z210" s="25"/>
    </row>
    <row r="211" spans="12:26" ht="13.2" x14ac:dyDescent="0.25">
      <c r="L211" s="25"/>
      <c r="M211" s="25"/>
      <c r="N211" s="25"/>
      <c r="O211" s="25"/>
      <c r="P211" s="25"/>
      <c r="Q211" s="25"/>
      <c r="R211" s="25"/>
      <c r="S211" s="27"/>
      <c r="T211" s="27"/>
      <c r="U211" s="27"/>
      <c r="V211" s="27"/>
      <c r="W211" s="27"/>
      <c r="X211" s="25"/>
      <c r="Y211" s="25"/>
      <c r="Z211" s="25"/>
    </row>
    <row r="212" spans="12:26" ht="13.2" x14ac:dyDescent="0.25">
      <c r="L212" s="25"/>
      <c r="M212" s="25"/>
      <c r="N212" s="25"/>
      <c r="O212" s="25"/>
      <c r="P212" s="25"/>
      <c r="Q212" s="25"/>
      <c r="R212" s="25"/>
      <c r="S212" s="27"/>
      <c r="T212" s="27"/>
      <c r="U212" s="27"/>
      <c r="V212" s="27"/>
      <c r="W212" s="27"/>
      <c r="X212" s="25"/>
      <c r="Y212" s="25"/>
      <c r="Z212" s="25"/>
    </row>
    <row r="213" spans="12:26" ht="13.2" x14ac:dyDescent="0.25">
      <c r="L213" s="25"/>
      <c r="M213" s="25"/>
      <c r="N213" s="25"/>
      <c r="O213" s="25"/>
      <c r="P213" s="25"/>
      <c r="Q213" s="25"/>
      <c r="R213" s="25"/>
      <c r="S213" s="27"/>
      <c r="T213" s="27"/>
      <c r="U213" s="27"/>
      <c r="V213" s="27"/>
      <c r="W213" s="27"/>
      <c r="X213" s="25"/>
      <c r="Y213" s="25"/>
      <c r="Z213" s="25"/>
    </row>
    <row r="214" spans="12:26" ht="13.2" x14ac:dyDescent="0.25">
      <c r="L214" s="25"/>
      <c r="M214" s="25"/>
      <c r="N214" s="25"/>
      <c r="O214" s="25"/>
      <c r="P214" s="25"/>
      <c r="Q214" s="25"/>
      <c r="R214" s="25"/>
      <c r="S214" s="27"/>
      <c r="T214" s="27"/>
      <c r="U214" s="27"/>
      <c r="V214" s="27"/>
      <c r="W214" s="27"/>
      <c r="X214" s="25"/>
      <c r="Y214" s="25"/>
      <c r="Z214" s="25"/>
    </row>
    <row r="215" spans="12:26" ht="13.2" x14ac:dyDescent="0.25">
      <c r="L215" s="25"/>
      <c r="M215" s="25"/>
      <c r="N215" s="25"/>
      <c r="O215" s="25"/>
      <c r="P215" s="25"/>
      <c r="Q215" s="25"/>
      <c r="R215" s="25"/>
      <c r="S215" s="27"/>
      <c r="T215" s="27"/>
      <c r="U215" s="27"/>
      <c r="V215" s="27"/>
      <c r="W215" s="27"/>
      <c r="X215" s="25"/>
      <c r="Y215" s="25"/>
      <c r="Z215" s="25"/>
    </row>
    <row r="216" spans="12:26" ht="13.2" x14ac:dyDescent="0.25">
      <c r="L216" s="25"/>
      <c r="M216" s="25"/>
      <c r="N216" s="25"/>
      <c r="O216" s="25"/>
      <c r="P216" s="25"/>
      <c r="Q216" s="25"/>
      <c r="R216" s="25"/>
      <c r="S216" s="27"/>
      <c r="T216" s="27"/>
      <c r="U216" s="27"/>
      <c r="V216" s="27"/>
      <c r="W216" s="27"/>
      <c r="X216" s="25"/>
      <c r="Y216" s="25"/>
      <c r="Z216" s="25"/>
    </row>
    <row r="217" spans="12:26" ht="13.2" x14ac:dyDescent="0.25">
      <c r="L217" s="25"/>
      <c r="M217" s="25"/>
      <c r="N217" s="25"/>
      <c r="O217" s="25"/>
      <c r="P217" s="25"/>
      <c r="Q217" s="25"/>
      <c r="R217" s="25"/>
      <c r="S217" s="27"/>
      <c r="T217" s="27"/>
      <c r="U217" s="27"/>
      <c r="V217" s="25"/>
      <c r="W217" s="27"/>
      <c r="X217" s="25"/>
      <c r="Y217" s="25"/>
      <c r="Z217" s="25"/>
    </row>
    <row r="218" spans="12:26" ht="13.2" x14ac:dyDescent="0.25">
      <c r="L218" s="25"/>
      <c r="M218" s="25"/>
      <c r="N218" s="25"/>
      <c r="O218" s="25"/>
      <c r="P218" s="25"/>
      <c r="Q218" s="25"/>
      <c r="R218" s="25"/>
      <c r="S218" s="27"/>
      <c r="T218" s="27"/>
      <c r="U218" s="27"/>
      <c r="V218" s="27"/>
      <c r="W218" s="27"/>
      <c r="X218" s="25"/>
      <c r="Y218" s="27"/>
      <c r="Z218" s="25"/>
    </row>
    <row r="219" spans="12:26" ht="13.2" x14ac:dyDescent="0.25">
      <c r="L219" s="25"/>
      <c r="M219" s="25"/>
      <c r="N219" s="25"/>
      <c r="O219" s="25"/>
      <c r="P219" s="25"/>
      <c r="Q219" s="25"/>
      <c r="R219" s="25"/>
      <c r="S219" s="27"/>
      <c r="T219" s="27"/>
      <c r="U219" s="27"/>
      <c r="V219" s="27"/>
      <c r="W219" s="27"/>
      <c r="X219" s="25"/>
      <c r="Y219" s="25"/>
      <c r="Z219" s="25"/>
    </row>
    <row r="220" spans="12:26" ht="13.2" x14ac:dyDescent="0.25">
      <c r="L220" s="25"/>
      <c r="M220" s="25"/>
      <c r="N220" s="25"/>
      <c r="O220" s="25"/>
      <c r="P220" s="25"/>
      <c r="Q220" s="25"/>
      <c r="R220" s="25"/>
      <c r="S220" s="27"/>
      <c r="T220" s="27"/>
      <c r="U220" s="27"/>
      <c r="V220" s="27"/>
      <c r="W220" s="27"/>
      <c r="X220" s="25"/>
      <c r="Y220" s="25"/>
      <c r="Z220" s="25"/>
    </row>
    <row r="221" spans="12:26" ht="13.2" x14ac:dyDescent="0.25">
      <c r="L221" s="25"/>
      <c r="M221" s="25"/>
      <c r="N221" s="25"/>
      <c r="O221" s="25"/>
      <c r="P221" s="25"/>
      <c r="Q221" s="25"/>
      <c r="R221" s="25"/>
      <c r="S221" s="27"/>
      <c r="T221" s="27"/>
      <c r="U221" s="27"/>
      <c r="V221" s="27"/>
      <c r="W221" s="27"/>
      <c r="X221" s="25"/>
      <c r="Y221" s="25"/>
      <c r="Z221" s="25"/>
    </row>
    <row r="222" spans="12:26" ht="13.2" x14ac:dyDescent="0.25">
      <c r="L222" s="25"/>
      <c r="M222" s="25"/>
      <c r="N222" s="25"/>
      <c r="O222" s="25"/>
      <c r="P222" s="25"/>
      <c r="Q222" s="25"/>
      <c r="R222" s="25"/>
      <c r="S222" s="27"/>
      <c r="T222" s="27"/>
      <c r="U222" s="27"/>
      <c r="V222" s="27"/>
      <c r="W222" s="27"/>
      <c r="X222" s="25"/>
      <c r="Y222" s="25"/>
      <c r="Z222" s="25"/>
    </row>
    <row r="223" spans="12:26" ht="13.2" x14ac:dyDescent="0.25">
      <c r="L223" s="25"/>
      <c r="M223" s="25"/>
      <c r="N223" s="25"/>
      <c r="O223" s="25"/>
      <c r="P223" s="25"/>
      <c r="Q223" s="25"/>
      <c r="R223" s="25"/>
      <c r="S223" s="27"/>
      <c r="T223" s="27"/>
      <c r="U223" s="27"/>
      <c r="V223" s="27"/>
      <c r="W223" s="27"/>
      <c r="X223" s="25"/>
      <c r="Y223" s="25"/>
      <c r="Z223" s="25"/>
    </row>
    <row r="224" spans="12:26" ht="13.2" x14ac:dyDescent="0.25">
      <c r="L224" s="25"/>
      <c r="M224" s="25"/>
      <c r="N224" s="25"/>
      <c r="O224" s="25"/>
      <c r="P224" s="25"/>
      <c r="Q224" s="25"/>
      <c r="R224" s="25"/>
      <c r="S224" s="27"/>
      <c r="T224" s="27"/>
      <c r="U224" s="27"/>
      <c r="V224" s="27"/>
      <c r="W224" s="27"/>
      <c r="X224" s="25"/>
      <c r="Y224" s="25"/>
      <c r="Z224" s="25"/>
    </row>
    <row r="225" spans="12:26" ht="13.2" x14ac:dyDescent="0.25">
      <c r="L225" s="25"/>
      <c r="M225" s="25"/>
      <c r="N225" s="25"/>
      <c r="O225" s="25"/>
      <c r="P225" s="25"/>
      <c r="Q225" s="25"/>
      <c r="R225" s="25"/>
      <c r="S225" s="27"/>
      <c r="T225" s="27"/>
      <c r="U225" s="27"/>
      <c r="V225" s="27"/>
      <c r="W225" s="27"/>
      <c r="X225" s="25"/>
      <c r="Y225" s="25"/>
      <c r="Z225" s="25"/>
    </row>
    <row r="226" spans="12:26" ht="13.2" x14ac:dyDescent="0.25">
      <c r="L226" s="25"/>
      <c r="M226" s="25"/>
      <c r="N226" s="25"/>
      <c r="O226" s="25"/>
      <c r="P226" s="25"/>
      <c r="Q226" s="25"/>
      <c r="R226" s="25"/>
      <c r="S226" s="27"/>
      <c r="T226" s="27"/>
      <c r="U226" s="27"/>
      <c r="V226" s="27"/>
      <c r="W226" s="27"/>
      <c r="X226" s="25"/>
      <c r="Y226" s="25"/>
      <c r="Z226" s="25"/>
    </row>
    <row r="227" spans="12:26" ht="13.2" x14ac:dyDescent="0.25">
      <c r="L227" s="25"/>
      <c r="M227" s="25"/>
      <c r="N227" s="25"/>
      <c r="O227" s="25"/>
      <c r="P227" s="25"/>
      <c r="Q227" s="25"/>
      <c r="R227" s="25"/>
      <c r="S227" s="27"/>
      <c r="T227" s="27"/>
      <c r="U227" s="27"/>
      <c r="V227" s="27"/>
      <c r="W227" s="27"/>
      <c r="X227" s="25"/>
      <c r="Y227" s="25"/>
      <c r="Z227" s="25"/>
    </row>
    <row r="228" spans="12:26" ht="13.2" x14ac:dyDescent="0.25">
      <c r="L228" s="25"/>
      <c r="M228" s="25"/>
      <c r="N228" s="25"/>
      <c r="O228" s="25"/>
      <c r="P228" s="25"/>
      <c r="Q228" s="25"/>
      <c r="R228" s="25"/>
      <c r="S228" s="27"/>
      <c r="T228" s="27"/>
      <c r="U228" s="27"/>
      <c r="V228" s="27"/>
      <c r="W228" s="27"/>
      <c r="X228" s="25"/>
      <c r="Y228" s="25"/>
      <c r="Z228" s="25"/>
    </row>
    <row r="229" spans="12:26" ht="13.2" x14ac:dyDescent="0.25">
      <c r="L229" s="25"/>
      <c r="M229" s="25"/>
      <c r="N229" s="25"/>
      <c r="O229" s="25"/>
      <c r="P229" s="25"/>
      <c r="Q229" s="25"/>
      <c r="R229" s="25"/>
      <c r="S229" s="27"/>
      <c r="T229" s="27"/>
      <c r="U229" s="27"/>
      <c r="V229" s="27"/>
      <c r="W229" s="27"/>
      <c r="X229" s="25"/>
      <c r="Y229" s="25"/>
      <c r="Z229" s="25"/>
    </row>
    <row r="230" spans="12:26" ht="13.2" x14ac:dyDescent="0.25">
      <c r="L230" s="25"/>
      <c r="M230" s="25"/>
      <c r="N230" s="25"/>
      <c r="O230" s="25"/>
      <c r="P230" s="25"/>
      <c r="Q230" s="25"/>
      <c r="R230" s="25"/>
      <c r="S230" s="27"/>
      <c r="T230" s="27"/>
      <c r="U230" s="27"/>
      <c r="V230" s="27"/>
      <c r="W230" s="27"/>
      <c r="X230" s="25"/>
      <c r="Y230" s="25"/>
      <c r="Z230" s="25"/>
    </row>
    <row r="231" spans="12:26" ht="13.2" x14ac:dyDescent="0.25">
      <c r="L231" s="25"/>
      <c r="M231" s="25"/>
      <c r="N231" s="25"/>
      <c r="O231" s="25"/>
      <c r="P231" s="25"/>
      <c r="Q231" s="25"/>
      <c r="R231" s="25"/>
      <c r="S231" s="27"/>
      <c r="T231" s="27"/>
      <c r="U231" s="25"/>
      <c r="V231" s="25"/>
      <c r="W231" s="27"/>
      <c r="X231" s="25"/>
      <c r="Y231" s="25"/>
      <c r="Z231" s="25"/>
    </row>
    <row r="232" spans="12:26" ht="13.2" x14ac:dyDescent="0.25">
      <c r="L232" s="25"/>
      <c r="M232" s="25"/>
      <c r="N232" s="25"/>
      <c r="O232" s="25"/>
      <c r="P232" s="25"/>
      <c r="Q232" s="25"/>
      <c r="R232" s="25"/>
      <c r="S232" s="27"/>
      <c r="T232" s="27"/>
      <c r="U232" s="27"/>
      <c r="V232" s="27"/>
      <c r="W232" s="27"/>
      <c r="X232" s="25"/>
      <c r="Y232" s="25"/>
      <c r="Z232" s="25"/>
    </row>
    <row r="233" spans="12:26" ht="13.2" x14ac:dyDescent="0.25">
      <c r="L233" s="25"/>
      <c r="M233" s="25"/>
      <c r="N233" s="25"/>
      <c r="O233" s="25"/>
      <c r="P233" s="25"/>
      <c r="Q233" s="25"/>
      <c r="R233" s="25"/>
      <c r="S233" s="27"/>
      <c r="T233" s="27"/>
      <c r="U233" s="27"/>
      <c r="V233" s="27"/>
      <c r="W233" s="27"/>
      <c r="X233" s="25"/>
      <c r="Y233" s="25"/>
      <c r="Z233" s="25"/>
    </row>
    <row r="234" spans="12:26" ht="13.2" x14ac:dyDescent="0.25">
      <c r="L234" s="25"/>
      <c r="M234" s="25"/>
      <c r="N234" s="25"/>
      <c r="O234" s="25"/>
      <c r="P234" s="25"/>
      <c r="Q234" s="25"/>
      <c r="R234" s="25"/>
      <c r="S234" s="27"/>
      <c r="T234" s="27"/>
      <c r="U234" s="27"/>
      <c r="V234" s="27"/>
      <c r="W234" s="27"/>
      <c r="X234" s="25"/>
      <c r="Y234" s="25"/>
      <c r="Z234" s="25"/>
    </row>
    <row r="235" spans="12:26" ht="13.2" x14ac:dyDescent="0.25">
      <c r="L235" s="25"/>
      <c r="M235" s="25"/>
      <c r="N235" s="25"/>
      <c r="O235" s="25"/>
      <c r="P235" s="25"/>
      <c r="Q235" s="25"/>
      <c r="R235" s="25"/>
      <c r="S235" s="27"/>
      <c r="T235" s="27"/>
      <c r="U235" s="27"/>
      <c r="V235" s="27"/>
      <c r="W235" s="27"/>
      <c r="X235" s="25"/>
      <c r="Y235" s="25"/>
      <c r="Z235" s="25"/>
    </row>
    <row r="236" spans="12:26" ht="13.2" x14ac:dyDescent="0.25">
      <c r="L236" s="25"/>
      <c r="M236" s="25"/>
      <c r="N236" s="25"/>
      <c r="O236" s="25"/>
      <c r="P236" s="25"/>
      <c r="Q236" s="25"/>
      <c r="R236" s="25"/>
      <c r="S236" s="27"/>
      <c r="T236" s="27"/>
      <c r="U236" s="27"/>
      <c r="V236" s="27"/>
      <c r="W236" s="27"/>
      <c r="X236" s="25"/>
      <c r="Y236" s="25"/>
      <c r="Z236" s="25"/>
    </row>
    <row r="237" spans="12:26" ht="13.2" x14ac:dyDescent="0.25">
      <c r="L237" s="25"/>
      <c r="M237" s="25"/>
      <c r="N237" s="25"/>
      <c r="O237" s="25"/>
      <c r="P237" s="25"/>
      <c r="Q237" s="25"/>
      <c r="R237" s="25"/>
      <c r="S237" s="27"/>
      <c r="T237" s="27"/>
      <c r="U237" s="27"/>
      <c r="V237" s="27"/>
      <c r="W237" s="25"/>
      <c r="X237" s="25"/>
      <c r="Y237" s="25"/>
      <c r="Z237" s="25"/>
    </row>
    <row r="238" spans="12:26" ht="13.2" x14ac:dyDescent="0.25">
      <c r="L238" s="25"/>
      <c r="M238" s="25"/>
      <c r="N238" s="25"/>
      <c r="O238" s="25"/>
      <c r="P238" s="25"/>
      <c r="Q238" s="25"/>
      <c r="R238" s="25"/>
      <c r="S238" s="27"/>
      <c r="T238" s="27"/>
      <c r="U238" s="25"/>
      <c r="V238" s="25"/>
      <c r="W238" s="27"/>
      <c r="X238" s="25"/>
      <c r="Y238" s="25"/>
      <c r="Z238" s="25"/>
    </row>
    <row r="239" spans="12:26" ht="13.2" x14ac:dyDescent="0.25">
      <c r="L239" s="25"/>
      <c r="M239" s="25"/>
      <c r="N239" s="25"/>
      <c r="O239" s="25"/>
      <c r="P239" s="25"/>
      <c r="Q239" s="25"/>
      <c r="R239" s="25"/>
      <c r="S239" s="27"/>
      <c r="T239" s="27"/>
      <c r="U239" s="27"/>
      <c r="V239" s="27"/>
      <c r="W239" s="27"/>
      <c r="X239" s="25"/>
      <c r="Y239" s="25"/>
      <c r="Z239" s="25"/>
    </row>
    <row r="240" spans="12:26" ht="13.2" x14ac:dyDescent="0.25">
      <c r="L240" s="25"/>
      <c r="M240" s="25"/>
      <c r="N240" s="25"/>
      <c r="O240" s="25"/>
      <c r="P240" s="25"/>
      <c r="Q240" s="25"/>
      <c r="R240" s="25"/>
      <c r="S240" s="27"/>
      <c r="T240" s="27"/>
      <c r="U240" s="27"/>
      <c r="V240" s="27"/>
      <c r="W240" s="27"/>
      <c r="X240" s="25"/>
      <c r="Y240" s="25"/>
      <c r="Z240" s="25"/>
    </row>
    <row r="241" spans="12:26" ht="13.2" x14ac:dyDescent="0.25">
      <c r="L241" s="25"/>
      <c r="M241" s="25"/>
      <c r="N241" s="25"/>
      <c r="O241" s="25"/>
      <c r="P241" s="25"/>
      <c r="Q241" s="25"/>
      <c r="R241" s="25"/>
      <c r="S241" s="27"/>
      <c r="T241" s="27"/>
      <c r="U241" s="27"/>
      <c r="V241" s="27"/>
      <c r="W241" s="27"/>
      <c r="X241" s="25"/>
      <c r="Y241" s="25"/>
      <c r="Z241" s="25"/>
    </row>
    <row r="242" spans="12:26" ht="13.2" x14ac:dyDescent="0.25">
      <c r="L242" s="25"/>
      <c r="M242" s="25"/>
      <c r="N242" s="25"/>
      <c r="O242" s="25"/>
      <c r="P242" s="25"/>
      <c r="Q242" s="25"/>
      <c r="R242" s="25"/>
      <c r="S242" s="27"/>
      <c r="T242" s="27"/>
      <c r="U242" s="27"/>
      <c r="V242" s="27"/>
      <c r="W242" s="27"/>
      <c r="X242" s="25"/>
      <c r="Y242" s="25"/>
      <c r="Z242" s="25"/>
    </row>
    <row r="243" spans="12:26" ht="13.2" x14ac:dyDescent="0.25">
      <c r="L243" s="25"/>
      <c r="M243" s="25"/>
      <c r="N243" s="25"/>
      <c r="O243" s="25"/>
      <c r="P243" s="25"/>
      <c r="Q243" s="25"/>
      <c r="R243" s="25"/>
      <c r="S243" s="27"/>
      <c r="T243" s="27"/>
      <c r="U243" s="27"/>
      <c r="V243" s="27"/>
      <c r="W243" s="27"/>
      <c r="X243" s="25"/>
      <c r="Y243" s="25"/>
      <c r="Z243" s="25"/>
    </row>
    <row r="244" spans="12:26" ht="13.2" x14ac:dyDescent="0.25">
      <c r="L244" s="25"/>
      <c r="M244" s="25"/>
      <c r="N244" s="25"/>
      <c r="O244" s="25"/>
      <c r="P244" s="25"/>
      <c r="Q244" s="25"/>
      <c r="R244" s="25"/>
      <c r="S244" s="27"/>
      <c r="T244" s="27"/>
      <c r="U244" s="27"/>
      <c r="V244" s="27"/>
      <c r="W244" s="27"/>
      <c r="X244" s="25"/>
      <c r="Y244" s="25"/>
      <c r="Z244" s="25"/>
    </row>
    <row r="245" spans="12:26" ht="13.2" x14ac:dyDescent="0.25">
      <c r="L245" s="25"/>
      <c r="M245" s="25"/>
      <c r="N245" s="25"/>
      <c r="O245" s="25"/>
      <c r="P245" s="25"/>
      <c r="Q245" s="25"/>
      <c r="R245" s="25"/>
      <c r="S245" s="27"/>
      <c r="T245" s="27"/>
      <c r="U245" s="27"/>
      <c r="V245" s="27"/>
      <c r="W245" s="27"/>
      <c r="X245" s="25"/>
      <c r="Y245" s="25"/>
      <c r="Z245" s="25"/>
    </row>
  </sheetData>
  <mergeCells count="2">
    <mergeCell ref="A4:B4"/>
    <mergeCell ref="A5:B5"/>
  </mergeCells>
  <conditionalFormatting sqref="B11:K20">
    <cfRule type="colorScale" priority="49">
      <colorScale>
        <cfvo type="min"/>
        <cfvo type="percent" val="50"/>
        <cfvo type="max"/>
        <color rgb="FFE67C73"/>
        <color rgb="FFFFD666"/>
        <color rgb="FF57BB8A"/>
      </colorScale>
    </cfRule>
  </conditionalFormatting>
  <conditionalFormatting sqref="M19">
    <cfRule type="expression" dxfId="34" priority="34">
      <formula>M20="Yes"</formula>
    </cfRule>
    <cfRule type="expression" dxfId="33" priority="35">
      <formula>M20="No"</formula>
    </cfRule>
  </conditionalFormatting>
  <conditionalFormatting sqref="M16">
    <cfRule type="expression" dxfId="32" priority="26">
      <formula>M17="Yes"</formula>
    </cfRule>
    <cfRule type="expression" dxfId="31" priority="27">
      <formula>M17="No"</formula>
    </cfRule>
  </conditionalFormatting>
  <conditionalFormatting sqref="M13">
    <cfRule type="expression" dxfId="30" priority="24">
      <formula>M14="Yes"</formula>
    </cfRule>
    <cfRule type="expression" dxfId="29" priority="25">
      <formula>M14="No"</formula>
    </cfRule>
  </conditionalFormatting>
  <conditionalFormatting sqref="M4">
    <cfRule type="expression" dxfId="28" priority="22">
      <formula>M5="Yes"</formula>
    </cfRule>
    <cfRule type="expression" dxfId="27" priority="23">
      <formula>M5="No"</formula>
    </cfRule>
  </conditionalFormatting>
  <conditionalFormatting sqref="M7">
    <cfRule type="expression" dxfId="26" priority="20">
      <formula>M8="Yes"</formula>
    </cfRule>
    <cfRule type="expression" dxfId="25" priority="21">
      <formula>M8="No"</formula>
    </cfRule>
  </conditionalFormatting>
  <conditionalFormatting sqref="M10">
    <cfRule type="expression" dxfId="24" priority="18">
      <formula>M11="Yes"</formula>
    </cfRule>
    <cfRule type="expression" dxfId="23" priority="19">
      <formula>M11="No"</formula>
    </cfRule>
  </conditionalFormatting>
  <conditionalFormatting sqref="M22">
    <cfRule type="expression" dxfId="22" priority="14">
      <formula>M23="Yes"</formula>
    </cfRule>
    <cfRule type="expression" dxfId="21" priority="15">
      <formula>M23="No"</formula>
    </cfRule>
  </conditionalFormatting>
  <conditionalFormatting sqref="M25">
    <cfRule type="expression" dxfId="20" priority="12">
      <formula>M26="Yes"</formula>
    </cfRule>
    <cfRule type="expression" dxfId="19" priority="13">
      <formula>M26="No"</formula>
    </cfRule>
  </conditionalFormatting>
  <conditionalFormatting sqref="M28">
    <cfRule type="expression" dxfId="18" priority="10">
      <formula>M29="Yes"</formula>
    </cfRule>
    <cfRule type="expression" dxfId="17" priority="11">
      <formula>M29="No"</formula>
    </cfRule>
  </conditionalFormatting>
  <conditionalFormatting sqref="M31">
    <cfRule type="expression" dxfId="16" priority="8">
      <formula>M32="Yes"</formula>
    </cfRule>
    <cfRule type="expression" dxfId="15" priority="9">
      <formula>M32="No"</formula>
    </cfRule>
  </conditionalFormatting>
  <conditionalFormatting sqref="B30:K39">
    <cfRule type="colorScale" priority="7">
      <colorScale>
        <cfvo type="min"/>
        <cfvo type="percent" val="50"/>
        <cfvo type="max"/>
        <color rgb="FFE67C73"/>
        <color rgb="FFFFD666"/>
        <color rgb="FF57BB8A"/>
      </colorScale>
    </cfRule>
  </conditionalFormatting>
  <conditionalFormatting sqref="B49:K58">
    <cfRule type="colorScale" priority="6">
      <colorScale>
        <cfvo type="min"/>
        <cfvo type="percent" val="50"/>
        <cfvo type="max"/>
        <color rgb="FFE67C73"/>
        <color rgb="FFFFD666"/>
        <color rgb="FF57BB8A"/>
      </colorScale>
    </cfRule>
  </conditionalFormatting>
  <conditionalFormatting sqref="K4">
    <cfRule type="expression" dxfId="14" priority="4">
      <formula>K5="Yes"</formula>
    </cfRule>
    <cfRule type="expression" dxfId="13" priority="5">
      <formula>K5="No"</formula>
    </cfRule>
  </conditionalFormatting>
  <conditionalFormatting sqref="B11:K20 B30:K39 B49:K58">
    <cfRule type="cellIs" dxfId="12" priority="3" operator="equal">
      <formula>"Calc. Off"</formula>
    </cfRule>
  </conditionalFormatting>
  <conditionalFormatting sqref="B30:K39">
    <cfRule type="colorScale" priority="2">
      <colorScale>
        <cfvo type="min"/>
        <cfvo type="percent" val="50"/>
        <cfvo type="max"/>
        <color rgb="FFE67C73"/>
        <color rgb="FFFFD666"/>
        <color rgb="FF57BB8A"/>
      </colorScale>
    </cfRule>
  </conditionalFormatting>
  <conditionalFormatting sqref="B49:K58">
    <cfRule type="colorScale" priority="1">
      <colorScale>
        <cfvo type="min"/>
        <cfvo type="percent" val="50"/>
        <cfvo type="max"/>
        <color rgb="FFE67C73"/>
        <color rgb="FFFFD666"/>
        <color rgb="FF57BB8A"/>
      </colorScale>
    </cfRule>
  </conditionalFormatting>
  <dataValidations count="5">
    <dataValidation type="list" allowBlank="1" showInputMessage="1" showErrorMessage="1" sqref="G5" xr:uid="{DB419D85-6878-465A-BCD1-D1CBE38A0F0A}">
      <formula1>Hull_Class</formula1>
    </dataValidation>
    <dataValidation type="list" allowBlank="1" showInputMessage="1" showErrorMessage="1" sqref="H5" xr:uid="{63D5573C-5A73-4951-88DE-B3EC33A10C1E}">
      <formula1>INDIRECT(G5)</formula1>
    </dataValidation>
    <dataValidation type="list" allowBlank="1" showInputMessage="1" showErrorMessage="1" sqref="E46" xr:uid="{362DF69A-AC8C-4C0E-9209-5BE03618A14C}">
      <formula1>Ship_Armor</formula1>
    </dataValidation>
    <dataValidation type="list" allowBlank="1" showInputMessage="1" showErrorMessage="1" sqref="A46" xr:uid="{EE47345A-4581-4024-8A1F-A227D65C90E1}">
      <formula1>Hull_Class_2</formula1>
    </dataValidation>
    <dataValidation type="list" allowBlank="1" showInputMessage="1" showErrorMessage="1" sqref="K5 M5 M8 M11 M14 M17 M20 M23 M26 M29 M32" xr:uid="{FB2746B0-98C6-4B9B-A144-639C3D7FEA8F}">
      <formula1>Application</formula1>
    </dataValidation>
  </dataValidations>
  <pageMargins left="0.7" right="0.7" top="0.75" bottom="0.75" header="0.3" footer="0.3"/>
  <pageSetup orientation="portrait" horizontalDpi="4294967293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E742825-BE69-4956-8E4E-FAB236686F6C}">
          <x14:formula1>
            <xm:f>'Background Tables'!$A$26:$A$27</xm:f>
          </x14:formula1>
          <xm:sqref>C5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9D146-0891-42B5-B0FC-7B427E1B20BD}">
  <dimension ref="A1:U367"/>
  <sheetViews>
    <sheetView zoomScaleNormal="100" workbookViewId="0">
      <pane ySplit="1" topLeftCell="A109" activePane="bottomLeft" state="frozen"/>
      <selection pane="bottomLeft" activeCell="M124" sqref="M124"/>
    </sheetView>
  </sheetViews>
  <sheetFormatPr defaultRowHeight="13.2" x14ac:dyDescent="0.25"/>
  <cols>
    <col min="1" max="19" width="9.33203125" customWidth="1"/>
  </cols>
  <sheetData>
    <row r="1" spans="1:21" x14ac:dyDescent="0.25">
      <c r="A1" s="3" t="s">
        <v>456</v>
      </c>
      <c r="B1" s="3" t="s">
        <v>0</v>
      </c>
      <c r="C1" t="s">
        <v>442</v>
      </c>
      <c r="D1" s="3" t="s">
        <v>1</v>
      </c>
      <c r="E1" s="3" t="s">
        <v>2</v>
      </c>
      <c r="F1" s="3" t="s">
        <v>410</v>
      </c>
      <c r="G1" s="3" t="s">
        <v>437</v>
      </c>
      <c r="H1" s="3" t="s">
        <v>415</v>
      </c>
      <c r="I1" s="3" t="s">
        <v>416</v>
      </c>
      <c r="J1" s="3" t="s">
        <v>417</v>
      </c>
      <c r="L1" s="3" t="s">
        <v>457</v>
      </c>
      <c r="M1" s="3" t="s">
        <v>0</v>
      </c>
      <c r="O1" s="3" t="s">
        <v>1</v>
      </c>
      <c r="P1" s="3" t="s">
        <v>2</v>
      </c>
      <c r="Q1" s="3" t="s">
        <v>410</v>
      </c>
      <c r="R1" s="3" t="s">
        <v>437</v>
      </c>
      <c r="S1" s="3" t="s">
        <v>415</v>
      </c>
      <c r="T1" s="3" t="s">
        <v>416</v>
      </c>
      <c r="U1" s="3" t="s">
        <v>417</v>
      </c>
    </row>
    <row r="2" spans="1:21" x14ac:dyDescent="0.25">
      <c r="A2">
        <v>1</v>
      </c>
      <c r="B2" s="3" t="s">
        <v>7</v>
      </c>
      <c r="C2" t="s">
        <v>420</v>
      </c>
      <c r="D2">
        <v>245</v>
      </c>
      <c r="E2">
        <v>122</v>
      </c>
      <c r="F2">
        <v>100</v>
      </c>
      <c r="G2" t="s">
        <v>427</v>
      </c>
      <c r="L2">
        <v>1</v>
      </c>
      <c r="M2" s="3" t="s">
        <v>7</v>
      </c>
      <c r="N2" t="s">
        <v>420</v>
      </c>
      <c r="O2">
        <v>210</v>
      </c>
      <c r="P2">
        <v>105</v>
      </c>
      <c r="Q2">
        <v>100</v>
      </c>
      <c r="R2" t="s">
        <v>427</v>
      </c>
    </row>
    <row r="3" spans="1:21" x14ac:dyDescent="0.25">
      <c r="A3">
        <v>2</v>
      </c>
      <c r="B3" s="3" t="s">
        <v>6</v>
      </c>
      <c r="C3" t="s">
        <v>420</v>
      </c>
      <c r="D3">
        <v>245</v>
      </c>
      <c r="E3">
        <v>122</v>
      </c>
      <c r="F3">
        <v>100</v>
      </c>
      <c r="G3" t="s">
        <v>427</v>
      </c>
      <c r="L3">
        <v>2</v>
      </c>
      <c r="M3" s="3" t="s">
        <v>6</v>
      </c>
      <c r="N3" t="s">
        <v>420</v>
      </c>
      <c r="O3">
        <v>210</v>
      </c>
      <c r="P3">
        <v>105</v>
      </c>
      <c r="Q3">
        <v>100</v>
      </c>
      <c r="R3" t="s">
        <v>427</v>
      </c>
    </row>
    <row r="4" spans="1:21" x14ac:dyDescent="0.25">
      <c r="A4">
        <v>5</v>
      </c>
      <c r="B4" t="s">
        <v>9</v>
      </c>
      <c r="C4" t="s">
        <v>420</v>
      </c>
      <c r="D4">
        <v>1735</v>
      </c>
      <c r="E4">
        <v>162</v>
      </c>
      <c r="F4">
        <v>66</v>
      </c>
      <c r="G4" t="s">
        <v>427</v>
      </c>
      <c r="L4">
        <v>5</v>
      </c>
      <c r="M4" t="s">
        <v>9</v>
      </c>
      <c r="N4" t="s">
        <v>420</v>
      </c>
      <c r="O4">
        <v>1446</v>
      </c>
      <c r="P4">
        <v>156</v>
      </c>
      <c r="Q4">
        <v>66</v>
      </c>
      <c r="R4" t="s">
        <v>427</v>
      </c>
    </row>
    <row r="5" spans="1:21" x14ac:dyDescent="0.25">
      <c r="A5">
        <v>6</v>
      </c>
      <c r="B5" s="3" t="s">
        <v>12</v>
      </c>
      <c r="C5" t="s">
        <v>420</v>
      </c>
      <c r="D5">
        <v>1735</v>
      </c>
      <c r="E5">
        <v>162</v>
      </c>
      <c r="F5">
        <v>63</v>
      </c>
      <c r="G5" t="s">
        <v>427</v>
      </c>
      <c r="L5">
        <v>6</v>
      </c>
      <c r="M5" t="s">
        <v>12</v>
      </c>
      <c r="N5" t="s">
        <v>420</v>
      </c>
      <c r="O5">
        <v>1446</v>
      </c>
      <c r="P5">
        <v>156</v>
      </c>
      <c r="Q5">
        <v>63</v>
      </c>
      <c r="R5" t="s">
        <v>427</v>
      </c>
    </row>
    <row r="6" spans="1:21" x14ac:dyDescent="0.25">
      <c r="A6">
        <v>7</v>
      </c>
      <c r="B6" s="3" t="s">
        <v>20</v>
      </c>
      <c r="C6" t="s">
        <v>420</v>
      </c>
      <c r="D6">
        <v>1810</v>
      </c>
      <c r="E6">
        <v>163</v>
      </c>
      <c r="F6">
        <v>72</v>
      </c>
      <c r="G6" t="s">
        <v>427</v>
      </c>
      <c r="L6">
        <v>7</v>
      </c>
      <c r="M6" t="s">
        <v>20</v>
      </c>
      <c r="N6" t="s">
        <v>420</v>
      </c>
      <c r="O6">
        <v>1508</v>
      </c>
      <c r="P6">
        <v>157</v>
      </c>
      <c r="Q6">
        <v>72</v>
      </c>
      <c r="R6" t="s">
        <v>427</v>
      </c>
    </row>
    <row r="7" spans="1:21" x14ac:dyDescent="0.25">
      <c r="A7">
        <v>8</v>
      </c>
      <c r="B7" s="3" t="s">
        <v>21</v>
      </c>
      <c r="C7" t="s">
        <v>420</v>
      </c>
      <c r="D7">
        <v>1774</v>
      </c>
      <c r="E7">
        <v>163</v>
      </c>
      <c r="F7">
        <v>72</v>
      </c>
      <c r="G7" t="s">
        <v>427</v>
      </c>
      <c r="L7">
        <v>8</v>
      </c>
      <c r="M7" t="s">
        <v>21</v>
      </c>
      <c r="N7" t="s">
        <v>420</v>
      </c>
      <c r="O7">
        <v>1479</v>
      </c>
      <c r="P7">
        <v>157</v>
      </c>
      <c r="Q7">
        <v>72</v>
      </c>
      <c r="R7" t="s">
        <v>427</v>
      </c>
    </row>
    <row r="8" spans="1:21" x14ac:dyDescent="0.25">
      <c r="A8">
        <v>9</v>
      </c>
      <c r="B8" t="s">
        <v>262</v>
      </c>
      <c r="C8" t="s">
        <v>420</v>
      </c>
      <c r="D8">
        <v>1724</v>
      </c>
      <c r="E8">
        <v>162</v>
      </c>
      <c r="F8">
        <v>69</v>
      </c>
      <c r="G8" t="s">
        <v>427</v>
      </c>
      <c r="L8">
        <v>9</v>
      </c>
      <c r="M8" t="s">
        <v>262</v>
      </c>
      <c r="N8" t="s">
        <v>420</v>
      </c>
      <c r="O8">
        <v>1437</v>
      </c>
      <c r="P8">
        <v>156</v>
      </c>
      <c r="Q8">
        <v>69</v>
      </c>
      <c r="R8" t="s">
        <v>427</v>
      </c>
    </row>
    <row r="9" spans="1:21" x14ac:dyDescent="0.25">
      <c r="A9">
        <v>10</v>
      </c>
      <c r="B9" s="3" t="s">
        <v>32</v>
      </c>
      <c r="C9" t="s">
        <v>420</v>
      </c>
      <c r="D9">
        <v>1809</v>
      </c>
      <c r="E9">
        <v>198</v>
      </c>
      <c r="F9">
        <v>69</v>
      </c>
      <c r="G9" t="s">
        <v>427</v>
      </c>
      <c r="L9">
        <v>10</v>
      </c>
      <c r="M9" t="s">
        <v>32</v>
      </c>
      <c r="N9" t="s">
        <v>420</v>
      </c>
      <c r="O9">
        <v>1508</v>
      </c>
      <c r="P9">
        <v>190</v>
      </c>
      <c r="Q9">
        <v>69</v>
      </c>
      <c r="R9" t="s">
        <v>427</v>
      </c>
    </row>
    <row r="10" spans="1:21" x14ac:dyDescent="0.25">
      <c r="A10">
        <v>11</v>
      </c>
      <c r="B10" t="s">
        <v>33</v>
      </c>
      <c r="C10" t="s">
        <v>420</v>
      </c>
      <c r="D10">
        <v>2077</v>
      </c>
      <c r="E10">
        <v>160</v>
      </c>
      <c r="F10">
        <v>73</v>
      </c>
      <c r="G10" t="s">
        <v>427</v>
      </c>
      <c r="I10">
        <v>0.3</v>
      </c>
      <c r="L10">
        <v>11</v>
      </c>
      <c r="M10" t="s">
        <v>33</v>
      </c>
      <c r="N10" t="s">
        <v>420</v>
      </c>
      <c r="O10">
        <v>1746</v>
      </c>
      <c r="P10">
        <v>156</v>
      </c>
      <c r="Q10">
        <v>73</v>
      </c>
      <c r="R10" t="s">
        <v>427</v>
      </c>
      <c r="T10">
        <v>0.3</v>
      </c>
    </row>
    <row r="11" spans="1:21" x14ac:dyDescent="0.25">
      <c r="A11">
        <v>13</v>
      </c>
      <c r="B11" s="3" t="s">
        <v>34</v>
      </c>
      <c r="C11" t="s">
        <v>420</v>
      </c>
      <c r="D11">
        <v>2112</v>
      </c>
      <c r="E11">
        <v>158</v>
      </c>
      <c r="F11">
        <v>82</v>
      </c>
      <c r="G11" t="s">
        <v>427</v>
      </c>
      <c r="L11">
        <v>13</v>
      </c>
      <c r="M11" t="s">
        <v>34</v>
      </c>
      <c r="N11" t="s">
        <v>420</v>
      </c>
      <c r="O11">
        <v>1775</v>
      </c>
      <c r="P11">
        <v>154</v>
      </c>
      <c r="Q11">
        <v>82</v>
      </c>
      <c r="R11" t="s">
        <v>427</v>
      </c>
    </row>
    <row r="12" spans="1:21" x14ac:dyDescent="0.25">
      <c r="A12">
        <v>14</v>
      </c>
      <c r="B12" t="s">
        <v>35</v>
      </c>
      <c r="C12" t="s">
        <v>420</v>
      </c>
      <c r="D12">
        <v>2037</v>
      </c>
      <c r="E12">
        <v>158</v>
      </c>
      <c r="F12">
        <v>65</v>
      </c>
      <c r="G12" t="s">
        <v>427</v>
      </c>
      <c r="L12">
        <v>14</v>
      </c>
      <c r="M12" t="s">
        <v>35</v>
      </c>
      <c r="N12" t="s">
        <v>420</v>
      </c>
      <c r="O12">
        <v>1712</v>
      </c>
      <c r="P12">
        <v>154</v>
      </c>
      <c r="Q12">
        <v>65</v>
      </c>
      <c r="R12" t="s">
        <v>427</v>
      </c>
    </row>
    <row r="13" spans="1:21" x14ac:dyDescent="0.25">
      <c r="A13">
        <v>15</v>
      </c>
      <c r="B13" s="3" t="s">
        <v>36</v>
      </c>
      <c r="C13" t="s">
        <v>420</v>
      </c>
      <c r="D13">
        <v>1998</v>
      </c>
      <c r="E13">
        <v>158</v>
      </c>
      <c r="F13">
        <v>62</v>
      </c>
      <c r="G13" t="s">
        <v>427</v>
      </c>
      <c r="L13">
        <v>15</v>
      </c>
      <c r="M13" t="s">
        <v>36</v>
      </c>
      <c r="N13" t="s">
        <v>420</v>
      </c>
      <c r="O13">
        <v>1679</v>
      </c>
      <c r="P13">
        <v>154</v>
      </c>
      <c r="Q13">
        <v>62</v>
      </c>
      <c r="R13" t="s">
        <v>427</v>
      </c>
    </row>
    <row r="14" spans="1:21" x14ac:dyDescent="0.25">
      <c r="A14">
        <v>16</v>
      </c>
      <c r="B14" s="3" t="s">
        <v>37</v>
      </c>
      <c r="C14" t="s">
        <v>420</v>
      </c>
      <c r="D14">
        <v>1998</v>
      </c>
      <c r="E14">
        <v>158</v>
      </c>
      <c r="F14">
        <v>67</v>
      </c>
      <c r="G14" t="s">
        <v>427</v>
      </c>
      <c r="L14">
        <v>16</v>
      </c>
      <c r="M14" t="s">
        <v>37</v>
      </c>
      <c r="N14" t="s">
        <v>420</v>
      </c>
      <c r="O14">
        <v>1679</v>
      </c>
      <c r="P14">
        <v>154</v>
      </c>
      <c r="Q14">
        <v>67</v>
      </c>
      <c r="R14" t="s">
        <v>427</v>
      </c>
    </row>
    <row r="15" spans="1:21" x14ac:dyDescent="0.25">
      <c r="A15">
        <v>17</v>
      </c>
      <c r="B15" t="s">
        <v>38</v>
      </c>
      <c r="C15" t="s">
        <v>420</v>
      </c>
      <c r="D15">
        <v>1998</v>
      </c>
      <c r="E15">
        <v>158</v>
      </c>
      <c r="F15">
        <v>20</v>
      </c>
      <c r="G15" t="s">
        <v>427</v>
      </c>
      <c r="L15">
        <v>17</v>
      </c>
      <c r="M15" t="s">
        <v>38</v>
      </c>
      <c r="N15" t="s">
        <v>420</v>
      </c>
      <c r="O15">
        <v>1679</v>
      </c>
      <c r="P15">
        <v>154</v>
      </c>
      <c r="Q15">
        <v>20</v>
      </c>
      <c r="R15" t="s">
        <v>427</v>
      </c>
    </row>
    <row r="16" spans="1:21" x14ac:dyDescent="0.25">
      <c r="A16">
        <v>18</v>
      </c>
      <c r="B16" t="s">
        <v>39</v>
      </c>
      <c r="C16" t="s">
        <v>420</v>
      </c>
      <c r="D16">
        <v>1826</v>
      </c>
      <c r="E16">
        <v>163</v>
      </c>
      <c r="F16">
        <v>72</v>
      </c>
      <c r="G16" t="s">
        <v>427</v>
      </c>
      <c r="L16">
        <v>18</v>
      </c>
      <c r="M16" t="s">
        <v>39</v>
      </c>
      <c r="N16" t="s">
        <v>420</v>
      </c>
      <c r="O16">
        <v>1521</v>
      </c>
      <c r="P16">
        <v>157</v>
      </c>
      <c r="Q16">
        <v>72</v>
      </c>
      <c r="R16" t="s">
        <v>427</v>
      </c>
    </row>
    <row r="17" spans="1:18" x14ac:dyDescent="0.25">
      <c r="A17">
        <v>19</v>
      </c>
      <c r="B17" s="3" t="s">
        <v>41</v>
      </c>
      <c r="C17" t="s">
        <v>420</v>
      </c>
      <c r="D17">
        <v>1980</v>
      </c>
      <c r="E17">
        <v>163</v>
      </c>
      <c r="F17">
        <v>18</v>
      </c>
      <c r="G17" t="s">
        <v>427</v>
      </c>
      <c r="L17">
        <v>19</v>
      </c>
      <c r="M17" t="s">
        <v>41</v>
      </c>
      <c r="N17" t="s">
        <v>420</v>
      </c>
      <c r="O17">
        <v>1650</v>
      </c>
      <c r="P17">
        <v>157</v>
      </c>
      <c r="Q17">
        <v>18</v>
      </c>
      <c r="R17" t="s">
        <v>427</v>
      </c>
    </row>
    <row r="18" spans="1:18" x14ac:dyDescent="0.25">
      <c r="A18">
        <v>26</v>
      </c>
      <c r="B18" t="s">
        <v>43</v>
      </c>
      <c r="C18" t="s">
        <v>420</v>
      </c>
      <c r="D18">
        <v>1815</v>
      </c>
      <c r="E18">
        <v>160</v>
      </c>
      <c r="F18">
        <v>45</v>
      </c>
      <c r="G18" t="s">
        <v>427</v>
      </c>
      <c r="L18">
        <v>26</v>
      </c>
      <c r="M18" t="s">
        <v>43</v>
      </c>
      <c r="N18" t="s">
        <v>420</v>
      </c>
      <c r="O18">
        <v>1513</v>
      </c>
      <c r="P18">
        <v>154</v>
      </c>
      <c r="Q18">
        <v>45</v>
      </c>
      <c r="R18" t="s">
        <v>427</v>
      </c>
    </row>
    <row r="19" spans="1:18" x14ac:dyDescent="0.25">
      <c r="A19">
        <v>27</v>
      </c>
      <c r="B19" s="3" t="s">
        <v>44</v>
      </c>
      <c r="C19" t="s">
        <v>420</v>
      </c>
      <c r="D19">
        <v>1815</v>
      </c>
      <c r="E19">
        <v>160</v>
      </c>
      <c r="F19">
        <v>47</v>
      </c>
      <c r="G19" t="s">
        <v>427</v>
      </c>
      <c r="L19">
        <v>27</v>
      </c>
      <c r="M19" t="s">
        <v>44</v>
      </c>
      <c r="N19" t="s">
        <v>420</v>
      </c>
      <c r="O19">
        <v>1513</v>
      </c>
      <c r="P19">
        <v>154</v>
      </c>
      <c r="Q19">
        <v>47</v>
      </c>
      <c r="R19" t="s">
        <v>427</v>
      </c>
    </row>
    <row r="20" spans="1:18" x14ac:dyDescent="0.25">
      <c r="A20">
        <v>28</v>
      </c>
      <c r="B20" s="3" t="s">
        <v>47</v>
      </c>
      <c r="C20" t="s">
        <v>420</v>
      </c>
      <c r="D20">
        <v>1720</v>
      </c>
      <c r="E20">
        <v>211</v>
      </c>
      <c r="F20">
        <v>75</v>
      </c>
      <c r="G20" t="s">
        <v>427</v>
      </c>
      <c r="L20">
        <v>28</v>
      </c>
      <c r="M20" t="s">
        <v>47</v>
      </c>
      <c r="N20" t="s">
        <v>420</v>
      </c>
      <c r="O20">
        <v>1433</v>
      </c>
      <c r="P20">
        <v>203</v>
      </c>
      <c r="Q20">
        <v>75</v>
      </c>
      <c r="R20" t="s">
        <v>427</v>
      </c>
    </row>
    <row r="21" spans="1:18" x14ac:dyDescent="0.25">
      <c r="A21">
        <v>29</v>
      </c>
      <c r="B21" t="s">
        <v>48</v>
      </c>
      <c r="C21" t="s">
        <v>419</v>
      </c>
      <c r="D21">
        <v>3237</v>
      </c>
      <c r="E21">
        <v>101</v>
      </c>
      <c r="F21">
        <v>67</v>
      </c>
      <c r="G21" t="s">
        <v>427</v>
      </c>
      <c r="L21">
        <v>29</v>
      </c>
      <c r="M21" t="s">
        <v>48</v>
      </c>
      <c r="N21" t="s">
        <v>419</v>
      </c>
      <c r="O21">
        <v>2865</v>
      </c>
      <c r="P21">
        <v>79</v>
      </c>
      <c r="Q21">
        <v>67</v>
      </c>
      <c r="R21" t="s">
        <v>427</v>
      </c>
    </row>
    <row r="22" spans="1:18" x14ac:dyDescent="0.25">
      <c r="A22">
        <v>30</v>
      </c>
      <c r="B22" t="s">
        <v>49</v>
      </c>
      <c r="C22" t="s">
        <v>419</v>
      </c>
      <c r="D22">
        <v>3237</v>
      </c>
      <c r="E22">
        <v>101</v>
      </c>
      <c r="F22">
        <v>82</v>
      </c>
      <c r="G22" t="s">
        <v>427</v>
      </c>
      <c r="L22">
        <v>30</v>
      </c>
      <c r="M22" t="s">
        <v>49</v>
      </c>
      <c r="N22" t="s">
        <v>419</v>
      </c>
      <c r="O22">
        <v>2865</v>
      </c>
      <c r="P22">
        <v>79</v>
      </c>
      <c r="Q22">
        <v>82</v>
      </c>
      <c r="R22" t="s">
        <v>427</v>
      </c>
    </row>
    <row r="23" spans="1:18" x14ac:dyDescent="0.25">
      <c r="A23">
        <v>31</v>
      </c>
      <c r="B23" t="s">
        <v>50</v>
      </c>
      <c r="C23" t="s">
        <v>419</v>
      </c>
      <c r="D23">
        <v>3470</v>
      </c>
      <c r="E23">
        <v>90</v>
      </c>
      <c r="F23">
        <v>55</v>
      </c>
      <c r="G23" t="s">
        <v>427</v>
      </c>
      <c r="L23">
        <v>31</v>
      </c>
      <c r="M23" t="s">
        <v>50</v>
      </c>
      <c r="N23" t="s">
        <v>419</v>
      </c>
      <c r="O23">
        <v>3076</v>
      </c>
      <c r="P23">
        <v>73</v>
      </c>
      <c r="Q23">
        <v>55</v>
      </c>
      <c r="R23" t="s">
        <v>427</v>
      </c>
    </row>
    <row r="24" spans="1:18" x14ac:dyDescent="0.25">
      <c r="A24">
        <v>32</v>
      </c>
      <c r="B24" t="s">
        <v>51</v>
      </c>
      <c r="C24" t="s">
        <v>419</v>
      </c>
      <c r="D24">
        <v>3470</v>
      </c>
      <c r="E24">
        <v>90</v>
      </c>
      <c r="F24">
        <v>88</v>
      </c>
      <c r="G24" t="s">
        <v>427</v>
      </c>
      <c r="L24">
        <v>32</v>
      </c>
      <c r="M24" t="s">
        <v>51</v>
      </c>
      <c r="N24" t="s">
        <v>419</v>
      </c>
      <c r="O24">
        <v>3076</v>
      </c>
      <c r="P24">
        <v>73</v>
      </c>
      <c r="Q24">
        <v>88</v>
      </c>
      <c r="R24" t="s">
        <v>427</v>
      </c>
    </row>
    <row r="25" spans="1:18" x14ac:dyDescent="0.25">
      <c r="A25">
        <v>33</v>
      </c>
      <c r="B25" t="s">
        <v>52</v>
      </c>
      <c r="C25" t="s">
        <v>419</v>
      </c>
      <c r="D25">
        <v>3604</v>
      </c>
      <c r="E25">
        <v>90</v>
      </c>
      <c r="F25">
        <v>33</v>
      </c>
      <c r="G25" t="s">
        <v>427</v>
      </c>
      <c r="L25">
        <v>33</v>
      </c>
      <c r="M25" t="s">
        <v>52</v>
      </c>
      <c r="N25" t="s">
        <v>419</v>
      </c>
      <c r="O25">
        <v>3204</v>
      </c>
      <c r="P25">
        <v>73</v>
      </c>
      <c r="Q25">
        <v>33</v>
      </c>
      <c r="R25" t="s">
        <v>427</v>
      </c>
    </row>
    <row r="26" spans="1:18" x14ac:dyDescent="0.25">
      <c r="A26">
        <v>34</v>
      </c>
      <c r="B26" t="s">
        <v>53</v>
      </c>
      <c r="C26" t="s">
        <v>419</v>
      </c>
      <c r="D26">
        <v>3517</v>
      </c>
      <c r="E26">
        <v>95</v>
      </c>
      <c r="F26">
        <v>12</v>
      </c>
      <c r="G26" t="s">
        <v>427</v>
      </c>
      <c r="L26">
        <v>34</v>
      </c>
      <c r="M26" t="s">
        <v>53</v>
      </c>
      <c r="N26" t="s">
        <v>419</v>
      </c>
      <c r="O26">
        <v>3126</v>
      </c>
      <c r="P26">
        <v>73</v>
      </c>
      <c r="Q26">
        <v>12</v>
      </c>
      <c r="R26" t="s">
        <v>427</v>
      </c>
    </row>
    <row r="27" spans="1:18" x14ac:dyDescent="0.25">
      <c r="A27">
        <v>35</v>
      </c>
      <c r="B27" s="3" t="s">
        <v>54</v>
      </c>
      <c r="C27" t="s">
        <v>419</v>
      </c>
      <c r="D27">
        <v>3517</v>
      </c>
      <c r="E27">
        <v>95</v>
      </c>
      <c r="F27">
        <v>18</v>
      </c>
      <c r="G27" t="s">
        <v>427</v>
      </c>
      <c r="L27">
        <v>35</v>
      </c>
      <c r="M27" t="s">
        <v>54</v>
      </c>
      <c r="N27" t="s">
        <v>419</v>
      </c>
      <c r="O27">
        <v>3126</v>
      </c>
      <c r="P27">
        <v>73</v>
      </c>
      <c r="Q27">
        <v>18</v>
      </c>
      <c r="R27" t="s">
        <v>427</v>
      </c>
    </row>
    <row r="28" spans="1:18" x14ac:dyDescent="0.25">
      <c r="A28">
        <v>36</v>
      </c>
      <c r="B28" t="s">
        <v>55</v>
      </c>
      <c r="C28" t="s">
        <v>419</v>
      </c>
      <c r="D28">
        <v>3755</v>
      </c>
      <c r="E28">
        <v>95</v>
      </c>
      <c r="F28">
        <v>85</v>
      </c>
      <c r="G28" t="s">
        <v>427</v>
      </c>
      <c r="L28">
        <v>36</v>
      </c>
      <c r="M28" t="s">
        <v>55</v>
      </c>
      <c r="N28" t="s">
        <v>419</v>
      </c>
      <c r="O28">
        <v>3338</v>
      </c>
      <c r="P28">
        <v>73</v>
      </c>
      <c r="Q28">
        <v>85</v>
      </c>
      <c r="R28" t="s">
        <v>427</v>
      </c>
    </row>
    <row r="29" spans="1:18" x14ac:dyDescent="0.25">
      <c r="A29">
        <v>37</v>
      </c>
      <c r="B29" t="s">
        <v>57</v>
      </c>
      <c r="C29" t="s">
        <v>419</v>
      </c>
      <c r="D29">
        <v>4307</v>
      </c>
      <c r="E29">
        <v>92</v>
      </c>
      <c r="F29">
        <v>71</v>
      </c>
      <c r="G29" t="s">
        <v>427</v>
      </c>
      <c r="L29">
        <v>37</v>
      </c>
      <c r="M29" t="s">
        <v>57</v>
      </c>
      <c r="N29" t="s">
        <v>419</v>
      </c>
      <c r="O29">
        <v>3880</v>
      </c>
      <c r="P29">
        <v>77</v>
      </c>
      <c r="Q29">
        <v>71</v>
      </c>
      <c r="R29" t="s">
        <v>427</v>
      </c>
    </row>
    <row r="30" spans="1:18" x14ac:dyDescent="0.25">
      <c r="A30">
        <v>38</v>
      </c>
      <c r="B30" t="s">
        <v>58</v>
      </c>
      <c r="C30" t="s">
        <v>419</v>
      </c>
      <c r="D30">
        <v>4307</v>
      </c>
      <c r="E30">
        <v>92</v>
      </c>
      <c r="F30">
        <v>70</v>
      </c>
      <c r="G30" t="s">
        <v>427</v>
      </c>
      <c r="L30">
        <v>38</v>
      </c>
      <c r="M30" t="s">
        <v>58</v>
      </c>
      <c r="N30" t="s">
        <v>419</v>
      </c>
      <c r="O30">
        <v>3880</v>
      </c>
      <c r="P30">
        <v>77</v>
      </c>
      <c r="Q30">
        <v>70</v>
      </c>
      <c r="R30" t="s">
        <v>427</v>
      </c>
    </row>
    <row r="31" spans="1:18" x14ac:dyDescent="0.25">
      <c r="A31">
        <v>39</v>
      </c>
      <c r="B31" t="s">
        <v>59</v>
      </c>
      <c r="C31" t="s">
        <v>432</v>
      </c>
      <c r="D31">
        <v>3290</v>
      </c>
      <c r="E31">
        <v>55</v>
      </c>
      <c r="F31">
        <v>75</v>
      </c>
      <c r="G31" t="s">
        <v>427</v>
      </c>
      <c r="L31">
        <v>39</v>
      </c>
      <c r="M31" t="s">
        <v>59</v>
      </c>
      <c r="N31" t="s">
        <v>432</v>
      </c>
      <c r="O31">
        <v>2911</v>
      </c>
      <c r="P31">
        <v>23</v>
      </c>
      <c r="Q31">
        <v>75</v>
      </c>
      <c r="R31" t="s">
        <v>427</v>
      </c>
    </row>
    <row r="32" spans="1:18" x14ac:dyDescent="0.25">
      <c r="A32">
        <v>40</v>
      </c>
      <c r="B32" t="s">
        <v>60</v>
      </c>
      <c r="C32" t="s">
        <v>432</v>
      </c>
      <c r="D32">
        <v>3290</v>
      </c>
      <c r="E32">
        <v>55</v>
      </c>
      <c r="F32">
        <v>71</v>
      </c>
      <c r="G32" t="s">
        <v>427</v>
      </c>
      <c r="L32">
        <v>40</v>
      </c>
      <c r="M32" t="s">
        <v>60</v>
      </c>
      <c r="N32" t="s">
        <v>432</v>
      </c>
      <c r="O32">
        <v>2911</v>
      </c>
      <c r="P32">
        <v>23</v>
      </c>
      <c r="Q32">
        <v>71</v>
      </c>
      <c r="R32" t="s">
        <v>427</v>
      </c>
    </row>
    <row r="33" spans="1:18" x14ac:dyDescent="0.25">
      <c r="A33">
        <v>41</v>
      </c>
      <c r="B33" t="s">
        <v>263</v>
      </c>
      <c r="C33" t="s">
        <v>432</v>
      </c>
      <c r="D33">
        <v>3346</v>
      </c>
      <c r="E33">
        <v>53</v>
      </c>
      <c r="F33">
        <v>27</v>
      </c>
      <c r="G33" t="s">
        <v>427</v>
      </c>
      <c r="L33">
        <v>41</v>
      </c>
      <c r="M33" t="s">
        <v>263</v>
      </c>
      <c r="N33" t="s">
        <v>432</v>
      </c>
      <c r="O33">
        <v>2961</v>
      </c>
      <c r="P33">
        <v>23</v>
      </c>
      <c r="Q33">
        <v>27</v>
      </c>
      <c r="R33" t="s">
        <v>427</v>
      </c>
    </row>
    <row r="34" spans="1:18" x14ac:dyDescent="0.25">
      <c r="A34">
        <v>42</v>
      </c>
      <c r="B34" t="s">
        <v>61</v>
      </c>
      <c r="C34" t="s">
        <v>432</v>
      </c>
      <c r="D34">
        <v>3393</v>
      </c>
      <c r="E34">
        <v>53</v>
      </c>
      <c r="F34">
        <v>32</v>
      </c>
      <c r="G34" t="s">
        <v>427</v>
      </c>
      <c r="L34">
        <v>42</v>
      </c>
      <c r="M34" t="s">
        <v>61</v>
      </c>
      <c r="N34" t="s">
        <v>432</v>
      </c>
      <c r="O34">
        <v>3002</v>
      </c>
      <c r="P34">
        <v>23</v>
      </c>
      <c r="Q34">
        <v>32</v>
      </c>
      <c r="R34" t="s">
        <v>427</v>
      </c>
    </row>
    <row r="35" spans="1:18" x14ac:dyDescent="0.25">
      <c r="A35">
        <v>43</v>
      </c>
      <c r="B35" t="s">
        <v>62</v>
      </c>
      <c r="C35" t="s">
        <v>432</v>
      </c>
      <c r="D35">
        <v>3445</v>
      </c>
      <c r="E35">
        <v>53</v>
      </c>
      <c r="F35">
        <v>49</v>
      </c>
      <c r="G35" t="s">
        <v>427</v>
      </c>
      <c r="L35">
        <v>43</v>
      </c>
      <c r="M35" t="s">
        <v>62</v>
      </c>
      <c r="N35" t="s">
        <v>432</v>
      </c>
      <c r="O35">
        <v>3049</v>
      </c>
      <c r="P35">
        <v>23</v>
      </c>
      <c r="Q35">
        <v>49</v>
      </c>
      <c r="R35" t="s">
        <v>427</v>
      </c>
    </row>
    <row r="36" spans="1:18" x14ac:dyDescent="0.25">
      <c r="A36">
        <v>44</v>
      </c>
      <c r="B36" t="s">
        <v>63</v>
      </c>
      <c r="C36" t="s">
        <v>432</v>
      </c>
      <c r="D36">
        <v>4565</v>
      </c>
      <c r="E36">
        <v>58</v>
      </c>
      <c r="F36">
        <v>78</v>
      </c>
      <c r="G36" t="s">
        <v>428</v>
      </c>
      <c r="L36">
        <v>44</v>
      </c>
      <c r="M36" t="s">
        <v>63</v>
      </c>
      <c r="N36" t="s">
        <v>432</v>
      </c>
      <c r="O36">
        <v>4076</v>
      </c>
      <c r="P36">
        <v>25</v>
      </c>
      <c r="Q36">
        <v>78</v>
      </c>
      <c r="R36" t="s">
        <v>428</v>
      </c>
    </row>
    <row r="37" spans="1:18" x14ac:dyDescent="0.25">
      <c r="A37">
        <v>45</v>
      </c>
      <c r="B37" t="s">
        <v>66</v>
      </c>
      <c r="C37" t="s">
        <v>432</v>
      </c>
      <c r="D37">
        <v>4734</v>
      </c>
      <c r="E37">
        <v>58</v>
      </c>
      <c r="F37">
        <v>23</v>
      </c>
      <c r="G37" t="s">
        <v>428</v>
      </c>
      <c r="L37">
        <v>45</v>
      </c>
      <c r="M37" t="s">
        <v>66</v>
      </c>
      <c r="N37" t="s">
        <v>432</v>
      </c>
      <c r="O37">
        <v>4227</v>
      </c>
      <c r="P37">
        <v>25</v>
      </c>
      <c r="Q37">
        <v>23</v>
      </c>
      <c r="R37" t="s">
        <v>428</v>
      </c>
    </row>
    <row r="38" spans="1:18" x14ac:dyDescent="0.25">
      <c r="A38">
        <v>46</v>
      </c>
      <c r="B38" t="s">
        <v>67</v>
      </c>
      <c r="C38" t="s">
        <v>432</v>
      </c>
      <c r="D38">
        <v>3881</v>
      </c>
      <c r="E38">
        <v>57</v>
      </c>
      <c r="F38">
        <v>15</v>
      </c>
      <c r="G38" t="s">
        <v>428</v>
      </c>
      <c r="L38">
        <v>46</v>
      </c>
      <c r="M38" t="s">
        <v>67</v>
      </c>
      <c r="N38" t="s">
        <v>432</v>
      </c>
      <c r="O38">
        <v>3465</v>
      </c>
      <c r="P38">
        <v>24</v>
      </c>
      <c r="Q38">
        <v>15</v>
      </c>
      <c r="R38" t="s">
        <v>428</v>
      </c>
    </row>
    <row r="39" spans="1:18" x14ac:dyDescent="0.25">
      <c r="A39">
        <v>47</v>
      </c>
      <c r="B39" t="s">
        <v>68</v>
      </c>
      <c r="C39" t="s">
        <v>432</v>
      </c>
      <c r="D39">
        <v>4015</v>
      </c>
      <c r="E39">
        <v>57</v>
      </c>
      <c r="F39">
        <v>9</v>
      </c>
      <c r="G39" t="s">
        <v>428</v>
      </c>
      <c r="L39">
        <v>47</v>
      </c>
      <c r="M39" t="s">
        <v>68</v>
      </c>
      <c r="N39" t="s">
        <v>432</v>
      </c>
      <c r="O39">
        <v>3585</v>
      </c>
      <c r="P39">
        <v>24</v>
      </c>
      <c r="Q39">
        <v>9</v>
      </c>
      <c r="R39" t="s">
        <v>428</v>
      </c>
    </row>
    <row r="40" spans="1:18" x14ac:dyDescent="0.25">
      <c r="A40">
        <v>48</v>
      </c>
      <c r="B40" s="3" t="s">
        <v>69</v>
      </c>
      <c r="C40" t="s">
        <v>432</v>
      </c>
      <c r="D40">
        <v>4015</v>
      </c>
      <c r="E40">
        <v>57</v>
      </c>
      <c r="F40">
        <v>12</v>
      </c>
      <c r="G40" t="s">
        <v>428</v>
      </c>
      <c r="L40">
        <v>48</v>
      </c>
      <c r="M40" t="s">
        <v>69</v>
      </c>
      <c r="N40" t="s">
        <v>432</v>
      </c>
      <c r="O40">
        <v>3585</v>
      </c>
      <c r="P40">
        <v>24</v>
      </c>
      <c r="Q40">
        <v>12</v>
      </c>
      <c r="R40" t="s">
        <v>428</v>
      </c>
    </row>
    <row r="41" spans="1:18" x14ac:dyDescent="0.25">
      <c r="A41">
        <v>49</v>
      </c>
      <c r="B41" t="s">
        <v>70</v>
      </c>
      <c r="C41" t="s">
        <v>432</v>
      </c>
      <c r="D41">
        <v>3709</v>
      </c>
      <c r="E41">
        <v>50</v>
      </c>
      <c r="F41">
        <v>70</v>
      </c>
      <c r="G41" t="s">
        <v>427</v>
      </c>
      <c r="L41">
        <v>49</v>
      </c>
      <c r="M41" t="s">
        <v>70</v>
      </c>
      <c r="N41" t="s">
        <v>432</v>
      </c>
      <c r="O41">
        <v>3297</v>
      </c>
      <c r="P41">
        <v>23</v>
      </c>
      <c r="Q41">
        <v>70</v>
      </c>
      <c r="R41" t="s">
        <v>427</v>
      </c>
    </row>
    <row r="42" spans="1:18" x14ac:dyDescent="0.25">
      <c r="A42">
        <v>52</v>
      </c>
      <c r="B42" t="s">
        <v>264</v>
      </c>
      <c r="C42" t="s">
        <v>433</v>
      </c>
      <c r="D42">
        <v>6974</v>
      </c>
      <c r="E42">
        <v>26</v>
      </c>
      <c r="F42">
        <v>75</v>
      </c>
      <c r="G42" t="s">
        <v>429</v>
      </c>
      <c r="L42">
        <v>52</v>
      </c>
      <c r="M42" t="s">
        <v>264</v>
      </c>
      <c r="N42" t="s">
        <v>433</v>
      </c>
      <c r="O42">
        <v>5960</v>
      </c>
      <c r="P42">
        <v>11</v>
      </c>
      <c r="Q42">
        <v>75</v>
      </c>
      <c r="R42" t="s">
        <v>429</v>
      </c>
    </row>
    <row r="43" spans="1:18" x14ac:dyDescent="0.25">
      <c r="A43">
        <v>53</v>
      </c>
      <c r="B43" t="s">
        <v>265</v>
      </c>
      <c r="C43" t="s">
        <v>433</v>
      </c>
      <c r="D43">
        <v>6956</v>
      </c>
      <c r="E43">
        <v>26</v>
      </c>
      <c r="F43">
        <v>38</v>
      </c>
      <c r="G43" t="s">
        <v>429</v>
      </c>
      <c r="L43">
        <v>53</v>
      </c>
      <c r="M43" t="s">
        <v>265</v>
      </c>
      <c r="N43" t="s">
        <v>433</v>
      </c>
      <c r="O43">
        <v>5960</v>
      </c>
      <c r="P43">
        <v>11</v>
      </c>
      <c r="Q43">
        <v>38</v>
      </c>
      <c r="R43" t="s">
        <v>429</v>
      </c>
    </row>
    <row r="44" spans="1:18" x14ac:dyDescent="0.25">
      <c r="A44">
        <v>54</v>
      </c>
      <c r="B44" t="s">
        <v>266</v>
      </c>
      <c r="C44" t="s">
        <v>433</v>
      </c>
      <c r="D44">
        <v>7194</v>
      </c>
      <c r="E44">
        <v>27</v>
      </c>
      <c r="F44">
        <v>72</v>
      </c>
      <c r="G44" t="s">
        <v>429</v>
      </c>
      <c r="L44">
        <v>54</v>
      </c>
      <c r="M44" t="s">
        <v>266</v>
      </c>
      <c r="N44" t="s">
        <v>433</v>
      </c>
      <c r="O44">
        <v>6165</v>
      </c>
      <c r="P44">
        <v>11</v>
      </c>
      <c r="Q44">
        <v>72</v>
      </c>
      <c r="R44" t="s">
        <v>429</v>
      </c>
    </row>
    <row r="45" spans="1:18" x14ac:dyDescent="0.25">
      <c r="A45">
        <v>55</v>
      </c>
      <c r="B45" t="s">
        <v>267</v>
      </c>
      <c r="C45" t="s">
        <v>433</v>
      </c>
      <c r="D45">
        <v>7137</v>
      </c>
      <c r="E45">
        <v>27</v>
      </c>
      <c r="F45">
        <v>17</v>
      </c>
      <c r="G45" t="s">
        <v>429</v>
      </c>
      <c r="L45">
        <v>55</v>
      </c>
      <c r="M45" t="s">
        <v>267</v>
      </c>
      <c r="N45" t="s">
        <v>433</v>
      </c>
      <c r="O45">
        <v>6116</v>
      </c>
      <c r="P45">
        <v>11</v>
      </c>
      <c r="Q45">
        <v>17</v>
      </c>
      <c r="R45" t="s">
        <v>429</v>
      </c>
    </row>
    <row r="46" spans="1:18" x14ac:dyDescent="0.25">
      <c r="A46">
        <v>58</v>
      </c>
      <c r="B46" t="s">
        <v>268</v>
      </c>
      <c r="C46" t="s">
        <v>433</v>
      </c>
      <c r="D46">
        <v>7385</v>
      </c>
      <c r="E46">
        <v>28</v>
      </c>
      <c r="F46">
        <v>51</v>
      </c>
      <c r="G46" t="s">
        <v>429</v>
      </c>
      <c r="L46">
        <v>58</v>
      </c>
      <c r="M46" t="s">
        <v>268</v>
      </c>
      <c r="N46" t="s">
        <v>433</v>
      </c>
      <c r="O46">
        <v>6339</v>
      </c>
      <c r="P46">
        <v>11</v>
      </c>
      <c r="Q46">
        <v>51</v>
      </c>
      <c r="R46" t="s">
        <v>429</v>
      </c>
    </row>
    <row r="47" spans="1:18" x14ac:dyDescent="0.25">
      <c r="A47">
        <v>59</v>
      </c>
      <c r="B47" t="s">
        <v>269</v>
      </c>
      <c r="C47" t="s">
        <v>433</v>
      </c>
      <c r="D47">
        <v>7385</v>
      </c>
      <c r="E47">
        <v>28</v>
      </c>
      <c r="F47">
        <v>36</v>
      </c>
      <c r="G47" t="s">
        <v>429</v>
      </c>
      <c r="L47">
        <v>59</v>
      </c>
      <c r="M47" t="s">
        <v>269</v>
      </c>
      <c r="N47" t="s">
        <v>433</v>
      </c>
      <c r="O47">
        <v>6339</v>
      </c>
      <c r="P47">
        <v>11</v>
      </c>
      <c r="Q47">
        <v>36</v>
      </c>
      <c r="R47" t="s">
        <v>429</v>
      </c>
    </row>
    <row r="48" spans="1:18" x14ac:dyDescent="0.25">
      <c r="A48">
        <v>60</v>
      </c>
      <c r="B48" t="s">
        <v>270</v>
      </c>
      <c r="C48" t="s">
        <v>433</v>
      </c>
      <c r="D48">
        <v>7456</v>
      </c>
      <c r="E48">
        <v>30</v>
      </c>
      <c r="F48">
        <v>67</v>
      </c>
      <c r="G48" t="s">
        <v>429</v>
      </c>
      <c r="L48">
        <v>60</v>
      </c>
      <c r="M48" t="s">
        <v>270</v>
      </c>
      <c r="N48" t="s">
        <v>433</v>
      </c>
      <c r="O48">
        <v>6416</v>
      </c>
      <c r="P48">
        <v>11</v>
      </c>
      <c r="Q48">
        <v>67</v>
      </c>
      <c r="R48" t="s">
        <v>429</v>
      </c>
    </row>
    <row r="49" spans="1:18" x14ac:dyDescent="0.25">
      <c r="A49">
        <v>61</v>
      </c>
      <c r="B49" t="s">
        <v>271</v>
      </c>
      <c r="C49" t="s">
        <v>433</v>
      </c>
      <c r="D49">
        <v>7514</v>
      </c>
      <c r="E49">
        <v>30</v>
      </c>
      <c r="F49">
        <v>70</v>
      </c>
      <c r="G49" t="s">
        <v>429</v>
      </c>
      <c r="L49">
        <v>61</v>
      </c>
      <c r="M49" t="s">
        <v>271</v>
      </c>
      <c r="N49" t="s">
        <v>433</v>
      </c>
      <c r="O49">
        <v>6466</v>
      </c>
      <c r="P49">
        <v>11</v>
      </c>
      <c r="Q49">
        <v>70</v>
      </c>
      <c r="R49" t="s">
        <v>429</v>
      </c>
    </row>
    <row r="50" spans="1:18" x14ac:dyDescent="0.25">
      <c r="A50">
        <v>62</v>
      </c>
      <c r="B50" t="s">
        <v>272</v>
      </c>
      <c r="C50" t="s">
        <v>433</v>
      </c>
      <c r="D50">
        <v>7456</v>
      </c>
      <c r="E50">
        <v>11</v>
      </c>
      <c r="F50">
        <v>61</v>
      </c>
      <c r="G50" t="s">
        <v>429</v>
      </c>
      <c r="L50">
        <v>62</v>
      </c>
      <c r="M50" t="s">
        <v>272</v>
      </c>
      <c r="N50" t="s">
        <v>433</v>
      </c>
      <c r="O50">
        <v>6416</v>
      </c>
      <c r="P50">
        <v>11</v>
      </c>
      <c r="Q50">
        <v>61</v>
      </c>
      <c r="R50" t="s">
        <v>429</v>
      </c>
    </row>
    <row r="51" spans="1:18" x14ac:dyDescent="0.25">
      <c r="A51">
        <v>63</v>
      </c>
      <c r="B51" t="s">
        <v>273</v>
      </c>
      <c r="C51" t="s">
        <v>433</v>
      </c>
      <c r="D51">
        <v>7852</v>
      </c>
      <c r="E51">
        <v>33</v>
      </c>
      <c r="F51">
        <v>81</v>
      </c>
      <c r="G51" t="s">
        <v>429</v>
      </c>
      <c r="L51">
        <v>63</v>
      </c>
      <c r="M51" t="s">
        <v>273</v>
      </c>
      <c r="N51" t="s">
        <v>433</v>
      </c>
      <c r="O51">
        <v>6798</v>
      </c>
      <c r="P51">
        <v>18</v>
      </c>
      <c r="Q51">
        <v>81</v>
      </c>
      <c r="R51" t="s">
        <v>429</v>
      </c>
    </row>
    <row r="52" spans="1:18" x14ac:dyDescent="0.25">
      <c r="A52">
        <v>64</v>
      </c>
      <c r="B52" t="s">
        <v>274</v>
      </c>
      <c r="C52" t="s">
        <v>433</v>
      </c>
      <c r="D52">
        <v>8080</v>
      </c>
      <c r="E52">
        <v>33</v>
      </c>
      <c r="F52">
        <v>89</v>
      </c>
      <c r="G52" t="s">
        <v>429</v>
      </c>
      <c r="L52">
        <v>64</v>
      </c>
      <c r="M52" t="s">
        <v>274</v>
      </c>
      <c r="N52" t="s">
        <v>433</v>
      </c>
      <c r="O52">
        <v>6996</v>
      </c>
      <c r="P52">
        <v>18</v>
      </c>
      <c r="Q52">
        <v>89</v>
      </c>
      <c r="R52" t="s">
        <v>429</v>
      </c>
    </row>
    <row r="53" spans="1:18" x14ac:dyDescent="0.25">
      <c r="A53">
        <v>65</v>
      </c>
      <c r="B53" t="s">
        <v>275</v>
      </c>
      <c r="C53" t="s">
        <v>433</v>
      </c>
      <c r="D53">
        <v>8031</v>
      </c>
      <c r="E53">
        <v>33</v>
      </c>
      <c r="F53">
        <v>76</v>
      </c>
      <c r="G53" t="s">
        <v>429</v>
      </c>
      <c r="L53">
        <v>65</v>
      </c>
      <c r="M53" t="s">
        <v>275</v>
      </c>
      <c r="N53" t="s">
        <v>433</v>
      </c>
      <c r="O53">
        <v>6953</v>
      </c>
      <c r="P53">
        <v>18</v>
      </c>
      <c r="Q53">
        <v>76</v>
      </c>
      <c r="R53" t="s">
        <v>429</v>
      </c>
    </row>
    <row r="54" spans="1:18" x14ac:dyDescent="0.25">
      <c r="A54">
        <v>70</v>
      </c>
      <c r="B54" t="s">
        <v>335</v>
      </c>
      <c r="C54" t="s">
        <v>448</v>
      </c>
      <c r="D54">
        <v>4691</v>
      </c>
      <c r="E54">
        <v>66</v>
      </c>
      <c r="F54">
        <v>68</v>
      </c>
      <c r="G54" t="s">
        <v>428</v>
      </c>
      <c r="L54">
        <v>70</v>
      </c>
      <c r="M54" t="s">
        <v>335</v>
      </c>
      <c r="N54" t="s">
        <v>448</v>
      </c>
      <c r="O54">
        <v>4044</v>
      </c>
      <c r="P54">
        <v>39</v>
      </c>
      <c r="Q54">
        <v>68</v>
      </c>
      <c r="R54" t="s">
        <v>428</v>
      </c>
    </row>
    <row r="55" spans="1:18" x14ac:dyDescent="0.25">
      <c r="A55">
        <v>71</v>
      </c>
      <c r="B55" s="3" t="s">
        <v>375</v>
      </c>
      <c r="C55" t="s">
        <v>448</v>
      </c>
      <c r="D55">
        <v>3953</v>
      </c>
      <c r="E55">
        <v>67</v>
      </c>
      <c r="F55">
        <v>78</v>
      </c>
      <c r="G55" t="s">
        <v>428</v>
      </c>
      <c r="L55">
        <v>71</v>
      </c>
      <c r="M55" t="s">
        <v>375</v>
      </c>
      <c r="N55" t="s">
        <v>448</v>
      </c>
      <c r="O55">
        <v>3379</v>
      </c>
      <c r="P55">
        <v>39</v>
      </c>
      <c r="Q55">
        <v>78</v>
      </c>
      <c r="R55" t="s">
        <v>428</v>
      </c>
    </row>
    <row r="56" spans="1:18" x14ac:dyDescent="0.25">
      <c r="A56">
        <v>72</v>
      </c>
      <c r="B56" t="s">
        <v>330</v>
      </c>
      <c r="C56" t="s">
        <v>448</v>
      </c>
      <c r="D56">
        <v>4460</v>
      </c>
      <c r="E56">
        <v>80</v>
      </c>
      <c r="F56">
        <v>32</v>
      </c>
      <c r="G56" t="s">
        <v>428</v>
      </c>
      <c r="L56">
        <v>72</v>
      </c>
      <c r="M56" t="s">
        <v>330</v>
      </c>
      <c r="N56" t="s">
        <v>448</v>
      </c>
      <c r="O56">
        <v>3845</v>
      </c>
      <c r="P56">
        <v>38</v>
      </c>
      <c r="Q56">
        <v>32</v>
      </c>
      <c r="R56" t="s">
        <v>428</v>
      </c>
    </row>
    <row r="57" spans="1:18" x14ac:dyDescent="0.25">
      <c r="A57">
        <v>73</v>
      </c>
      <c r="B57" t="s">
        <v>345</v>
      </c>
      <c r="C57" t="s">
        <v>449</v>
      </c>
      <c r="D57">
        <v>6912</v>
      </c>
      <c r="E57">
        <v>57</v>
      </c>
      <c r="F57">
        <v>35</v>
      </c>
      <c r="G57" t="s">
        <v>428</v>
      </c>
      <c r="L57">
        <v>73</v>
      </c>
      <c r="M57" t="s">
        <v>345</v>
      </c>
      <c r="N57" t="s">
        <v>449</v>
      </c>
      <c r="O57">
        <v>6116</v>
      </c>
      <c r="P57">
        <v>34</v>
      </c>
      <c r="Q57">
        <v>35</v>
      </c>
      <c r="R57" t="s">
        <v>428</v>
      </c>
    </row>
    <row r="58" spans="1:18" x14ac:dyDescent="0.25">
      <c r="A58">
        <v>74</v>
      </c>
      <c r="B58" t="s">
        <v>346</v>
      </c>
      <c r="C58" t="s">
        <v>449</v>
      </c>
      <c r="D58">
        <v>6912</v>
      </c>
      <c r="E58">
        <v>57</v>
      </c>
      <c r="F58">
        <v>66</v>
      </c>
      <c r="G58" t="s">
        <v>428</v>
      </c>
      <c r="L58">
        <v>74</v>
      </c>
      <c r="M58" t="s">
        <v>346</v>
      </c>
      <c r="N58" t="s">
        <v>449</v>
      </c>
      <c r="O58">
        <v>6116</v>
      </c>
      <c r="P58">
        <v>34</v>
      </c>
      <c r="Q58">
        <v>66</v>
      </c>
      <c r="R58" t="s">
        <v>428</v>
      </c>
    </row>
    <row r="59" spans="1:18" x14ac:dyDescent="0.25">
      <c r="A59">
        <v>75</v>
      </c>
      <c r="B59" t="s">
        <v>333</v>
      </c>
      <c r="C59" t="s">
        <v>448</v>
      </c>
      <c r="D59">
        <v>4779</v>
      </c>
      <c r="E59">
        <v>73</v>
      </c>
      <c r="F59">
        <v>71</v>
      </c>
      <c r="G59" t="s">
        <v>428</v>
      </c>
      <c r="L59">
        <v>75</v>
      </c>
      <c r="M59" t="s">
        <v>333</v>
      </c>
      <c r="N59" t="s">
        <v>448</v>
      </c>
      <c r="O59">
        <v>4120</v>
      </c>
      <c r="P59">
        <v>49</v>
      </c>
      <c r="Q59">
        <v>71</v>
      </c>
      <c r="R59" t="s">
        <v>428</v>
      </c>
    </row>
    <row r="60" spans="1:18" x14ac:dyDescent="0.25">
      <c r="A60">
        <v>76</v>
      </c>
      <c r="B60" t="s">
        <v>342</v>
      </c>
      <c r="C60" t="s">
        <v>449</v>
      </c>
      <c r="D60">
        <v>5797</v>
      </c>
      <c r="E60">
        <v>54</v>
      </c>
      <c r="F60">
        <v>39</v>
      </c>
      <c r="G60" t="s">
        <v>428</v>
      </c>
      <c r="L60">
        <v>76</v>
      </c>
      <c r="M60" t="s">
        <v>342</v>
      </c>
      <c r="N60" t="s">
        <v>449</v>
      </c>
      <c r="O60">
        <v>5041</v>
      </c>
      <c r="P60">
        <v>34</v>
      </c>
      <c r="Q60">
        <v>39</v>
      </c>
      <c r="R60" t="s">
        <v>428</v>
      </c>
    </row>
    <row r="61" spans="1:18" x14ac:dyDescent="0.25">
      <c r="A61">
        <v>77</v>
      </c>
      <c r="B61" t="s">
        <v>354</v>
      </c>
      <c r="C61" t="s">
        <v>449</v>
      </c>
      <c r="D61">
        <v>6193</v>
      </c>
      <c r="E61">
        <v>62</v>
      </c>
      <c r="F61">
        <v>93</v>
      </c>
      <c r="G61" t="s">
        <v>428</v>
      </c>
      <c r="L61">
        <v>77</v>
      </c>
      <c r="M61" t="s">
        <v>354</v>
      </c>
      <c r="N61" t="s">
        <v>449</v>
      </c>
      <c r="O61">
        <v>5385</v>
      </c>
      <c r="P61">
        <v>49</v>
      </c>
      <c r="Q61">
        <v>93</v>
      </c>
      <c r="R61" t="s">
        <v>428</v>
      </c>
    </row>
    <row r="62" spans="1:18" x14ac:dyDescent="0.25">
      <c r="A62">
        <v>78</v>
      </c>
      <c r="B62" t="s">
        <v>350</v>
      </c>
      <c r="C62" t="s">
        <v>449</v>
      </c>
      <c r="D62">
        <v>5823</v>
      </c>
      <c r="E62">
        <v>54</v>
      </c>
      <c r="F62">
        <v>15</v>
      </c>
      <c r="G62" t="s">
        <v>428</v>
      </c>
      <c r="L62">
        <v>78</v>
      </c>
      <c r="M62" t="s">
        <v>350</v>
      </c>
      <c r="N62" t="s">
        <v>449</v>
      </c>
      <c r="O62">
        <v>5063</v>
      </c>
      <c r="P62">
        <v>34</v>
      </c>
      <c r="Q62">
        <v>15</v>
      </c>
      <c r="R62" t="s">
        <v>428</v>
      </c>
    </row>
    <row r="63" spans="1:18" x14ac:dyDescent="0.25">
      <c r="A63">
        <v>79</v>
      </c>
      <c r="B63" t="s">
        <v>337</v>
      </c>
      <c r="C63" t="s">
        <v>449</v>
      </c>
      <c r="D63">
        <v>4219</v>
      </c>
      <c r="E63">
        <v>31</v>
      </c>
      <c r="F63">
        <v>20</v>
      </c>
      <c r="G63" t="s">
        <v>428</v>
      </c>
      <c r="L63">
        <v>79</v>
      </c>
      <c r="M63" t="s">
        <v>337</v>
      </c>
      <c r="N63" t="s">
        <v>449</v>
      </c>
      <c r="O63">
        <v>4219</v>
      </c>
      <c r="P63">
        <v>31</v>
      </c>
      <c r="Q63">
        <v>20</v>
      </c>
      <c r="R63" t="s">
        <v>428</v>
      </c>
    </row>
    <row r="64" spans="1:18" x14ac:dyDescent="0.25">
      <c r="A64">
        <v>80</v>
      </c>
      <c r="B64" t="s">
        <v>276</v>
      </c>
      <c r="C64" t="s">
        <v>450</v>
      </c>
      <c r="D64">
        <v>4624</v>
      </c>
      <c r="E64">
        <v>43</v>
      </c>
      <c r="F64">
        <v>79</v>
      </c>
      <c r="G64" t="s">
        <v>427</v>
      </c>
      <c r="L64">
        <v>80</v>
      </c>
      <c r="M64" t="s">
        <v>276</v>
      </c>
      <c r="N64" t="s">
        <v>450</v>
      </c>
      <c r="O64">
        <v>3986</v>
      </c>
      <c r="P64">
        <v>16</v>
      </c>
      <c r="Q64">
        <v>79</v>
      </c>
      <c r="R64" t="s">
        <v>427</v>
      </c>
    </row>
    <row r="65" spans="1:21" x14ac:dyDescent="0.25">
      <c r="A65">
        <v>81</v>
      </c>
      <c r="B65" t="s">
        <v>71</v>
      </c>
      <c r="C65" t="s">
        <v>420</v>
      </c>
      <c r="D65">
        <v>1370</v>
      </c>
      <c r="E65">
        <v>211</v>
      </c>
      <c r="F65">
        <v>72</v>
      </c>
      <c r="G65" t="s">
        <v>427</v>
      </c>
      <c r="L65">
        <v>81</v>
      </c>
      <c r="M65" t="s">
        <v>71</v>
      </c>
      <c r="N65" t="s">
        <v>420</v>
      </c>
      <c r="O65">
        <v>1142</v>
      </c>
      <c r="P65">
        <v>205</v>
      </c>
      <c r="Q65">
        <v>72</v>
      </c>
      <c r="R65" t="s">
        <v>427</v>
      </c>
    </row>
    <row r="66" spans="1:21" x14ac:dyDescent="0.25">
      <c r="A66">
        <v>82</v>
      </c>
      <c r="B66" s="3" t="s">
        <v>72</v>
      </c>
      <c r="C66" t="s">
        <v>420</v>
      </c>
      <c r="D66">
        <v>1370</v>
      </c>
      <c r="E66">
        <v>209</v>
      </c>
      <c r="F66">
        <v>43</v>
      </c>
      <c r="G66" t="s">
        <v>427</v>
      </c>
      <c r="L66">
        <v>82</v>
      </c>
      <c r="M66" t="s">
        <v>72</v>
      </c>
      <c r="N66" t="s">
        <v>420</v>
      </c>
      <c r="O66">
        <v>1142</v>
      </c>
      <c r="P66">
        <v>203</v>
      </c>
      <c r="Q66">
        <v>43</v>
      </c>
      <c r="R66" t="s">
        <v>427</v>
      </c>
    </row>
    <row r="67" spans="1:21" x14ac:dyDescent="0.25">
      <c r="A67">
        <v>83</v>
      </c>
      <c r="B67" t="s">
        <v>74</v>
      </c>
      <c r="C67" t="s">
        <v>420</v>
      </c>
      <c r="D67">
        <v>1370</v>
      </c>
      <c r="E67">
        <v>209</v>
      </c>
      <c r="F67">
        <v>35</v>
      </c>
      <c r="G67" t="s">
        <v>427</v>
      </c>
      <c r="L67">
        <v>83</v>
      </c>
      <c r="M67" t="s">
        <v>74</v>
      </c>
      <c r="N67" t="s">
        <v>420</v>
      </c>
      <c r="O67">
        <v>1142</v>
      </c>
      <c r="P67">
        <v>203</v>
      </c>
      <c r="Q67">
        <v>35</v>
      </c>
      <c r="R67" t="s">
        <v>427</v>
      </c>
    </row>
    <row r="68" spans="1:21" x14ac:dyDescent="0.25">
      <c r="A68">
        <v>86</v>
      </c>
      <c r="B68" s="3" t="s">
        <v>76</v>
      </c>
      <c r="C68" t="s">
        <v>420</v>
      </c>
      <c r="D68">
        <v>1349</v>
      </c>
      <c r="E68">
        <v>209</v>
      </c>
      <c r="F68">
        <v>71</v>
      </c>
      <c r="G68" t="s">
        <v>427</v>
      </c>
      <c r="J68">
        <v>0.18</v>
      </c>
      <c r="L68">
        <v>86</v>
      </c>
      <c r="M68" t="s">
        <v>76</v>
      </c>
      <c r="N68" t="s">
        <v>420</v>
      </c>
      <c r="O68">
        <v>1124</v>
      </c>
      <c r="P68">
        <v>203</v>
      </c>
      <c r="Q68">
        <v>71</v>
      </c>
      <c r="R68" t="s">
        <v>427</v>
      </c>
      <c r="U68">
        <v>0.18</v>
      </c>
    </row>
    <row r="69" spans="1:21" x14ac:dyDescent="0.25">
      <c r="A69">
        <v>87</v>
      </c>
      <c r="B69" s="3" t="s">
        <v>77</v>
      </c>
      <c r="C69" t="s">
        <v>420</v>
      </c>
      <c r="D69">
        <v>1349</v>
      </c>
      <c r="E69">
        <v>209</v>
      </c>
      <c r="F69">
        <v>65</v>
      </c>
      <c r="G69" t="s">
        <v>427</v>
      </c>
      <c r="J69">
        <v>0.18</v>
      </c>
      <c r="L69">
        <v>87</v>
      </c>
      <c r="M69" t="s">
        <v>77</v>
      </c>
      <c r="N69" t="s">
        <v>420</v>
      </c>
      <c r="O69">
        <v>1124</v>
      </c>
      <c r="P69">
        <v>203</v>
      </c>
      <c r="Q69">
        <v>65</v>
      </c>
      <c r="R69" t="s">
        <v>427</v>
      </c>
      <c r="U69">
        <v>0.18</v>
      </c>
    </row>
    <row r="70" spans="1:21" x14ac:dyDescent="0.25">
      <c r="A70">
        <v>88</v>
      </c>
      <c r="B70" s="3" t="s">
        <v>78</v>
      </c>
      <c r="C70" t="s">
        <v>420</v>
      </c>
      <c r="D70">
        <v>1359</v>
      </c>
      <c r="E70">
        <v>210</v>
      </c>
      <c r="F70">
        <v>54</v>
      </c>
      <c r="G70" t="s">
        <v>427</v>
      </c>
      <c r="L70">
        <v>88</v>
      </c>
      <c r="M70" t="s">
        <v>78</v>
      </c>
      <c r="N70" t="s">
        <v>420</v>
      </c>
      <c r="O70">
        <v>1133</v>
      </c>
      <c r="P70">
        <v>204</v>
      </c>
      <c r="Q70">
        <v>54</v>
      </c>
      <c r="R70" t="s">
        <v>427</v>
      </c>
    </row>
    <row r="71" spans="1:21" x14ac:dyDescent="0.25">
      <c r="A71">
        <v>89</v>
      </c>
      <c r="B71" t="s">
        <v>80</v>
      </c>
      <c r="C71" t="s">
        <v>420</v>
      </c>
      <c r="D71">
        <v>1359</v>
      </c>
      <c r="E71">
        <v>210</v>
      </c>
      <c r="F71">
        <v>35</v>
      </c>
      <c r="G71" t="s">
        <v>427</v>
      </c>
      <c r="J71">
        <v>0.18</v>
      </c>
      <c r="L71">
        <v>89</v>
      </c>
      <c r="M71" t="s">
        <v>80</v>
      </c>
      <c r="N71" t="s">
        <v>420</v>
      </c>
      <c r="O71">
        <v>1133</v>
      </c>
      <c r="P71">
        <v>204</v>
      </c>
      <c r="Q71">
        <v>35</v>
      </c>
      <c r="R71" t="s">
        <v>427</v>
      </c>
      <c r="U71">
        <v>0.18</v>
      </c>
    </row>
    <row r="72" spans="1:21" x14ac:dyDescent="0.25">
      <c r="A72">
        <v>90</v>
      </c>
      <c r="B72" s="3" t="s">
        <v>82</v>
      </c>
      <c r="C72" t="s">
        <v>420</v>
      </c>
      <c r="D72">
        <v>1359</v>
      </c>
      <c r="E72">
        <v>210</v>
      </c>
      <c r="F72">
        <v>72</v>
      </c>
      <c r="G72" t="s">
        <v>427</v>
      </c>
      <c r="J72">
        <v>0.18</v>
      </c>
      <c r="L72">
        <v>90</v>
      </c>
      <c r="M72" t="s">
        <v>82</v>
      </c>
      <c r="N72" t="s">
        <v>420</v>
      </c>
      <c r="O72">
        <v>1133</v>
      </c>
      <c r="P72">
        <v>204</v>
      </c>
      <c r="Q72">
        <v>72</v>
      </c>
      <c r="R72" t="s">
        <v>427</v>
      </c>
      <c r="U72">
        <v>0.18</v>
      </c>
    </row>
    <row r="73" spans="1:21" x14ac:dyDescent="0.25">
      <c r="A73">
        <v>91</v>
      </c>
      <c r="B73" t="s">
        <v>84</v>
      </c>
      <c r="C73" t="s">
        <v>420</v>
      </c>
      <c r="D73">
        <v>1373</v>
      </c>
      <c r="E73">
        <v>209</v>
      </c>
      <c r="F73">
        <v>68</v>
      </c>
      <c r="G73" t="s">
        <v>427</v>
      </c>
      <c r="L73">
        <v>91</v>
      </c>
      <c r="M73" t="s">
        <v>84</v>
      </c>
      <c r="N73" t="s">
        <v>420</v>
      </c>
      <c r="O73">
        <v>1144</v>
      </c>
      <c r="P73">
        <v>203</v>
      </c>
      <c r="Q73">
        <v>68</v>
      </c>
      <c r="R73" t="s">
        <v>427</v>
      </c>
    </row>
    <row r="74" spans="1:21" x14ac:dyDescent="0.25">
      <c r="A74">
        <v>92</v>
      </c>
      <c r="B74" t="s">
        <v>86</v>
      </c>
      <c r="C74" t="s">
        <v>420</v>
      </c>
      <c r="D74">
        <v>1402</v>
      </c>
      <c r="E74">
        <v>209</v>
      </c>
      <c r="F74">
        <v>68</v>
      </c>
      <c r="G74" t="s">
        <v>427</v>
      </c>
      <c r="J74">
        <v>0.18</v>
      </c>
      <c r="L74">
        <v>92</v>
      </c>
      <c r="M74" t="s">
        <v>86</v>
      </c>
      <c r="N74" t="s">
        <v>420</v>
      </c>
      <c r="O74">
        <v>1168</v>
      </c>
      <c r="P74">
        <v>203</v>
      </c>
      <c r="Q74">
        <v>68</v>
      </c>
      <c r="R74" t="s">
        <v>427</v>
      </c>
      <c r="U74">
        <v>0.18</v>
      </c>
    </row>
    <row r="75" spans="1:21" x14ac:dyDescent="0.25">
      <c r="A75">
        <v>94</v>
      </c>
      <c r="B75" s="3" t="s">
        <v>88</v>
      </c>
      <c r="C75" t="s">
        <v>420</v>
      </c>
      <c r="D75">
        <v>1518</v>
      </c>
      <c r="E75">
        <v>210</v>
      </c>
      <c r="F75">
        <v>32</v>
      </c>
      <c r="G75" t="s">
        <v>427</v>
      </c>
      <c r="J75">
        <v>0.18</v>
      </c>
      <c r="L75">
        <v>93</v>
      </c>
      <c r="M75" t="s">
        <v>88</v>
      </c>
      <c r="N75" t="s">
        <v>420</v>
      </c>
      <c r="O75">
        <v>1265</v>
      </c>
      <c r="P75">
        <v>204</v>
      </c>
      <c r="Q75">
        <v>32</v>
      </c>
      <c r="R75" t="s">
        <v>427</v>
      </c>
      <c r="U75">
        <v>0.18</v>
      </c>
    </row>
    <row r="76" spans="1:21" x14ac:dyDescent="0.25">
      <c r="A76">
        <v>94</v>
      </c>
      <c r="B76" s="3" t="s">
        <v>89</v>
      </c>
      <c r="C76" t="s">
        <v>420</v>
      </c>
      <c r="D76">
        <v>1412</v>
      </c>
      <c r="E76">
        <v>210</v>
      </c>
      <c r="F76">
        <v>36</v>
      </c>
      <c r="G76" t="s">
        <v>427</v>
      </c>
      <c r="J76">
        <v>0.18</v>
      </c>
      <c r="L76">
        <v>94</v>
      </c>
      <c r="M76" t="s">
        <v>89</v>
      </c>
      <c r="N76" t="s">
        <v>420</v>
      </c>
      <c r="O76">
        <v>1177</v>
      </c>
      <c r="P76">
        <v>204</v>
      </c>
      <c r="Q76">
        <v>36</v>
      </c>
      <c r="R76" t="s">
        <v>427</v>
      </c>
      <c r="U76">
        <v>0.18</v>
      </c>
    </row>
    <row r="77" spans="1:21" x14ac:dyDescent="0.25">
      <c r="A77">
        <v>96</v>
      </c>
      <c r="B77" t="s">
        <v>455</v>
      </c>
      <c r="C77" t="s">
        <v>420</v>
      </c>
      <c r="D77">
        <v>1518</v>
      </c>
      <c r="E77">
        <v>210</v>
      </c>
      <c r="F77">
        <v>40</v>
      </c>
      <c r="G77" t="s">
        <v>427</v>
      </c>
      <c r="L77">
        <v>96</v>
      </c>
      <c r="M77" t="s">
        <v>455</v>
      </c>
      <c r="N77" t="s">
        <v>420</v>
      </c>
      <c r="O77">
        <v>1265</v>
      </c>
      <c r="P77">
        <v>204</v>
      </c>
      <c r="Q77">
        <v>40</v>
      </c>
      <c r="R77" t="s">
        <v>427</v>
      </c>
    </row>
    <row r="78" spans="1:21" x14ac:dyDescent="0.25">
      <c r="A78">
        <v>100</v>
      </c>
      <c r="B78" t="s">
        <v>458</v>
      </c>
      <c r="C78" t="s">
        <v>420</v>
      </c>
      <c r="D78">
        <v>1370</v>
      </c>
      <c r="E78">
        <v>210</v>
      </c>
      <c r="F78">
        <v>24</v>
      </c>
      <c r="G78" t="s">
        <v>427</v>
      </c>
      <c r="L78">
        <v>100</v>
      </c>
      <c r="M78" t="s">
        <v>458</v>
      </c>
      <c r="N78" t="s">
        <v>420</v>
      </c>
      <c r="O78">
        <v>1142</v>
      </c>
      <c r="P78">
        <v>204</v>
      </c>
      <c r="Q78">
        <v>24</v>
      </c>
      <c r="R78" t="s">
        <v>427</v>
      </c>
    </row>
    <row r="79" spans="1:21" x14ac:dyDescent="0.25">
      <c r="A79">
        <v>101</v>
      </c>
      <c r="B79" t="s">
        <v>90</v>
      </c>
      <c r="C79" t="s">
        <v>420</v>
      </c>
      <c r="D79">
        <v>1581</v>
      </c>
      <c r="E79">
        <v>210</v>
      </c>
      <c r="F79">
        <v>65</v>
      </c>
      <c r="G79" t="s">
        <v>427</v>
      </c>
      <c r="L79">
        <v>101</v>
      </c>
      <c r="M79" t="s">
        <v>90</v>
      </c>
      <c r="N79" t="s">
        <v>420</v>
      </c>
      <c r="O79">
        <v>1317</v>
      </c>
      <c r="P79">
        <v>204</v>
      </c>
      <c r="Q79">
        <v>65</v>
      </c>
      <c r="R79" t="s">
        <v>427</v>
      </c>
    </row>
    <row r="80" spans="1:21" x14ac:dyDescent="0.25">
      <c r="A80">
        <v>102</v>
      </c>
      <c r="B80" s="3" t="s">
        <v>92</v>
      </c>
      <c r="C80" t="s">
        <v>420</v>
      </c>
      <c r="D80">
        <v>1536</v>
      </c>
      <c r="E80">
        <v>210</v>
      </c>
      <c r="F80">
        <v>40</v>
      </c>
      <c r="G80" t="s">
        <v>427</v>
      </c>
      <c r="L80">
        <v>102</v>
      </c>
      <c r="M80" t="s">
        <v>92</v>
      </c>
      <c r="N80" t="s">
        <v>420</v>
      </c>
      <c r="O80">
        <v>1280</v>
      </c>
      <c r="P80">
        <v>204</v>
      </c>
      <c r="Q80">
        <v>40</v>
      </c>
      <c r="R80" t="s">
        <v>427</v>
      </c>
    </row>
    <row r="81" spans="1:18" x14ac:dyDescent="0.25">
      <c r="A81">
        <v>103</v>
      </c>
      <c r="B81" t="s">
        <v>93</v>
      </c>
      <c r="C81" t="s">
        <v>420</v>
      </c>
      <c r="D81">
        <v>1314</v>
      </c>
      <c r="E81">
        <v>195</v>
      </c>
      <c r="F81">
        <v>42</v>
      </c>
      <c r="G81" t="s">
        <v>427</v>
      </c>
      <c r="L81">
        <v>103</v>
      </c>
      <c r="M81" t="s">
        <v>93</v>
      </c>
      <c r="N81" t="s">
        <v>420</v>
      </c>
      <c r="O81">
        <v>1095</v>
      </c>
      <c r="P81">
        <v>190</v>
      </c>
      <c r="Q81">
        <v>42</v>
      </c>
      <c r="R81" t="s">
        <v>427</v>
      </c>
    </row>
    <row r="82" spans="1:18" x14ac:dyDescent="0.25">
      <c r="A82">
        <v>104</v>
      </c>
      <c r="B82" t="s">
        <v>94</v>
      </c>
      <c r="C82" t="s">
        <v>419</v>
      </c>
      <c r="D82">
        <v>3246</v>
      </c>
      <c r="E82">
        <v>102</v>
      </c>
      <c r="F82">
        <v>44</v>
      </c>
      <c r="G82" t="s">
        <v>427</v>
      </c>
      <c r="L82">
        <v>104</v>
      </c>
      <c r="M82" t="s">
        <v>94</v>
      </c>
      <c r="N82" t="s">
        <v>419</v>
      </c>
      <c r="O82">
        <v>2886</v>
      </c>
      <c r="P82">
        <v>77</v>
      </c>
      <c r="Q82">
        <v>44</v>
      </c>
      <c r="R82" t="s">
        <v>427</v>
      </c>
    </row>
    <row r="83" spans="1:18" x14ac:dyDescent="0.25">
      <c r="A83">
        <v>105</v>
      </c>
      <c r="B83" s="3" t="s">
        <v>96</v>
      </c>
      <c r="C83" t="s">
        <v>419</v>
      </c>
      <c r="D83">
        <v>2974</v>
      </c>
      <c r="E83">
        <v>97</v>
      </c>
      <c r="F83">
        <v>54</v>
      </c>
      <c r="G83" t="s">
        <v>427</v>
      </c>
      <c r="L83">
        <v>105</v>
      </c>
      <c r="M83" t="s">
        <v>96</v>
      </c>
      <c r="N83" t="s">
        <v>419</v>
      </c>
      <c r="O83">
        <v>2632</v>
      </c>
      <c r="P83">
        <v>73</v>
      </c>
      <c r="Q83">
        <v>54</v>
      </c>
      <c r="R83" t="s">
        <v>427</v>
      </c>
    </row>
    <row r="84" spans="1:18" x14ac:dyDescent="0.25">
      <c r="A84">
        <v>106</v>
      </c>
      <c r="B84" t="s">
        <v>98</v>
      </c>
      <c r="C84" t="s">
        <v>419</v>
      </c>
      <c r="D84">
        <v>2974</v>
      </c>
      <c r="E84">
        <v>97</v>
      </c>
      <c r="F84">
        <v>74</v>
      </c>
      <c r="G84" t="s">
        <v>427</v>
      </c>
      <c r="L84">
        <v>106</v>
      </c>
      <c r="M84" t="s">
        <v>98</v>
      </c>
      <c r="N84" t="s">
        <v>419</v>
      </c>
      <c r="O84">
        <v>2632</v>
      </c>
      <c r="P84">
        <v>73</v>
      </c>
      <c r="Q84">
        <v>74</v>
      </c>
      <c r="R84" t="s">
        <v>427</v>
      </c>
    </row>
    <row r="85" spans="1:18" x14ac:dyDescent="0.25">
      <c r="A85">
        <v>111</v>
      </c>
      <c r="B85" t="s">
        <v>100</v>
      </c>
      <c r="C85" t="s">
        <v>419</v>
      </c>
      <c r="D85">
        <v>3796</v>
      </c>
      <c r="E85">
        <v>100</v>
      </c>
      <c r="F85">
        <v>78</v>
      </c>
      <c r="G85" t="s">
        <v>427</v>
      </c>
      <c r="L85">
        <v>111</v>
      </c>
      <c r="M85" t="s">
        <v>100</v>
      </c>
      <c r="N85" t="s">
        <v>419</v>
      </c>
      <c r="O85">
        <v>3389</v>
      </c>
      <c r="P85">
        <v>76</v>
      </c>
      <c r="Q85">
        <v>78</v>
      </c>
      <c r="R85" t="s">
        <v>427</v>
      </c>
    </row>
    <row r="86" spans="1:18" x14ac:dyDescent="0.25">
      <c r="A86">
        <v>114</v>
      </c>
      <c r="B86" t="s">
        <v>101</v>
      </c>
      <c r="C86" t="s">
        <v>419</v>
      </c>
      <c r="D86">
        <v>4486</v>
      </c>
      <c r="E86">
        <v>100</v>
      </c>
      <c r="F86">
        <v>37</v>
      </c>
      <c r="G86" t="s">
        <v>427</v>
      </c>
      <c r="L86">
        <v>114</v>
      </c>
      <c r="M86" t="s">
        <v>101</v>
      </c>
      <c r="N86" t="s">
        <v>419</v>
      </c>
      <c r="O86">
        <v>4078</v>
      </c>
      <c r="P86">
        <v>76</v>
      </c>
      <c r="Q86">
        <v>37</v>
      </c>
      <c r="R86" t="s">
        <v>427</v>
      </c>
    </row>
    <row r="87" spans="1:18" x14ac:dyDescent="0.25">
      <c r="A87">
        <v>115</v>
      </c>
      <c r="B87" t="s">
        <v>102</v>
      </c>
      <c r="C87" t="s">
        <v>419</v>
      </c>
      <c r="D87">
        <v>3970</v>
      </c>
      <c r="E87">
        <v>96</v>
      </c>
      <c r="F87">
        <v>88</v>
      </c>
      <c r="G87" t="s">
        <v>427</v>
      </c>
      <c r="L87">
        <v>115</v>
      </c>
      <c r="M87" t="s">
        <v>102</v>
      </c>
      <c r="N87" t="s">
        <v>419</v>
      </c>
      <c r="O87">
        <v>3544</v>
      </c>
      <c r="P87">
        <v>72</v>
      </c>
      <c r="Q87">
        <v>88</v>
      </c>
      <c r="R87" t="s">
        <v>427</v>
      </c>
    </row>
    <row r="88" spans="1:18" x14ac:dyDescent="0.25">
      <c r="A88">
        <v>116</v>
      </c>
      <c r="B88" s="3" t="s">
        <v>103</v>
      </c>
      <c r="C88" t="s">
        <v>419</v>
      </c>
      <c r="D88">
        <v>2830</v>
      </c>
      <c r="E88">
        <v>100</v>
      </c>
      <c r="F88">
        <v>69</v>
      </c>
      <c r="G88" t="s">
        <v>427</v>
      </c>
      <c r="L88">
        <v>116</v>
      </c>
      <c r="M88" t="s">
        <v>103</v>
      </c>
      <c r="N88" t="s">
        <v>419</v>
      </c>
      <c r="O88">
        <v>2493</v>
      </c>
      <c r="P88">
        <v>76</v>
      </c>
      <c r="Q88">
        <v>69</v>
      </c>
      <c r="R88" t="s">
        <v>427</v>
      </c>
    </row>
    <row r="89" spans="1:18" x14ac:dyDescent="0.25">
      <c r="A89">
        <v>117</v>
      </c>
      <c r="B89" s="3" t="s">
        <v>104</v>
      </c>
      <c r="C89" t="s">
        <v>419</v>
      </c>
      <c r="D89">
        <v>2830</v>
      </c>
      <c r="E89">
        <v>100</v>
      </c>
      <c r="F89">
        <v>26</v>
      </c>
      <c r="G89" t="s">
        <v>427</v>
      </c>
      <c r="L89">
        <v>117</v>
      </c>
      <c r="M89" t="s">
        <v>104</v>
      </c>
      <c r="N89" t="s">
        <v>419</v>
      </c>
      <c r="O89">
        <v>2493</v>
      </c>
      <c r="P89">
        <v>76</v>
      </c>
      <c r="Q89">
        <v>26</v>
      </c>
      <c r="R89" t="s">
        <v>427</v>
      </c>
    </row>
    <row r="90" spans="1:18" x14ac:dyDescent="0.25">
      <c r="A90">
        <v>118</v>
      </c>
      <c r="B90" t="s">
        <v>105</v>
      </c>
      <c r="C90" t="s">
        <v>419</v>
      </c>
      <c r="D90">
        <v>2914</v>
      </c>
      <c r="E90">
        <v>100</v>
      </c>
      <c r="F90">
        <v>84</v>
      </c>
      <c r="G90" t="s">
        <v>427</v>
      </c>
      <c r="L90">
        <v>118</v>
      </c>
      <c r="M90" t="s">
        <v>105</v>
      </c>
      <c r="N90" t="s">
        <v>419</v>
      </c>
      <c r="O90">
        <v>2568</v>
      </c>
      <c r="P90">
        <v>76</v>
      </c>
      <c r="Q90">
        <v>84</v>
      </c>
      <c r="R90" t="s">
        <v>427</v>
      </c>
    </row>
    <row r="91" spans="1:18" x14ac:dyDescent="0.25">
      <c r="A91">
        <v>119</v>
      </c>
      <c r="B91" t="s">
        <v>106</v>
      </c>
      <c r="C91" t="s">
        <v>432</v>
      </c>
      <c r="D91">
        <v>3561</v>
      </c>
      <c r="E91">
        <v>67</v>
      </c>
      <c r="F91">
        <v>62</v>
      </c>
      <c r="G91" t="s">
        <v>427</v>
      </c>
      <c r="L91">
        <v>119</v>
      </c>
      <c r="M91" t="s">
        <v>106</v>
      </c>
      <c r="N91" t="s">
        <v>432</v>
      </c>
      <c r="O91">
        <v>3137</v>
      </c>
      <c r="P91">
        <v>22</v>
      </c>
      <c r="Q91">
        <v>62</v>
      </c>
      <c r="R91" t="s">
        <v>427</v>
      </c>
    </row>
    <row r="92" spans="1:18" x14ac:dyDescent="0.25">
      <c r="A92">
        <v>120</v>
      </c>
      <c r="B92" t="s">
        <v>107</v>
      </c>
      <c r="C92" t="s">
        <v>432</v>
      </c>
      <c r="D92">
        <v>3461</v>
      </c>
      <c r="E92">
        <v>67</v>
      </c>
      <c r="F92">
        <v>75</v>
      </c>
      <c r="G92" t="s">
        <v>427</v>
      </c>
      <c r="L92">
        <v>120</v>
      </c>
      <c r="M92" t="s">
        <v>107</v>
      </c>
      <c r="N92" t="s">
        <v>432</v>
      </c>
      <c r="O92">
        <v>3049</v>
      </c>
      <c r="P92">
        <v>22</v>
      </c>
      <c r="Q92">
        <v>75</v>
      </c>
      <c r="R92" t="s">
        <v>427</v>
      </c>
    </row>
    <row r="93" spans="1:18" x14ac:dyDescent="0.25">
      <c r="A93">
        <v>121</v>
      </c>
      <c r="B93" t="s">
        <v>108</v>
      </c>
      <c r="C93" t="s">
        <v>432</v>
      </c>
      <c r="D93">
        <v>3508</v>
      </c>
      <c r="E93">
        <v>65</v>
      </c>
      <c r="F93">
        <v>71</v>
      </c>
      <c r="G93" t="s">
        <v>427</v>
      </c>
      <c r="L93">
        <v>121</v>
      </c>
      <c r="M93" t="s">
        <v>108</v>
      </c>
      <c r="N93" t="s">
        <v>432</v>
      </c>
      <c r="O93">
        <v>3090</v>
      </c>
      <c r="P93">
        <v>21</v>
      </c>
      <c r="Q93">
        <v>71</v>
      </c>
      <c r="R93" t="s">
        <v>427</v>
      </c>
    </row>
    <row r="94" spans="1:18" x14ac:dyDescent="0.25">
      <c r="A94">
        <v>122</v>
      </c>
      <c r="B94" t="s">
        <v>109</v>
      </c>
      <c r="C94" t="s">
        <v>432</v>
      </c>
      <c r="D94">
        <v>3474</v>
      </c>
      <c r="E94">
        <v>65</v>
      </c>
      <c r="F94">
        <v>72</v>
      </c>
      <c r="G94" t="s">
        <v>427</v>
      </c>
      <c r="L94">
        <v>122</v>
      </c>
      <c r="M94" t="s">
        <v>109</v>
      </c>
      <c r="N94" t="s">
        <v>432</v>
      </c>
      <c r="O94">
        <v>3074</v>
      </c>
      <c r="P94">
        <v>21</v>
      </c>
      <c r="Q94">
        <v>72</v>
      </c>
      <c r="R94" t="s">
        <v>427</v>
      </c>
    </row>
    <row r="95" spans="1:18" x14ac:dyDescent="0.25">
      <c r="A95">
        <v>123</v>
      </c>
      <c r="B95" t="s">
        <v>111</v>
      </c>
      <c r="C95" t="s">
        <v>432</v>
      </c>
      <c r="D95">
        <v>4621</v>
      </c>
      <c r="E95">
        <v>68</v>
      </c>
      <c r="F95">
        <v>69</v>
      </c>
      <c r="G95" t="s">
        <v>428</v>
      </c>
      <c r="L95">
        <v>123</v>
      </c>
      <c r="M95" t="s">
        <v>111</v>
      </c>
      <c r="N95" t="s">
        <v>432</v>
      </c>
      <c r="O95">
        <v>4126</v>
      </c>
      <c r="P95">
        <v>24</v>
      </c>
      <c r="Q95">
        <v>69</v>
      </c>
      <c r="R95" t="s">
        <v>428</v>
      </c>
    </row>
    <row r="96" spans="1:18" x14ac:dyDescent="0.25">
      <c r="A96">
        <v>124</v>
      </c>
      <c r="B96" s="3" t="s">
        <v>112</v>
      </c>
      <c r="C96" t="s">
        <v>432</v>
      </c>
      <c r="D96">
        <v>4755</v>
      </c>
      <c r="E96">
        <v>68</v>
      </c>
      <c r="F96">
        <v>33</v>
      </c>
      <c r="G96" t="s">
        <v>428</v>
      </c>
      <c r="L96">
        <v>124</v>
      </c>
      <c r="M96" t="s">
        <v>112</v>
      </c>
      <c r="N96" t="s">
        <v>432</v>
      </c>
      <c r="O96">
        <v>4246</v>
      </c>
      <c r="P96">
        <v>24</v>
      </c>
      <c r="Q96">
        <v>33</v>
      </c>
      <c r="R96" t="s">
        <v>428</v>
      </c>
    </row>
    <row r="97" spans="1:18" x14ac:dyDescent="0.25">
      <c r="A97">
        <v>125</v>
      </c>
      <c r="B97" s="3" t="s">
        <v>113</v>
      </c>
      <c r="C97" t="s">
        <v>432</v>
      </c>
      <c r="D97">
        <v>3676</v>
      </c>
      <c r="E97">
        <v>72</v>
      </c>
      <c r="F97">
        <v>15</v>
      </c>
      <c r="G97" t="s">
        <v>428</v>
      </c>
      <c r="L97">
        <v>125</v>
      </c>
      <c r="M97" t="s">
        <v>113</v>
      </c>
      <c r="N97" t="s">
        <v>432</v>
      </c>
      <c r="O97">
        <v>3253</v>
      </c>
      <c r="P97">
        <v>23</v>
      </c>
      <c r="Q97">
        <v>15</v>
      </c>
      <c r="R97" t="s">
        <v>428</v>
      </c>
    </row>
    <row r="98" spans="1:18" x14ac:dyDescent="0.25">
      <c r="A98">
        <v>126</v>
      </c>
      <c r="B98" t="s">
        <v>115</v>
      </c>
      <c r="C98" t="s">
        <v>432</v>
      </c>
      <c r="D98">
        <v>3705</v>
      </c>
      <c r="E98">
        <v>72</v>
      </c>
      <c r="F98">
        <v>49</v>
      </c>
      <c r="G98" t="s">
        <v>428</v>
      </c>
      <c r="L98">
        <v>126</v>
      </c>
      <c r="M98" t="s">
        <v>115</v>
      </c>
      <c r="N98" t="s">
        <v>432</v>
      </c>
      <c r="O98">
        <v>3279</v>
      </c>
      <c r="P98">
        <v>23</v>
      </c>
      <c r="Q98">
        <v>49</v>
      </c>
      <c r="R98" t="s">
        <v>428</v>
      </c>
    </row>
    <row r="99" spans="1:18" x14ac:dyDescent="0.25">
      <c r="A99">
        <v>127</v>
      </c>
      <c r="B99" t="s">
        <v>277</v>
      </c>
      <c r="C99" t="s">
        <v>451</v>
      </c>
      <c r="D99">
        <v>6207</v>
      </c>
      <c r="E99">
        <v>37</v>
      </c>
      <c r="F99">
        <v>85</v>
      </c>
      <c r="G99" t="s">
        <v>428</v>
      </c>
      <c r="L99">
        <v>127</v>
      </c>
      <c r="M99" t="s">
        <v>277</v>
      </c>
      <c r="N99" t="s">
        <v>451</v>
      </c>
      <c r="O99">
        <v>5283</v>
      </c>
      <c r="P99">
        <v>22</v>
      </c>
      <c r="Q99">
        <v>85</v>
      </c>
      <c r="R99" t="s">
        <v>428</v>
      </c>
    </row>
    <row r="100" spans="1:18" x14ac:dyDescent="0.25">
      <c r="A100">
        <v>128</v>
      </c>
      <c r="B100" t="s">
        <v>278</v>
      </c>
      <c r="C100" t="s">
        <v>451</v>
      </c>
      <c r="D100">
        <v>6032</v>
      </c>
      <c r="E100">
        <v>35</v>
      </c>
      <c r="F100">
        <v>28</v>
      </c>
      <c r="G100" t="s">
        <v>428</v>
      </c>
      <c r="L100">
        <v>128</v>
      </c>
      <c r="M100" t="s">
        <v>278</v>
      </c>
      <c r="N100" t="s">
        <v>451</v>
      </c>
      <c r="O100">
        <v>5133</v>
      </c>
      <c r="P100">
        <v>21</v>
      </c>
      <c r="Q100">
        <v>28</v>
      </c>
      <c r="R100" t="s">
        <v>428</v>
      </c>
    </row>
    <row r="101" spans="1:18" x14ac:dyDescent="0.25">
      <c r="A101">
        <v>129</v>
      </c>
      <c r="B101" t="s">
        <v>279</v>
      </c>
      <c r="C101" t="s">
        <v>451</v>
      </c>
      <c r="D101">
        <v>8445</v>
      </c>
      <c r="E101">
        <v>37</v>
      </c>
      <c r="F101">
        <v>38</v>
      </c>
      <c r="G101" t="s">
        <v>428</v>
      </c>
      <c r="L101">
        <v>129</v>
      </c>
      <c r="M101" t="s">
        <v>279</v>
      </c>
      <c r="N101" t="s">
        <v>451</v>
      </c>
      <c r="O101">
        <v>7677</v>
      </c>
      <c r="P101">
        <v>22</v>
      </c>
      <c r="Q101">
        <v>38</v>
      </c>
      <c r="R101" t="s">
        <v>428</v>
      </c>
    </row>
    <row r="102" spans="1:18" x14ac:dyDescent="0.25">
      <c r="A102">
        <v>130</v>
      </c>
      <c r="B102" t="s">
        <v>280</v>
      </c>
      <c r="C102" t="s">
        <v>433</v>
      </c>
      <c r="D102">
        <v>7512</v>
      </c>
      <c r="E102">
        <v>33</v>
      </c>
      <c r="F102">
        <v>25</v>
      </c>
      <c r="G102" t="s">
        <v>429</v>
      </c>
      <c r="L102">
        <v>130</v>
      </c>
      <c r="M102" t="s">
        <v>280</v>
      </c>
      <c r="N102" t="s">
        <v>433</v>
      </c>
      <c r="O102">
        <v>6464</v>
      </c>
      <c r="P102">
        <v>15</v>
      </c>
      <c r="Q102">
        <v>25</v>
      </c>
      <c r="R102" t="s">
        <v>429</v>
      </c>
    </row>
    <row r="103" spans="1:18" x14ac:dyDescent="0.25">
      <c r="A103">
        <v>131</v>
      </c>
      <c r="B103" s="3" t="s">
        <v>356</v>
      </c>
      <c r="C103" t="s">
        <v>433</v>
      </c>
      <c r="D103">
        <v>7783</v>
      </c>
      <c r="E103">
        <v>33</v>
      </c>
      <c r="F103">
        <v>90</v>
      </c>
      <c r="G103" t="s">
        <v>429</v>
      </c>
      <c r="L103">
        <v>131</v>
      </c>
      <c r="M103" t="s">
        <v>356</v>
      </c>
      <c r="N103" t="s">
        <v>433</v>
      </c>
      <c r="O103">
        <v>6710</v>
      </c>
      <c r="P103">
        <v>15</v>
      </c>
      <c r="Q103">
        <v>90</v>
      </c>
      <c r="R103" t="s">
        <v>429</v>
      </c>
    </row>
    <row r="104" spans="1:18" x14ac:dyDescent="0.25">
      <c r="A104">
        <v>132</v>
      </c>
      <c r="B104" t="s">
        <v>281</v>
      </c>
      <c r="C104" t="s">
        <v>433</v>
      </c>
      <c r="D104">
        <v>7654</v>
      </c>
      <c r="E104">
        <v>33</v>
      </c>
      <c r="F104">
        <v>66</v>
      </c>
      <c r="G104" t="s">
        <v>429</v>
      </c>
      <c r="L104">
        <v>132</v>
      </c>
      <c r="M104" t="s">
        <v>281</v>
      </c>
      <c r="N104" t="s">
        <v>433</v>
      </c>
      <c r="O104">
        <v>6598</v>
      </c>
      <c r="P104">
        <v>15</v>
      </c>
      <c r="Q104">
        <v>66</v>
      </c>
      <c r="R104" t="s">
        <v>429</v>
      </c>
    </row>
    <row r="105" spans="1:18" x14ac:dyDescent="0.25">
      <c r="A105">
        <v>133</v>
      </c>
      <c r="B105" t="s">
        <v>282</v>
      </c>
      <c r="C105" t="s">
        <v>433</v>
      </c>
      <c r="D105">
        <v>7630</v>
      </c>
      <c r="E105">
        <v>31</v>
      </c>
      <c r="F105">
        <v>81</v>
      </c>
      <c r="G105" t="s">
        <v>429</v>
      </c>
      <c r="L105">
        <v>133</v>
      </c>
      <c r="M105" t="s">
        <v>282</v>
      </c>
      <c r="N105" t="s">
        <v>433</v>
      </c>
      <c r="O105">
        <v>6577</v>
      </c>
      <c r="P105">
        <v>13</v>
      </c>
      <c r="Q105">
        <v>81</v>
      </c>
      <c r="R105" t="s">
        <v>429</v>
      </c>
    </row>
    <row r="106" spans="1:18" x14ac:dyDescent="0.25">
      <c r="A106">
        <v>135</v>
      </c>
      <c r="B106" t="s">
        <v>283</v>
      </c>
      <c r="C106" t="s">
        <v>433</v>
      </c>
      <c r="D106">
        <v>7967</v>
      </c>
      <c r="E106">
        <v>35</v>
      </c>
      <c r="F106">
        <v>19</v>
      </c>
      <c r="G106" t="s">
        <v>429</v>
      </c>
      <c r="L106">
        <v>135</v>
      </c>
      <c r="M106" t="s">
        <v>283</v>
      </c>
      <c r="N106" t="s">
        <v>433</v>
      </c>
      <c r="O106">
        <v>6897</v>
      </c>
      <c r="P106">
        <v>18</v>
      </c>
      <c r="Q106">
        <v>19</v>
      </c>
      <c r="R106" t="s">
        <v>429</v>
      </c>
    </row>
    <row r="107" spans="1:18" x14ac:dyDescent="0.25">
      <c r="A107">
        <v>136</v>
      </c>
      <c r="B107" t="s">
        <v>284</v>
      </c>
      <c r="C107" t="s">
        <v>433</v>
      </c>
      <c r="D107">
        <v>7967</v>
      </c>
      <c r="E107">
        <v>35</v>
      </c>
      <c r="F107">
        <v>73</v>
      </c>
      <c r="G107" t="s">
        <v>429</v>
      </c>
      <c r="L107">
        <v>136</v>
      </c>
      <c r="M107" t="s">
        <v>284</v>
      </c>
      <c r="N107" t="s">
        <v>433</v>
      </c>
      <c r="O107">
        <v>6897</v>
      </c>
      <c r="P107">
        <v>18</v>
      </c>
      <c r="Q107">
        <v>73</v>
      </c>
      <c r="R107" t="s">
        <v>429</v>
      </c>
    </row>
    <row r="108" spans="1:18" x14ac:dyDescent="0.25">
      <c r="A108">
        <v>140</v>
      </c>
      <c r="B108" t="s">
        <v>336</v>
      </c>
      <c r="C108" t="s">
        <v>448</v>
      </c>
      <c r="D108">
        <v>4157</v>
      </c>
      <c r="E108">
        <v>66</v>
      </c>
      <c r="F108">
        <v>41</v>
      </c>
      <c r="G108" t="s">
        <v>428</v>
      </c>
      <c r="L108">
        <v>140</v>
      </c>
      <c r="M108" t="s">
        <v>336</v>
      </c>
      <c r="N108" t="s">
        <v>448</v>
      </c>
      <c r="O108">
        <v>3553</v>
      </c>
      <c r="P108">
        <v>47</v>
      </c>
      <c r="Q108">
        <v>41</v>
      </c>
      <c r="R108" t="s">
        <v>428</v>
      </c>
    </row>
    <row r="109" spans="1:18" x14ac:dyDescent="0.25">
      <c r="A109">
        <v>142</v>
      </c>
      <c r="B109" s="3" t="s">
        <v>411</v>
      </c>
      <c r="C109" t="s">
        <v>448</v>
      </c>
      <c r="D109">
        <v>5337</v>
      </c>
      <c r="E109">
        <v>66</v>
      </c>
      <c r="F109">
        <v>78</v>
      </c>
      <c r="G109" t="s">
        <v>428</v>
      </c>
      <c r="L109">
        <v>142</v>
      </c>
      <c r="M109" t="s">
        <v>411</v>
      </c>
      <c r="N109" t="s">
        <v>448</v>
      </c>
      <c r="O109">
        <v>4601</v>
      </c>
      <c r="P109">
        <v>46</v>
      </c>
      <c r="Q109">
        <v>78</v>
      </c>
      <c r="R109" t="s">
        <v>428</v>
      </c>
    </row>
    <row r="110" spans="1:18" x14ac:dyDescent="0.25">
      <c r="A110">
        <v>144</v>
      </c>
      <c r="B110" t="s">
        <v>347</v>
      </c>
      <c r="C110" t="s">
        <v>449</v>
      </c>
      <c r="D110">
        <v>6107</v>
      </c>
      <c r="E110">
        <v>53</v>
      </c>
      <c r="F110">
        <v>87</v>
      </c>
      <c r="G110" t="s">
        <v>428</v>
      </c>
      <c r="L110">
        <v>144</v>
      </c>
      <c r="M110" t="s">
        <v>347</v>
      </c>
      <c r="N110" t="s">
        <v>449</v>
      </c>
      <c r="O110">
        <v>5311</v>
      </c>
      <c r="P110">
        <v>33</v>
      </c>
      <c r="Q110">
        <v>87</v>
      </c>
      <c r="R110" t="s">
        <v>428</v>
      </c>
    </row>
    <row r="111" spans="1:18" x14ac:dyDescent="0.25">
      <c r="A111">
        <v>145</v>
      </c>
      <c r="B111" t="s">
        <v>348</v>
      </c>
      <c r="C111" t="s">
        <v>449</v>
      </c>
      <c r="D111">
        <v>6561</v>
      </c>
      <c r="E111">
        <v>53</v>
      </c>
      <c r="F111">
        <v>44</v>
      </c>
      <c r="G111" t="s">
        <v>429</v>
      </c>
      <c r="L111">
        <v>145</v>
      </c>
      <c r="M111" t="s">
        <v>348</v>
      </c>
      <c r="N111" t="s">
        <v>449</v>
      </c>
      <c r="O111">
        <v>5806</v>
      </c>
      <c r="P111">
        <v>33</v>
      </c>
      <c r="Q111">
        <v>44</v>
      </c>
      <c r="R111" t="s">
        <v>429</v>
      </c>
    </row>
    <row r="112" spans="1:18" x14ac:dyDescent="0.25">
      <c r="A112">
        <v>146</v>
      </c>
      <c r="B112" t="s">
        <v>352</v>
      </c>
      <c r="C112" t="s">
        <v>449</v>
      </c>
      <c r="D112">
        <v>6262</v>
      </c>
      <c r="E112">
        <v>53</v>
      </c>
      <c r="F112">
        <v>82</v>
      </c>
      <c r="G112" t="s">
        <v>429</v>
      </c>
      <c r="L112">
        <v>146</v>
      </c>
      <c r="M112" t="s">
        <v>413</v>
      </c>
      <c r="N112" t="s">
        <v>449</v>
      </c>
      <c r="O112">
        <v>5445</v>
      </c>
      <c r="P112">
        <v>33</v>
      </c>
      <c r="Q112">
        <v>82</v>
      </c>
      <c r="R112" t="s">
        <v>429</v>
      </c>
    </row>
    <row r="113" spans="1:20" x14ac:dyDescent="0.25">
      <c r="A113">
        <v>148</v>
      </c>
      <c r="B113" t="s">
        <v>340</v>
      </c>
      <c r="C113" t="s">
        <v>449</v>
      </c>
      <c r="D113">
        <v>6313</v>
      </c>
      <c r="E113">
        <v>51</v>
      </c>
      <c r="F113">
        <v>32</v>
      </c>
      <c r="G113" t="s">
        <v>428</v>
      </c>
      <c r="L113">
        <v>148</v>
      </c>
      <c r="M113" t="s">
        <v>340</v>
      </c>
      <c r="N113" t="s">
        <v>449</v>
      </c>
      <c r="O113">
        <v>5490</v>
      </c>
      <c r="P113">
        <v>31</v>
      </c>
      <c r="Q113">
        <v>32</v>
      </c>
      <c r="R113" t="s">
        <v>428</v>
      </c>
    </row>
    <row r="114" spans="1:20" x14ac:dyDescent="0.25">
      <c r="A114">
        <v>149</v>
      </c>
      <c r="B114" t="s">
        <v>117</v>
      </c>
      <c r="C114" t="s">
        <v>452</v>
      </c>
      <c r="D114">
        <v>3642</v>
      </c>
      <c r="E114">
        <v>61</v>
      </c>
      <c r="F114">
        <v>91</v>
      </c>
      <c r="G114" t="s">
        <v>427</v>
      </c>
      <c r="L114">
        <v>149</v>
      </c>
      <c r="M114" t="s">
        <v>117</v>
      </c>
      <c r="N114" t="s">
        <v>452</v>
      </c>
      <c r="O114">
        <v>3035</v>
      </c>
      <c r="P114">
        <v>28</v>
      </c>
      <c r="Q114">
        <v>91</v>
      </c>
      <c r="R114" t="s">
        <v>427</v>
      </c>
    </row>
    <row r="115" spans="1:20" x14ac:dyDescent="0.25">
      <c r="A115">
        <v>150</v>
      </c>
      <c r="B115" s="3" t="s">
        <v>118</v>
      </c>
      <c r="C115" t="s">
        <v>452</v>
      </c>
      <c r="D115">
        <v>3642</v>
      </c>
      <c r="E115">
        <v>61</v>
      </c>
      <c r="F115">
        <v>19</v>
      </c>
      <c r="G115" t="s">
        <v>427</v>
      </c>
      <c r="L115">
        <v>150</v>
      </c>
      <c r="M115" t="s">
        <v>118</v>
      </c>
      <c r="N115" t="s">
        <v>452</v>
      </c>
      <c r="O115">
        <v>3035</v>
      </c>
      <c r="P115">
        <v>28</v>
      </c>
      <c r="Q115">
        <v>19</v>
      </c>
      <c r="R115" t="s">
        <v>427</v>
      </c>
    </row>
    <row r="116" spans="1:20" x14ac:dyDescent="0.25">
      <c r="A116">
        <v>151</v>
      </c>
      <c r="B116" s="3" t="s">
        <v>119</v>
      </c>
      <c r="C116" t="s">
        <v>420</v>
      </c>
      <c r="D116">
        <v>1798</v>
      </c>
      <c r="E116">
        <v>191</v>
      </c>
      <c r="F116">
        <v>34</v>
      </c>
      <c r="G116" t="s">
        <v>427</v>
      </c>
      <c r="I116">
        <v>0.3</v>
      </c>
      <c r="L116">
        <v>151</v>
      </c>
      <c r="M116" t="s">
        <v>119</v>
      </c>
      <c r="N116" t="s">
        <v>420</v>
      </c>
      <c r="O116">
        <v>1498</v>
      </c>
      <c r="P116">
        <v>185</v>
      </c>
      <c r="Q116">
        <v>34</v>
      </c>
      <c r="R116" t="s">
        <v>427</v>
      </c>
      <c r="T116">
        <v>0.3</v>
      </c>
    </row>
    <row r="117" spans="1:20" x14ac:dyDescent="0.25">
      <c r="A117">
        <v>155</v>
      </c>
      <c r="B117" t="s">
        <v>120</v>
      </c>
      <c r="C117" t="s">
        <v>420</v>
      </c>
      <c r="D117">
        <v>1798</v>
      </c>
      <c r="E117">
        <v>194</v>
      </c>
      <c r="F117">
        <v>36</v>
      </c>
      <c r="G117" t="s">
        <v>427</v>
      </c>
      <c r="L117">
        <v>155</v>
      </c>
      <c r="M117" t="s">
        <v>120</v>
      </c>
      <c r="N117" t="s">
        <v>420</v>
      </c>
      <c r="O117">
        <v>1498</v>
      </c>
      <c r="P117">
        <v>188</v>
      </c>
      <c r="Q117">
        <v>36</v>
      </c>
      <c r="R117" t="s">
        <v>427</v>
      </c>
    </row>
    <row r="118" spans="1:20" x14ac:dyDescent="0.25">
      <c r="A118">
        <v>159</v>
      </c>
      <c r="B118" s="3" t="s">
        <v>122</v>
      </c>
      <c r="C118" t="s">
        <v>420</v>
      </c>
      <c r="D118">
        <v>1747</v>
      </c>
      <c r="E118">
        <v>194</v>
      </c>
      <c r="F118">
        <v>45</v>
      </c>
      <c r="G118" t="s">
        <v>427</v>
      </c>
      <c r="L118">
        <v>159</v>
      </c>
      <c r="M118" t="s">
        <v>122</v>
      </c>
      <c r="N118" t="s">
        <v>420</v>
      </c>
      <c r="O118">
        <v>1456</v>
      </c>
      <c r="P118">
        <v>188</v>
      </c>
      <c r="Q118">
        <v>45</v>
      </c>
      <c r="R118" t="s">
        <v>427</v>
      </c>
    </row>
    <row r="119" spans="1:20" x14ac:dyDescent="0.25">
      <c r="A119">
        <v>161</v>
      </c>
      <c r="B119" s="3" t="s">
        <v>123</v>
      </c>
      <c r="C119" t="s">
        <v>420</v>
      </c>
      <c r="D119">
        <v>1747</v>
      </c>
      <c r="E119">
        <v>194</v>
      </c>
      <c r="F119">
        <v>52</v>
      </c>
      <c r="G119" t="s">
        <v>427</v>
      </c>
      <c r="L119">
        <v>161</v>
      </c>
      <c r="M119" t="s">
        <v>123</v>
      </c>
      <c r="N119" t="s">
        <v>420</v>
      </c>
      <c r="O119">
        <v>1456</v>
      </c>
      <c r="P119">
        <v>188</v>
      </c>
      <c r="Q119">
        <v>52</v>
      </c>
      <c r="R119" t="s">
        <v>427</v>
      </c>
    </row>
    <row r="120" spans="1:20" x14ac:dyDescent="0.25">
      <c r="A120">
        <v>162</v>
      </c>
      <c r="B120" s="3" t="s">
        <v>124</v>
      </c>
      <c r="C120" t="s">
        <v>420</v>
      </c>
      <c r="D120">
        <v>1747</v>
      </c>
      <c r="E120">
        <v>194</v>
      </c>
      <c r="F120">
        <v>57</v>
      </c>
      <c r="G120" t="s">
        <v>427</v>
      </c>
      <c r="L120">
        <v>162</v>
      </c>
      <c r="M120" t="s">
        <v>124</v>
      </c>
      <c r="N120" t="s">
        <v>420</v>
      </c>
      <c r="O120">
        <v>1456</v>
      </c>
      <c r="P120">
        <v>188</v>
      </c>
      <c r="Q120">
        <v>57</v>
      </c>
      <c r="R120" t="s">
        <v>427</v>
      </c>
    </row>
    <row r="121" spans="1:20" x14ac:dyDescent="0.25">
      <c r="A121">
        <v>163</v>
      </c>
      <c r="B121" s="3" t="s">
        <v>125</v>
      </c>
      <c r="C121" t="s">
        <v>420</v>
      </c>
      <c r="D121">
        <v>1712</v>
      </c>
      <c r="E121">
        <v>190</v>
      </c>
      <c r="F121">
        <v>41</v>
      </c>
      <c r="G121" t="s">
        <v>427</v>
      </c>
      <c r="L121">
        <v>163</v>
      </c>
      <c r="M121" t="s">
        <v>125</v>
      </c>
      <c r="N121" t="s">
        <v>420</v>
      </c>
      <c r="O121">
        <v>1427</v>
      </c>
      <c r="P121">
        <v>184</v>
      </c>
      <c r="Q121">
        <v>41</v>
      </c>
      <c r="R121" t="s">
        <v>427</v>
      </c>
    </row>
    <row r="122" spans="1:20" x14ac:dyDescent="0.25">
      <c r="A122">
        <v>164</v>
      </c>
      <c r="B122" s="3" t="s">
        <v>126</v>
      </c>
      <c r="C122" t="s">
        <v>420</v>
      </c>
      <c r="D122">
        <v>1828</v>
      </c>
      <c r="E122">
        <v>190</v>
      </c>
      <c r="F122">
        <v>32</v>
      </c>
      <c r="G122" t="s">
        <v>427</v>
      </c>
      <c r="L122">
        <v>164</v>
      </c>
      <c r="M122" t="s">
        <v>126</v>
      </c>
      <c r="N122" t="s">
        <v>420</v>
      </c>
      <c r="O122">
        <v>1524</v>
      </c>
      <c r="P122">
        <v>184</v>
      </c>
      <c r="Q122">
        <v>32</v>
      </c>
      <c r="R122" t="s">
        <v>427</v>
      </c>
    </row>
    <row r="123" spans="1:20" x14ac:dyDescent="0.25">
      <c r="A123">
        <v>165</v>
      </c>
      <c r="B123" s="3" t="s">
        <v>127</v>
      </c>
      <c r="C123" t="s">
        <v>420</v>
      </c>
      <c r="D123">
        <v>1763</v>
      </c>
      <c r="E123">
        <v>190</v>
      </c>
      <c r="F123">
        <v>84</v>
      </c>
      <c r="G123" t="s">
        <v>427</v>
      </c>
      <c r="L123">
        <v>165</v>
      </c>
      <c r="M123" t="s">
        <v>127</v>
      </c>
      <c r="N123" t="s">
        <v>420</v>
      </c>
      <c r="O123">
        <v>1469</v>
      </c>
      <c r="P123">
        <v>184</v>
      </c>
      <c r="Q123">
        <v>84</v>
      </c>
      <c r="R123" t="s">
        <v>427</v>
      </c>
    </row>
    <row r="124" spans="1:20" x14ac:dyDescent="0.25">
      <c r="A124">
        <v>166</v>
      </c>
      <c r="B124" t="s">
        <v>128</v>
      </c>
      <c r="C124" t="s">
        <v>420</v>
      </c>
      <c r="D124">
        <v>2226</v>
      </c>
      <c r="E124">
        <v>192</v>
      </c>
      <c r="F124">
        <v>98</v>
      </c>
      <c r="G124" t="s">
        <v>427</v>
      </c>
      <c r="L124">
        <v>166</v>
      </c>
      <c r="M124" t="s">
        <v>128</v>
      </c>
      <c r="N124" t="s">
        <v>420</v>
      </c>
      <c r="O124">
        <v>1855</v>
      </c>
      <c r="P124">
        <v>186</v>
      </c>
      <c r="Q124">
        <v>98</v>
      </c>
      <c r="R124" t="s">
        <v>427</v>
      </c>
    </row>
    <row r="125" spans="1:20" x14ac:dyDescent="0.25">
      <c r="A125">
        <v>167</v>
      </c>
      <c r="B125" s="3" t="s">
        <v>129</v>
      </c>
      <c r="C125" t="s">
        <v>420</v>
      </c>
      <c r="D125">
        <v>1885</v>
      </c>
      <c r="E125">
        <v>192</v>
      </c>
      <c r="F125">
        <v>25</v>
      </c>
      <c r="G125" t="s">
        <v>427</v>
      </c>
      <c r="L125">
        <v>167</v>
      </c>
      <c r="M125" t="s">
        <v>129</v>
      </c>
      <c r="N125" t="s">
        <v>420</v>
      </c>
      <c r="O125">
        <v>1571</v>
      </c>
      <c r="P125">
        <v>186</v>
      </c>
      <c r="Q125">
        <v>25</v>
      </c>
      <c r="R125" t="s">
        <v>427</v>
      </c>
    </row>
    <row r="126" spans="1:20" x14ac:dyDescent="0.25">
      <c r="A126">
        <v>168</v>
      </c>
      <c r="B126" t="s">
        <v>131</v>
      </c>
      <c r="C126" t="s">
        <v>420</v>
      </c>
      <c r="D126">
        <v>1848</v>
      </c>
      <c r="E126">
        <v>192</v>
      </c>
      <c r="F126">
        <v>25</v>
      </c>
      <c r="G126" t="s">
        <v>427</v>
      </c>
      <c r="L126">
        <v>168</v>
      </c>
      <c r="M126" t="s">
        <v>131</v>
      </c>
      <c r="N126" t="s">
        <v>420</v>
      </c>
      <c r="O126">
        <v>1540</v>
      </c>
      <c r="P126">
        <v>186</v>
      </c>
      <c r="Q126">
        <v>25</v>
      </c>
      <c r="R126" t="s">
        <v>427</v>
      </c>
    </row>
    <row r="127" spans="1:20" x14ac:dyDescent="0.25">
      <c r="A127">
        <v>170</v>
      </c>
      <c r="B127" s="3" t="s">
        <v>133</v>
      </c>
      <c r="C127" t="s">
        <v>420</v>
      </c>
      <c r="D127">
        <v>2145</v>
      </c>
      <c r="E127">
        <v>191</v>
      </c>
      <c r="F127">
        <v>72</v>
      </c>
      <c r="G127" t="s">
        <v>427</v>
      </c>
      <c r="L127">
        <v>170</v>
      </c>
      <c r="M127" t="s">
        <v>133</v>
      </c>
      <c r="N127" t="s">
        <v>420</v>
      </c>
      <c r="O127">
        <v>1787</v>
      </c>
      <c r="P127">
        <v>185</v>
      </c>
      <c r="Q127">
        <v>72</v>
      </c>
      <c r="R127" t="s">
        <v>427</v>
      </c>
    </row>
    <row r="128" spans="1:20" x14ac:dyDescent="0.25">
      <c r="A128">
        <v>171</v>
      </c>
      <c r="B128" s="3" t="s">
        <v>134</v>
      </c>
      <c r="C128" t="s">
        <v>420</v>
      </c>
      <c r="D128">
        <v>1773</v>
      </c>
      <c r="E128">
        <v>192</v>
      </c>
      <c r="F128">
        <v>45</v>
      </c>
      <c r="G128" t="s">
        <v>427</v>
      </c>
      <c r="L128">
        <v>171</v>
      </c>
      <c r="M128" t="s">
        <v>134</v>
      </c>
      <c r="N128" t="s">
        <v>420</v>
      </c>
      <c r="O128">
        <v>1477</v>
      </c>
      <c r="P128">
        <v>186</v>
      </c>
      <c r="Q128">
        <v>45</v>
      </c>
      <c r="R128" t="s">
        <v>427</v>
      </c>
    </row>
    <row r="129" spans="1:18" x14ac:dyDescent="0.25">
      <c r="A129">
        <v>173</v>
      </c>
      <c r="B129" s="3" t="s">
        <v>135</v>
      </c>
      <c r="C129" t="s">
        <v>420</v>
      </c>
      <c r="D129">
        <v>1770</v>
      </c>
      <c r="E129">
        <v>192</v>
      </c>
      <c r="F129">
        <v>36</v>
      </c>
      <c r="G129" t="s">
        <v>427</v>
      </c>
      <c r="L129">
        <v>173</v>
      </c>
      <c r="M129" t="s">
        <v>135</v>
      </c>
      <c r="N129" t="s">
        <v>420</v>
      </c>
      <c r="O129">
        <v>1477</v>
      </c>
      <c r="P129">
        <v>186</v>
      </c>
      <c r="Q129">
        <v>36</v>
      </c>
      <c r="R129" t="s">
        <v>427</v>
      </c>
    </row>
    <row r="130" spans="1:18" x14ac:dyDescent="0.25">
      <c r="A130">
        <v>174</v>
      </c>
      <c r="B130" s="3" t="s">
        <v>136</v>
      </c>
      <c r="C130" t="s">
        <v>420</v>
      </c>
      <c r="D130">
        <v>1773</v>
      </c>
      <c r="E130">
        <v>192</v>
      </c>
      <c r="F130">
        <v>51</v>
      </c>
      <c r="G130" t="s">
        <v>427</v>
      </c>
      <c r="L130">
        <v>174</v>
      </c>
      <c r="M130" t="s">
        <v>136</v>
      </c>
      <c r="N130" t="s">
        <v>420</v>
      </c>
      <c r="O130">
        <v>1477</v>
      </c>
      <c r="P130">
        <v>186</v>
      </c>
      <c r="Q130">
        <v>51</v>
      </c>
      <c r="R130" t="s">
        <v>427</v>
      </c>
    </row>
    <row r="131" spans="1:18" x14ac:dyDescent="0.25">
      <c r="A131">
        <v>175</v>
      </c>
      <c r="B131" t="s">
        <v>137</v>
      </c>
      <c r="C131" t="s">
        <v>420</v>
      </c>
      <c r="D131">
        <v>1773</v>
      </c>
      <c r="E131">
        <v>192</v>
      </c>
      <c r="F131">
        <v>34</v>
      </c>
      <c r="G131" t="s">
        <v>427</v>
      </c>
      <c r="L131">
        <v>175</v>
      </c>
      <c r="M131" t="s">
        <v>137</v>
      </c>
      <c r="N131" t="s">
        <v>420</v>
      </c>
      <c r="O131">
        <v>1477</v>
      </c>
      <c r="P131">
        <v>186</v>
      </c>
      <c r="Q131">
        <v>34</v>
      </c>
      <c r="R131" t="s">
        <v>427</v>
      </c>
    </row>
    <row r="132" spans="1:18" x14ac:dyDescent="0.25">
      <c r="A132">
        <v>176</v>
      </c>
      <c r="B132" s="3" t="s">
        <v>138</v>
      </c>
      <c r="C132" t="s">
        <v>420</v>
      </c>
      <c r="D132">
        <v>1619</v>
      </c>
      <c r="E132">
        <v>193</v>
      </c>
      <c r="F132">
        <v>32</v>
      </c>
      <c r="G132" t="s">
        <v>427</v>
      </c>
      <c r="L132">
        <v>176</v>
      </c>
      <c r="M132" t="s">
        <v>138</v>
      </c>
      <c r="N132" t="s">
        <v>420</v>
      </c>
      <c r="O132">
        <v>1350</v>
      </c>
      <c r="P132">
        <v>187</v>
      </c>
      <c r="Q132">
        <v>32</v>
      </c>
      <c r="R132" t="s">
        <v>427</v>
      </c>
    </row>
    <row r="133" spans="1:18" x14ac:dyDescent="0.25">
      <c r="A133">
        <v>177</v>
      </c>
      <c r="B133" s="3" t="s">
        <v>285</v>
      </c>
      <c r="C133" t="s">
        <v>420</v>
      </c>
      <c r="D133">
        <v>2083</v>
      </c>
      <c r="E133">
        <v>191</v>
      </c>
      <c r="F133">
        <v>34</v>
      </c>
      <c r="G133" t="s">
        <v>427</v>
      </c>
      <c r="L133">
        <v>177</v>
      </c>
      <c r="M133" t="s">
        <v>285</v>
      </c>
      <c r="N133" t="s">
        <v>420</v>
      </c>
      <c r="O133">
        <v>1736</v>
      </c>
      <c r="P133">
        <v>185</v>
      </c>
      <c r="Q133">
        <v>34</v>
      </c>
      <c r="R133" t="s">
        <v>427</v>
      </c>
    </row>
    <row r="134" spans="1:18" x14ac:dyDescent="0.25">
      <c r="A134">
        <v>178</v>
      </c>
      <c r="B134" t="s">
        <v>139</v>
      </c>
      <c r="C134" t="s">
        <v>420</v>
      </c>
      <c r="D134">
        <v>2083</v>
      </c>
      <c r="E134">
        <v>191</v>
      </c>
      <c r="F134">
        <v>34</v>
      </c>
      <c r="G134" t="s">
        <v>427</v>
      </c>
      <c r="L134">
        <v>178</v>
      </c>
      <c r="M134" t="s">
        <v>139</v>
      </c>
      <c r="N134" t="s">
        <v>420</v>
      </c>
      <c r="O134">
        <v>1736</v>
      </c>
      <c r="P134">
        <v>185</v>
      </c>
      <c r="Q134">
        <v>34</v>
      </c>
      <c r="R134" t="s">
        <v>427</v>
      </c>
    </row>
    <row r="135" spans="1:18" x14ac:dyDescent="0.25">
      <c r="A135">
        <v>179</v>
      </c>
      <c r="B135" s="3" t="s">
        <v>140</v>
      </c>
      <c r="C135" t="s">
        <v>419</v>
      </c>
      <c r="D135">
        <v>2177</v>
      </c>
      <c r="E135">
        <v>105</v>
      </c>
      <c r="F135">
        <v>53</v>
      </c>
      <c r="G135" t="s">
        <v>427</v>
      </c>
      <c r="L135">
        <v>179</v>
      </c>
      <c r="M135" t="s">
        <v>140</v>
      </c>
      <c r="N135" t="s">
        <v>419</v>
      </c>
      <c r="O135">
        <v>1910</v>
      </c>
      <c r="P135">
        <v>80</v>
      </c>
      <c r="Q135">
        <v>53</v>
      </c>
      <c r="R135" t="s">
        <v>427</v>
      </c>
    </row>
    <row r="136" spans="1:18" x14ac:dyDescent="0.25">
      <c r="A136">
        <v>182</v>
      </c>
      <c r="B136" t="s">
        <v>141</v>
      </c>
      <c r="C136" t="s">
        <v>419</v>
      </c>
      <c r="D136">
        <v>2891</v>
      </c>
      <c r="E136">
        <v>105</v>
      </c>
      <c r="F136">
        <v>36</v>
      </c>
      <c r="G136" t="s">
        <v>427</v>
      </c>
      <c r="L136">
        <v>182</v>
      </c>
      <c r="M136" t="s">
        <v>141</v>
      </c>
      <c r="N136" t="s">
        <v>419</v>
      </c>
      <c r="O136">
        <v>2547</v>
      </c>
      <c r="P136">
        <v>80</v>
      </c>
      <c r="Q136">
        <v>36</v>
      </c>
      <c r="R136" t="s">
        <v>427</v>
      </c>
    </row>
    <row r="137" spans="1:18" x14ac:dyDescent="0.25">
      <c r="A137">
        <v>183</v>
      </c>
      <c r="B137" t="s">
        <v>142</v>
      </c>
      <c r="C137" t="s">
        <v>419</v>
      </c>
      <c r="D137">
        <v>3214</v>
      </c>
      <c r="E137">
        <v>100</v>
      </c>
      <c r="F137">
        <v>33</v>
      </c>
      <c r="G137" t="s">
        <v>427</v>
      </c>
      <c r="L137">
        <v>183</v>
      </c>
      <c r="M137" t="s">
        <v>142</v>
      </c>
      <c r="N137" t="s">
        <v>419</v>
      </c>
      <c r="O137">
        <v>2844</v>
      </c>
      <c r="P137">
        <v>76</v>
      </c>
      <c r="Q137">
        <v>33</v>
      </c>
      <c r="R137" t="s">
        <v>427</v>
      </c>
    </row>
    <row r="138" spans="1:18" x14ac:dyDescent="0.25">
      <c r="A138">
        <v>187</v>
      </c>
      <c r="B138" t="s">
        <v>286</v>
      </c>
      <c r="C138" t="s">
        <v>419</v>
      </c>
      <c r="D138">
        <v>2891</v>
      </c>
      <c r="E138">
        <v>105</v>
      </c>
      <c r="F138">
        <v>43</v>
      </c>
      <c r="G138" t="s">
        <v>427</v>
      </c>
      <c r="L138">
        <v>187</v>
      </c>
      <c r="M138" t="s">
        <v>286</v>
      </c>
      <c r="N138" t="s">
        <v>419</v>
      </c>
      <c r="O138">
        <v>2547</v>
      </c>
      <c r="P138">
        <v>80</v>
      </c>
      <c r="Q138">
        <v>43</v>
      </c>
      <c r="R138" t="s">
        <v>427</v>
      </c>
    </row>
    <row r="139" spans="1:18" x14ac:dyDescent="0.25">
      <c r="A139">
        <v>188</v>
      </c>
      <c r="B139" s="3" t="s">
        <v>143</v>
      </c>
      <c r="C139" t="s">
        <v>419</v>
      </c>
      <c r="D139">
        <v>4015</v>
      </c>
      <c r="E139">
        <v>82</v>
      </c>
      <c r="F139">
        <v>14</v>
      </c>
      <c r="G139" t="s">
        <v>428</v>
      </c>
      <c r="L139">
        <v>188</v>
      </c>
      <c r="M139" t="s">
        <v>143</v>
      </c>
      <c r="N139" t="s">
        <v>419</v>
      </c>
      <c r="O139">
        <v>3547</v>
      </c>
      <c r="P139">
        <v>36</v>
      </c>
      <c r="Q139">
        <v>14</v>
      </c>
      <c r="R139" t="s">
        <v>428</v>
      </c>
    </row>
    <row r="140" spans="1:18" x14ac:dyDescent="0.25">
      <c r="A140">
        <v>189</v>
      </c>
      <c r="B140" s="3" t="s">
        <v>145</v>
      </c>
      <c r="C140" t="s">
        <v>419</v>
      </c>
      <c r="D140">
        <v>4015</v>
      </c>
      <c r="E140">
        <v>82</v>
      </c>
      <c r="F140">
        <v>13</v>
      </c>
      <c r="G140" t="s">
        <v>428</v>
      </c>
      <c r="L140">
        <v>189</v>
      </c>
      <c r="M140" t="s">
        <v>145</v>
      </c>
      <c r="N140" t="s">
        <v>419</v>
      </c>
      <c r="O140">
        <v>3547</v>
      </c>
      <c r="P140">
        <v>36</v>
      </c>
      <c r="Q140">
        <v>13</v>
      </c>
      <c r="R140" t="s">
        <v>428</v>
      </c>
    </row>
    <row r="141" spans="1:18" x14ac:dyDescent="0.25">
      <c r="A141">
        <v>190</v>
      </c>
      <c r="B141" s="3" t="s">
        <v>146</v>
      </c>
      <c r="C141" t="s">
        <v>432</v>
      </c>
      <c r="D141">
        <v>3439</v>
      </c>
      <c r="E141">
        <v>75</v>
      </c>
      <c r="F141">
        <v>34</v>
      </c>
      <c r="G141" t="s">
        <v>428</v>
      </c>
      <c r="L141">
        <v>190</v>
      </c>
      <c r="M141" t="s">
        <v>146</v>
      </c>
      <c r="N141" t="s">
        <v>432</v>
      </c>
      <c r="O141">
        <v>3043</v>
      </c>
      <c r="P141">
        <v>33</v>
      </c>
      <c r="Q141">
        <v>34</v>
      </c>
      <c r="R141" t="s">
        <v>428</v>
      </c>
    </row>
    <row r="142" spans="1:18" x14ac:dyDescent="0.25">
      <c r="A142">
        <v>191</v>
      </c>
      <c r="B142" t="s">
        <v>148</v>
      </c>
      <c r="C142" t="s">
        <v>432</v>
      </c>
      <c r="D142">
        <v>3439</v>
      </c>
      <c r="E142">
        <v>75</v>
      </c>
      <c r="F142">
        <v>34</v>
      </c>
      <c r="G142" t="s">
        <v>428</v>
      </c>
      <c r="L142">
        <v>191</v>
      </c>
      <c r="M142" t="s">
        <v>148</v>
      </c>
      <c r="N142" t="s">
        <v>432</v>
      </c>
      <c r="O142">
        <v>3043</v>
      </c>
      <c r="P142">
        <v>33</v>
      </c>
      <c r="Q142">
        <v>34</v>
      </c>
      <c r="R142" t="s">
        <v>428</v>
      </c>
    </row>
    <row r="143" spans="1:18" x14ac:dyDescent="0.25">
      <c r="A143">
        <v>192</v>
      </c>
      <c r="B143" s="3" t="s">
        <v>150</v>
      </c>
      <c r="C143" t="s">
        <v>432</v>
      </c>
      <c r="D143">
        <v>3527</v>
      </c>
      <c r="E143">
        <v>76</v>
      </c>
      <c r="F143">
        <v>52</v>
      </c>
      <c r="G143" t="s">
        <v>428</v>
      </c>
      <c r="L143">
        <v>192</v>
      </c>
      <c r="M143" t="s">
        <v>150</v>
      </c>
      <c r="N143" t="s">
        <v>432</v>
      </c>
      <c r="O143">
        <v>3108</v>
      </c>
      <c r="P143">
        <v>34</v>
      </c>
      <c r="Q143">
        <v>52</v>
      </c>
      <c r="R143" t="s">
        <v>428</v>
      </c>
    </row>
    <row r="144" spans="1:18" x14ac:dyDescent="0.25">
      <c r="A144">
        <v>193</v>
      </c>
      <c r="B144" t="s">
        <v>151</v>
      </c>
      <c r="C144" t="s">
        <v>432</v>
      </c>
      <c r="D144">
        <v>3527</v>
      </c>
      <c r="E144">
        <v>76</v>
      </c>
      <c r="F144">
        <v>65</v>
      </c>
      <c r="G144" t="s">
        <v>428</v>
      </c>
      <c r="L144">
        <v>193</v>
      </c>
      <c r="M144" t="s">
        <v>151</v>
      </c>
      <c r="N144" t="s">
        <v>432</v>
      </c>
      <c r="O144">
        <v>3108</v>
      </c>
      <c r="P144">
        <v>34</v>
      </c>
      <c r="Q144">
        <v>65</v>
      </c>
      <c r="R144" t="s">
        <v>428</v>
      </c>
    </row>
    <row r="145" spans="1:18" x14ac:dyDescent="0.25">
      <c r="A145">
        <v>196</v>
      </c>
      <c r="B145" s="3" t="s">
        <v>152</v>
      </c>
      <c r="C145" t="s">
        <v>432</v>
      </c>
      <c r="D145">
        <v>5220</v>
      </c>
      <c r="E145">
        <v>78</v>
      </c>
      <c r="F145">
        <v>62</v>
      </c>
      <c r="G145" t="s">
        <v>428</v>
      </c>
      <c r="L145">
        <v>196</v>
      </c>
      <c r="M145" t="s">
        <v>152</v>
      </c>
      <c r="N145" t="s">
        <v>432</v>
      </c>
      <c r="O145">
        <v>4746</v>
      </c>
      <c r="P145">
        <v>36</v>
      </c>
      <c r="Q145">
        <v>62</v>
      </c>
      <c r="R145" t="s">
        <v>428</v>
      </c>
    </row>
    <row r="146" spans="1:18" x14ac:dyDescent="0.25">
      <c r="A146">
        <v>197</v>
      </c>
      <c r="B146" t="s">
        <v>153</v>
      </c>
      <c r="C146" t="s">
        <v>432</v>
      </c>
      <c r="D146">
        <v>5220</v>
      </c>
      <c r="E146">
        <v>78</v>
      </c>
      <c r="F146">
        <v>58</v>
      </c>
      <c r="G146" t="s">
        <v>428</v>
      </c>
      <c r="L146">
        <v>197</v>
      </c>
      <c r="M146" t="s">
        <v>153</v>
      </c>
      <c r="N146" t="s">
        <v>432</v>
      </c>
      <c r="O146">
        <v>4746</v>
      </c>
      <c r="P146">
        <v>36</v>
      </c>
      <c r="Q146">
        <v>58</v>
      </c>
      <c r="R146" t="s">
        <v>428</v>
      </c>
    </row>
    <row r="147" spans="1:18" x14ac:dyDescent="0.25">
      <c r="A147">
        <v>198</v>
      </c>
      <c r="B147" t="s">
        <v>154</v>
      </c>
      <c r="C147" t="s">
        <v>432</v>
      </c>
      <c r="D147">
        <v>4162</v>
      </c>
      <c r="E147">
        <v>75</v>
      </c>
      <c r="F147">
        <v>60</v>
      </c>
      <c r="G147" t="s">
        <v>428</v>
      </c>
      <c r="L147">
        <v>198</v>
      </c>
      <c r="M147" t="s">
        <v>154</v>
      </c>
      <c r="N147" t="s">
        <v>432</v>
      </c>
      <c r="O147">
        <v>3783</v>
      </c>
      <c r="P147">
        <v>33</v>
      </c>
      <c r="Q147">
        <v>60</v>
      </c>
      <c r="R147" t="s">
        <v>428</v>
      </c>
    </row>
    <row r="148" spans="1:18" x14ac:dyDescent="0.25">
      <c r="A148">
        <v>200</v>
      </c>
      <c r="B148" t="s">
        <v>155</v>
      </c>
      <c r="C148" t="s">
        <v>432</v>
      </c>
      <c r="D148">
        <v>4295</v>
      </c>
      <c r="E148">
        <v>79</v>
      </c>
      <c r="F148">
        <v>65</v>
      </c>
      <c r="G148" t="s">
        <v>428</v>
      </c>
      <c r="L148">
        <v>200</v>
      </c>
      <c r="M148" t="s">
        <v>155</v>
      </c>
      <c r="N148" t="s">
        <v>432</v>
      </c>
      <c r="O148">
        <v>3818</v>
      </c>
      <c r="P148">
        <v>33</v>
      </c>
      <c r="Q148">
        <v>65</v>
      </c>
      <c r="R148" t="s">
        <v>428</v>
      </c>
    </row>
    <row r="149" spans="1:18" x14ac:dyDescent="0.25">
      <c r="A149">
        <v>201</v>
      </c>
      <c r="B149" t="s">
        <v>156</v>
      </c>
      <c r="C149" t="s">
        <v>432</v>
      </c>
      <c r="D149">
        <v>4295</v>
      </c>
      <c r="E149">
        <v>79</v>
      </c>
      <c r="F149">
        <v>48</v>
      </c>
      <c r="G149" t="s">
        <v>428</v>
      </c>
      <c r="L149">
        <v>201</v>
      </c>
      <c r="M149" t="s">
        <v>156</v>
      </c>
      <c r="N149" t="s">
        <v>432</v>
      </c>
      <c r="O149">
        <v>3818</v>
      </c>
      <c r="P149">
        <v>33</v>
      </c>
      <c r="Q149">
        <v>48</v>
      </c>
      <c r="R149" t="s">
        <v>428</v>
      </c>
    </row>
    <row r="150" spans="1:18" x14ac:dyDescent="0.25">
      <c r="A150">
        <v>202</v>
      </c>
      <c r="B150" t="s">
        <v>157</v>
      </c>
      <c r="C150" t="s">
        <v>432</v>
      </c>
      <c r="D150">
        <v>4295</v>
      </c>
      <c r="E150">
        <v>79</v>
      </c>
      <c r="F150">
        <v>48</v>
      </c>
      <c r="G150" t="s">
        <v>428</v>
      </c>
      <c r="L150">
        <v>202</v>
      </c>
      <c r="M150" t="s">
        <v>157</v>
      </c>
      <c r="N150" t="s">
        <v>432</v>
      </c>
      <c r="O150">
        <v>3818</v>
      </c>
      <c r="P150">
        <v>33</v>
      </c>
      <c r="Q150">
        <v>48</v>
      </c>
      <c r="R150" t="s">
        <v>428</v>
      </c>
    </row>
    <row r="151" spans="1:18" x14ac:dyDescent="0.25">
      <c r="A151">
        <v>203</v>
      </c>
      <c r="B151" s="3" t="s">
        <v>158</v>
      </c>
      <c r="C151" t="s">
        <v>432</v>
      </c>
      <c r="D151">
        <v>4295</v>
      </c>
      <c r="E151">
        <v>79</v>
      </c>
      <c r="F151">
        <v>50</v>
      </c>
      <c r="G151" t="s">
        <v>428</v>
      </c>
      <c r="L151">
        <v>203</v>
      </c>
      <c r="M151" t="s">
        <v>158</v>
      </c>
      <c r="N151" t="s">
        <v>432</v>
      </c>
      <c r="O151">
        <v>3818</v>
      </c>
      <c r="P151">
        <v>33</v>
      </c>
      <c r="Q151">
        <v>50</v>
      </c>
      <c r="R151" t="s">
        <v>428</v>
      </c>
    </row>
    <row r="152" spans="1:18" x14ac:dyDescent="0.25">
      <c r="A152">
        <v>204</v>
      </c>
      <c r="B152" s="3" t="s">
        <v>357</v>
      </c>
      <c r="C152" t="s">
        <v>451</v>
      </c>
      <c r="D152">
        <v>6604</v>
      </c>
      <c r="E152">
        <v>37</v>
      </c>
      <c r="F152">
        <v>43</v>
      </c>
      <c r="G152" t="s">
        <v>428</v>
      </c>
      <c r="L152">
        <v>204</v>
      </c>
      <c r="M152" t="s">
        <v>357</v>
      </c>
      <c r="N152" t="s">
        <v>451</v>
      </c>
      <c r="O152">
        <v>5620</v>
      </c>
      <c r="P152">
        <v>20</v>
      </c>
      <c r="Q152">
        <v>43</v>
      </c>
      <c r="R152" t="s">
        <v>428</v>
      </c>
    </row>
    <row r="153" spans="1:18" x14ac:dyDescent="0.25">
      <c r="A153">
        <v>205</v>
      </c>
      <c r="B153" t="s">
        <v>287</v>
      </c>
      <c r="C153" t="s">
        <v>451</v>
      </c>
      <c r="D153">
        <v>6604</v>
      </c>
      <c r="E153">
        <v>37</v>
      </c>
      <c r="F153">
        <v>37</v>
      </c>
      <c r="G153" t="s">
        <v>428</v>
      </c>
      <c r="L153">
        <v>205</v>
      </c>
      <c r="M153" t="s">
        <v>287</v>
      </c>
      <c r="N153" t="s">
        <v>451</v>
      </c>
      <c r="O153">
        <v>5620</v>
      </c>
      <c r="P153">
        <v>20</v>
      </c>
      <c r="Q153">
        <v>37</v>
      </c>
      <c r="R153" t="s">
        <v>428</v>
      </c>
    </row>
    <row r="154" spans="1:18" x14ac:dyDescent="0.25">
      <c r="A154">
        <v>206</v>
      </c>
      <c r="B154" t="s">
        <v>288</v>
      </c>
      <c r="C154" t="s">
        <v>451</v>
      </c>
      <c r="D154">
        <v>6604</v>
      </c>
      <c r="E154">
        <v>37</v>
      </c>
      <c r="F154">
        <v>47</v>
      </c>
      <c r="G154" t="s">
        <v>428</v>
      </c>
      <c r="L154">
        <v>206</v>
      </c>
      <c r="M154" t="s">
        <v>288</v>
      </c>
      <c r="N154" t="s">
        <v>451</v>
      </c>
      <c r="O154">
        <v>5620</v>
      </c>
      <c r="P154">
        <v>20</v>
      </c>
      <c r="Q154">
        <v>47</v>
      </c>
      <c r="R154" t="s">
        <v>428</v>
      </c>
    </row>
    <row r="155" spans="1:18" x14ac:dyDescent="0.25">
      <c r="A155">
        <v>207</v>
      </c>
      <c r="B155" t="s">
        <v>289</v>
      </c>
      <c r="C155" t="s">
        <v>451</v>
      </c>
      <c r="D155">
        <v>6604</v>
      </c>
      <c r="E155">
        <v>37</v>
      </c>
      <c r="F155">
        <v>37</v>
      </c>
      <c r="G155" t="s">
        <v>428</v>
      </c>
      <c r="L155">
        <v>207</v>
      </c>
      <c r="M155" t="s">
        <v>289</v>
      </c>
      <c r="N155" t="s">
        <v>451</v>
      </c>
      <c r="O155">
        <v>5620</v>
      </c>
      <c r="P155">
        <v>20</v>
      </c>
      <c r="Q155">
        <v>37</v>
      </c>
      <c r="R155" t="s">
        <v>428</v>
      </c>
    </row>
    <row r="156" spans="1:18" x14ac:dyDescent="0.25">
      <c r="A156">
        <v>208</v>
      </c>
      <c r="B156" s="3" t="s">
        <v>358</v>
      </c>
      <c r="C156" t="s">
        <v>433</v>
      </c>
      <c r="D156">
        <v>6916</v>
      </c>
      <c r="E156">
        <v>31</v>
      </c>
      <c r="F156">
        <v>13</v>
      </c>
      <c r="G156" t="s">
        <v>429</v>
      </c>
      <c r="L156">
        <v>208</v>
      </c>
      <c r="M156" t="s">
        <v>358</v>
      </c>
      <c r="N156" t="s">
        <v>433</v>
      </c>
      <c r="O156">
        <v>5911</v>
      </c>
      <c r="P156">
        <v>13</v>
      </c>
      <c r="Q156">
        <v>13</v>
      </c>
      <c r="R156" t="s">
        <v>429</v>
      </c>
    </row>
    <row r="157" spans="1:18" x14ac:dyDescent="0.25">
      <c r="A157">
        <v>209</v>
      </c>
      <c r="B157" s="3" t="s">
        <v>359</v>
      </c>
      <c r="C157" t="s">
        <v>433</v>
      </c>
      <c r="D157">
        <v>7307</v>
      </c>
      <c r="E157">
        <v>31</v>
      </c>
      <c r="F157">
        <v>14</v>
      </c>
      <c r="G157" t="s">
        <v>429</v>
      </c>
      <c r="L157">
        <v>209</v>
      </c>
      <c r="M157" t="s">
        <v>359</v>
      </c>
      <c r="N157" t="s">
        <v>433</v>
      </c>
      <c r="O157">
        <v>6246</v>
      </c>
      <c r="P157">
        <v>13</v>
      </c>
      <c r="Q157">
        <v>14</v>
      </c>
      <c r="R157" t="s">
        <v>429</v>
      </c>
    </row>
    <row r="158" spans="1:18" x14ac:dyDescent="0.25">
      <c r="A158">
        <v>210</v>
      </c>
      <c r="B158" t="s">
        <v>290</v>
      </c>
      <c r="C158" t="s">
        <v>433</v>
      </c>
      <c r="D158">
        <v>7124</v>
      </c>
      <c r="E158">
        <v>31</v>
      </c>
      <c r="F158">
        <v>60</v>
      </c>
      <c r="G158" t="s">
        <v>429</v>
      </c>
      <c r="L158">
        <v>210</v>
      </c>
      <c r="M158" t="s">
        <v>290</v>
      </c>
      <c r="N158" t="s">
        <v>433</v>
      </c>
      <c r="O158">
        <v>6105</v>
      </c>
      <c r="P158">
        <v>13</v>
      </c>
      <c r="Q158">
        <v>60</v>
      </c>
      <c r="R158" t="s">
        <v>429</v>
      </c>
    </row>
    <row r="159" spans="1:18" x14ac:dyDescent="0.25">
      <c r="A159">
        <v>211</v>
      </c>
      <c r="B159" s="3" t="s">
        <v>360</v>
      </c>
      <c r="C159" t="s">
        <v>433</v>
      </c>
      <c r="D159">
        <v>7124</v>
      </c>
      <c r="E159">
        <v>31</v>
      </c>
      <c r="F159">
        <v>60</v>
      </c>
      <c r="G159" t="s">
        <v>429</v>
      </c>
      <c r="L159">
        <v>211</v>
      </c>
      <c r="M159" t="s">
        <v>360</v>
      </c>
      <c r="N159" t="s">
        <v>433</v>
      </c>
      <c r="O159">
        <v>6105</v>
      </c>
      <c r="P159">
        <v>13</v>
      </c>
      <c r="Q159">
        <v>60</v>
      </c>
      <c r="R159" t="s">
        <v>429</v>
      </c>
    </row>
    <row r="160" spans="1:18" x14ac:dyDescent="0.25">
      <c r="A160">
        <v>212</v>
      </c>
      <c r="B160" t="s">
        <v>291</v>
      </c>
      <c r="C160" t="s">
        <v>433</v>
      </c>
      <c r="D160">
        <v>8117</v>
      </c>
      <c r="E160">
        <v>37</v>
      </c>
      <c r="F160">
        <v>71</v>
      </c>
      <c r="G160" t="s">
        <v>429</v>
      </c>
      <c r="L160">
        <v>212</v>
      </c>
      <c r="M160" t="s">
        <v>291</v>
      </c>
      <c r="N160" t="s">
        <v>433</v>
      </c>
      <c r="O160">
        <v>6955</v>
      </c>
      <c r="P160">
        <v>18</v>
      </c>
      <c r="Q160">
        <v>71</v>
      </c>
      <c r="R160" t="s">
        <v>429</v>
      </c>
    </row>
    <row r="161" spans="1:20" x14ac:dyDescent="0.25">
      <c r="A161">
        <v>213</v>
      </c>
      <c r="B161" t="s">
        <v>292</v>
      </c>
      <c r="C161" t="s">
        <v>433</v>
      </c>
      <c r="D161">
        <v>7896</v>
      </c>
      <c r="E161">
        <v>34</v>
      </c>
      <c r="F161">
        <v>34</v>
      </c>
      <c r="G161" t="s">
        <v>429</v>
      </c>
      <c r="L161">
        <v>213</v>
      </c>
      <c r="M161" t="s">
        <v>292</v>
      </c>
      <c r="N161" t="s">
        <v>433</v>
      </c>
      <c r="O161">
        <v>6766</v>
      </c>
      <c r="P161">
        <v>16</v>
      </c>
      <c r="Q161">
        <v>34</v>
      </c>
      <c r="R161" t="s">
        <v>429</v>
      </c>
    </row>
    <row r="162" spans="1:20" x14ac:dyDescent="0.25">
      <c r="A162">
        <v>218</v>
      </c>
      <c r="B162" s="3" t="s">
        <v>376</v>
      </c>
      <c r="C162" t="s">
        <v>448</v>
      </c>
      <c r="D162">
        <v>5204</v>
      </c>
      <c r="E162">
        <v>68</v>
      </c>
      <c r="F162">
        <v>43</v>
      </c>
      <c r="G162" t="s">
        <v>428</v>
      </c>
      <c r="L162">
        <v>218</v>
      </c>
      <c r="M162" t="s">
        <v>376</v>
      </c>
      <c r="N162" t="s">
        <v>448</v>
      </c>
      <c r="O162">
        <v>4448</v>
      </c>
      <c r="P162">
        <v>49</v>
      </c>
      <c r="Q162">
        <v>43</v>
      </c>
      <c r="R162" t="s">
        <v>428</v>
      </c>
    </row>
    <row r="163" spans="1:20" x14ac:dyDescent="0.25">
      <c r="A163">
        <v>219</v>
      </c>
      <c r="B163" s="3" t="s">
        <v>377</v>
      </c>
      <c r="C163" t="s">
        <v>448</v>
      </c>
      <c r="D163">
        <v>5204</v>
      </c>
      <c r="E163">
        <v>68</v>
      </c>
      <c r="F163">
        <v>80</v>
      </c>
      <c r="G163" t="s">
        <v>428</v>
      </c>
      <c r="L163">
        <v>219</v>
      </c>
      <c r="M163" t="s">
        <v>377</v>
      </c>
      <c r="N163" t="s">
        <v>448</v>
      </c>
      <c r="O163">
        <v>4448</v>
      </c>
      <c r="P163">
        <v>49</v>
      </c>
      <c r="Q163">
        <v>80</v>
      </c>
      <c r="R163" t="s">
        <v>428</v>
      </c>
    </row>
    <row r="164" spans="1:20" x14ac:dyDescent="0.25">
      <c r="A164">
        <v>220</v>
      </c>
      <c r="B164" s="3" t="s">
        <v>378</v>
      </c>
      <c r="C164" t="s">
        <v>448</v>
      </c>
      <c r="D164">
        <v>3621</v>
      </c>
      <c r="E164">
        <v>66</v>
      </c>
      <c r="F164">
        <v>79</v>
      </c>
      <c r="G164" t="s">
        <v>428</v>
      </c>
      <c r="L164">
        <v>220</v>
      </c>
      <c r="M164" t="s">
        <v>378</v>
      </c>
      <c r="N164" t="s">
        <v>448</v>
      </c>
      <c r="O164">
        <v>3095</v>
      </c>
      <c r="P164">
        <v>47</v>
      </c>
      <c r="Q164">
        <v>79</v>
      </c>
      <c r="R164" t="s">
        <v>428</v>
      </c>
    </row>
    <row r="165" spans="1:20" x14ac:dyDescent="0.25">
      <c r="A165">
        <v>222</v>
      </c>
      <c r="B165" s="3" t="s">
        <v>379</v>
      </c>
      <c r="C165" t="s">
        <v>448</v>
      </c>
      <c r="D165">
        <v>4283</v>
      </c>
      <c r="E165">
        <v>70</v>
      </c>
      <c r="F165">
        <v>24</v>
      </c>
      <c r="G165" t="s">
        <v>428</v>
      </c>
      <c r="L165">
        <v>222</v>
      </c>
      <c r="M165" t="s">
        <v>379</v>
      </c>
      <c r="N165" t="s">
        <v>448</v>
      </c>
      <c r="O165">
        <v>3692</v>
      </c>
      <c r="P165">
        <v>50</v>
      </c>
      <c r="Q165">
        <v>24</v>
      </c>
      <c r="R165" t="s">
        <v>428</v>
      </c>
    </row>
    <row r="166" spans="1:20" x14ac:dyDescent="0.25">
      <c r="A166">
        <v>223</v>
      </c>
      <c r="B166" s="3" t="s">
        <v>380</v>
      </c>
      <c r="C166" t="s">
        <v>448</v>
      </c>
      <c r="D166">
        <v>4278</v>
      </c>
      <c r="E166">
        <v>82</v>
      </c>
      <c r="F166">
        <v>42</v>
      </c>
      <c r="G166" t="s">
        <v>428</v>
      </c>
      <c r="L166">
        <v>223</v>
      </c>
      <c r="M166" t="s">
        <v>380</v>
      </c>
      <c r="N166" t="s">
        <v>448</v>
      </c>
      <c r="O166">
        <v>3657</v>
      </c>
      <c r="P166">
        <v>61</v>
      </c>
      <c r="Q166">
        <v>42</v>
      </c>
      <c r="R166" t="s">
        <v>428</v>
      </c>
    </row>
    <row r="167" spans="1:20" x14ac:dyDescent="0.25">
      <c r="A167">
        <v>224</v>
      </c>
      <c r="B167" t="s">
        <v>351</v>
      </c>
      <c r="C167" t="s">
        <v>449</v>
      </c>
      <c r="D167">
        <v>6588</v>
      </c>
      <c r="E167">
        <v>54</v>
      </c>
      <c r="F167">
        <v>42</v>
      </c>
      <c r="G167" t="s">
        <v>428</v>
      </c>
      <c r="L167">
        <v>224</v>
      </c>
      <c r="M167" t="s">
        <v>351</v>
      </c>
      <c r="N167" t="s">
        <v>449</v>
      </c>
      <c r="O167">
        <v>5830</v>
      </c>
      <c r="P167">
        <v>33</v>
      </c>
      <c r="Q167">
        <v>42</v>
      </c>
      <c r="R167" t="s">
        <v>428</v>
      </c>
    </row>
    <row r="168" spans="1:20" x14ac:dyDescent="0.25">
      <c r="A168">
        <v>225</v>
      </c>
      <c r="B168" s="3" t="s">
        <v>381</v>
      </c>
      <c r="C168" t="s">
        <v>449</v>
      </c>
      <c r="D168">
        <v>6771</v>
      </c>
      <c r="E168">
        <v>49</v>
      </c>
      <c r="F168">
        <v>42</v>
      </c>
      <c r="G168" t="s">
        <v>428</v>
      </c>
      <c r="L168">
        <v>225</v>
      </c>
      <c r="M168" t="s">
        <v>381</v>
      </c>
      <c r="N168" t="s">
        <v>449</v>
      </c>
      <c r="O168">
        <v>5992</v>
      </c>
      <c r="P168">
        <v>29</v>
      </c>
      <c r="Q168">
        <v>42</v>
      </c>
      <c r="R168" t="s">
        <v>428</v>
      </c>
    </row>
    <row r="169" spans="1:20" x14ac:dyDescent="0.25">
      <c r="A169">
        <v>226</v>
      </c>
      <c r="B169" s="3" t="s">
        <v>382</v>
      </c>
      <c r="C169" t="s">
        <v>449</v>
      </c>
      <c r="D169">
        <v>5246</v>
      </c>
      <c r="E169">
        <v>56</v>
      </c>
      <c r="F169">
        <v>36</v>
      </c>
      <c r="G169" t="s">
        <v>428</v>
      </c>
      <c r="L169">
        <v>226</v>
      </c>
      <c r="M169" t="s">
        <v>382</v>
      </c>
      <c r="N169" t="s">
        <v>449</v>
      </c>
      <c r="O169">
        <v>4522</v>
      </c>
      <c r="P169">
        <v>36</v>
      </c>
      <c r="Q169">
        <v>36</v>
      </c>
      <c r="R169" t="s">
        <v>428</v>
      </c>
    </row>
    <row r="170" spans="1:20" x14ac:dyDescent="0.25">
      <c r="A170">
        <v>227</v>
      </c>
      <c r="B170" s="3" t="s">
        <v>383</v>
      </c>
      <c r="C170" t="s">
        <v>449</v>
      </c>
      <c r="D170">
        <v>5468</v>
      </c>
      <c r="E170">
        <v>56</v>
      </c>
      <c r="F170">
        <v>36</v>
      </c>
      <c r="G170" t="s">
        <v>428</v>
      </c>
      <c r="L170">
        <v>227</v>
      </c>
      <c r="M170" t="s">
        <v>383</v>
      </c>
      <c r="N170" t="s">
        <v>449</v>
      </c>
      <c r="O170">
        <v>4714</v>
      </c>
      <c r="P170">
        <v>36</v>
      </c>
      <c r="Q170">
        <v>36</v>
      </c>
      <c r="R170" t="s">
        <v>428</v>
      </c>
    </row>
    <row r="171" spans="1:20" x14ac:dyDescent="0.25">
      <c r="A171">
        <v>228</v>
      </c>
      <c r="B171" s="3" t="s">
        <v>384</v>
      </c>
      <c r="C171" t="s">
        <v>449</v>
      </c>
      <c r="D171">
        <v>6729</v>
      </c>
      <c r="E171">
        <v>56</v>
      </c>
      <c r="F171">
        <v>49</v>
      </c>
      <c r="G171" t="s">
        <v>428</v>
      </c>
      <c r="L171">
        <v>228</v>
      </c>
      <c r="M171" t="s">
        <v>384</v>
      </c>
      <c r="N171" t="s">
        <v>449</v>
      </c>
      <c r="O171">
        <v>5954</v>
      </c>
      <c r="P171">
        <v>36</v>
      </c>
      <c r="Q171">
        <v>49</v>
      </c>
      <c r="R171" t="s">
        <v>428</v>
      </c>
    </row>
    <row r="172" spans="1:20" x14ac:dyDescent="0.25">
      <c r="A172">
        <v>229</v>
      </c>
      <c r="B172" t="s">
        <v>353</v>
      </c>
      <c r="C172" t="s">
        <v>449</v>
      </c>
      <c r="D172">
        <v>7193</v>
      </c>
      <c r="E172">
        <v>57</v>
      </c>
      <c r="F172">
        <v>73</v>
      </c>
      <c r="G172" t="s">
        <v>428</v>
      </c>
      <c r="L172">
        <v>229</v>
      </c>
      <c r="M172" t="s">
        <v>353</v>
      </c>
      <c r="N172" t="s">
        <v>449</v>
      </c>
      <c r="O172">
        <v>6365</v>
      </c>
      <c r="P172">
        <v>36</v>
      </c>
      <c r="Q172">
        <v>73</v>
      </c>
      <c r="R172" t="s">
        <v>428</v>
      </c>
    </row>
    <row r="173" spans="1:20" x14ac:dyDescent="0.25">
      <c r="A173">
        <v>230</v>
      </c>
      <c r="B173" s="3" t="s">
        <v>385</v>
      </c>
      <c r="C173" t="s">
        <v>449</v>
      </c>
      <c r="D173">
        <v>7310</v>
      </c>
      <c r="E173">
        <v>54</v>
      </c>
      <c r="F173">
        <v>36</v>
      </c>
      <c r="G173" t="s">
        <v>429</v>
      </c>
      <c r="L173">
        <v>230</v>
      </c>
      <c r="M173" t="s">
        <v>385</v>
      </c>
      <c r="N173" t="s">
        <v>449</v>
      </c>
      <c r="O173">
        <v>6412</v>
      </c>
      <c r="P173">
        <v>34</v>
      </c>
      <c r="Q173">
        <v>36</v>
      </c>
      <c r="R173" t="s">
        <v>429</v>
      </c>
    </row>
    <row r="174" spans="1:20" x14ac:dyDescent="0.25">
      <c r="A174">
        <v>232</v>
      </c>
      <c r="B174" t="s">
        <v>293</v>
      </c>
      <c r="C174" t="s">
        <v>450</v>
      </c>
      <c r="D174">
        <v>4125</v>
      </c>
      <c r="E174">
        <v>45</v>
      </c>
      <c r="F174">
        <v>58</v>
      </c>
      <c r="G174" t="s">
        <v>427</v>
      </c>
      <c r="L174">
        <v>232</v>
      </c>
      <c r="M174" t="s">
        <v>293</v>
      </c>
      <c r="N174" t="s">
        <v>450</v>
      </c>
      <c r="O174">
        <v>3525</v>
      </c>
      <c r="P174">
        <v>20</v>
      </c>
      <c r="Q174">
        <v>58</v>
      </c>
      <c r="R174" t="s">
        <v>427</v>
      </c>
    </row>
    <row r="175" spans="1:20" x14ac:dyDescent="0.25">
      <c r="A175">
        <v>233</v>
      </c>
      <c r="B175" t="s">
        <v>159</v>
      </c>
      <c r="C175" t="s">
        <v>420</v>
      </c>
      <c r="D175">
        <v>2053</v>
      </c>
      <c r="E175">
        <v>148</v>
      </c>
      <c r="F175">
        <v>40</v>
      </c>
      <c r="G175" t="s">
        <v>427</v>
      </c>
      <c r="I175">
        <v>0.4</v>
      </c>
      <c r="L175">
        <v>233</v>
      </c>
      <c r="M175" t="s">
        <v>159</v>
      </c>
      <c r="N175" t="s">
        <v>420</v>
      </c>
      <c r="O175">
        <v>1725</v>
      </c>
      <c r="P175">
        <v>143</v>
      </c>
      <c r="Q175">
        <v>40</v>
      </c>
      <c r="R175" t="s">
        <v>427</v>
      </c>
      <c r="T175">
        <v>0.4</v>
      </c>
    </row>
    <row r="176" spans="1:20" x14ac:dyDescent="0.25">
      <c r="A176">
        <v>236</v>
      </c>
      <c r="B176" t="s">
        <v>160</v>
      </c>
      <c r="C176" t="s">
        <v>420</v>
      </c>
      <c r="D176">
        <v>2125</v>
      </c>
      <c r="E176">
        <v>157</v>
      </c>
      <c r="F176">
        <v>65</v>
      </c>
      <c r="G176" t="s">
        <v>427</v>
      </c>
      <c r="L176">
        <v>236</v>
      </c>
      <c r="M176" t="s">
        <v>160</v>
      </c>
      <c r="N176" t="s">
        <v>420</v>
      </c>
      <c r="O176">
        <v>1786</v>
      </c>
      <c r="P176">
        <v>152</v>
      </c>
      <c r="Q176">
        <v>65</v>
      </c>
      <c r="R176" t="s">
        <v>427</v>
      </c>
    </row>
    <row r="177" spans="1:20" x14ac:dyDescent="0.25">
      <c r="A177">
        <v>237</v>
      </c>
      <c r="B177" t="s">
        <v>162</v>
      </c>
      <c r="C177" t="s">
        <v>420</v>
      </c>
      <c r="D177">
        <v>2116</v>
      </c>
      <c r="E177">
        <v>156</v>
      </c>
      <c r="F177">
        <v>72</v>
      </c>
      <c r="G177" t="s">
        <v>427</v>
      </c>
      <c r="L177">
        <v>237</v>
      </c>
      <c r="M177" t="s">
        <v>162</v>
      </c>
      <c r="N177" t="s">
        <v>420</v>
      </c>
      <c r="O177">
        <v>1778</v>
      </c>
      <c r="P177">
        <v>150</v>
      </c>
      <c r="Q177">
        <v>72</v>
      </c>
      <c r="R177" t="s">
        <v>427</v>
      </c>
    </row>
    <row r="178" spans="1:20" x14ac:dyDescent="0.25">
      <c r="A178">
        <v>238</v>
      </c>
      <c r="B178" t="s">
        <v>294</v>
      </c>
      <c r="C178" t="s">
        <v>419</v>
      </c>
      <c r="D178">
        <v>3372</v>
      </c>
      <c r="E178">
        <v>100</v>
      </c>
      <c r="F178">
        <v>42</v>
      </c>
      <c r="G178" t="s">
        <v>427</v>
      </c>
      <c r="L178">
        <v>238</v>
      </c>
      <c r="M178" t="s">
        <v>163</v>
      </c>
      <c r="N178" t="s">
        <v>419</v>
      </c>
      <c r="O178">
        <v>2989</v>
      </c>
      <c r="P178">
        <v>76</v>
      </c>
      <c r="Q178">
        <v>42</v>
      </c>
      <c r="R178" t="s">
        <v>427</v>
      </c>
    </row>
    <row r="179" spans="1:20" x14ac:dyDescent="0.25">
      <c r="A179">
        <v>239</v>
      </c>
      <c r="B179" t="s">
        <v>164</v>
      </c>
      <c r="C179" t="s">
        <v>419</v>
      </c>
      <c r="D179">
        <v>3372</v>
      </c>
      <c r="E179">
        <v>100</v>
      </c>
      <c r="F179">
        <v>39</v>
      </c>
      <c r="G179" t="s">
        <v>427</v>
      </c>
      <c r="L179">
        <v>239</v>
      </c>
      <c r="M179" t="s">
        <v>164</v>
      </c>
      <c r="N179" t="s">
        <v>419</v>
      </c>
      <c r="O179">
        <v>2989</v>
      </c>
      <c r="P179">
        <v>76</v>
      </c>
      <c r="Q179">
        <v>39</v>
      </c>
      <c r="R179" t="s">
        <v>427</v>
      </c>
    </row>
    <row r="180" spans="1:20" x14ac:dyDescent="0.25">
      <c r="A180">
        <v>240</v>
      </c>
      <c r="B180" s="3" t="s">
        <v>386</v>
      </c>
      <c r="C180" t="s">
        <v>419</v>
      </c>
      <c r="D180">
        <v>3372</v>
      </c>
      <c r="E180">
        <v>100</v>
      </c>
      <c r="F180">
        <v>62</v>
      </c>
      <c r="G180" t="s">
        <v>427</v>
      </c>
      <c r="L180">
        <v>240</v>
      </c>
      <c r="M180" t="s">
        <v>166</v>
      </c>
      <c r="N180" t="s">
        <v>419</v>
      </c>
      <c r="O180">
        <v>2989</v>
      </c>
      <c r="P180">
        <v>76</v>
      </c>
      <c r="Q180">
        <v>62</v>
      </c>
      <c r="R180" t="s">
        <v>427</v>
      </c>
    </row>
    <row r="181" spans="1:20" x14ac:dyDescent="0.25">
      <c r="A181">
        <v>241</v>
      </c>
      <c r="B181" t="s">
        <v>167</v>
      </c>
      <c r="C181" t="s">
        <v>419</v>
      </c>
      <c r="D181">
        <v>3494</v>
      </c>
      <c r="E181">
        <v>102</v>
      </c>
      <c r="F181">
        <v>67</v>
      </c>
      <c r="G181" t="s">
        <v>427</v>
      </c>
      <c r="L181">
        <v>241</v>
      </c>
      <c r="M181" t="s">
        <v>167</v>
      </c>
      <c r="N181" t="s">
        <v>419</v>
      </c>
      <c r="O181">
        <v>3106</v>
      </c>
      <c r="P181">
        <v>76</v>
      </c>
      <c r="Q181">
        <v>67</v>
      </c>
      <c r="R181" t="s">
        <v>427</v>
      </c>
    </row>
    <row r="182" spans="1:20" x14ac:dyDescent="0.25">
      <c r="A182">
        <v>242</v>
      </c>
      <c r="B182" t="s">
        <v>168</v>
      </c>
      <c r="C182" t="s">
        <v>432</v>
      </c>
      <c r="D182">
        <v>4970</v>
      </c>
      <c r="E182">
        <v>61</v>
      </c>
      <c r="F182">
        <v>66</v>
      </c>
      <c r="G182" t="s">
        <v>428</v>
      </c>
      <c r="L182">
        <v>242</v>
      </c>
      <c r="M182" t="s">
        <v>168</v>
      </c>
      <c r="N182" t="s">
        <v>432</v>
      </c>
      <c r="O182">
        <v>4518</v>
      </c>
      <c r="P182">
        <v>23</v>
      </c>
      <c r="Q182">
        <v>66</v>
      </c>
      <c r="R182" t="s">
        <v>428</v>
      </c>
    </row>
    <row r="183" spans="1:20" x14ac:dyDescent="0.25">
      <c r="A183">
        <v>244</v>
      </c>
      <c r="B183" t="s">
        <v>169</v>
      </c>
      <c r="C183" t="s">
        <v>432</v>
      </c>
      <c r="D183">
        <v>6252</v>
      </c>
      <c r="E183">
        <v>62</v>
      </c>
      <c r="F183">
        <v>78</v>
      </c>
      <c r="G183" t="s">
        <v>428</v>
      </c>
      <c r="L183">
        <v>244</v>
      </c>
      <c r="M183" t="s">
        <v>169</v>
      </c>
      <c r="N183" t="s">
        <v>432</v>
      </c>
      <c r="O183">
        <v>5683</v>
      </c>
      <c r="P183">
        <v>24</v>
      </c>
      <c r="Q183">
        <v>78</v>
      </c>
      <c r="R183" t="s">
        <v>428</v>
      </c>
    </row>
    <row r="184" spans="1:20" x14ac:dyDescent="0.25">
      <c r="A184">
        <v>245</v>
      </c>
      <c r="B184" t="s">
        <v>170</v>
      </c>
      <c r="C184" t="s">
        <v>432</v>
      </c>
      <c r="D184">
        <v>4018</v>
      </c>
      <c r="E184">
        <v>53</v>
      </c>
      <c r="F184">
        <v>72</v>
      </c>
      <c r="G184" t="s">
        <v>428</v>
      </c>
      <c r="L184">
        <v>245</v>
      </c>
      <c r="M184" t="s">
        <v>170</v>
      </c>
      <c r="N184" t="s">
        <v>432</v>
      </c>
      <c r="O184">
        <v>3571</v>
      </c>
      <c r="P184">
        <v>18</v>
      </c>
      <c r="Q184">
        <v>72</v>
      </c>
      <c r="R184" t="s">
        <v>428</v>
      </c>
    </row>
    <row r="185" spans="1:20" x14ac:dyDescent="0.25">
      <c r="A185">
        <v>246</v>
      </c>
      <c r="B185" s="3" t="s">
        <v>171</v>
      </c>
      <c r="C185" t="s">
        <v>432</v>
      </c>
      <c r="D185">
        <v>4361</v>
      </c>
      <c r="E185">
        <v>54</v>
      </c>
      <c r="F185">
        <v>36</v>
      </c>
      <c r="G185" t="s">
        <v>428</v>
      </c>
      <c r="L185">
        <v>246</v>
      </c>
      <c r="M185" t="s">
        <v>171</v>
      </c>
      <c r="N185" t="s">
        <v>432</v>
      </c>
      <c r="O185">
        <v>3877</v>
      </c>
      <c r="P185">
        <v>18</v>
      </c>
      <c r="Q185">
        <v>36</v>
      </c>
      <c r="R185" t="s">
        <v>428</v>
      </c>
    </row>
    <row r="186" spans="1:20" x14ac:dyDescent="0.25">
      <c r="A186">
        <v>248</v>
      </c>
      <c r="B186" s="3" t="s">
        <v>387</v>
      </c>
      <c r="C186" t="s">
        <v>451</v>
      </c>
      <c r="D186">
        <v>7455</v>
      </c>
      <c r="E186">
        <v>38</v>
      </c>
      <c r="F186">
        <v>43</v>
      </c>
      <c r="G186" t="s">
        <v>428</v>
      </c>
      <c r="L186">
        <v>248</v>
      </c>
      <c r="M186" t="s">
        <v>387</v>
      </c>
      <c r="N186" t="s">
        <v>451</v>
      </c>
      <c r="O186">
        <v>6415</v>
      </c>
      <c r="P186">
        <v>22</v>
      </c>
      <c r="Q186">
        <v>43</v>
      </c>
      <c r="R186" t="s">
        <v>428</v>
      </c>
    </row>
    <row r="187" spans="1:20" x14ac:dyDescent="0.25">
      <c r="A187">
        <v>249</v>
      </c>
      <c r="B187" s="3" t="s">
        <v>388</v>
      </c>
      <c r="C187" t="s">
        <v>451</v>
      </c>
      <c r="D187">
        <v>7455</v>
      </c>
      <c r="E187">
        <v>38</v>
      </c>
      <c r="F187">
        <v>64</v>
      </c>
      <c r="G187" t="s">
        <v>428</v>
      </c>
      <c r="L187">
        <v>249</v>
      </c>
      <c r="M187" t="s">
        <v>388</v>
      </c>
      <c r="N187" t="s">
        <v>451</v>
      </c>
      <c r="O187">
        <v>6415</v>
      </c>
      <c r="P187">
        <v>22</v>
      </c>
      <c r="Q187">
        <v>64</v>
      </c>
      <c r="R187" t="s">
        <v>428</v>
      </c>
    </row>
    <row r="188" spans="1:20" x14ac:dyDescent="0.25">
      <c r="A188">
        <v>251</v>
      </c>
      <c r="B188" s="3" t="s">
        <v>389</v>
      </c>
      <c r="C188" t="s">
        <v>433</v>
      </c>
      <c r="D188">
        <v>8401</v>
      </c>
      <c r="E188">
        <v>33</v>
      </c>
      <c r="F188">
        <v>45</v>
      </c>
      <c r="G188" t="s">
        <v>429</v>
      </c>
      <c r="L188">
        <v>251</v>
      </c>
      <c r="M188" t="s">
        <v>389</v>
      </c>
      <c r="N188" t="s">
        <v>433</v>
      </c>
      <c r="O188">
        <v>7637</v>
      </c>
      <c r="P188">
        <v>21</v>
      </c>
      <c r="Q188">
        <v>45</v>
      </c>
      <c r="R188" t="s">
        <v>429</v>
      </c>
    </row>
    <row r="189" spans="1:20" x14ac:dyDescent="0.25">
      <c r="A189">
        <v>252</v>
      </c>
      <c r="B189" t="s">
        <v>349</v>
      </c>
      <c r="C189" t="s">
        <v>449</v>
      </c>
      <c r="D189">
        <v>7488</v>
      </c>
      <c r="E189">
        <v>50</v>
      </c>
      <c r="F189">
        <v>45</v>
      </c>
      <c r="G189" t="s">
        <v>428</v>
      </c>
      <c r="L189">
        <v>252</v>
      </c>
      <c r="M189" t="s">
        <v>349</v>
      </c>
      <c r="N189" t="s">
        <v>449</v>
      </c>
      <c r="O189">
        <v>6808</v>
      </c>
      <c r="P189">
        <v>36</v>
      </c>
      <c r="Q189">
        <v>45</v>
      </c>
      <c r="R189" t="s">
        <v>428</v>
      </c>
    </row>
    <row r="190" spans="1:20" x14ac:dyDescent="0.25">
      <c r="A190">
        <v>253</v>
      </c>
      <c r="B190" s="3" t="s">
        <v>172</v>
      </c>
      <c r="C190" t="s">
        <v>420</v>
      </c>
      <c r="D190">
        <v>2277</v>
      </c>
      <c r="E190">
        <v>165</v>
      </c>
      <c r="F190">
        <v>81</v>
      </c>
      <c r="G190" t="s">
        <v>427</v>
      </c>
      <c r="I190">
        <v>0.1</v>
      </c>
      <c r="L190">
        <v>253</v>
      </c>
      <c r="M190" t="s">
        <v>172</v>
      </c>
      <c r="N190" t="s">
        <v>420</v>
      </c>
      <c r="O190">
        <v>1897</v>
      </c>
      <c r="P190">
        <v>159</v>
      </c>
      <c r="Q190">
        <v>81</v>
      </c>
      <c r="R190" t="s">
        <v>427</v>
      </c>
      <c r="T190">
        <v>0.1</v>
      </c>
    </row>
    <row r="191" spans="1:20" x14ac:dyDescent="0.25">
      <c r="A191">
        <v>254</v>
      </c>
      <c r="B191" s="3" t="s">
        <v>173</v>
      </c>
      <c r="C191" t="s">
        <v>420</v>
      </c>
      <c r="D191">
        <v>2277</v>
      </c>
      <c r="E191">
        <v>165</v>
      </c>
      <c r="F191">
        <v>51</v>
      </c>
      <c r="G191" t="s">
        <v>427</v>
      </c>
      <c r="L191">
        <v>254</v>
      </c>
      <c r="M191" t="s">
        <v>173</v>
      </c>
      <c r="N191" t="s">
        <v>420</v>
      </c>
      <c r="O191">
        <v>1897</v>
      </c>
      <c r="P191">
        <v>159</v>
      </c>
      <c r="Q191">
        <v>51</v>
      </c>
      <c r="R191" t="s">
        <v>427</v>
      </c>
    </row>
    <row r="192" spans="1:20" x14ac:dyDescent="0.25">
      <c r="A192">
        <v>255</v>
      </c>
      <c r="B192" s="3" t="s">
        <v>174</v>
      </c>
      <c r="C192" t="s">
        <v>420</v>
      </c>
      <c r="D192">
        <v>2277</v>
      </c>
      <c r="E192">
        <v>165</v>
      </c>
      <c r="F192">
        <v>61</v>
      </c>
      <c r="G192" t="s">
        <v>427</v>
      </c>
      <c r="L192">
        <v>255</v>
      </c>
      <c r="M192" t="s">
        <v>174</v>
      </c>
      <c r="N192" t="s">
        <v>420</v>
      </c>
      <c r="O192">
        <v>1897</v>
      </c>
      <c r="P192">
        <v>159</v>
      </c>
      <c r="Q192">
        <v>61</v>
      </c>
      <c r="R192" t="s">
        <v>427</v>
      </c>
    </row>
    <row r="193" spans="1:18" x14ac:dyDescent="0.25">
      <c r="A193">
        <v>256</v>
      </c>
      <c r="B193" s="3" t="s">
        <v>175</v>
      </c>
      <c r="C193" t="s">
        <v>420</v>
      </c>
      <c r="D193">
        <v>2277</v>
      </c>
      <c r="E193">
        <v>165</v>
      </c>
      <c r="F193">
        <v>71</v>
      </c>
      <c r="G193" t="s">
        <v>427</v>
      </c>
      <c r="L193">
        <v>256</v>
      </c>
      <c r="M193" t="s">
        <v>175</v>
      </c>
      <c r="N193" t="s">
        <v>420</v>
      </c>
      <c r="O193">
        <v>1897</v>
      </c>
      <c r="P193">
        <v>159</v>
      </c>
      <c r="Q193">
        <v>71</v>
      </c>
      <c r="R193" t="s">
        <v>427</v>
      </c>
    </row>
    <row r="194" spans="1:18" x14ac:dyDescent="0.25">
      <c r="A194">
        <v>257</v>
      </c>
      <c r="B194" s="3" t="s">
        <v>176</v>
      </c>
      <c r="C194" t="s">
        <v>419</v>
      </c>
      <c r="D194">
        <v>1884</v>
      </c>
      <c r="E194">
        <v>79</v>
      </c>
      <c r="F194">
        <v>64</v>
      </c>
      <c r="G194" t="s">
        <v>427</v>
      </c>
      <c r="L194">
        <v>257</v>
      </c>
      <c r="M194" t="s">
        <v>176</v>
      </c>
      <c r="N194" t="s">
        <v>419</v>
      </c>
      <c r="O194">
        <v>1698</v>
      </c>
      <c r="P194">
        <v>62</v>
      </c>
      <c r="Q194">
        <v>64</v>
      </c>
      <c r="R194" t="s">
        <v>427</v>
      </c>
    </row>
    <row r="195" spans="1:18" x14ac:dyDescent="0.25">
      <c r="A195">
        <v>258</v>
      </c>
      <c r="B195" s="3" t="s">
        <v>177</v>
      </c>
      <c r="C195" t="s">
        <v>419</v>
      </c>
      <c r="D195">
        <v>1982</v>
      </c>
      <c r="E195">
        <v>75</v>
      </c>
      <c r="F195">
        <v>51</v>
      </c>
      <c r="G195" t="s">
        <v>427</v>
      </c>
      <c r="L195">
        <v>258</v>
      </c>
      <c r="M195" t="s">
        <v>177</v>
      </c>
      <c r="N195" t="s">
        <v>419</v>
      </c>
      <c r="O195">
        <v>1786</v>
      </c>
      <c r="P195">
        <v>67</v>
      </c>
      <c r="Q195">
        <v>51</v>
      </c>
      <c r="R195" t="s">
        <v>427</v>
      </c>
    </row>
    <row r="196" spans="1:18" x14ac:dyDescent="0.25">
      <c r="A196">
        <v>259</v>
      </c>
      <c r="B196" s="3" t="s">
        <v>179</v>
      </c>
      <c r="C196" t="s">
        <v>419</v>
      </c>
      <c r="D196">
        <v>1950</v>
      </c>
      <c r="E196">
        <v>72</v>
      </c>
      <c r="F196">
        <v>47</v>
      </c>
      <c r="G196" t="s">
        <v>427</v>
      </c>
      <c r="L196">
        <v>259</v>
      </c>
      <c r="M196" t="s">
        <v>179</v>
      </c>
      <c r="N196" t="s">
        <v>419</v>
      </c>
      <c r="O196">
        <v>1757</v>
      </c>
      <c r="P196">
        <v>64</v>
      </c>
      <c r="Q196">
        <v>47</v>
      </c>
      <c r="R196" t="s">
        <v>427</v>
      </c>
    </row>
    <row r="197" spans="1:18" x14ac:dyDescent="0.25">
      <c r="A197">
        <v>262</v>
      </c>
      <c r="B197" s="3" t="s">
        <v>181</v>
      </c>
      <c r="C197" t="s">
        <v>419</v>
      </c>
      <c r="D197">
        <v>3372</v>
      </c>
      <c r="E197">
        <v>79</v>
      </c>
      <c r="F197">
        <v>55</v>
      </c>
      <c r="G197" t="s">
        <v>428</v>
      </c>
      <c r="L197">
        <v>262</v>
      </c>
      <c r="M197" t="s">
        <v>181</v>
      </c>
      <c r="N197" t="s">
        <v>419</v>
      </c>
      <c r="O197">
        <v>3024</v>
      </c>
      <c r="P197">
        <v>62</v>
      </c>
      <c r="Q197">
        <v>55</v>
      </c>
      <c r="R197" t="s">
        <v>428</v>
      </c>
    </row>
    <row r="198" spans="1:18" x14ac:dyDescent="0.25">
      <c r="A198">
        <v>263</v>
      </c>
      <c r="B198" t="s">
        <v>182</v>
      </c>
      <c r="C198" t="s">
        <v>420</v>
      </c>
      <c r="D198">
        <v>1826</v>
      </c>
      <c r="E198">
        <v>162</v>
      </c>
      <c r="F198">
        <v>70</v>
      </c>
      <c r="G198" t="s">
        <v>427</v>
      </c>
      <c r="L198">
        <v>263</v>
      </c>
      <c r="M198" t="s">
        <v>182</v>
      </c>
      <c r="N198" t="s">
        <v>420</v>
      </c>
      <c r="O198">
        <v>1521</v>
      </c>
      <c r="P198">
        <v>156</v>
      </c>
      <c r="Q198">
        <v>70</v>
      </c>
      <c r="R198" t="s">
        <v>427</v>
      </c>
    </row>
    <row r="199" spans="1:18" x14ac:dyDescent="0.25">
      <c r="A199">
        <v>264</v>
      </c>
      <c r="B199" t="s">
        <v>184</v>
      </c>
      <c r="C199" t="s">
        <v>420</v>
      </c>
      <c r="D199">
        <v>2033</v>
      </c>
      <c r="E199">
        <v>148</v>
      </c>
      <c r="F199">
        <v>39</v>
      </c>
      <c r="G199" t="s">
        <v>427</v>
      </c>
      <c r="L199">
        <v>264</v>
      </c>
      <c r="M199" t="s">
        <v>184</v>
      </c>
      <c r="N199" t="s">
        <v>420</v>
      </c>
      <c r="O199">
        <v>1708</v>
      </c>
      <c r="P199">
        <v>143</v>
      </c>
      <c r="Q199">
        <v>39</v>
      </c>
      <c r="R199" t="s">
        <v>427</v>
      </c>
    </row>
    <row r="200" spans="1:18" x14ac:dyDescent="0.25">
      <c r="A200">
        <v>265</v>
      </c>
      <c r="B200" s="3" t="s">
        <v>185</v>
      </c>
      <c r="C200" t="s">
        <v>420</v>
      </c>
      <c r="D200">
        <v>1993</v>
      </c>
      <c r="E200">
        <v>148</v>
      </c>
      <c r="F200">
        <v>71</v>
      </c>
      <c r="G200" t="s">
        <v>427</v>
      </c>
      <c r="L200">
        <v>265</v>
      </c>
      <c r="M200" t="s">
        <v>185</v>
      </c>
      <c r="N200" t="s">
        <v>420</v>
      </c>
      <c r="O200">
        <v>1675</v>
      </c>
      <c r="P200">
        <v>143</v>
      </c>
      <c r="Q200">
        <v>71</v>
      </c>
      <c r="R200" t="s">
        <v>427</v>
      </c>
    </row>
    <row r="201" spans="1:18" x14ac:dyDescent="0.25">
      <c r="A201">
        <v>266</v>
      </c>
      <c r="B201" t="s">
        <v>186</v>
      </c>
      <c r="C201" t="s">
        <v>420</v>
      </c>
      <c r="D201">
        <v>1993</v>
      </c>
      <c r="E201">
        <v>148</v>
      </c>
      <c r="F201">
        <v>42</v>
      </c>
      <c r="G201" t="s">
        <v>427</v>
      </c>
      <c r="L201">
        <v>266</v>
      </c>
      <c r="M201" t="s">
        <v>186</v>
      </c>
      <c r="N201" t="s">
        <v>420</v>
      </c>
      <c r="O201">
        <v>1675</v>
      </c>
      <c r="P201">
        <v>143</v>
      </c>
      <c r="Q201">
        <v>42</v>
      </c>
      <c r="R201" t="s">
        <v>427</v>
      </c>
    </row>
    <row r="202" spans="1:18" x14ac:dyDescent="0.25">
      <c r="A202">
        <v>267</v>
      </c>
      <c r="B202" s="3" t="s">
        <v>187</v>
      </c>
      <c r="C202" t="s">
        <v>420</v>
      </c>
      <c r="D202">
        <v>2595</v>
      </c>
      <c r="E202">
        <v>151</v>
      </c>
      <c r="F202">
        <v>63</v>
      </c>
      <c r="G202" t="s">
        <v>427</v>
      </c>
      <c r="L202">
        <v>267</v>
      </c>
      <c r="M202" t="s">
        <v>187</v>
      </c>
      <c r="N202" t="s">
        <v>420</v>
      </c>
      <c r="O202">
        <v>2237</v>
      </c>
      <c r="P202">
        <v>146</v>
      </c>
      <c r="Q202">
        <v>63</v>
      </c>
      <c r="R202" t="s">
        <v>427</v>
      </c>
    </row>
    <row r="203" spans="1:18" x14ac:dyDescent="0.25">
      <c r="A203">
        <v>269</v>
      </c>
      <c r="B203" t="s">
        <v>188</v>
      </c>
      <c r="C203" t="s">
        <v>420</v>
      </c>
      <c r="D203">
        <v>1561</v>
      </c>
      <c r="E203">
        <v>193</v>
      </c>
      <c r="F203">
        <v>86</v>
      </c>
      <c r="G203" t="s">
        <v>427</v>
      </c>
      <c r="L203">
        <v>269</v>
      </c>
      <c r="M203" t="s">
        <v>188</v>
      </c>
      <c r="N203" t="s">
        <v>420</v>
      </c>
      <c r="O203">
        <v>1301</v>
      </c>
      <c r="P203">
        <v>187</v>
      </c>
      <c r="Q203">
        <v>86</v>
      </c>
      <c r="R203" t="s">
        <v>427</v>
      </c>
    </row>
    <row r="204" spans="1:18" x14ac:dyDescent="0.25">
      <c r="A204">
        <v>270</v>
      </c>
      <c r="B204" t="s">
        <v>190</v>
      </c>
      <c r="C204" t="s">
        <v>420</v>
      </c>
      <c r="D204">
        <v>1561</v>
      </c>
      <c r="E204">
        <v>190</v>
      </c>
      <c r="F204">
        <v>45</v>
      </c>
      <c r="G204" t="s">
        <v>427</v>
      </c>
      <c r="L204">
        <v>270</v>
      </c>
      <c r="M204" t="s">
        <v>190</v>
      </c>
      <c r="N204" t="s">
        <v>420</v>
      </c>
      <c r="O204">
        <v>1301</v>
      </c>
      <c r="P204">
        <v>184</v>
      </c>
      <c r="Q204">
        <v>45</v>
      </c>
      <c r="R204" t="s">
        <v>427</v>
      </c>
    </row>
    <row r="205" spans="1:18" x14ac:dyDescent="0.25">
      <c r="A205">
        <v>271</v>
      </c>
      <c r="B205" t="s">
        <v>192</v>
      </c>
      <c r="C205" t="s">
        <v>420</v>
      </c>
      <c r="D205">
        <v>1487</v>
      </c>
      <c r="E205">
        <v>193</v>
      </c>
      <c r="F205">
        <v>35</v>
      </c>
      <c r="G205" t="s">
        <v>427</v>
      </c>
      <c r="L205">
        <v>271</v>
      </c>
      <c r="M205" t="s">
        <v>192</v>
      </c>
      <c r="N205" t="s">
        <v>420</v>
      </c>
      <c r="O205">
        <v>1239</v>
      </c>
      <c r="P205">
        <v>187</v>
      </c>
      <c r="Q205">
        <v>35</v>
      </c>
      <c r="R205" t="s">
        <v>427</v>
      </c>
    </row>
    <row r="206" spans="1:18" x14ac:dyDescent="0.25">
      <c r="A206">
        <v>272</v>
      </c>
      <c r="B206" t="s">
        <v>194</v>
      </c>
      <c r="C206" t="s">
        <v>420</v>
      </c>
      <c r="D206">
        <v>1487</v>
      </c>
      <c r="E206">
        <v>193</v>
      </c>
      <c r="F206">
        <v>15</v>
      </c>
      <c r="G206" t="s">
        <v>427</v>
      </c>
      <c r="L206">
        <v>272</v>
      </c>
      <c r="M206" t="s">
        <v>194</v>
      </c>
      <c r="N206" t="s">
        <v>420</v>
      </c>
      <c r="O206">
        <v>1239</v>
      </c>
      <c r="P206">
        <v>187</v>
      </c>
      <c r="Q206">
        <v>15</v>
      </c>
      <c r="R206" t="s">
        <v>427</v>
      </c>
    </row>
    <row r="207" spans="1:18" x14ac:dyDescent="0.25">
      <c r="A207">
        <v>274</v>
      </c>
      <c r="B207" t="s">
        <v>195</v>
      </c>
      <c r="C207" t="s">
        <v>420</v>
      </c>
      <c r="D207">
        <v>1487</v>
      </c>
      <c r="E207">
        <v>193</v>
      </c>
      <c r="F207">
        <v>37</v>
      </c>
      <c r="G207" t="s">
        <v>427</v>
      </c>
      <c r="L207">
        <v>274</v>
      </c>
      <c r="M207" t="s">
        <v>195</v>
      </c>
      <c r="N207" t="s">
        <v>420</v>
      </c>
      <c r="O207">
        <v>1239</v>
      </c>
      <c r="P207">
        <v>187</v>
      </c>
      <c r="Q207">
        <v>37</v>
      </c>
      <c r="R207" t="s">
        <v>427</v>
      </c>
    </row>
    <row r="208" spans="1:18" x14ac:dyDescent="0.25">
      <c r="A208">
        <v>276</v>
      </c>
      <c r="B208" s="3" t="s">
        <v>196</v>
      </c>
      <c r="C208" t="s">
        <v>420</v>
      </c>
      <c r="D208">
        <v>1487</v>
      </c>
      <c r="E208">
        <v>193</v>
      </c>
      <c r="F208">
        <v>45</v>
      </c>
      <c r="G208" t="s">
        <v>427</v>
      </c>
      <c r="L208">
        <v>276</v>
      </c>
      <c r="M208" t="s">
        <v>196</v>
      </c>
      <c r="N208" t="s">
        <v>420</v>
      </c>
      <c r="O208">
        <v>1239</v>
      </c>
      <c r="P208">
        <v>187</v>
      </c>
      <c r="Q208">
        <v>45</v>
      </c>
      <c r="R208" t="s">
        <v>427</v>
      </c>
    </row>
    <row r="209" spans="1:20" x14ac:dyDescent="0.25">
      <c r="A209">
        <v>277</v>
      </c>
      <c r="B209" s="3" t="s">
        <v>197</v>
      </c>
      <c r="C209" t="s">
        <v>420</v>
      </c>
      <c r="D209">
        <v>1516</v>
      </c>
      <c r="E209">
        <v>193</v>
      </c>
      <c r="F209">
        <v>27</v>
      </c>
      <c r="G209" t="s">
        <v>427</v>
      </c>
      <c r="L209">
        <v>277</v>
      </c>
      <c r="M209" t="s">
        <v>197</v>
      </c>
      <c r="N209" t="s">
        <v>420</v>
      </c>
      <c r="O209">
        <v>1263</v>
      </c>
      <c r="P209">
        <v>187</v>
      </c>
      <c r="Q209">
        <v>27</v>
      </c>
      <c r="R209" t="s">
        <v>427</v>
      </c>
    </row>
    <row r="210" spans="1:20" x14ac:dyDescent="0.25">
      <c r="A210">
        <v>278</v>
      </c>
      <c r="B210" s="3" t="s">
        <v>198</v>
      </c>
      <c r="C210" t="s">
        <v>420</v>
      </c>
      <c r="D210">
        <v>1516</v>
      </c>
      <c r="E210">
        <v>193</v>
      </c>
      <c r="F210">
        <v>35</v>
      </c>
      <c r="G210" t="s">
        <v>427</v>
      </c>
      <c r="L210">
        <v>278</v>
      </c>
      <c r="M210" t="s">
        <v>198</v>
      </c>
      <c r="N210" t="s">
        <v>420</v>
      </c>
      <c r="Q210">
        <v>35</v>
      </c>
      <c r="R210" t="s">
        <v>427</v>
      </c>
    </row>
    <row r="211" spans="1:20" x14ac:dyDescent="0.25">
      <c r="A211">
        <v>280</v>
      </c>
      <c r="B211" s="3" t="s">
        <v>199</v>
      </c>
      <c r="C211" t="s">
        <v>420</v>
      </c>
      <c r="D211">
        <v>1487</v>
      </c>
      <c r="E211">
        <v>193</v>
      </c>
      <c r="F211">
        <v>40</v>
      </c>
      <c r="G211" t="s">
        <v>427</v>
      </c>
      <c r="L211">
        <v>280</v>
      </c>
      <c r="M211" t="s">
        <v>199</v>
      </c>
      <c r="N211" t="s">
        <v>420</v>
      </c>
      <c r="O211">
        <v>1239</v>
      </c>
      <c r="P211">
        <v>187</v>
      </c>
      <c r="Q211">
        <v>40</v>
      </c>
      <c r="R211" t="s">
        <v>427</v>
      </c>
    </row>
    <row r="212" spans="1:20" x14ac:dyDescent="0.25">
      <c r="A212">
        <v>288</v>
      </c>
      <c r="B212" s="3" t="s">
        <v>200</v>
      </c>
      <c r="C212" t="s">
        <v>420</v>
      </c>
      <c r="D212">
        <v>1830</v>
      </c>
      <c r="E212">
        <v>190</v>
      </c>
      <c r="F212">
        <v>38</v>
      </c>
      <c r="G212" t="s">
        <v>427</v>
      </c>
      <c r="L212">
        <v>288</v>
      </c>
      <c r="M212" t="s">
        <v>200</v>
      </c>
      <c r="N212" t="s">
        <v>420</v>
      </c>
      <c r="O212">
        <v>1525</v>
      </c>
      <c r="P212">
        <v>184</v>
      </c>
      <c r="Q212">
        <v>38</v>
      </c>
      <c r="R212" t="s">
        <v>427</v>
      </c>
    </row>
    <row r="213" spans="1:20" x14ac:dyDescent="0.25">
      <c r="A213">
        <v>295</v>
      </c>
      <c r="B213" s="3" t="s">
        <v>201</v>
      </c>
      <c r="C213" t="s">
        <v>420</v>
      </c>
      <c r="D213">
        <v>2445</v>
      </c>
      <c r="E213">
        <v>179</v>
      </c>
      <c r="F213">
        <v>32</v>
      </c>
      <c r="G213" t="s">
        <v>427</v>
      </c>
      <c r="L213">
        <v>295</v>
      </c>
      <c r="M213" t="s">
        <v>201</v>
      </c>
      <c r="N213" t="s">
        <v>420</v>
      </c>
      <c r="O213">
        <v>2037</v>
      </c>
      <c r="P213">
        <v>174</v>
      </c>
      <c r="Q213">
        <v>32</v>
      </c>
      <c r="R213" t="s">
        <v>427</v>
      </c>
    </row>
    <row r="214" spans="1:20" x14ac:dyDescent="0.25">
      <c r="A214">
        <v>296</v>
      </c>
      <c r="B214" s="3" t="s">
        <v>202</v>
      </c>
      <c r="C214" t="s">
        <v>420</v>
      </c>
      <c r="D214">
        <v>2445</v>
      </c>
      <c r="E214">
        <v>179</v>
      </c>
      <c r="F214">
        <v>61</v>
      </c>
      <c r="G214" t="s">
        <v>427</v>
      </c>
      <c r="L214">
        <v>296</v>
      </c>
      <c r="M214" t="s">
        <v>202</v>
      </c>
      <c r="N214" t="s">
        <v>420</v>
      </c>
      <c r="O214">
        <v>2037</v>
      </c>
      <c r="P214">
        <v>174</v>
      </c>
      <c r="Q214">
        <v>61</v>
      </c>
      <c r="R214" t="s">
        <v>427</v>
      </c>
    </row>
    <row r="215" spans="1:20" x14ac:dyDescent="0.25">
      <c r="A215">
        <v>297</v>
      </c>
      <c r="B215" s="3" t="s">
        <v>203</v>
      </c>
      <c r="C215" t="s">
        <v>420</v>
      </c>
      <c r="D215">
        <v>2445</v>
      </c>
      <c r="E215">
        <v>179</v>
      </c>
      <c r="F215">
        <v>61</v>
      </c>
      <c r="G215" t="s">
        <v>427</v>
      </c>
      <c r="L215">
        <v>297</v>
      </c>
      <c r="M215" t="s">
        <v>203</v>
      </c>
      <c r="N215" t="s">
        <v>420</v>
      </c>
      <c r="O215">
        <v>2037</v>
      </c>
      <c r="P215">
        <v>174</v>
      </c>
      <c r="Q215">
        <v>61</v>
      </c>
      <c r="R215" t="s">
        <v>427</v>
      </c>
    </row>
    <row r="216" spans="1:20" x14ac:dyDescent="0.25">
      <c r="A216">
        <v>299</v>
      </c>
      <c r="B216" t="s">
        <v>204</v>
      </c>
      <c r="C216" t="s">
        <v>420</v>
      </c>
      <c r="D216">
        <v>2054</v>
      </c>
      <c r="E216">
        <v>163</v>
      </c>
      <c r="F216">
        <v>80</v>
      </c>
      <c r="G216" t="s">
        <v>427</v>
      </c>
      <c r="L216">
        <v>299</v>
      </c>
      <c r="M216" t="s">
        <v>204</v>
      </c>
      <c r="N216" t="s">
        <v>420</v>
      </c>
      <c r="O216">
        <v>1712</v>
      </c>
      <c r="P216">
        <v>157</v>
      </c>
      <c r="Q216">
        <v>80</v>
      </c>
      <c r="R216" t="s">
        <v>427</v>
      </c>
    </row>
    <row r="217" spans="1:20" x14ac:dyDescent="0.25">
      <c r="A217">
        <v>300</v>
      </c>
      <c r="B217" t="s">
        <v>205</v>
      </c>
      <c r="C217" t="s">
        <v>420</v>
      </c>
      <c r="D217">
        <v>2080</v>
      </c>
      <c r="E217">
        <v>161</v>
      </c>
      <c r="F217">
        <v>81</v>
      </c>
      <c r="G217" t="s">
        <v>427</v>
      </c>
      <c r="L217">
        <v>300</v>
      </c>
      <c r="M217" t="s">
        <v>205</v>
      </c>
      <c r="N217" t="s">
        <v>420</v>
      </c>
      <c r="O217">
        <v>1733</v>
      </c>
      <c r="P217">
        <v>156</v>
      </c>
      <c r="Q217">
        <v>81</v>
      </c>
      <c r="R217" t="s">
        <v>427</v>
      </c>
    </row>
    <row r="218" spans="1:20" x14ac:dyDescent="0.25">
      <c r="A218">
        <v>301</v>
      </c>
      <c r="B218" t="s">
        <v>206</v>
      </c>
      <c r="C218" t="s">
        <v>420</v>
      </c>
      <c r="D218">
        <v>2115</v>
      </c>
      <c r="E218">
        <v>160</v>
      </c>
      <c r="F218">
        <v>80</v>
      </c>
      <c r="G218" t="s">
        <v>427</v>
      </c>
      <c r="L218">
        <v>301</v>
      </c>
      <c r="M218" t="s">
        <v>206</v>
      </c>
      <c r="N218" t="s">
        <v>420</v>
      </c>
      <c r="O218">
        <v>1762</v>
      </c>
      <c r="P218">
        <v>154</v>
      </c>
      <c r="Q218">
        <v>80</v>
      </c>
      <c r="R218" t="s">
        <v>427</v>
      </c>
    </row>
    <row r="219" spans="1:20" x14ac:dyDescent="0.25">
      <c r="A219">
        <v>303</v>
      </c>
      <c r="B219" t="s">
        <v>208</v>
      </c>
      <c r="C219" t="s">
        <v>419</v>
      </c>
      <c r="D219">
        <v>3237</v>
      </c>
      <c r="E219">
        <v>101</v>
      </c>
      <c r="F219">
        <v>69</v>
      </c>
      <c r="G219" t="s">
        <v>427</v>
      </c>
      <c r="L219">
        <v>303</v>
      </c>
      <c r="M219" t="s">
        <v>208</v>
      </c>
      <c r="N219" t="s">
        <v>419</v>
      </c>
      <c r="O219">
        <v>2865</v>
      </c>
      <c r="P219">
        <v>79</v>
      </c>
      <c r="Q219">
        <v>69</v>
      </c>
      <c r="R219" t="s">
        <v>427</v>
      </c>
    </row>
    <row r="220" spans="1:20" x14ac:dyDescent="0.25">
      <c r="A220">
        <v>304</v>
      </c>
      <c r="B220" t="s">
        <v>209</v>
      </c>
      <c r="C220" t="s">
        <v>419</v>
      </c>
      <c r="D220">
        <v>3470</v>
      </c>
      <c r="E220">
        <v>90</v>
      </c>
      <c r="F220">
        <v>50</v>
      </c>
      <c r="G220" t="s">
        <v>427</v>
      </c>
      <c r="L220">
        <v>304</v>
      </c>
      <c r="M220" t="s">
        <v>209</v>
      </c>
      <c r="N220" t="s">
        <v>419</v>
      </c>
      <c r="O220">
        <v>3076</v>
      </c>
      <c r="P220">
        <v>73</v>
      </c>
      <c r="Q220">
        <v>50</v>
      </c>
      <c r="R220" t="s">
        <v>427</v>
      </c>
    </row>
    <row r="221" spans="1:20" x14ac:dyDescent="0.25">
      <c r="A221">
        <v>305</v>
      </c>
      <c r="B221" s="3" t="s">
        <v>210</v>
      </c>
      <c r="C221" t="s">
        <v>419</v>
      </c>
      <c r="D221">
        <v>3604</v>
      </c>
      <c r="E221">
        <v>90</v>
      </c>
      <c r="F221">
        <v>65</v>
      </c>
      <c r="G221" t="s">
        <v>427</v>
      </c>
      <c r="I221">
        <v>0.18</v>
      </c>
      <c r="L221">
        <v>305</v>
      </c>
      <c r="M221" t="s">
        <v>210</v>
      </c>
      <c r="N221" t="s">
        <v>419</v>
      </c>
      <c r="O221">
        <v>3204</v>
      </c>
      <c r="P221">
        <v>73</v>
      </c>
      <c r="Q221">
        <v>65</v>
      </c>
      <c r="R221" t="s">
        <v>427</v>
      </c>
      <c r="T221">
        <v>0.18</v>
      </c>
    </row>
    <row r="222" spans="1:20" x14ac:dyDescent="0.25">
      <c r="A222">
        <v>306</v>
      </c>
      <c r="B222" t="s">
        <v>211</v>
      </c>
      <c r="C222" t="s">
        <v>420</v>
      </c>
      <c r="D222">
        <v>1536</v>
      </c>
      <c r="E222">
        <v>210</v>
      </c>
      <c r="F222">
        <v>52</v>
      </c>
      <c r="G222" t="s">
        <v>427</v>
      </c>
      <c r="L222">
        <v>306</v>
      </c>
      <c r="M222" t="s">
        <v>211</v>
      </c>
      <c r="N222" t="s">
        <v>420</v>
      </c>
      <c r="O222">
        <v>1280</v>
      </c>
      <c r="P222">
        <v>204</v>
      </c>
      <c r="Q222">
        <v>52</v>
      </c>
      <c r="R222" t="s">
        <v>427</v>
      </c>
    </row>
    <row r="223" spans="1:20" x14ac:dyDescent="0.25">
      <c r="A223">
        <v>307</v>
      </c>
      <c r="B223" t="s">
        <v>212</v>
      </c>
      <c r="C223" t="s">
        <v>420</v>
      </c>
      <c r="D223">
        <v>1536</v>
      </c>
      <c r="E223">
        <v>210</v>
      </c>
      <c r="F223">
        <v>20</v>
      </c>
      <c r="G223" t="s">
        <v>427</v>
      </c>
      <c r="L223">
        <v>307</v>
      </c>
      <c r="M223" t="s">
        <v>212</v>
      </c>
      <c r="N223" t="s">
        <v>420</v>
      </c>
      <c r="O223">
        <v>1280</v>
      </c>
      <c r="P223">
        <v>204</v>
      </c>
      <c r="Q223">
        <v>20</v>
      </c>
      <c r="R223" t="s">
        <v>427</v>
      </c>
    </row>
    <row r="224" spans="1:20" x14ac:dyDescent="0.25">
      <c r="A224">
        <v>308</v>
      </c>
      <c r="B224" s="3" t="s">
        <v>213</v>
      </c>
      <c r="C224" t="s">
        <v>419</v>
      </c>
      <c r="D224">
        <v>2540</v>
      </c>
      <c r="E224">
        <v>108</v>
      </c>
      <c r="F224">
        <v>42</v>
      </c>
      <c r="G224" t="s">
        <v>427</v>
      </c>
      <c r="L224">
        <v>308</v>
      </c>
      <c r="M224" t="s">
        <v>213</v>
      </c>
      <c r="N224" t="s">
        <v>419</v>
      </c>
      <c r="O224">
        <v>2243</v>
      </c>
      <c r="P224">
        <v>75</v>
      </c>
      <c r="Q224">
        <v>42</v>
      </c>
      <c r="R224" t="s">
        <v>427</v>
      </c>
    </row>
    <row r="225" spans="1:21" x14ac:dyDescent="0.25">
      <c r="A225">
        <v>309</v>
      </c>
      <c r="B225" s="3" t="s">
        <v>215</v>
      </c>
      <c r="C225" t="s">
        <v>419</v>
      </c>
      <c r="D225">
        <v>2615</v>
      </c>
      <c r="E225">
        <v>108</v>
      </c>
      <c r="F225">
        <v>38</v>
      </c>
      <c r="G225" t="s">
        <v>427</v>
      </c>
      <c r="L225">
        <v>309</v>
      </c>
      <c r="M225" t="s">
        <v>215</v>
      </c>
      <c r="N225" t="s">
        <v>419</v>
      </c>
      <c r="O225">
        <v>2310</v>
      </c>
      <c r="P225">
        <v>75</v>
      </c>
      <c r="Q225">
        <v>38</v>
      </c>
      <c r="R225" t="s">
        <v>427</v>
      </c>
    </row>
    <row r="226" spans="1:21" x14ac:dyDescent="0.25">
      <c r="A226">
        <v>310</v>
      </c>
      <c r="B226" t="s">
        <v>217</v>
      </c>
      <c r="C226" t="s">
        <v>419</v>
      </c>
      <c r="D226">
        <v>2540</v>
      </c>
      <c r="E226">
        <v>108</v>
      </c>
      <c r="F226">
        <v>53</v>
      </c>
      <c r="G226" t="s">
        <v>427</v>
      </c>
      <c r="L226">
        <v>310</v>
      </c>
      <c r="M226" t="s">
        <v>217</v>
      </c>
      <c r="N226" t="s">
        <v>419</v>
      </c>
      <c r="O226">
        <v>2243</v>
      </c>
      <c r="P226">
        <v>75</v>
      </c>
      <c r="Q226">
        <v>53</v>
      </c>
      <c r="R226" t="s">
        <v>427</v>
      </c>
    </row>
    <row r="227" spans="1:21" x14ac:dyDescent="0.25">
      <c r="A227">
        <v>316</v>
      </c>
      <c r="B227" s="3" t="s">
        <v>218</v>
      </c>
      <c r="C227" t="s">
        <v>420</v>
      </c>
      <c r="D227">
        <v>2083</v>
      </c>
      <c r="E227">
        <v>191</v>
      </c>
      <c r="F227">
        <v>27</v>
      </c>
      <c r="G227" t="s">
        <v>427</v>
      </c>
      <c r="L227">
        <v>316</v>
      </c>
      <c r="M227" t="s">
        <v>218</v>
      </c>
      <c r="N227" t="s">
        <v>420</v>
      </c>
      <c r="O227">
        <v>1736</v>
      </c>
      <c r="P227">
        <v>185</v>
      </c>
      <c r="Q227">
        <v>27</v>
      </c>
      <c r="R227" t="s">
        <v>427</v>
      </c>
    </row>
    <row r="228" spans="1:21" x14ac:dyDescent="0.25">
      <c r="A228">
        <v>317</v>
      </c>
      <c r="B228" s="3" t="s">
        <v>219</v>
      </c>
      <c r="C228" t="s">
        <v>420</v>
      </c>
      <c r="D228">
        <v>2083</v>
      </c>
      <c r="E228">
        <v>191</v>
      </c>
      <c r="F228">
        <v>18</v>
      </c>
      <c r="G228" t="s">
        <v>427</v>
      </c>
      <c r="L228">
        <v>317</v>
      </c>
      <c r="M228" t="s">
        <v>219</v>
      </c>
      <c r="N228" t="s">
        <v>420</v>
      </c>
      <c r="O228">
        <v>1736</v>
      </c>
      <c r="P228">
        <v>185</v>
      </c>
      <c r="Q228">
        <v>18</v>
      </c>
      <c r="R228" t="s">
        <v>427</v>
      </c>
    </row>
    <row r="229" spans="1:21" x14ac:dyDescent="0.25">
      <c r="A229">
        <v>318</v>
      </c>
      <c r="B229" s="3" t="s">
        <v>220</v>
      </c>
      <c r="C229" t="s">
        <v>420</v>
      </c>
      <c r="D229">
        <v>2083</v>
      </c>
      <c r="E229">
        <v>191</v>
      </c>
      <c r="F229">
        <v>58</v>
      </c>
      <c r="G229" t="s">
        <v>427</v>
      </c>
      <c r="L229">
        <v>318</v>
      </c>
      <c r="M229" t="s">
        <v>220</v>
      </c>
      <c r="N229" t="s">
        <v>420</v>
      </c>
      <c r="O229">
        <v>1736</v>
      </c>
      <c r="P229">
        <v>185</v>
      </c>
      <c r="Q229">
        <v>58</v>
      </c>
      <c r="R229" t="s">
        <v>427</v>
      </c>
    </row>
    <row r="230" spans="1:21" x14ac:dyDescent="0.25">
      <c r="A230">
        <v>319</v>
      </c>
      <c r="B230" s="3" t="s">
        <v>222</v>
      </c>
      <c r="C230" t="s">
        <v>420</v>
      </c>
      <c r="D230">
        <v>2083</v>
      </c>
      <c r="E230">
        <v>191</v>
      </c>
      <c r="F230">
        <v>52</v>
      </c>
      <c r="G230" t="s">
        <v>427</v>
      </c>
      <c r="L230">
        <v>319</v>
      </c>
      <c r="M230" t="s">
        <v>222</v>
      </c>
      <c r="N230" t="s">
        <v>420</v>
      </c>
      <c r="O230">
        <v>1736</v>
      </c>
      <c r="P230">
        <v>185</v>
      </c>
      <c r="Q230">
        <v>52</v>
      </c>
      <c r="R230" t="s">
        <v>427</v>
      </c>
    </row>
    <row r="231" spans="1:21" x14ac:dyDescent="0.25">
      <c r="A231">
        <v>320</v>
      </c>
      <c r="B231" t="s">
        <v>296</v>
      </c>
      <c r="C231" t="s">
        <v>433</v>
      </c>
      <c r="D231">
        <v>5372</v>
      </c>
      <c r="E231">
        <v>25</v>
      </c>
      <c r="F231">
        <v>95</v>
      </c>
      <c r="G231" t="s">
        <v>429</v>
      </c>
      <c r="L231">
        <v>320</v>
      </c>
      <c r="M231" t="s">
        <v>296</v>
      </c>
      <c r="N231" t="s">
        <v>433</v>
      </c>
      <c r="O231">
        <v>4572</v>
      </c>
      <c r="P231">
        <v>8</v>
      </c>
      <c r="Q231">
        <v>95</v>
      </c>
      <c r="R231" t="s">
        <v>429</v>
      </c>
    </row>
    <row r="232" spans="1:21" x14ac:dyDescent="0.25">
      <c r="A232">
        <v>321</v>
      </c>
      <c r="B232" t="s">
        <v>224</v>
      </c>
      <c r="C232" t="s">
        <v>419</v>
      </c>
      <c r="D232">
        <v>3159</v>
      </c>
      <c r="E232">
        <v>104</v>
      </c>
      <c r="F232">
        <v>21</v>
      </c>
      <c r="G232" t="s">
        <v>427</v>
      </c>
      <c r="L232">
        <v>321</v>
      </c>
      <c r="M232" t="s">
        <v>224</v>
      </c>
      <c r="N232" t="s">
        <v>419</v>
      </c>
      <c r="O232">
        <v>2791</v>
      </c>
      <c r="P232">
        <v>76</v>
      </c>
      <c r="Q232">
        <v>21</v>
      </c>
      <c r="R232" t="s">
        <v>427</v>
      </c>
    </row>
    <row r="233" spans="1:21" x14ac:dyDescent="0.25">
      <c r="A233">
        <v>325</v>
      </c>
      <c r="B233" t="s">
        <v>225</v>
      </c>
      <c r="C233" t="s">
        <v>420</v>
      </c>
      <c r="D233">
        <v>1683</v>
      </c>
      <c r="E233">
        <v>210</v>
      </c>
      <c r="F233">
        <v>76</v>
      </c>
      <c r="G233" t="s">
        <v>427</v>
      </c>
      <c r="L233">
        <v>325</v>
      </c>
      <c r="M233" t="s">
        <v>225</v>
      </c>
      <c r="N233" t="s">
        <v>420</v>
      </c>
      <c r="O233">
        <v>1402</v>
      </c>
      <c r="P233">
        <v>204</v>
      </c>
      <c r="Q233">
        <v>76</v>
      </c>
      <c r="R233" t="s">
        <v>427</v>
      </c>
    </row>
    <row r="234" spans="1:21" x14ac:dyDescent="0.25">
      <c r="A234">
        <v>326</v>
      </c>
      <c r="B234" s="3" t="s">
        <v>226</v>
      </c>
      <c r="C234" t="s">
        <v>420</v>
      </c>
      <c r="D234">
        <v>1683</v>
      </c>
      <c r="E234">
        <v>210</v>
      </c>
      <c r="F234">
        <v>67</v>
      </c>
      <c r="G234" t="s">
        <v>427</v>
      </c>
      <c r="L234">
        <v>326</v>
      </c>
      <c r="M234" t="s">
        <v>226</v>
      </c>
      <c r="N234" t="s">
        <v>420</v>
      </c>
      <c r="O234">
        <v>1402</v>
      </c>
      <c r="P234">
        <v>204</v>
      </c>
      <c r="Q234">
        <v>67</v>
      </c>
      <c r="R234" t="s">
        <v>427</v>
      </c>
    </row>
    <row r="235" spans="1:21" x14ac:dyDescent="0.25">
      <c r="A235">
        <v>327</v>
      </c>
      <c r="B235" t="s">
        <v>227</v>
      </c>
      <c r="C235" t="s">
        <v>419</v>
      </c>
      <c r="D235">
        <v>3586</v>
      </c>
      <c r="E235">
        <v>100</v>
      </c>
      <c r="F235">
        <v>11</v>
      </c>
      <c r="G235" t="s">
        <v>427</v>
      </c>
      <c r="J235">
        <v>2.1000000000000001E-2</v>
      </c>
      <c r="L235">
        <v>327</v>
      </c>
      <c r="M235" t="s">
        <v>227</v>
      </c>
      <c r="N235" t="s">
        <v>419</v>
      </c>
      <c r="O235">
        <v>3188</v>
      </c>
      <c r="P235">
        <v>76</v>
      </c>
      <c r="Q235">
        <v>11</v>
      </c>
      <c r="R235" t="s">
        <v>427</v>
      </c>
      <c r="U235">
        <v>2.1000000000000001E-2</v>
      </c>
    </row>
    <row r="236" spans="1:21" x14ac:dyDescent="0.25">
      <c r="A236">
        <v>328</v>
      </c>
      <c r="B236" t="s">
        <v>228</v>
      </c>
      <c r="C236" t="s">
        <v>419</v>
      </c>
      <c r="D236">
        <v>3636</v>
      </c>
      <c r="E236">
        <v>100</v>
      </c>
      <c r="F236">
        <v>67</v>
      </c>
      <c r="G236" t="s">
        <v>427</v>
      </c>
      <c r="L236">
        <v>328</v>
      </c>
      <c r="M236" t="s">
        <v>228</v>
      </c>
      <c r="N236" t="s">
        <v>419</v>
      </c>
      <c r="O236">
        <v>3232</v>
      </c>
      <c r="P236">
        <v>76</v>
      </c>
      <c r="Q236">
        <v>67</v>
      </c>
      <c r="R236" t="s">
        <v>427</v>
      </c>
    </row>
    <row r="237" spans="1:21" x14ac:dyDescent="0.25">
      <c r="A237">
        <v>329</v>
      </c>
      <c r="B237" t="s">
        <v>229</v>
      </c>
      <c r="C237" t="s">
        <v>419</v>
      </c>
      <c r="D237">
        <v>4361</v>
      </c>
      <c r="E237">
        <v>92</v>
      </c>
      <c r="F237">
        <v>72</v>
      </c>
      <c r="G237" t="s">
        <v>427</v>
      </c>
      <c r="L237">
        <v>329</v>
      </c>
      <c r="M237" t="s">
        <v>229</v>
      </c>
      <c r="N237" t="s">
        <v>419</v>
      </c>
      <c r="O237">
        <v>3929</v>
      </c>
      <c r="P237">
        <v>77</v>
      </c>
      <c r="Q237">
        <v>72</v>
      </c>
      <c r="R237" t="s">
        <v>427</v>
      </c>
    </row>
    <row r="238" spans="1:21" x14ac:dyDescent="0.25">
      <c r="A238">
        <v>330</v>
      </c>
      <c r="B238" t="s">
        <v>230</v>
      </c>
      <c r="C238" t="s">
        <v>419</v>
      </c>
      <c r="D238">
        <v>4307</v>
      </c>
      <c r="E238">
        <v>92</v>
      </c>
      <c r="F238">
        <v>69</v>
      </c>
      <c r="G238" t="s">
        <v>427</v>
      </c>
      <c r="L238">
        <v>330</v>
      </c>
      <c r="M238" t="s">
        <v>230</v>
      </c>
      <c r="N238" t="s">
        <v>419</v>
      </c>
      <c r="O238">
        <v>3880</v>
      </c>
      <c r="P238">
        <v>77</v>
      </c>
      <c r="Q238">
        <v>69</v>
      </c>
      <c r="R238" t="s">
        <v>427</v>
      </c>
    </row>
    <row r="239" spans="1:21" x14ac:dyDescent="0.25">
      <c r="A239">
        <v>331</v>
      </c>
      <c r="B239" s="3" t="s">
        <v>231</v>
      </c>
      <c r="C239" t="s">
        <v>420</v>
      </c>
      <c r="D239">
        <v>1937</v>
      </c>
      <c r="E239">
        <v>191</v>
      </c>
      <c r="F239">
        <v>32</v>
      </c>
      <c r="G239" t="s">
        <v>427</v>
      </c>
      <c r="L239">
        <v>331</v>
      </c>
      <c r="M239" t="s">
        <v>231</v>
      </c>
      <c r="N239" t="s">
        <v>420</v>
      </c>
      <c r="O239">
        <v>1614</v>
      </c>
      <c r="P239">
        <v>185</v>
      </c>
      <c r="Q239">
        <v>32</v>
      </c>
      <c r="R239" t="s">
        <v>427</v>
      </c>
    </row>
    <row r="240" spans="1:21" x14ac:dyDescent="0.25">
      <c r="A240">
        <v>332</v>
      </c>
      <c r="B240" s="3" t="s">
        <v>232</v>
      </c>
      <c r="C240" t="s">
        <v>420</v>
      </c>
      <c r="D240">
        <v>1937</v>
      </c>
      <c r="E240">
        <v>191</v>
      </c>
      <c r="F240">
        <v>40</v>
      </c>
      <c r="G240" t="s">
        <v>427</v>
      </c>
      <c r="L240">
        <v>332</v>
      </c>
      <c r="M240" t="s">
        <v>232</v>
      </c>
      <c r="N240" t="s">
        <v>420</v>
      </c>
      <c r="O240">
        <v>1614</v>
      </c>
      <c r="P240">
        <v>185</v>
      </c>
      <c r="Q240">
        <v>40</v>
      </c>
      <c r="R240" t="s">
        <v>427</v>
      </c>
    </row>
    <row r="241" spans="1:20" x14ac:dyDescent="0.25">
      <c r="A241">
        <v>333</v>
      </c>
      <c r="B241" s="3" t="s">
        <v>233</v>
      </c>
      <c r="C241" t="s">
        <v>420</v>
      </c>
      <c r="D241">
        <v>1964</v>
      </c>
      <c r="E241">
        <v>191</v>
      </c>
      <c r="F241">
        <v>48</v>
      </c>
      <c r="G241" t="s">
        <v>427</v>
      </c>
      <c r="L241">
        <v>333</v>
      </c>
      <c r="M241" t="s">
        <v>233</v>
      </c>
      <c r="N241" t="s">
        <v>420</v>
      </c>
      <c r="O241">
        <v>1636</v>
      </c>
      <c r="P241">
        <v>185</v>
      </c>
      <c r="Q241">
        <v>48</v>
      </c>
      <c r="R241" t="s">
        <v>427</v>
      </c>
    </row>
    <row r="242" spans="1:20" x14ac:dyDescent="0.25">
      <c r="A242">
        <v>334</v>
      </c>
      <c r="B242" s="3" t="s">
        <v>234</v>
      </c>
      <c r="C242" t="s">
        <v>420</v>
      </c>
      <c r="D242">
        <v>1937</v>
      </c>
      <c r="E242">
        <v>191</v>
      </c>
      <c r="F242">
        <v>32</v>
      </c>
      <c r="G242" t="s">
        <v>427</v>
      </c>
      <c r="L242">
        <v>334</v>
      </c>
      <c r="M242" t="s">
        <v>234</v>
      </c>
      <c r="N242" t="s">
        <v>420</v>
      </c>
      <c r="Q242">
        <v>32</v>
      </c>
      <c r="R242" t="s">
        <v>427</v>
      </c>
    </row>
    <row r="243" spans="1:20" x14ac:dyDescent="0.25">
      <c r="A243">
        <v>335</v>
      </c>
      <c r="B243" s="3" t="s">
        <v>235</v>
      </c>
      <c r="C243" t="s">
        <v>419</v>
      </c>
      <c r="D243">
        <v>3231</v>
      </c>
      <c r="E243">
        <v>96</v>
      </c>
      <c r="F243">
        <v>89</v>
      </c>
      <c r="G243" t="s">
        <v>427</v>
      </c>
      <c r="L243">
        <v>335</v>
      </c>
      <c r="M243" t="s">
        <v>235</v>
      </c>
      <c r="N243" t="s">
        <v>419</v>
      </c>
      <c r="O243">
        <v>2885</v>
      </c>
      <c r="P243">
        <v>72</v>
      </c>
      <c r="Q243">
        <v>89</v>
      </c>
      <c r="R243" t="s">
        <v>427</v>
      </c>
    </row>
    <row r="244" spans="1:20" x14ac:dyDescent="0.25">
      <c r="A244">
        <v>336</v>
      </c>
      <c r="B244" t="s">
        <v>236</v>
      </c>
      <c r="C244" t="s">
        <v>452</v>
      </c>
      <c r="D244">
        <v>3777</v>
      </c>
      <c r="E244">
        <v>61</v>
      </c>
      <c r="F244">
        <v>38</v>
      </c>
      <c r="G244" t="s">
        <v>427</v>
      </c>
      <c r="L244">
        <v>336</v>
      </c>
      <c r="M244" t="s">
        <v>236</v>
      </c>
      <c r="N244" t="s">
        <v>452</v>
      </c>
      <c r="O244">
        <v>3148</v>
      </c>
      <c r="P244">
        <v>29</v>
      </c>
      <c r="Q244">
        <v>38</v>
      </c>
      <c r="R244" t="s">
        <v>427</v>
      </c>
    </row>
    <row r="245" spans="1:20" x14ac:dyDescent="0.25">
      <c r="A245">
        <v>337</v>
      </c>
      <c r="B245" t="s">
        <v>237</v>
      </c>
      <c r="C245" t="s">
        <v>419</v>
      </c>
      <c r="D245">
        <v>3461</v>
      </c>
      <c r="E245">
        <v>71</v>
      </c>
      <c r="F245">
        <v>68</v>
      </c>
      <c r="G245" t="s">
        <v>427</v>
      </c>
      <c r="L245">
        <v>337</v>
      </c>
      <c r="M245" t="s">
        <v>237</v>
      </c>
      <c r="N245" t="s">
        <v>419</v>
      </c>
      <c r="O245">
        <v>3049</v>
      </c>
      <c r="P245">
        <v>22</v>
      </c>
      <c r="Q245">
        <v>68</v>
      </c>
      <c r="R245" t="s">
        <v>427</v>
      </c>
    </row>
    <row r="246" spans="1:20" x14ac:dyDescent="0.25">
      <c r="A246">
        <v>338</v>
      </c>
      <c r="B246" s="3" t="s">
        <v>390</v>
      </c>
      <c r="C246" t="s">
        <v>453</v>
      </c>
      <c r="D246">
        <v>2165</v>
      </c>
      <c r="E246">
        <v>45</v>
      </c>
      <c r="F246">
        <v>19</v>
      </c>
      <c r="G246" t="s">
        <v>427</v>
      </c>
      <c r="L246">
        <v>338</v>
      </c>
      <c r="M246" s="3" t="s">
        <v>390</v>
      </c>
      <c r="N246" t="s">
        <v>453</v>
      </c>
      <c r="O246">
        <v>1805</v>
      </c>
      <c r="P246">
        <v>25</v>
      </c>
      <c r="Q246">
        <v>19</v>
      </c>
      <c r="R246" t="s">
        <v>427</v>
      </c>
    </row>
    <row r="247" spans="1:20" x14ac:dyDescent="0.25">
      <c r="A247">
        <v>339</v>
      </c>
      <c r="B247" s="3" t="s">
        <v>391</v>
      </c>
      <c r="C247" t="s">
        <v>453</v>
      </c>
      <c r="D247">
        <v>2067</v>
      </c>
      <c r="E247">
        <v>45</v>
      </c>
      <c r="F247">
        <v>26</v>
      </c>
      <c r="G247" t="s">
        <v>427</v>
      </c>
      <c r="L247">
        <v>338</v>
      </c>
      <c r="M247" s="3" t="s">
        <v>391</v>
      </c>
      <c r="N247" t="s">
        <v>453</v>
      </c>
      <c r="O247">
        <v>1723</v>
      </c>
      <c r="P247">
        <v>25</v>
      </c>
      <c r="Q247">
        <v>26</v>
      </c>
      <c r="R247" t="s">
        <v>427</v>
      </c>
    </row>
    <row r="248" spans="1:20" x14ac:dyDescent="0.25">
      <c r="A248">
        <v>340</v>
      </c>
      <c r="B248" s="3" t="s">
        <v>297</v>
      </c>
      <c r="C248" t="s">
        <v>453</v>
      </c>
      <c r="D248">
        <v>2080</v>
      </c>
      <c r="E248">
        <v>37</v>
      </c>
      <c r="F248">
        <v>58</v>
      </c>
      <c r="G248" t="s">
        <v>427</v>
      </c>
      <c r="L248">
        <v>340</v>
      </c>
      <c r="M248" s="3" t="s">
        <v>297</v>
      </c>
      <c r="N248" t="s">
        <v>453</v>
      </c>
      <c r="O248">
        <v>1733</v>
      </c>
      <c r="P248">
        <v>18</v>
      </c>
      <c r="Q248">
        <v>58</v>
      </c>
      <c r="R248" t="s">
        <v>427</v>
      </c>
    </row>
    <row r="249" spans="1:20" x14ac:dyDescent="0.25">
      <c r="A249">
        <v>341</v>
      </c>
      <c r="B249" t="s">
        <v>298</v>
      </c>
      <c r="C249" t="s">
        <v>453</v>
      </c>
      <c r="D249">
        <v>1309</v>
      </c>
      <c r="E249">
        <v>37</v>
      </c>
      <c r="F249">
        <v>23</v>
      </c>
      <c r="G249" t="s">
        <v>427</v>
      </c>
      <c r="I249">
        <v>0.4</v>
      </c>
      <c r="L249">
        <v>341</v>
      </c>
      <c r="M249" s="3" t="s">
        <v>298</v>
      </c>
      <c r="N249" t="s">
        <v>453</v>
      </c>
      <c r="O249">
        <v>1091</v>
      </c>
      <c r="P249">
        <v>18</v>
      </c>
      <c r="Q249">
        <v>23</v>
      </c>
      <c r="R249" t="s">
        <v>427</v>
      </c>
      <c r="T249">
        <v>0.4</v>
      </c>
    </row>
    <row r="250" spans="1:20" x14ac:dyDescent="0.25">
      <c r="A250">
        <v>342</v>
      </c>
      <c r="B250" s="3" t="s">
        <v>392</v>
      </c>
      <c r="C250" t="s">
        <v>453</v>
      </c>
      <c r="D250">
        <v>1692</v>
      </c>
      <c r="E250">
        <v>41</v>
      </c>
      <c r="F250">
        <v>68</v>
      </c>
      <c r="G250" t="s">
        <v>427</v>
      </c>
      <c r="L250">
        <v>342</v>
      </c>
      <c r="M250" s="3" t="s">
        <v>392</v>
      </c>
      <c r="N250" t="s">
        <v>453</v>
      </c>
      <c r="O250">
        <v>1410</v>
      </c>
      <c r="P250">
        <v>22</v>
      </c>
      <c r="Q250">
        <v>68</v>
      </c>
      <c r="R250" t="s">
        <v>427</v>
      </c>
    </row>
    <row r="251" spans="1:20" x14ac:dyDescent="0.25">
      <c r="A251">
        <v>343</v>
      </c>
      <c r="B251" t="s">
        <v>299</v>
      </c>
      <c r="C251" t="s">
        <v>453</v>
      </c>
      <c r="D251">
        <v>1297</v>
      </c>
      <c r="E251">
        <v>37</v>
      </c>
      <c r="F251">
        <v>32</v>
      </c>
      <c r="G251" t="s">
        <v>427</v>
      </c>
      <c r="L251">
        <v>343</v>
      </c>
      <c r="M251" s="3" t="s">
        <v>299</v>
      </c>
      <c r="N251" t="s">
        <v>453</v>
      </c>
      <c r="O251">
        <v>1081</v>
      </c>
      <c r="P251">
        <v>18</v>
      </c>
      <c r="Q251">
        <v>32</v>
      </c>
      <c r="R251" t="s">
        <v>427</v>
      </c>
    </row>
    <row r="252" spans="1:20" x14ac:dyDescent="0.25">
      <c r="A252">
        <v>344</v>
      </c>
      <c r="B252" t="s">
        <v>300</v>
      </c>
      <c r="C252" t="s">
        <v>453</v>
      </c>
      <c r="D252">
        <v>1261</v>
      </c>
      <c r="E252">
        <v>37</v>
      </c>
      <c r="F252">
        <v>18</v>
      </c>
      <c r="G252" t="s">
        <v>427</v>
      </c>
      <c r="L252">
        <v>344</v>
      </c>
      <c r="M252" s="3" t="s">
        <v>300</v>
      </c>
      <c r="N252" t="s">
        <v>453</v>
      </c>
      <c r="O252">
        <v>1051</v>
      </c>
      <c r="P252">
        <v>18</v>
      </c>
      <c r="Q252">
        <v>18</v>
      </c>
      <c r="R252" t="s">
        <v>427</v>
      </c>
    </row>
    <row r="253" spans="1:20" x14ac:dyDescent="0.25">
      <c r="A253">
        <v>345</v>
      </c>
      <c r="B253" t="s">
        <v>238</v>
      </c>
      <c r="C253" t="s">
        <v>420</v>
      </c>
      <c r="D253">
        <v>2092</v>
      </c>
      <c r="E253">
        <v>159</v>
      </c>
      <c r="F253">
        <v>35</v>
      </c>
      <c r="G253" t="s">
        <v>427</v>
      </c>
      <c r="L253">
        <v>345</v>
      </c>
      <c r="M253" t="s">
        <v>238</v>
      </c>
      <c r="N253" t="s">
        <v>420</v>
      </c>
      <c r="O253">
        <v>1758</v>
      </c>
      <c r="P253">
        <v>153</v>
      </c>
      <c r="Q253">
        <v>35</v>
      </c>
      <c r="R253" t="s">
        <v>427</v>
      </c>
    </row>
    <row r="254" spans="1:20" x14ac:dyDescent="0.25">
      <c r="A254">
        <v>346</v>
      </c>
      <c r="B254" t="s">
        <v>239</v>
      </c>
      <c r="C254" t="s">
        <v>420</v>
      </c>
      <c r="D254">
        <v>2033</v>
      </c>
      <c r="E254">
        <v>148</v>
      </c>
      <c r="F254">
        <v>38</v>
      </c>
      <c r="G254" t="s">
        <v>427</v>
      </c>
      <c r="L254">
        <v>346</v>
      </c>
      <c r="M254" t="s">
        <v>239</v>
      </c>
      <c r="N254" t="s">
        <v>420</v>
      </c>
      <c r="O254">
        <v>1708</v>
      </c>
      <c r="P254">
        <v>143</v>
      </c>
      <c r="Q254">
        <v>38</v>
      </c>
      <c r="R254" t="s">
        <v>427</v>
      </c>
    </row>
    <row r="255" spans="1:20" x14ac:dyDescent="0.25">
      <c r="A255">
        <v>347</v>
      </c>
      <c r="B255" s="3" t="s">
        <v>240</v>
      </c>
      <c r="C255" t="s">
        <v>420</v>
      </c>
      <c r="D255">
        <v>2021</v>
      </c>
      <c r="E255">
        <v>213</v>
      </c>
      <c r="F255">
        <v>77</v>
      </c>
      <c r="G255" t="s">
        <v>427</v>
      </c>
      <c r="L255">
        <v>347</v>
      </c>
      <c r="M255" t="s">
        <v>240</v>
      </c>
      <c r="N255" t="s">
        <v>420</v>
      </c>
      <c r="O255">
        <v>1684</v>
      </c>
      <c r="P255">
        <v>206</v>
      </c>
      <c r="Q255">
        <v>77</v>
      </c>
      <c r="R255" t="s">
        <v>427</v>
      </c>
    </row>
    <row r="256" spans="1:20" x14ac:dyDescent="0.25">
      <c r="A256">
        <v>348</v>
      </c>
      <c r="B256" s="3" t="s">
        <v>241</v>
      </c>
      <c r="C256" t="s">
        <v>420</v>
      </c>
      <c r="D256">
        <v>1376</v>
      </c>
      <c r="E256">
        <v>200</v>
      </c>
      <c r="F256">
        <v>69</v>
      </c>
      <c r="G256" t="s">
        <v>427</v>
      </c>
      <c r="L256">
        <v>348</v>
      </c>
      <c r="M256" t="s">
        <v>241</v>
      </c>
      <c r="N256" t="s">
        <v>420</v>
      </c>
      <c r="O256">
        <v>1147</v>
      </c>
      <c r="P256">
        <v>193</v>
      </c>
      <c r="Q256">
        <v>69</v>
      </c>
      <c r="R256" t="s">
        <v>427</v>
      </c>
    </row>
    <row r="257" spans="1:18" x14ac:dyDescent="0.25">
      <c r="A257">
        <v>349</v>
      </c>
      <c r="B257" s="3" t="s">
        <v>243</v>
      </c>
      <c r="C257" t="s">
        <v>419</v>
      </c>
      <c r="D257">
        <v>3185</v>
      </c>
      <c r="E257">
        <v>117</v>
      </c>
      <c r="F257">
        <v>67</v>
      </c>
      <c r="G257" t="s">
        <v>427</v>
      </c>
      <c r="L257">
        <v>349</v>
      </c>
      <c r="M257" t="s">
        <v>243</v>
      </c>
      <c r="N257" t="s">
        <v>419</v>
      </c>
      <c r="O257">
        <v>2831</v>
      </c>
      <c r="P257">
        <v>78</v>
      </c>
      <c r="Q257">
        <v>67</v>
      </c>
      <c r="R257" t="s">
        <v>427</v>
      </c>
    </row>
    <row r="258" spans="1:18" x14ac:dyDescent="0.25">
      <c r="A258">
        <v>350</v>
      </c>
      <c r="B258" t="s">
        <v>301</v>
      </c>
      <c r="C258" t="s">
        <v>453</v>
      </c>
      <c r="D258">
        <v>2819</v>
      </c>
      <c r="E258">
        <v>22</v>
      </c>
      <c r="F258">
        <v>60</v>
      </c>
      <c r="G258" t="s">
        <v>427</v>
      </c>
      <c r="L258">
        <v>350</v>
      </c>
      <c r="M258" t="s">
        <v>301</v>
      </c>
      <c r="N258" t="s">
        <v>453</v>
      </c>
      <c r="O258">
        <v>2349</v>
      </c>
      <c r="P258">
        <v>20</v>
      </c>
      <c r="Q258">
        <v>60</v>
      </c>
      <c r="R258" t="s">
        <v>427</v>
      </c>
    </row>
    <row r="259" spans="1:18" x14ac:dyDescent="0.25">
      <c r="A259">
        <v>351</v>
      </c>
      <c r="B259" s="3" t="s">
        <v>244</v>
      </c>
      <c r="C259" t="s">
        <v>420</v>
      </c>
      <c r="D259">
        <v>1376</v>
      </c>
      <c r="E259">
        <v>200</v>
      </c>
      <c r="F259">
        <v>24</v>
      </c>
      <c r="G259" t="s">
        <v>427</v>
      </c>
      <c r="L259">
        <v>351</v>
      </c>
      <c r="M259" t="s">
        <v>244</v>
      </c>
      <c r="N259" t="s">
        <v>420</v>
      </c>
      <c r="O259">
        <v>1147</v>
      </c>
      <c r="P259">
        <v>193</v>
      </c>
      <c r="Q259">
        <v>24</v>
      </c>
      <c r="R259" t="s">
        <v>427</v>
      </c>
    </row>
    <row r="260" spans="1:18" x14ac:dyDescent="0.25">
      <c r="A260">
        <v>352</v>
      </c>
      <c r="B260" s="3" t="s">
        <v>393</v>
      </c>
      <c r="C260" t="s">
        <v>451</v>
      </c>
      <c r="D260">
        <v>6788</v>
      </c>
      <c r="E260">
        <v>41</v>
      </c>
      <c r="F260">
        <v>35</v>
      </c>
      <c r="G260" t="s">
        <v>428</v>
      </c>
      <c r="L260">
        <v>352</v>
      </c>
      <c r="M260" t="s">
        <v>393</v>
      </c>
      <c r="N260" t="s">
        <v>451</v>
      </c>
      <c r="O260">
        <v>5827</v>
      </c>
      <c r="P260">
        <v>22</v>
      </c>
      <c r="Q260">
        <v>35</v>
      </c>
      <c r="R260" t="s">
        <v>428</v>
      </c>
    </row>
    <row r="261" spans="1:18" x14ac:dyDescent="0.25">
      <c r="A261">
        <v>353</v>
      </c>
      <c r="B261" s="3" t="s">
        <v>394</v>
      </c>
      <c r="C261" t="s">
        <v>433</v>
      </c>
      <c r="D261">
        <v>8036</v>
      </c>
      <c r="E261">
        <v>42</v>
      </c>
      <c r="F261">
        <v>17</v>
      </c>
      <c r="G261" t="s">
        <v>429</v>
      </c>
      <c r="L261">
        <v>353</v>
      </c>
      <c r="M261" t="s">
        <v>394</v>
      </c>
      <c r="N261" t="s">
        <v>433</v>
      </c>
      <c r="O261">
        <v>6897</v>
      </c>
      <c r="P261">
        <v>23</v>
      </c>
      <c r="Q261">
        <v>17</v>
      </c>
      <c r="R261" t="s">
        <v>429</v>
      </c>
    </row>
    <row r="262" spans="1:18" x14ac:dyDescent="0.25">
      <c r="A262">
        <v>354</v>
      </c>
      <c r="B262" t="s">
        <v>302</v>
      </c>
      <c r="C262" t="s">
        <v>433</v>
      </c>
      <c r="D262">
        <v>7783</v>
      </c>
      <c r="E262">
        <v>33</v>
      </c>
      <c r="F262">
        <v>82</v>
      </c>
      <c r="G262" t="s">
        <v>429</v>
      </c>
      <c r="L262">
        <v>354</v>
      </c>
      <c r="M262" t="s">
        <v>302</v>
      </c>
      <c r="N262" t="s">
        <v>433</v>
      </c>
      <c r="O262">
        <v>6738</v>
      </c>
      <c r="P262">
        <v>18</v>
      </c>
      <c r="Q262">
        <v>82</v>
      </c>
      <c r="R262" t="s">
        <v>429</v>
      </c>
    </row>
    <row r="263" spans="1:18" x14ac:dyDescent="0.25">
      <c r="A263">
        <v>355</v>
      </c>
      <c r="B263" s="3" t="s">
        <v>246</v>
      </c>
      <c r="C263" t="s">
        <v>420</v>
      </c>
      <c r="D263">
        <v>2054</v>
      </c>
      <c r="E263">
        <v>160</v>
      </c>
      <c r="F263">
        <v>34</v>
      </c>
      <c r="G263" t="s">
        <v>427</v>
      </c>
      <c r="L263">
        <v>355</v>
      </c>
      <c r="M263" t="s">
        <v>246</v>
      </c>
      <c r="N263" t="s">
        <v>420</v>
      </c>
      <c r="O263">
        <v>1712</v>
      </c>
      <c r="P263">
        <v>154</v>
      </c>
      <c r="Q263">
        <v>34</v>
      </c>
      <c r="R263" t="s">
        <v>427</v>
      </c>
    </row>
    <row r="264" spans="1:18" x14ac:dyDescent="0.25">
      <c r="A264">
        <v>356</v>
      </c>
      <c r="B264" s="3" t="s">
        <v>395</v>
      </c>
      <c r="C264" t="s">
        <v>448</v>
      </c>
      <c r="D264">
        <v>6626</v>
      </c>
      <c r="E264">
        <v>70</v>
      </c>
      <c r="F264">
        <v>73</v>
      </c>
      <c r="G264" t="s">
        <v>428</v>
      </c>
      <c r="L264">
        <v>356</v>
      </c>
      <c r="M264" t="s">
        <v>395</v>
      </c>
      <c r="N264" t="s">
        <v>448</v>
      </c>
      <c r="O264">
        <v>5712</v>
      </c>
      <c r="P264">
        <v>50</v>
      </c>
      <c r="Q264">
        <v>73</v>
      </c>
      <c r="R264" t="s">
        <v>428</v>
      </c>
    </row>
    <row r="265" spans="1:18" x14ac:dyDescent="0.25">
      <c r="A265">
        <v>357</v>
      </c>
      <c r="B265" t="s">
        <v>355</v>
      </c>
      <c r="C265" t="s">
        <v>449</v>
      </c>
      <c r="D265">
        <v>6647</v>
      </c>
      <c r="E265">
        <v>54</v>
      </c>
      <c r="F265">
        <v>90</v>
      </c>
      <c r="G265" t="s">
        <v>428</v>
      </c>
      <c r="L265">
        <v>357</v>
      </c>
      <c r="M265" t="s">
        <v>355</v>
      </c>
      <c r="N265" t="s">
        <v>449</v>
      </c>
      <c r="O265">
        <v>5730</v>
      </c>
      <c r="P265">
        <v>34</v>
      </c>
      <c r="Q265">
        <v>90</v>
      </c>
      <c r="R265" t="s">
        <v>428</v>
      </c>
    </row>
    <row r="266" spans="1:18" x14ac:dyDescent="0.25">
      <c r="A266">
        <v>358</v>
      </c>
      <c r="B266" t="s">
        <v>303</v>
      </c>
      <c r="C266" t="s">
        <v>453</v>
      </c>
      <c r="D266">
        <v>1924</v>
      </c>
      <c r="E266">
        <v>41</v>
      </c>
      <c r="F266">
        <v>79</v>
      </c>
      <c r="G266" t="s">
        <v>427</v>
      </c>
      <c r="L266">
        <v>358</v>
      </c>
      <c r="M266" t="s">
        <v>303</v>
      </c>
      <c r="N266" t="s">
        <v>453</v>
      </c>
      <c r="O266">
        <v>1603</v>
      </c>
      <c r="P266">
        <v>22</v>
      </c>
      <c r="Q266">
        <v>79</v>
      </c>
      <c r="R266" t="s">
        <v>427</v>
      </c>
    </row>
    <row r="267" spans="1:18" x14ac:dyDescent="0.25">
      <c r="A267">
        <v>359</v>
      </c>
      <c r="B267" s="3" t="s">
        <v>247</v>
      </c>
      <c r="C267" t="s">
        <v>420</v>
      </c>
      <c r="D267">
        <v>1571</v>
      </c>
      <c r="E267">
        <v>189</v>
      </c>
      <c r="F267">
        <v>41</v>
      </c>
      <c r="G267" t="s">
        <v>427</v>
      </c>
      <c r="L267">
        <v>359</v>
      </c>
      <c r="M267" t="s">
        <v>247</v>
      </c>
      <c r="N267" t="s">
        <v>420</v>
      </c>
      <c r="O267">
        <v>1309</v>
      </c>
      <c r="P267">
        <v>182</v>
      </c>
      <c r="Q267">
        <v>41</v>
      </c>
      <c r="R267" t="s">
        <v>427</v>
      </c>
    </row>
    <row r="268" spans="1:18" x14ac:dyDescent="0.25">
      <c r="A268">
        <v>360</v>
      </c>
      <c r="B268" t="s">
        <v>248</v>
      </c>
      <c r="C268" t="s">
        <v>419</v>
      </c>
      <c r="D268">
        <v>3301</v>
      </c>
      <c r="E268">
        <v>101</v>
      </c>
      <c r="F268">
        <v>67</v>
      </c>
      <c r="G268" t="s">
        <v>427</v>
      </c>
      <c r="L268">
        <v>360</v>
      </c>
      <c r="M268" t="s">
        <v>248</v>
      </c>
      <c r="N268" t="s">
        <v>419</v>
      </c>
      <c r="Q268">
        <v>67</v>
      </c>
      <c r="R268" t="s">
        <v>427</v>
      </c>
    </row>
    <row r="269" spans="1:18" x14ac:dyDescent="0.25">
      <c r="A269">
        <v>361</v>
      </c>
      <c r="B269" t="s">
        <v>249</v>
      </c>
      <c r="C269" t="s">
        <v>419</v>
      </c>
      <c r="D269">
        <v>3688</v>
      </c>
      <c r="E269">
        <v>100</v>
      </c>
      <c r="F269">
        <v>78</v>
      </c>
      <c r="G269" t="s">
        <v>427</v>
      </c>
      <c r="L269">
        <v>361</v>
      </c>
      <c r="M269" t="s">
        <v>249</v>
      </c>
      <c r="N269" t="s">
        <v>419</v>
      </c>
      <c r="O269" s="1">
        <v>3293</v>
      </c>
      <c r="P269" s="1">
        <v>76</v>
      </c>
      <c r="Q269">
        <v>78</v>
      </c>
      <c r="R269" t="s">
        <v>427</v>
      </c>
    </row>
    <row r="270" spans="1:18" x14ac:dyDescent="0.25">
      <c r="A270">
        <v>362</v>
      </c>
      <c r="B270" t="s">
        <v>251</v>
      </c>
      <c r="C270" t="s">
        <v>420</v>
      </c>
      <c r="D270">
        <v>1826</v>
      </c>
      <c r="E270">
        <v>163</v>
      </c>
      <c r="F270">
        <v>68</v>
      </c>
      <c r="G270" t="s">
        <v>427</v>
      </c>
      <c r="L270">
        <v>362</v>
      </c>
      <c r="M270" t="s">
        <v>251</v>
      </c>
      <c r="N270" t="s">
        <v>420</v>
      </c>
      <c r="O270">
        <v>1521</v>
      </c>
      <c r="P270">
        <v>157</v>
      </c>
      <c r="Q270">
        <v>68</v>
      </c>
      <c r="R270" t="s">
        <v>427</v>
      </c>
    </row>
    <row r="271" spans="1:18" x14ac:dyDescent="0.25">
      <c r="A271">
        <v>363</v>
      </c>
      <c r="B271" s="3" t="s">
        <v>252</v>
      </c>
      <c r="C271" t="s">
        <v>420</v>
      </c>
      <c r="D271">
        <v>1826</v>
      </c>
      <c r="E271">
        <v>163</v>
      </c>
      <c r="F271">
        <v>75</v>
      </c>
      <c r="G271" t="s">
        <v>427</v>
      </c>
      <c r="L271">
        <v>363</v>
      </c>
      <c r="M271" t="s">
        <v>252</v>
      </c>
      <c r="N271" t="s">
        <v>420</v>
      </c>
      <c r="O271">
        <v>1521</v>
      </c>
      <c r="P271">
        <v>157</v>
      </c>
      <c r="Q271">
        <v>75</v>
      </c>
      <c r="R271" t="s">
        <v>427</v>
      </c>
    </row>
    <row r="272" spans="1:18" x14ac:dyDescent="0.25">
      <c r="A272">
        <v>364</v>
      </c>
      <c r="B272" t="s">
        <v>253</v>
      </c>
      <c r="C272" t="s">
        <v>432</v>
      </c>
      <c r="D272">
        <v>4152</v>
      </c>
      <c r="E272">
        <v>57</v>
      </c>
      <c r="F272">
        <v>76</v>
      </c>
      <c r="G272" t="s">
        <v>428</v>
      </c>
      <c r="L272">
        <v>364</v>
      </c>
      <c r="M272" t="s">
        <v>253</v>
      </c>
      <c r="N272" t="s">
        <v>432</v>
      </c>
      <c r="O272">
        <v>3707</v>
      </c>
      <c r="P272">
        <v>24</v>
      </c>
      <c r="Q272">
        <v>76</v>
      </c>
      <c r="R272" t="s">
        <v>428</v>
      </c>
    </row>
    <row r="273" spans="1:19" x14ac:dyDescent="0.25">
      <c r="A273">
        <v>365</v>
      </c>
      <c r="B273" t="s">
        <v>254</v>
      </c>
      <c r="C273" t="s">
        <v>420</v>
      </c>
      <c r="D273">
        <v>2054</v>
      </c>
      <c r="E273">
        <v>160</v>
      </c>
      <c r="F273">
        <v>75</v>
      </c>
      <c r="G273" t="s">
        <v>427</v>
      </c>
      <c r="L273">
        <v>365</v>
      </c>
      <c r="M273" t="s">
        <v>254</v>
      </c>
      <c r="N273" t="s">
        <v>420</v>
      </c>
      <c r="O273">
        <v>1712</v>
      </c>
      <c r="P273">
        <v>154</v>
      </c>
      <c r="Q273">
        <v>75</v>
      </c>
      <c r="R273" t="s">
        <v>427</v>
      </c>
    </row>
    <row r="274" spans="1:19" x14ac:dyDescent="0.25">
      <c r="A274">
        <v>366</v>
      </c>
      <c r="B274" t="s">
        <v>255</v>
      </c>
      <c r="C274" t="s">
        <v>419</v>
      </c>
      <c r="D274">
        <v>3301</v>
      </c>
      <c r="E274">
        <v>101</v>
      </c>
      <c r="F274">
        <v>67</v>
      </c>
      <c r="G274" t="s">
        <v>427</v>
      </c>
      <c r="L274">
        <v>366</v>
      </c>
      <c r="M274" t="s">
        <v>255</v>
      </c>
      <c r="N274" t="s">
        <v>419</v>
      </c>
      <c r="Q274">
        <v>67</v>
      </c>
      <c r="R274" t="s">
        <v>427</v>
      </c>
    </row>
    <row r="275" spans="1:19" x14ac:dyDescent="0.25">
      <c r="A275">
        <v>367</v>
      </c>
      <c r="B275" t="s">
        <v>304</v>
      </c>
      <c r="C275" t="s">
        <v>451</v>
      </c>
      <c r="D275">
        <v>7654</v>
      </c>
      <c r="E275">
        <v>41</v>
      </c>
      <c r="F275">
        <v>23</v>
      </c>
      <c r="G275" t="s">
        <v>428</v>
      </c>
      <c r="H275">
        <v>0.1</v>
      </c>
      <c r="L275">
        <v>367</v>
      </c>
      <c r="M275" t="s">
        <v>304</v>
      </c>
      <c r="N275" t="s">
        <v>451</v>
      </c>
      <c r="O275">
        <v>6514</v>
      </c>
      <c r="P275">
        <v>24</v>
      </c>
      <c r="Q275">
        <v>23</v>
      </c>
      <c r="R275" t="s">
        <v>428</v>
      </c>
      <c r="S275">
        <v>0.1</v>
      </c>
    </row>
    <row r="276" spans="1:19" x14ac:dyDescent="0.25">
      <c r="A276">
        <v>368</v>
      </c>
      <c r="B276" s="3" t="s">
        <v>396</v>
      </c>
      <c r="C276" t="s">
        <v>433</v>
      </c>
      <c r="D276">
        <v>8303</v>
      </c>
      <c r="E276">
        <v>39</v>
      </c>
      <c r="F276">
        <v>42</v>
      </c>
      <c r="G276" t="s">
        <v>429</v>
      </c>
      <c r="L276">
        <v>368</v>
      </c>
      <c r="M276" t="s">
        <v>412</v>
      </c>
      <c r="N276" t="s">
        <v>433</v>
      </c>
      <c r="O276">
        <v>7115</v>
      </c>
      <c r="P276">
        <v>20</v>
      </c>
      <c r="Q276">
        <v>42</v>
      </c>
      <c r="R276" t="s">
        <v>429</v>
      </c>
    </row>
    <row r="277" spans="1:19" x14ac:dyDescent="0.25">
      <c r="A277">
        <v>369</v>
      </c>
      <c r="B277" s="3" t="s">
        <v>256</v>
      </c>
      <c r="C277" t="s">
        <v>420</v>
      </c>
      <c r="D277">
        <v>1561</v>
      </c>
      <c r="E277">
        <v>193</v>
      </c>
      <c r="F277">
        <v>87</v>
      </c>
      <c r="G277" t="s">
        <v>427</v>
      </c>
      <c r="L277">
        <v>369</v>
      </c>
      <c r="M277" t="s">
        <v>256</v>
      </c>
      <c r="N277" t="s">
        <v>420</v>
      </c>
      <c r="O277">
        <v>1301</v>
      </c>
      <c r="P277">
        <v>187</v>
      </c>
      <c r="Q277">
        <v>87</v>
      </c>
      <c r="R277" t="s">
        <v>427</v>
      </c>
    </row>
    <row r="278" spans="1:19" x14ac:dyDescent="0.25">
      <c r="A278">
        <v>370</v>
      </c>
      <c r="B278" s="3" t="s">
        <v>257</v>
      </c>
      <c r="C278" t="s">
        <v>420</v>
      </c>
      <c r="D278">
        <v>2157</v>
      </c>
      <c r="E278">
        <v>191</v>
      </c>
      <c r="F278">
        <v>40</v>
      </c>
      <c r="G278" t="s">
        <v>427</v>
      </c>
      <c r="L278">
        <v>370</v>
      </c>
      <c r="M278" t="s">
        <v>257</v>
      </c>
      <c r="N278" t="s">
        <v>420</v>
      </c>
      <c r="O278">
        <v>1798</v>
      </c>
      <c r="P278">
        <v>185</v>
      </c>
      <c r="Q278">
        <v>40</v>
      </c>
      <c r="R278" t="s">
        <v>427</v>
      </c>
    </row>
    <row r="279" spans="1:19" x14ac:dyDescent="0.25">
      <c r="A279">
        <v>371</v>
      </c>
      <c r="B279" s="3" t="s">
        <v>10</v>
      </c>
      <c r="C279" t="s">
        <v>419</v>
      </c>
      <c r="D279">
        <v>3744</v>
      </c>
      <c r="E279">
        <v>97</v>
      </c>
      <c r="F279">
        <v>70</v>
      </c>
      <c r="G279" t="s">
        <v>427</v>
      </c>
      <c r="L279">
        <v>371</v>
      </c>
      <c r="M279" t="s">
        <v>10</v>
      </c>
      <c r="N279" t="s">
        <v>419</v>
      </c>
      <c r="O279">
        <v>3343</v>
      </c>
      <c r="P279">
        <v>73</v>
      </c>
      <c r="Q279">
        <v>70</v>
      </c>
      <c r="R279" t="s">
        <v>427</v>
      </c>
    </row>
    <row r="280" spans="1:19" x14ac:dyDescent="0.25">
      <c r="A280">
        <v>372</v>
      </c>
      <c r="B280" t="s">
        <v>305</v>
      </c>
      <c r="C280" t="s">
        <v>419</v>
      </c>
      <c r="D280">
        <v>2981</v>
      </c>
      <c r="E280">
        <v>92</v>
      </c>
      <c r="F280">
        <v>24</v>
      </c>
      <c r="G280" t="s">
        <v>427</v>
      </c>
      <c r="L280">
        <v>372</v>
      </c>
      <c r="M280" t="s">
        <v>258</v>
      </c>
      <c r="N280" t="s">
        <v>419</v>
      </c>
      <c r="O280">
        <v>2638</v>
      </c>
      <c r="P280">
        <v>68</v>
      </c>
      <c r="Q280">
        <v>24</v>
      </c>
      <c r="R280" t="s">
        <v>427</v>
      </c>
    </row>
    <row r="281" spans="1:19" x14ac:dyDescent="0.25">
      <c r="A281">
        <v>373</v>
      </c>
      <c r="B281" s="3" t="s">
        <v>259</v>
      </c>
      <c r="C281" t="s">
        <v>419</v>
      </c>
      <c r="D281">
        <v>2789</v>
      </c>
      <c r="E281">
        <v>92</v>
      </c>
      <c r="F281">
        <v>45</v>
      </c>
      <c r="G281" t="s">
        <v>427</v>
      </c>
      <c r="L281">
        <v>373</v>
      </c>
      <c r="M281" t="s">
        <v>259</v>
      </c>
      <c r="N281" t="s">
        <v>419</v>
      </c>
      <c r="O281">
        <v>2468</v>
      </c>
      <c r="P281">
        <v>68</v>
      </c>
      <c r="Q281">
        <v>45</v>
      </c>
      <c r="R281" t="s">
        <v>427</v>
      </c>
    </row>
    <row r="282" spans="1:19" x14ac:dyDescent="0.25">
      <c r="A282">
        <v>374</v>
      </c>
      <c r="B282" t="s">
        <v>260</v>
      </c>
      <c r="C282" t="s">
        <v>420</v>
      </c>
      <c r="D282">
        <v>2054</v>
      </c>
      <c r="E282">
        <v>160</v>
      </c>
      <c r="F282">
        <v>77</v>
      </c>
      <c r="G282" t="s">
        <v>427</v>
      </c>
      <c r="L282">
        <v>374</v>
      </c>
      <c r="M282" t="s">
        <v>260</v>
      </c>
      <c r="N282" t="s">
        <v>420</v>
      </c>
      <c r="O282">
        <v>1712</v>
      </c>
      <c r="P282">
        <v>154</v>
      </c>
      <c r="Q282">
        <v>77</v>
      </c>
      <c r="R282" t="s">
        <v>427</v>
      </c>
    </row>
    <row r="283" spans="1:19" x14ac:dyDescent="0.25">
      <c r="A283">
        <v>375</v>
      </c>
      <c r="B283" s="3" t="s">
        <v>261</v>
      </c>
      <c r="C283" t="s">
        <v>420</v>
      </c>
      <c r="D283">
        <v>2115</v>
      </c>
      <c r="E283">
        <v>160</v>
      </c>
      <c r="F283">
        <v>89</v>
      </c>
      <c r="G283" t="s">
        <v>427</v>
      </c>
      <c r="L283">
        <v>375</v>
      </c>
      <c r="M283" t="s">
        <v>261</v>
      </c>
      <c r="N283" t="s">
        <v>420</v>
      </c>
      <c r="O283">
        <v>1762</v>
      </c>
      <c r="P283">
        <v>154</v>
      </c>
      <c r="Q283">
        <v>89</v>
      </c>
      <c r="R283" t="s">
        <v>427</v>
      </c>
    </row>
    <row r="284" spans="1:19" x14ac:dyDescent="0.25">
      <c r="A284">
        <v>376</v>
      </c>
      <c r="B284" t="s">
        <v>338</v>
      </c>
      <c r="C284" t="s">
        <v>448</v>
      </c>
      <c r="D284">
        <v>4707</v>
      </c>
      <c r="E284">
        <v>62</v>
      </c>
      <c r="F284">
        <v>82</v>
      </c>
      <c r="G284" t="s">
        <v>428</v>
      </c>
      <c r="L284">
        <v>376</v>
      </c>
      <c r="M284" t="s">
        <v>338</v>
      </c>
      <c r="N284" t="s">
        <v>448</v>
      </c>
      <c r="O284">
        <v>4023</v>
      </c>
      <c r="P284">
        <v>39</v>
      </c>
      <c r="Q284">
        <v>82</v>
      </c>
      <c r="R284" t="s">
        <v>428</v>
      </c>
    </row>
    <row r="285" spans="1:19" x14ac:dyDescent="0.25">
      <c r="A285">
        <v>377</v>
      </c>
      <c r="B285" t="s">
        <v>306</v>
      </c>
      <c r="C285" t="s">
        <v>448</v>
      </c>
      <c r="D285">
        <v>4796</v>
      </c>
      <c r="E285">
        <v>83</v>
      </c>
      <c r="F285">
        <v>78</v>
      </c>
      <c r="G285" t="s">
        <v>428</v>
      </c>
      <c r="L285">
        <v>377</v>
      </c>
      <c r="M285" t="s">
        <v>306</v>
      </c>
      <c r="N285" t="s">
        <v>448</v>
      </c>
      <c r="O285">
        <v>4135</v>
      </c>
      <c r="P285">
        <v>54</v>
      </c>
      <c r="Q285">
        <v>78</v>
      </c>
      <c r="R285" t="s">
        <v>428</v>
      </c>
    </row>
    <row r="286" spans="1:19" x14ac:dyDescent="0.25">
      <c r="A286">
        <v>378</v>
      </c>
      <c r="B286" t="s">
        <v>307</v>
      </c>
      <c r="C286" t="s">
        <v>449</v>
      </c>
      <c r="D286">
        <v>6647</v>
      </c>
      <c r="E286">
        <v>54</v>
      </c>
      <c r="F286">
        <v>83</v>
      </c>
      <c r="G286" t="s">
        <v>428</v>
      </c>
      <c r="L286">
        <v>378</v>
      </c>
      <c r="M286" t="s">
        <v>307</v>
      </c>
      <c r="N286" t="s">
        <v>449</v>
      </c>
      <c r="O286">
        <v>5730</v>
      </c>
      <c r="P286">
        <v>34</v>
      </c>
      <c r="Q286">
        <v>83</v>
      </c>
      <c r="R286" t="s">
        <v>428</v>
      </c>
    </row>
    <row r="287" spans="1:19" x14ac:dyDescent="0.25">
      <c r="A287">
        <v>379</v>
      </c>
      <c r="B287" t="s">
        <v>459</v>
      </c>
      <c r="C287" t="s">
        <v>420</v>
      </c>
      <c r="D287">
        <v>2053</v>
      </c>
      <c r="E287">
        <v>148</v>
      </c>
      <c r="F287">
        <v>44</v>
      </c>
      <c r="G287" t="s">
        <v>427</v>
      </c>
      <c r="L287">
        <v>379</v>
      </c>
      <c r="M287" t="s">
        <v>459</v>
      </c>
      <c r="N287" t="s">
        <v>420</v>
      </c>
      <c r="O287">
        <v>1725</v>
      </c>
      <c r="P287">
        <v>143</v>
      </c>
      <c r="Q287">
        <v>44</v>
      </c>
      <c r="R287" t="s">
        <v>427</v>
      </c>
    </row>
    <row r="288" spans="1:19" x14ac:dyDescent="0.25">
      <c r="A288">
        <v>3005</v>
      </c>
      <c r="B288" t="s">
        <v>11</v>
      </c>
      <c r="C288" t="s">
        <v>420</v>
      </c>
      <c r="D288">
        <v>1900</v>
      </c>
      <c r="E288">
        <v>187</v>
      </c>
      <c r="F288">
        <v>66</v>
      </c>
      <c r="G288" t="s">
        <v>427</v>
      </c>
      <c r="L288">
        <v>3005</v>
      </c>
      <c r="M288" t="s">
        <v>11</v>
      </c>
      <c r="N288" t="s">
        <v>420</v>
      </c>
      <c r="O288">
        <v>1611</v>
      </c>
      <c r="P288">
        <v>181</v>
      </c>
      <c r="Q288">
        <v>66</v>
      </c>
      <c r="R288" t="s">
        <v>427</v>
      </c>
    </row>
    <row r="289" spans="1:18" x14ac:dyDescent="0.25">
      <c r="A289">
        <v>3006</v>
      </c>
      <c r="B289" s="3" t="s">
        <v>19</v>
      </c>
      <c r="C289" t="s">
        <v>420</v>
      </c>
      <c r="D289">
        <v>1900</v>
      </c>
      <c r="E289">
        <v>187</v>
      </c>
      <c r="F289">
        <v>63</v>
      </c>
      <c r="G289" t="s">
        <v>427</v>
      </c>
      <c r="L289">
        <v>3006</v>
      </c>
      <c r="M289" s="3" t="s">
        <v>19</v>
      </c>
      <c r="N289" t="s">
        <v>420</v>
      </c>
      <c r="O289">
        <v>1611</v>
      </c>
      <c r="P289">
        <v>181</v>
      </c>
      <c r="Q289">
        <v>63</v>
      </c>
      <c r="R289" t="s">
        <v>427</v>
      </c>
    </row>
    <row r="290" spans="1:18" x14ac:dyDescent="0.25">
      <c r="A290">
        <v>3019</v>
      </c>
      <c r="B290" s="3" t="s">
        <v>42</v>
      </c>
      <c r="C290" t="s">
        <v>420</v>
      </c>
      <c r="D290">
        <v>2145</v>
      </c>
      <c r="E290">
        <v>203</v>
      </c>
      <c r="F290">
        <v>18</v>
      </c>
      <c r="G290" t="s">
        <v>427</v>
      </c>
      <c r="L290">
        <v>3019</v>
      </c>
      <c r="M290" s="3" t="s">
        <v>42</v>
      </c>
      <c r="N290" t="s">
        <v>420</v>
      </c>
      <c r="O290">
        <v>1815</v>
      </c>
      <c r="P290">
        <v>197</v>
      </c>
      <c r="Q290">
        <v>18</v>
      </c>
      <c r="R290" t="s">
        <v>427</v>
      </c>
    </row>
    <row r="291" spans="1:18" x14ac:dyDescent="0.25">
      <c r="A291">
        <v>3026</v>
      </c>
      <c r="B291" s="3" t="s">
        <v>361</v>
      </c>
      <c r="C291" t="s">
        <v>420</v>
      </c>
      <c r="D291">
        <v>2025</v>
      </c>
      <c r="E291">
        <v>160</v>
      </c>
      <c r="F291">
        <v>45</v>
      </c>
      <c r="G291" t="s">
        <v>427</v>
      </c>
      <c r="L291">
        <v>3026</v>
      </c>
      <c r="M291" s="3" t="s">
        <v>361</v>
      </c>
      <c r="N291" t="s">
        <v>420</v>
      </c>
      <c r="O291">
        <v>1723</v>
      </c>
      <c r="P291">
        <v>154</v>
      </c>
      <c r="Q291">
        <v>45</v>
      </c>
      <c r="R291" t="s">
        <v>427</v>
      </c>
    </row>
    <row r="292" spans="1:18" x14ac:dyDescent="0.25">
      <c r="A292">
        <v>3027</v>
      </c>
      <c r="B292" s="3" t="s">
        <v>45</v>
      </c>
      <c r="C292" t="s">
        <v>420</v>
      </c>
      <c r="D292">
        <v>2025</v>
      </c>
      <c r="E292">
        <v>160</v>
      </c>
      <c r="F292">
        <v>47</v>
      </c>
      <c r="G292" t="s">
        <v>427</v>
      </c>
      <c r="L292">
        <v>3027</v>
      </c>
      <c r="M292" s="3" t="s">
        <v>45</v>
      </c>
      <c r="N292" t="s">
        <v>420</v>
      </c>
      <c r="O292">
        <v>1723</v>
      </c>
      <c r="P292">
        <v>154</v>
      </c>
      <c r="Q292">
        <v>47</v>
      </c>
      <c r="R292" t="s">
        <v>427</v>
      </c>
    </row>
    <row r="293" spans="1:18" x14ac:dyDescent="0.25">
      <c r="A293">
        <v>3036</v>
      </c>
      <c r="B293" t="s">
        <v>56</v>
      </c>
      <c r="C293" t="s">
        <v>419</v>
      </c>
      <c r="D293">
        <v>3995</v>
      </c>
      <c r="E293">
        <v>95</v>
      </c>
      <c r="F293">
        <v>85</v>
      </c>
      <c r="G293" t="s">
        <v>427</v>
      </c>
      <c r="L293">
        <v>3036</v>
      </c>
      <c r="M293" t="s">
        <v>56</v>
      </c>
      <c r="N293" t="s">
        <v>419</v>
      </c>
      <c r="O293">
        <v>3578</v>
      </c>
      <c r="P293">
        <v>73</v>
      </c>
      <c r="Q293">
        <v>85</v>
      </c>
      <c r="R293" t="s">
        <v>427</v>
      </c>
    </row>
    <row r="294" spans="1:18" x14ac:dyDescent="0.25">
      <c r="A294">
        <v>3044</v>
      </c>
      <c r="B294" s="3" t="s">
        <v>64</v>
      </c>
      <c r="C294" t="s">
        <v>432</v>
      </c>
      <c r="D294">
        <v>5355</v>
      </c>
      <c r="E294">
        <v>78</v>
      </c>
      <c r="F294">
        <v>78</v>
      </c>
      <c r="G294" t="s">
        <v>428</v>
      </c>
      <c r="L294">
        <v>3044</v>
      </c>
      <c r="M294" s="3" t="s">
        <v>64</v>
      </c>
      <c r="N294" t="s">
        <v>432</v>
      </c>
      <c r="O294">
        <v>4866</v>
      </c>
      <c r="P294">
        <v>45</v>
      </c>
      <c r="Q294">
        <v>78</v>
      </c>
      <c r="R294" t="s">
        <v>428</v>
      </c>
    </row>
    <row r="295" spans="1:18" x14ac:dyDescent="0.25">
      <c r="A295">
        <v>3052</v>
      </c>
      <c r="B295" s="3" t="s">
        <v>362</v>
      </c>
      <c r="C295" t="s">
        <v>433</v>
      </c>
      <c r="D295">
        <v>7214</v>
      </c>
      <c r="E295">
        <v>26</v>
      </c>
      <c r="F295">
        <v>75</v>
      </c>
      <c r="G295" t="s">
        <v>429</v>
      </c>
      <c r="L295">
        <v>3052</v>
      </c>
      <c r="M295" s="3" t="s">
        <v>362</v>
      </c>
      <c r="N295" t="s">
        <v>433</v>
      </c>
      <c r="O295">
        <v>6200</v>
      </c>
      <c r="P295">
        <v>11</v>
      </c>
      <c r="Q295">
        <v>75</v>
      </c>
      <c r="R295" t="s">
        <v>429</v>
      </c>
    </row>
    <row r="296" spans="1:18" x14ac:dyDescent="0.25">
      <c r="A296">
        <v>3053</v>
      </c>
      <c r="B296" s="3" t="s">
        <v>363</v>
      </c>
      <c r="C296" t="s">
        <v>433</v>
      </c>
      <c r="D296">
        <v>7196</v>
      </c>
      <c r="E296">
        <v>26</v>
      </c>
      <c r="F296">
        <v>38</v>
      </c>
      <c r="G296" t="s">
        <v>429</v>
      </c>
      <c r="L296">
        <v>3053</v>
      </c>
      <c r="M296" s="3" t="s">
        <v>363</v>
      </c>
      <c r="N296" t="s">
        <v>433</v>
      </c>
      <c r="O296">
        <v>6200</v>
      </c>
      <c r="P296">
        <v>11</v>
      </c>
      <c r="Q296">
        <v>38</v>
      </c>
      <c r="R296" t="s">
        <v>429</v>
      </c>
    </row>
    <row r="297" spans="1:18" x14ac:dyDescent="0.25">
      <c r="A297">
        <v>3070</v>
      </c>
      <c r="B297" s="3" t="s">
        <v>374</v>
      </c>
      <c r="C297" t="s">
        <v>448</v>
      </c>
      <c r="D297">
        <v>4901</v>
      </c>
      <c r="E297">
        <v>66</v>
      </c>
      <c r="F297">
        <v>68</v>
      </c>
      <c r="G297" t="s">
        <v>428</v>
      </c>
      <c r="L297">
        <v>3070</v>
      </c>
      <c r="M297" s="3" t="s">
        <v>374</v>
      </c>
      <c r="N297" t="s">
        <v>448</v>
      </c>
      <c r="O297">
        <v>4254</v>
      </c>
      <c r="P297">
        <v>39</v>
      </c>
      <c r="Q297">
        <v>68</v>
      </c>
      <c r="R297" t="s">
        <v>428</v>
      </c>
    </row>
    <row r="298" spans="1:18" x14ac:dyDescent="0.25">
      <c r="A298">
        <v>3071</v>
      </c>
      <c r="B298" s="3" t="s">
        <v>373</v>
      </c>
      <c r="C298" t="s">
        <v>448</v>
      </c>
      <c r="D298">
        <v>4163</v>
      </c>
      <c r="E298">
        <v>67</v>
      </c>
      <c r="F298">
        <v>78</v>
      </c>
      <c r="G298" t="s">
        <v>428</v>
      </c>
      <c r="L298">
        <v>3071</v>
      </c>
      <c r="M298" s="3" t="s">
        <v>373</v>
      </c>
      <c r="N298" t="s">
        <v>448</v>
      </c>
      <c r="O298">
        <v>3589</v>
      </c>
      <c r="P298">
        <v>39</v>
      </c>
      <c r="Q298">
        <v>78</v>
      </c>
      <c r="R298" t="s">
        <v>428</v>
      </c>
    </row>
    <row r="299" spans="1:18" x14ac:dyDescent="0.25">
      <c r="A299">
        <v>3072</v>
      </c>
      <c r="B299" s="3" t="s">
        <v>371</v>
      </c>
      <c r="C299" t="s">
        <v>448</v>
      </c>
      <c r="D299">
        <v>4700</v>
      </c>
      <c r="E299">
        <v>80</v>
      </c>
      <c r="F299">
        <v>32</v>
      </c>
      <c r="G299" t="s">
        <v>428</v>
      </c>
      <c r="L299">
        <v>3072</v>
      </c>
      <c r="M299" s="3" t="s">
        <v>371</v>
      </c>
      <c r="N299" t="s">
        <v>448</v>
      </c>
      <c r="O299">
        <v>4085</v>
      </c>
      <c r="P299">
        <v>38</v>
      </c>
      <c r="Q299">
        <v>32</v>
      </c>
      <c r="R299" t="s">
        <v>428</v>
      </c>
    </row>
    <row r="300" spans="1:18" x14ac:dyDescent="0.25">
      <c r="A300">
        <v>3074</v>
      </c>
      <c r="B300" s="3" t="s">
        <v>370</v>
      </c>
      <c r="C300" t="s">
        <v>449</v>
      </c>
      <c r="D300">
        <v>7122</v>
      </c>
      <c r="E300">
        <v>57</v>
      </c>
      <c r="F300">
        <v>66</v>
      </c>
      <c r="G300" t="s">
        <v>428</v>
      </c>
      <c r="L300">
        <v>3074</v>
      </c>
      <c r="M300" s="3" t="s">
        <v>370</v>
      </c>
      <c r="N300" t="s">
        <v>449</v>
      </c>
      <c r="O300">
        <v>6326</v>
      </c>
      <c r="P300">
        <v>34</v>
      </c>
      <c r="Q300">
        <v>66</v>
      </c>
      <c r="R300" t="s">
        <v>428</v>
      </c>
    </row>
    <row r="301" spans="1:18" x14ac:dyDescent="0.25">
      <c r="A301">
        <v>3075</v>
      </c>
      <c r="B301" s="3" t="s">
        <v>372</v>
      </c>
      <c r="C301" t="s">
        <v>448</v>
      </c>
      <c r="D301">
        <v>5019</v>
      </c>
      <c r="E301">
        <v>73</v>
      </c>
      <c r="F301">
        <v>71</v>
      </c>
      <c r="G301" t="s">
        <v>428</v>
      </c>
      <c r="L301">
        <v>3075</v>
      </c>
      <c r="M301" s="3" t="s">
        <v>372</v>
      </c>
      <c r="N301" t="s">
        <v>448</v>
      </c>
      <c r="O301">
        <v>4360</v>
      </c>
      <c r="P301">
        <v>49</v>
      </c>
      <c r="Q301">
        <v>71</v>
      </c>
      <c r="R301" t="s">
        <v>428</v>
      </c>
    </row>
    <row r="302" spans="1:18" x14ac:dyDescent="0.25">
      <c r="A302">
        <v>3082</v>
      </c>
      <c r="B302" s="3" t="s">
        <v>73</v>
      </c>
      <c r="C302" t="s">
        <v>420</v>
      </c>
      <c r="D302">
        <v>1535</v>
      </c>
      <c r="E302">
        <v>244</v>
      </c>
      <c r="F302">
        <v>43</v>
      </c>
      <c r="G302" t="s">
        <v>427</v>
      </c>
      <c r="L302">
        <v>3082</v>
      </c>
      <c r="M302" s="3" t="s">
        <v>73</v>
      </c>
      <c r="N302" t="s">
        <v>420</v>
      </c>
      <c r="O302">
        <v>1307</v>
      </c>
      <c r="P302">
        <v>238</v>
      </c>
      <c r="Q302">
        <v>43</v>
      </c>
      <c r="R302" t="s">
        <v>427</v>
      </c>
    </row>
    <row r="303" spans="1:18" x14ac:dyDescent="0.25">
      <c r="A303">
        <v>3083</v>
      </c>
      <c r="B303" s="3" t="s">
        <v>75</v>
      </c>
      <c r="C303" t="s">
        <v>420</v>
      </c>
      <c r="D303">
        <v>1535</v>
      </c>
      <c r="E303">
        <v>244</v>
      </c>
      <c r="F303">
        <v>35</v>
      </c>
      <c r="G303" t="s">
        <v>427</v>
      </c>
      <c r="L303">
        <v>3083</v>
      </c>
      <c r="M303" s="3" t="s">
        <v>75</v>
      </c>
      <c r="N303" t="s">
        <v>420</v>
      </c>
      <c r="O303">
        <v>1307</v>
      </c>
      <c r="P303">
        <v>238</v>
      </c>
      <c r="Q303">
        <v>35</v>
      </c>
      <c r="R303" t="s">
        <v>427</v>
      </c>
    </row>
    <row r="304" spans="1:18" x14ac:dyDescent="0.25">
      <c r="A304">
        <v>3088</v>
      </c>
      <c r="B304" s="3" t="s">
        <v>79</v>
      </c>
      <c r="C304" t="s">
        <v>420</v>
      </c>
      <c r="D304">
        <v>1524</v>
      </c>
      <c r="E304">
        <v>245</v>
      </c>
      <c r="F304">
        <v>54</v>
      </c>
      <c r="G304" t="s">
        <v>427</v>
      </c>
      <c r="L304">
        <v>3088</v>
      </c>
      <c r="M304" s="3" t="s">
        <v>79</v>
      </c>
      <c r="N304" t="s">
        <v>420</v>
      </c>
      <c r="O304">
        <v>1298</v>
      </c>
      <c r="P304">
        <v>239</v>
      </c>
      <c r="Q304">
        <v>54</v>
      </c>
      <c r="R304" t="s">
        <v>427</v>
      </c>
    </row>
    <row r="305" spans="1:18" x14ac:dyDescent="0.25">
      <c r="A305">
        <v>3089</v>
      </c>
      <c r="B305" s="3" t="s">
        <v>81</v>
      </c>
      <c r="C305" t="s">
        <v>420</v>
      </c>
      <c r="D305">
        <v>1524</v>
      </c>
      <c r="E305">
        <v>240</v>
      </c>
      <c r="F305">
        <v>35</v>
      </c>
      <c r="G305" t="s">
        <v>427</v>
      </c>
      <c r="L305">
        <v>3089</v>
      </c>
      <c r="M305" s="3" t="s">
        <v>81</v>
      </c>
      <c r="N305" t="s">
        <v>420</v>
      </c>
      <c r="O305">
        <v>1298</v>
      </c>
      <c r="P305">
        <v>234</v>
      </c>
      <c r="Q305">
        <v>35</v>
      </c>
      <c r="R305" t="s">
        <v>427</v>
      </c>
    </row>
    <row r="306" spans="1:18" x14ac:dyDescent="0.25">
      <c r="A306">
        <v>3090</v>
      </c>
      <c r="B306" s="3" t="s">
        <v>83</v>
      </c>
      <c r="C306" t="s">
        <v>420</v>
      </c>
      <c r="D306">
        <v>1524</v>
      </c>
      <c r="E306">
        <v>255</v>
      </c>
      <c r="F306">
        <v>72</v>
      </c>
      <c r="G306" t="s">
        <v>427</v>
      </c>
      <c r="L306">
        <v>3090</v>
      </c>
      <c r="M306" s="3" t="s">
        <v>83</v>
      </c>
      <c r="N306" t="s">
        <v>420</v>
      </c>
      <c r="O306">
        <v>1298</v>
      </c>
      <c r="P306">
        <v>249</v>
      </c>
      <c r="Q306">
        <v>72</v>
      </c>
      <c r="R306" t="s">
        <v>427</v>
      </c>
    </row>
    <row r="307" spans="1:18" x14ac:dyDescent="0.25">
      <c r="A307">
        <v>3091</v>
      </c>
      <c r="B307" s="3" t="s">
        <v>85</v>
      </c>
      <c r="C307" t="s">
        <v>420</v>
      </c>
      <c r="D307">
        <v>1538</v>
      </c>
      <c r="E307">
        <v>249</v>
      </c>
      <c r="F307">
        <v>68</v>
      </c>
      <c r="G307" t="s">
        <v>427</v>
      </c>
      <c r="L307">
        <v>3091</v>
      </c>
      <c r="M307" s="3" t="s">
        <v>85</v>
      </c>
      <c r="N307" t="s">
        <v>420</v>
      </c>
      <c r="O307">
        <v>1309</v>
      </c>
      <c r="P307">
        <v>243</v>
      </c>
      <c r="Q307">
        <v>68</v>
      </c>
      <c r="R307" t="s">
        <v>427</v>
      </c>
    </row>
    <row r="308" spans="1:18" x14ac:dyDescent="0.25">
      <c r="A308">
        <v>3092</v>
      </c>
      <c r="B308" t="s">
        <v>87</v>
      </c>
      <c r="C308" t="s">
        <v>420</v>
      </c>
      <c r="D308">
        <v>1567</v>
      </c>
      <c r="E308">
        <v>249</v>
      </c>
      <c r="F308">
        <v>68</v>
      </c>
      <c r="G308" t="s">
        <v>427</v>
      </c>
      <c r="L308">
        <v>3092</v>
      </c>
      <c r="M308" t="s">
        <v>87</v>
      </c>
      <c r="N308" t="s">
        <v>420</v>
      </c>
      <c r="O308">
        <v>1333</v>
      </c>
      <c r="P308">
        <v>243</v>
      </c>
      <c r="Q308">
        <v>68</v>
      </c>
      <c r="R308" t="s">
        <v>427</v>
      </c>
    </row>
    <row r="309" spans="1:18" x14ac:dyDescent="0.25">
      <c r="A309">
        <v>3101</v>
      </c>
      <c r="B309" s="3" t="s">
        <v>91</v>
      </c>
      <c r="C309" t="s">
        <v>420</v>
      </c>
      <c r="D309">
        <v>1746</v>
      </c>
      <c r="E309">
        <v>250</v>
      </c>
      <c r="F309">
        <v>65</v>
      </c>
      <c r="G309" t="s">
        <v>427</v>
      </c>
      <c r="L309">
        <v>3101</v>
      </c>
      <c r="M309" s="3" t="s">
        <v>91</v>
      </c>
      <c r="N309" t="s">
        <v>420</v>
      </c>
      <c r="O309">
        <v>1482</v>
      </c>
      <c r="P309">
        <v>244</v>
      </c>
      <c r="Q309">
        <v>65</v>
      </c>
      <c r="R309" t="s">
        <v>427</v>
      </c>
    </row>
    <row r="310" spans="1:18" x14ac:dyDescent="0.25">
      <c r="A310">
        <v>3104</v>
      </c>
      <c r="B310" s="3" t="s">
        <v>95</v>
      </c>
      <c r="C310" t="s">
        <v>419</v>
      </c>
      <c r="D310">
        <v>3486</v>
      </c>
      <c r="E310">
        <v>102</v>
      </c>
      <c r="F310">
        <v>44</v>
      </c>
      <c r="G310" t="s">
        <v>427</v>
      </c>
      <c r="L310">
        <v>3104</v>
      </c>
      <c r="M310" s="3" t="s">
        <v>95</v>
      </c>
      <c r="N310" t="s">
        <v>419</v>
      </c>
      <c r="O310">
        <v>3126</v>
      </c>
      <c r="P310">
        <v>77</v>
      </c>
      <c r="Q310">
        <v>44</v>
      </c>
      <c r="R310" t="s">
        <v>427</v>
      </c>
    </row>
    <row r="311" spans="1:18" x14ac:dyDescent="0.25">
      <c r="A311">
        <v>3105</v>
      </c>
      <c r="B311" s="3" t="s">
        <v>97</v>
      </c>
      <c r="C311" t="s">
        <v>419</v>
      </c>
      <c r="D311">
        <v>3214</v>
      </c>
      <c r="E311">
        <v>97</v>
      </c>
      <c r="F311">
        <v>54</v>
      </c>
      <c r="G311" t="s">
        <v>427</v>
      </c>
      <c r="L311">
        <v>3105</v>
      </c>
      <c r="M311" s="3" t="s">
        <v>97</v>
      </c>
      <c r="N311" t="s">
        <v>419</v>
      </c>
      <c r="O311">
        <v>2872</v>
      </c>
      <c r="P311">
        <v>73</v>
      </c>
      <c r="Q311">
        <v>54</v>
      </c>
      <c r="R311" t="s">
        <v>427</v>
      </c>
    </row>
    <row r="312" spans="1:18" x14ac:dyDescent="0.25">
      <c r="A312">
        <v>3106</v>
      </c>
      <c r="B312" s="3" t="s">
        <v>99</v>
      </c>
      <c r="C312" t="s">
        <v>419</v>
      </c>
      <c r="D312">
        <v>3214</v>
      </c>
      <c r="E312">
        <v>97</v>
      </c>
      <c r="F312">
        <v>74</v>
      </c>
      <c r="G312" t="s">
        <v>427</v>
      </c>
      <c r="L312">
        <v>3106</v>
      </c>
      <c r="M312" s="3" t="s">
        <v>99</v>
      </c>
      <c r="N312" t="s">
        <v>419</v>
      </c>
      <c r="O312">
        <v>2872</v>
      </c>
      <c r="P312">
        <v>73</v>
      </c>
      <c r="Q312">
        <v>74</v>
      </c>
      <c r="R312" t="s">
        <v>427</v>
      </c>
    </row>
    <row r="313" spans="1:18" x14ac:dyDescent="0.25">
      <c r="A313">
        <v>3122</v>
      </c>
      <c r="B313" s="3" t="s">
        <v>110</v>
      </c>
      <c r="C313" t="s">
        <v>432</v>
      </c>
      <c r="D313">
        <v>3754</v>
      </c>
      <c r="E313">
        <v>65</v>
      </c>
      <c r="F313">
        <v>72</v>
      </c>
      <c r="G313" t="s">
        <v>427</v>
      </c>
      <c r="L313">
        <v>3122</v>
      </c>
      <c r="M313" s="3" t="s">
        <v>110</v>
      </c>
      <c r="N313" t="s">
        <v>432</v>
      </c>
      <c r="O313">
        <v>3354</v>
      </c>
      <c r="P313">
        <v>21</v>
      </c>
      <c r="Q313">
        <v>72</v>
      </c>
      <c r="R313" t="s">
        <v>427</v>
      </c>
    </row>
    <row r="314" spans="1:18" x14ac:dyDescent="0.25">
      <c r="A314">
        <v>3125</v>
      </c>
      <c r="B314" s="3" t="s">
        <v>114</v>
      </c>
      <c r="C314" t="s">
        <v>432</v>
      </c>
      <c r="D314">
        <v>3916</v>
      </c>
      <c r="E314">
        <v>92</v>
      </c>
      <c r="F314">
        <v>15</v>
      </c>
      <c r="G314" t="s">
        <v>428</v>
      </c>
      <c r="L314">
        <v>3125</v>
      </c>
      <c r="M314" s="3" t="s">
        <v>114</v>
      </c>
      <c r="N314" t="s">
        <v>432</v>
      </c>
      <c r="O314">
        <v>3493</v>
      </c>
      <c r="P314">
        <v>43</v>
      </c>
      <c r="Q314">
        <v>15</v>
      </c>
      <c r="R314" t="s">
        <v>428</v>
      </c>
    </row>
    <row r="315" spans="1:18" x14ac:dyDescent="0.25">
      <c r="A315">
        <v>3126</v>
      </c>
      <c r="B315" s="3" t="s">
        <v>116</v>
      </c>
      <c r="C315" t="s">
        <v>432</v>
      </c>
      <c r="D315">
        <v>3945</v>
      </c>
      <c r="E315">
        <v>72</v>
      </c>
      <c r="F315">
        <v>49</v>
      </c>
      <c r="G315" t="s">
        <v>428</v>
      </c>
      <c r="L315">
        <v>3126</v>
      </c>
      <c r="M315" s="3" t="s">
        <v>116</v>
      </c>
      <c r="N315" t="s">
        <v>432</v>
      </c>
      <c r="O315">
        <v>3519</v>
      </c>
      <c r="P315">
        <v>23</v>
      </c>
      <c r="Q315">
        <v>49</v>
      </c>
      <c r="R315" t="s">
        <v>428</v>
      </c>
    </row>
    <row r="316" spans="1:18" x14ac:dyDescent="0.25">
      <c r="A316">
        <v>3131</v>
      </c>
      <c r="B316" s="3" t="s">
        <v>364</v>
      </c>
      <c r="C316" t="s">
        <v>433</v>
      </c>
      <c r="D316">
        <v>8023</v>
      </c>
      <c r="E316">
        <v>33</v>
      </c>
      <c r="F316">
        <v>90</v>
      </c>
      <c r="G316" t="s">
        <v>429</v>
      </c>
      <c r="L316">
        <v>3131</v>
      </c>
      <c r="M316" s="3" t="s">
        <v>364</v>
      </c>
      <c r="N316" t="s">
        <v>433</v>
      </c>
      <c r="O316">
        <v>6950</v>
      </c>
      <c r="P316">
        <v>15</v>
      </c>
      <c r="Q316">
        <v>90</v>
      </c>
      <c r="R316" t="s">
        <v>429</v>
      </c>
    </row>
    <row r="317" spans="1:18" x14ac:dyDescent="0.25">
      <c r="A317">
        <v>3155</v>
      </c>
      <c r="B317" s="3" t="s">
        <v>121</v>
      </c>
      <c r="C317" t="s">
        <v>420</v>
      </c>
      <c r="D317">
        <v>1963</v>
      </c>
      <c r="E317">
        <v>214</v>
      </c>
      <c r="F317">
        <v>36</v>
      </c>
      <c r="G317" t="s">
        <v>427</v>
      </c>
      <c r="L317">
        <v>3155</v>
      </c>
      <c r="M317" s="3" t="s">
        <v>121</v>
      </c>
      <c r="N317" t="s">
        <v>420</v>
      </c>
      <c r="O317">
        <v>1663</v>
      </c>
      <c r="P317">
        <v>208</v>
      </c>
      <c r="Q317">
        <v>36</v>
      </c>
      <c r="R317" t="s">
        <v>427</v>
      </c>
    </row>
    <row r="318" spans="1:18" x14ac:dyDescent="0.25">
      <c r="A318">
        <v>3167</v>
      </c>
      <c r="B318" s="3" t="s">
        <v>130</v>
      </c>
      <c r="C318" t="s">
        <v>420</v>
      </c>
      <c r="D318">
        <v>2050</v>
      </c>
      <c r="E318">
        <v>192</v>
      </c>
      <c r="F318">
        <v>25</v>
      </c>
      <c r="G318" t="s">
        <v>427</v>
      </c>
      <c r="L318">
        <v>3167</v>
      </c>
      <c r="M318" s="3" t="s">
        <v>130</v>
      </c>
      <c r="N318" t="s">
        <v>420</v>
      </c>
      <c r="O318">
        <v>1736</v>
      </c>
      <c r="P318">
        <v>186</v>
      </c>
      <c r="Q318">
        <v>25</v>
      </c>
      <c r="R318" t="s">
        <v>427</v>
      </c>
    </row>
    <row r="319" spans="1:18" x14ac:dyDescent="0.25">
      <c r="A319">
        <v>3168</v>
      </c>
      <c r="B319" t="s">
        <v>132</v>
      </c>
      <c r="C319" t="s">
        <v>420</v>
      </c>
      <c r="D319">
        <v>1908</v>
      </c>
      <c r="E319">
        <v>212</v>
      </c>
      <c r="F319">
        <v>25</v>
      </c>
      <c r="G319" t="s">
        <v>427</v>
      </c>
      <c r="L319">
        <v>3168</v>
      </c>
      <c r="M319" t="s">
        <v>132</v>
      </c>
      <c r="N319" t="s">
        <v>420</v>
      </c>
      <c r="O319">
        <v>1600</v>
      </c>
      <c r="P319">
        <v>206</v>
      </c>
      <c r="Q319">
        <v>25</v>
      </c>
      <c r="R319" t="s">
        <v>427</v>
      </c>
    </row>
    <row r="320" spans="1:18" x14ac:dyDescent="0.25">
      <c r="A320">
        <v>3187</v>
      </c>
      <c r="B320" t="s">
        <v>308</v>
      </c>
      <c r="C320" t="s">
        <v>420</v>
      </c>
      <c r="D320">
        <v>3131</v>
      </c>
      <c r="E320">
        <v>105</v>
      </c>
      <c r="F320">
        <v>43</v>
      </c>
      <c r="G320" t="s">
        <v>427</v>
      </c>
      <c r="L320">
        <v>3187</v>
      </c>
      <c r="M320" t="s">
        <v>308</v>
      </c>
      <c r="N320" t="s">
        <v>420</v>
      </c>
      <c r="O320">
        <v>2787</v>
      </c>
      <c r="P320">
        <v>80</v>
      </c>
      <c r="Q320">
        <v>43</v>
      </c>
      <c r="R320" t="s">
        <v>427</v>
      </c>
    </row>
    <row r="321" spans="1:18" x14ac:dyDescent="0.25">
      <c r="A321">
        <v>3188</v>
      </c>
      <c r="B321" s="3" t="s">
        <v>144</v>
      </c>
      <c r="C321" t="s">
        <v>432</v>
      </c>
      <c r="D321">
        <v>4623</v>
      </c>
      <c r="E321">
        <v>80</v>
      </c>
      <c r="F321">
        <v>14</v>
      </c>
      <c r="G321" t="s">
        <v>428</v>
      </c>
      <c r="L321">
        <v>3188</v>
      </c>
      <c r="M321" s="3" t="s">
        <v>144</v>
      </c>
      <c r="N321" t="s">
        <v>432</v>
      </c>
      <c r="O321">
        <v>4141</v>
      </c>
      <c r="P321">
        <v>34</v>
      </c>
      <c r="Q321">
        <v>14</v>
      </c>
      <c r="R321" t="s">
        <v>428</v>
      </c>
    </row>
    <row r="322" spans="1:18" x14ac:dyDescent="0.25">
      <c r="A322">
        <v>3190</v>
      </c>
      <c r="B322" s="3" t="s">
        <v>147</v>
      </c>
      <c r="C322" t="s">
        <v>432</v>
      </c>
      <c r="D322">
        <v>3719</v>
      </c>
      <c r="E322">
        <v>75</v>
      </c>
      <c r="F322">
        <v>34</v>
      </c>
      <c r="G322" t="s">
        <v>428</v>
      </c>
      <c r="L322">
        <v>3190</v>
      </c>
      <c r="M322" s="3" t="s">
        <v>147</v>
      </c>
      <c r="N322" t="s">
        <v>432</v>
      </c>
      <c r="O322">
        <v>3323</v>
      </c>
      <c r="P322">
        <v>33</v>
      </c>
      <c r="Q322">
        <v>34</v>
      </c>
      <c r="R322" t="s">
        <v>428</v>
      </c>
    </row>
    <row r="323" spans="1:18" x14ac:dyDescent="0.25">
      <c r="A323">
        <v>3191</v>
      </c>
      <c r="B323" s="3" t="s">
        <v>149</v>
      </c>
      <c r="C323" t="s">
        <v>432</v>
      </c>
      <c r="D323">
        <v>3719</v>
      </c>
      <c r="E323">
        <v>75</v>
      </c>
      <c r="F323">
        <v>34</v>
      </c>
      <c r="G323" t="s">
        <v>428</v>
      </c>
      <c r="L323">
        <v>3191</v>
      </c>
      <c r="M323" s="3" t="s">
        <v>149</v>
      </c>
      <c r="N323" t="s">
        <v>432</v>
      </c>
      <c r="O323">
        <v>3323</v>
      </c>
      <c r="P323">
        <v>33</v>
      </c>
      <c r="Q323">
        <v>34</v>
      </c>
      <c r="R323" t="s">
        <v>428</v>
      </c>
    </row>
    <row r="324" spans="1:18" x14ac:dyDescent="0.25">
      <c r="A324">
        <v>3208</v>
      </c>
      <c r="B324" s="3" t="s">
        <v>365</v>
      </c>
      <c r="C324" t="s">
        <v>433</v>
      </c>
      <c r="D324">
        <v>7266</v>
      </c>
      <c r="E324">
        <v>31</v>
      </c>
      <c r="F324">
        <v>13</v>
      </c>
      <c r="G324" t="s">
        <v>429</v>
      </c>
      <c r="L324">
        <v>3208</v>
      </c>
      <c r="M324" s="3" t="s">
        <v>365</v>
      </c>
      <c r="N324" t="s">
        <v>433</v>
      </c>
      <c r="O324">
        <v>6261</v>
      </c>
      <c r="P324">
        <v>13</v>
      </c>
      <c r="Q324">
        <v>13</v>
      </c>
      <c r="R324" t="s">
        <v>429</v>
      </c>
    </row>
    <row r="325" spans="1:18" x14ac:dyDescent="0.25">
      <c r="A325">
        <v>3209</v>
      </c>
      <c r="B325" t="s">
        <v>329</v>
      </c>
      <c r="C325" t="s">
        <v>433</v>
      </c>
      <c r="D325">
        <v>7657</v>
      </c>
      <c r="E325">
        <v>31</v>
      </c>
      <c r="F325">
        <v>14</v>
      </c>
      <c r="G325" t="s">
        <v>429</v>
      </c>
      <c r="L325">
        <v>3209</v>
      </c>
      <c r="M325" t="s">
        <v>329</v>
      </c>
      <c r="N325" t="s">
        <v>433</v>
      </c>
      <c r="O325">
        <v>6596</v>
      </c>
      <c r="P325">
        <v>13</v>
      </c>
      <c r="Q325">
        <v>14</v>
      </c>
      <c r="R325" t="s">
        <v>429</v>
      </c>
    </row>
    <row r="326" spans="1:18" x14ac:dyDescent="0.25">
      <c r="A326">
        <v>3210</v>
      </c>
      <c r="B326" t="s">
        <v>334</v>
      </c>
      <c r="C326" t="s">
        <v>433</v>
      </c>
      <c r="D326">
        <v>7243</v>
      </c>
      <c r="E326">
        <v>31</v>
      </c>
      <c r="F326">
        <v>60</v>
      </c>
      <c r="G326" t="s">
        <v>429</v>
      </c>
      <c r="L326">
        <v>3210</v>
      </c>
      <c r="M326" t="s">
        <v>334</v>
      </c>
      <c r="N326" t="s">
        <v>433</v>
      </c>
      <c r="O326">
        <v>6205</v>
      </c>
      <c r="P326">
        <v>13</v>
      </c>
      <c r="Q326">
        <v>60</v>
      </c>
      <c r="R326" t="s">
        <v>429</v>
      </c>
    </row>
    <row r="327" spans="1:18" x14ac:dyDescent="0.25">
      <c r="A327">
        <v>3211</v>
      </c>
      <c r="B327" s="3" t="s">
        <v>369</v>
      </c>
      <c r="C327" t="s">
        <v>433</v>
      </c>
      <c r="D327">
        <v>7243</v>
      </c>
      <c r="E327">
        <v>31</v>
      </c>
      <c r="F327">
        <v>60</v>
      </c>
      <c r="G327" t="s">
        <v>429</v>
      </c>
      <c r="L327">
        <v>3211</v>
      </c>
      <c r="M327" s="3" t="s">
        <v>369</v>
      </c>
      <c r="N327" t="s">
        <v>433</v>
      </c>
      <c r="O327">
        <v>6205</v>
      </c>
      <c r="P327">
        <v>13</v>
      </c>
      <c r="Q327">
        <v>60</v>
      </c>
      <c r="R327" t="s">
        <v>429</v>
      </c>
    </row>
    <row r="328" spans="1:18" x14ac:dyDescent="0.25">
      <c r="A328">
        <v>3222</v>
      </c>
      <c r="B328" s="3" t="s">
        <v>368</v>
      </c>
      <c r="C328" t="s">
        <v>448</v>
      </c>
      <c r="D328">
        <v>4523</v>
      </c>
      <c r="E328">
        <v>70</v>
      </c>
      <c r="F328">
        <v>24</v>
      </c>
      <c r="G328" t="s">
        <v>428</v>
      </c>
      <c r="L328">
        <v>3222</v>
      </c>
      <c r="M328" s="3" t="s">
        <v>368</v>
      </c>
      <c r="N328" t="s">
        <v>448</v>
      </c>
      <c r="O328">
        <v>3932</v>
      </c>
      <c r="P328">
        <v>50</v>
      </c>
      <c r="Q328">
        <v>24</v>
      </c>
      <c r="R328" t="s">
        <v>428</v>
      </c>
    </row>
    <row r="329" spans="1:18" x14ac:dyDescent="0.25">
      <c r="A329">
        <v>3226</v>
      </c>
      <c r="B329" s="3" t="s">
        <v>366</v>
      </c>
      <c r="C329" t="s">
        <v>449</v>
      </c>
      <c r="D329">
        <v>5456</v>
      </c>
      <c r="E329">
        <v>66</v>
      </c>
      <c r="F329">
        <v>36</v>
      </c>
      <c r="G329" t="s">
        <v>428</v>
      </c>
      <c r="L329">
        <v>3226</v>
      </c>
      <c r="M329" s="3" t="s">
        <v>366</v>
      </c>
      <c r="N329" t="s">
        <v>449</v>
      </c>
      <c r="O329">
        <v>5246</v>
      </c>
      <c r="P329">
        <v>56</v>
      </c>
      <c r="Q329">
        <v>36</v>
      </c>
      <c r="R329" t="s">
        <v>428</v>
      </c>
    </row>
    <row r="330" spans="1:18" x14ac:dyDescent="0.25">
      <c r="A330">
        <v>3227</v>
      </c>
      <c r="B330" s="3" t="s">
        <v>367</v>
      </c>
      <c r="C330" t="s">
        <v>449</v>
      </c>
      <c r="D330">
        <v>5678</v>
      </c>
      <c r="E330">
        <v>66</v>
      </c>
      <c r="F330">
        <v>36</v>
      </c>
      <c r="G330" t="s">
        <v>428</v>
      </c>
      <c r="L330">
        <v>3227</v>
      </c>
      <c r="M330" s="3" t="s">
        <v>367</v>
      </c>
      <c r="N330" t="s">
        <v>449</v>
      </c>
      <c r="O330">
        <v>5468</v>
      </c>
      <c r="P330">
        <v>56</v>
      </c>
      <c r="Q330">
        <v>36</v>
      </c>
      <c r="R330" t="s">
        <v>428</v>
      </c>
    </row>
    <row r="331" spans="1:18" x14ac:dyDescent="0.25">
      <c r="A331">
        <v>3236</v>
      </c>
      <c r="B331" s="3" t="s">
        <v>161</v>
      </c>
      <c r="C331" t="s">
        <v>420</v>
      </c>
      <c r="D331">
        <v>2290</v>
      </c>
      <c r="E331">
        <v>162</v>
      </c>
      <c r="F331">
        <v>65</v>
      </c>
      <c r="G331" t="s">
        <v>427</v>
      </c>
      <c r="L331">
        <v>3236</v>
      </c>
      <c r="M331" s="3" t="s">
        <v>161</v>
      </c>
      <c r="N331" t="s">
        <v>420</v>
      </c>
      <c r="O331">
        <v>1951</v>
      </c>
      <c r="P331">
        <v>157</v>
      </c>
      <c r="Q331">
        <v>65</v>
      </c>
      <c r="R331" t="s">
        <v>427</v>
      </c>
    </row>
    <row r="332" spans="1:18" x14ac:dyDescent="0.25">
      <c r="A332">
        <v>3239</v>
      </c>
      <c r="B332" s="3" t="s">
        <v>165</v>
      </c>
      <c r="C332" t="s">
        <v>419</v>
      </c>
      <c r="D332">
        <v>3612</v>
      </c>
      <c r="E332">
        <v>100</v>
      </c>
      <c r="F332">
        <v>39</v>
      </c>
      <c r="G332" t="s">
        <v>427</v>
      </c>
      <c r="L332">
        <v>3239</v>
      </c>
      <c r="M332" s="3" t="s">
        <v>165</v>
      </c>
      <c r="N332" t="s">
        <v>419</v>
      </c>
      <c r="O332">
        <v>3229</v>
      </c>
      <c r="P332">
        <v>76</v>
      </c>
      <c r="Q332">
        <v>39</v>
      </c>
      <c r="R332" t="s">
        <v>427</v>
      </c>
    </row>
    <row r="333" spans="1:18" x14ac:dyDescent="0.25">
      <c r="A333">
        <v>3258</v>
      </c>
      <c r="B333" s="3" t="s">
        <v>178</v>
      </c>
      <c r="C333" t="s">
        <v>419</v>
      </c>
      <c r="D333">
        <v>2192</v>
      </c>
      <c r="E333">
        <v>110</v>
      </c>
      <c r="F333">
        <v>51</v>
      </c>
      <c r="G333" t="s">
        <v>427</v>
      </c>
      <c r="L333">
        <v>3258</v>
      </c>
      <c r="M333" s="3" t="s">
        <v>178</v>
      </c>
      <c r="N333" t="s">
        <v>419</v>
      </c>
      <c r="O333">
        <v>1996</v>
      </c>
      <c r="P333">
        <v>102</v>
      </c>
      <c r="Q333">
        <v>51</v>
      </c>
      <c r="R333" t="s">
        <v>427</v>
      </c>
    </row>
    <row r="334" spans="1:18" x14ac:dyDescent="0.25">
      <c r="A334">
        <v>3259</v>
      </c>
      <c r="B334" s="3" t="s">
        <v>180</v>
      </c>
      <c r="C334" t="s">
        <v>419</v>
      </c>
      <c r="D334">
        <v>2160</v>
      </c>
      <c r="E334">
        <v>107</v>
      </c>
      <c r="F334">
        <v>47</v>
      </c>
      <c r="G334" t="s">
        <v>427</v>
      </c>
      <c r="L334">
        <v>3259</v>
      </c>
      <c r="M334" s="3" t="s">
        <v>180</v>
      </c>
      <c r="N334" t="s">
        <v>419</v>
      </c>
      <c r="O334">
        <v>1967</v>
      </c>
      <c r="P334">
        <v>99</v>
      </c>
      <c r="Q334">
        <v>47</v>
      </c>
      <c r="R334" t="s">
        <v>427</v>
      </c>
    </row>
    <row r="335" spans="1:18" x14ac:dyDescent="0.25">
      <c r="A335">
        <v>3263</v>
      </c>
      <c r="B335" s="3" t="s">
        <v>183</v>
      </c>
      <c r="C335" t="s">
        <v>420</v>
      </c>
      <c r="D335">
        <v>2036</v>
      </c>
      <c r="E335">
        <v>162</v>
      </c>
      <c r="F335">
        <v>70</v>
      </c>
      <c r="G335" t="s">
        <v>427</v>
      </c>
      <c r="L335">
        <v>3263</v>
      </c>
      <c r="M335" s="3" t="s">
        <v>183</v>
      </c>
      <c r="N335" t="s">
        <v>420</v>
      </c>
      <c r="O335">
        <v>1731</v>
      </c>
      <c r="P335">
        <v>156</v>
      </c>
      <c r="Q335">
        <v>70</v>
      </c>
      <c r="R335" t="s">
        <v>427</v>
      </c>
    </row>
    <row r="336" spans="1:18" x14ac:dyDescent="0.25">
      <c r="A336">
        <v>3269</v>
      </c>
      <c r="B336" s="3" t="s">
        <v>189</v>
      </c>
      <c r="C336" t="s">
        <v>420</v>
      </c>
      <c r="D336">
        <v>1726</v>
      </c>
      <c r="E336">
        <v>193</v>
      </c>
      <c r="F336">
        <v>86</v>
      </c>
      <c r="G336" t="s">
        <v>427</v>
      </c>
      <c r="L336">
        <v>3269</v>
      </c>
      <c r="M336" s="3" t="s">
        <v>189</v>
      </c>
      <c r="N336" t="s">
        <v>420</v>
      </c>
      <c r="O336">
        <v>1466</v>
      </c>
      <c r="P336">
        <v>187</v>
      </c>
      <c r="Q336">
        <v>86</v>
      </c>
      <c r="R336" t="s">
        <v>427</v>
      </c>
    </row>
    <row r="337" spans="1:21" x14ac:dyDescent="0.25">
      <c r="A337">
        <v>3270</v>
      </c>
      <c r="B337" s="3" t="s">
        <v>191</v>
      </c>
      <c r="C337" t="s">
        <v>420</v>
      </c>
      <c r="D337">
        <v>1726</v>
      </c>
      <c r="E337">
        <v>190</v>
      </c>
      <c r="F337">
        <v>45</v>
      </c>
      <c r="G337" t="s">
        <v>427</v>
      </c>
      <c r="J337">
        <v>0.18</v>
      </c>
      <c r="L337">
        <v>3270</v>
      </c>
      <c r="M337" s="3" t="s">
        <v>191</v>
      </c>
      <c r="N337" t="s">
        <v>420</v>
      </c>
      <c r="O337">
        <v>1466</v>
      </c>
      <c r="P337">
        <v>184</v>
      </c>
      <c r="Q337">
        <v>45</v>
      </c>
      <c r="R337" t="s">
        <v>427</v>
      </c>
      <c r="U337">
        <v>0.18</v>
      </c>
    </row>
    <row r="338" spans="1:21" x14ac:dyDescent="0.25">
      <c r="A338">
        <v>3271</v>
      </c>
      <c r="B338" s="3" t="s">
        <v>193</v>
      </c>
      <c r="C338" t="s">
        <v>420</v>
      </c>
      <c r="D338">
        <v>1652</v>
      </c>
      <c r="E338">
        <v>193</v>
      </c>
      <c r="F338">
        <v>35</v>
      </c>
      <c r="G338" t="s">
        <v>427</v>
      </c>
      <c r="L338">
        <v>3271</v>
      </c>
      <c r="M338" s="3" t="s">
        <v>193</v>
      </c>
      <c r="N338" t="s">
        <v>420</v>
      </c>
      <c r="O338">
        <v>1404</v>
      </c>
      <c r="P338">
        <v>187</v>
      </c>
      <c r="Q338">
        <v>35</v>
      </c>
      <c r="R338" t="s">
        <v>427</v>
      </c>
    </row>
    <row r="339" spans="1:21" x14ac:dyDescent="0.25">
      <c r="A339">
        <v>3301</v>
      </c>
      <c r="B339" s="3" t="s">
        <v>207</v>
      </c>
      <c r="C339" t="s">
        <v>420</v>
      </c>
      <c r="D339">
        <v>2280</v>
      </c>
      <c r="E339">
        <v>160</v>
      </c>
      <c r="F339">
        <v>80</v>
      </c>
      <c r="G339" t="s">
        <v>427</v>
      </c>
      <c r="L339">
        <v>3301</v>
      </c>
      <c r="M339" s="3" t="s">
        <v>207</v>
      </c>
      <c r="N339" t="s">
        <v>420</v>
      </c>
      <c r="O339">
        <v>1927</v>
      </c>
      <c r="P339">
        <v>154</v>
      </c>
      <c r="Q339">
        <v>80</v>
      </c>
      <c r="R339" t="s">
        <v>427</v>
      </c>
    </row>
    <row r="340" spans="1:21" x14ac:dyDescent="0.25">
      <c r="A340">
        <v>3308</v>
      </c>
      <c r="B340" s="3" t="s">
        <v>214</v>
      </c>
      <c r="C340" t="s">
        <v>419</v>
      </c>
      <c r="D340">
        <v>2780</v>
      </c>
      <c r="E340">
        <v>108</v>
      </c>
      <c r="F340">
        <v>42</v>
      </c>
      <c r="G340" t="s">
        <v>427</v>
      </c>
      <c r="L340">
        <v>3308</v>
      </c>
      <c r="M340" s="3" t="s">
        <v>214</v>
      </c>
      <c r="N340" t="s">
        <v>419</v>
      </c>
      <c r="O340">
        <v>2483</v>
      </c>
      <c r="P340">
        <v>75</v>
      </c>
      <c r="Q340">
        <v>42</v>
      </c>
      <c r="R340" t="s">
        <v>427</v>
      </c>
    </row>
    <row r="341" spans="1:21" x14ac:dyDescent="0.25">
      <c r="A341">
        <v>3309</v>
      </c>
      <c r="B341" s="3" t="s">
        <v>216</v>
      </c>
      <c r="C341" t="s">
        <v>419</v>
      </c>
      <c r="D341">
        <v>2855</v>
      </c>
      <c r="E341">
        <v>108</v>
      </c>
      <c r="F341">
        <v>38</v>
      </c>
      <c r="G341" t="s">
        <v>427</v>
      </c>
      <c r="J341">
        <v>0.2</v>
      </c>
      <c r="L341">
        <v>3309</v>
      </c>
      <c r="M341" s="3" t="s">
        <v>216</v>
      </c>
      <c r="N341" t="s">
        <v>419</v>
      </c>
      <c r="O341">
        <v>2550</v>
      </c>
      <c r="P341">
        <v>75</v>
      </c>
      <c r="Q341">
        <v>38</v>
      </c>
      <c r="R341" t="s">
        <v>427</v>
      </c>
      <c r="U341">
        <v>0.2</v>
      </c>
    </row>
    <row r="342" spans="1:21" x14ac:dyDescent="0.25">
      <c r="A342">
        <v>3318</v>
      </c>
      <c r="B342" s="3" t="s">
        <v>221</v>
      </c>
      <c r="C342" t="s">
        <v>420</v>
      </c>
      <c r="D342">
        <v>2143</v>
      </c>
      <c r="E342">
        <v>211</v>
      </c>
      <c r="F342">
        <v>58</v>
      </c>
      <c r="G342" t="s">
        <v>427</v>
      </c>
      <c r="J342">
        <v>0.18</v>
      </c>
      <c r="L342">
        <v>3318</v>
      </c>
      <c r="M342" s="3" t="s">
        <v>221</v>
      </c>
      <c r="N342" t="s">
        <v>420</v>
      </c>
      <c r="O342">
        <v>1796</v>
      </c>
      <c r="P342">
        <v>205</v>
      </c>
      <c r="Q342">
        <v>58</v>
      </c>
      <c r="R342" t="s">
        <v>427</v>
      </c>
      <c r="U342">
        <v>0.18</v>
      </c>
    </row>
    <row r="343" spans="1:21" x14ac:dyDescent="0.25">
      <c r="A343">
        <v>3319</v>
      </c>
      <c r="B343" s="3" t="s">
        <v>223</v>
      </c>
      <c r="C343" t="s">
        <v>420</v>
      </c>
      <c r="D343">
        <v>2143</v>
      </c>
      <c r="E343">
        <v>211</v>
      </c>
      <c r="F343">
        <v>52</v>
      </c>
      <c r="G343" t="s">
        <v>427</v>
      </c>
      <c r="L343">
        <v>3319</v>
      </c>
      <c r="M343" s="3" t="s">
        <v>223</v>
      </c>
      <c r="N343" t="s">
        <v>420</v>
      </c>
      <c r="O343">
        <v>1796</v>
      </c>
      <c r="P343">
        <v>205</v>
      </c>
      <c r="Q343">
        <v>52</v>
      </c>
      <c r="R343" t="s">
        <v>427</v>
      </c>
    </row>
    <row r="344" spans="1:21" x14ac:dyDescent="0.25">
      <c r="A344">
        <v>3348</v>
      </c>
      <c r="B344" s="3" t="s">
        <v>242</v>
      </c>
      <c r="C344" t="s">
        <v>420</v>
      </c>
      <c r="D344">
        <v>1436</v>
      </c>
      <c r="E344">
        <v>200</v>
      </c>
      <c r="F344">
        <v>69</v>
      </c>
      <c r="G344" t="s">
        <v>427</v>
      </c>
      <c r="J344">
        <v>0.18</v>
      </c>
      <c r="L344">
        <v>3348</v>
      </c>
      <c r="M344" s="3" t="s">
        <v>242</v>
      </c>
      <c r="N344" t="s">
        <v>420</v>
      </c>
      <c r="O344">
        <v>1207</v>
      </c>
      <c r="P344">
        <v>193</v>
      </c>
      <c r="Q344">
        <v>69</v>
      </c>
      <c r="R344" t="s">
        <v>427</v>
      </c>
      <c r="U344">
        <v>0.18</v>
      </c>
    </row>
    <row r="345" spans="1:21" x14ac:dyDescent="0.25">
      <c r="A345">
        <v>3351</v>
      </c>
      <c r="B345" s="3" t="s">
        <v>245</v>
      </c>
      <c r="C345" t="s">
        <v>420</v>
      </c>
      <c r="D345">
        <v>1436</v>
      </c>
      <c r="E345">
        <v>200</v>
      </c>
      <c r="F345">
        <v>24</v>
      </c>
      <c r="G345" t="s">
        <v>427</v>
      </c>
      <c r="J345">
        <v>0.18</v>
      </c>
      <c r="L345">
        <v>3351</v>
      </c>
      <c r="M345" s="3" t="s">
        <v>245</v>
      </c>
      <c r="N345" t="s">
        <v>420</v>
      </c>
      <c r="O345">
        <v>1207</v>
      </c>
      <c r="P345">
        <v>193</v>
      </c>
      <c r="Q345">
        <v>24</v>
      </c>
      <c r="R345" t="s">
        <v>427</v>
      </c>
      <c r="U345">
        <v>0.18</v>
      </c>
    </row>
    <row r="346" spans="1:21" x14ac:dyDescent="0.25">
      <c r="A346">
        <v>3361</v>
      </c>
      <c r="B346" s="3" t="s">
        <v>250</v>
      </c>
      <c r="C346" t="s">
        <v>419</v>
      </c>
      <c r="D346">
        <v>3928</v>
      </c>
      <c r="E346">
        <v>100</v>
      </c>
      <c r="F346">
        <v>78</v>
      </c>
      <c r="G346" t="s">
        <v>427</v>
      </c>
      <c r="L346">
        <v>3361</v>
      </c>
      <c r="M346" s="3" t="s">
        <v>250</v>
      </c>
      <c r="N346" t="s">
        <v>419</v>
      </c>
      <c r="O346">
        <v>3533</v>
      </c>
      <c r="P346">
        <v>76</v>
      </c>
      <c r="Q346">
        <v>78</v>
      </c>
      <c r="R346" t="s">
        <v>427</v>
      </c>
    </row>
    <row r="347" spans="1:21" x14ac:dyDescent="0.25">
      <c r="A347" t="s">
        <v>309</v>
      </c>
      <c r="B347" s="3" t="s">
        <v>397</v>
      </c>
      <c r="C347" t="s">
        <v>419</v>
      </c>
      <c r="D347">
        <v>3430</v>
      </c>
      <c r="E347">
        <v>100</v>
      </c>
      <c r="F347">
        <v>73</v>
      </c>
      <c r="G347" t="s">
        <v>427</v>
      </c>
      <c r="L347" s="3" t="s">
        <v>309</v>
      </c>
      <c r="M347" t="s">
        <v>398</v>
      </c>
      <c r="N347" t="s">
        <v>419</v>
      </c>
      <c r="O347">
        <v>3387</v>
      </c>
      <c r="P347">
        <v>30</v>
      </c>
      <c r="Q347">
        <v>73</v>
      </c>
      <c r="R347" t="s">
        <v>427</v>
      </c>
    </row>
    <row r="348" spans="1:21" x14ac:dyDescent="0.25">
      <c r="A348" t="s">
        <v>310</v>
      </c>
      <c r="B348" s="3" t="s">
        <v>398</v>
      </c>
      <c r="C348" t="s">
        <v>432</v>
      </c>
      <c r="D348">
        <v>3828</v>
      </c>
      <c r="E348">
        <v>65</v>
      </c>
      <c r="F348">
        <v>83</v>
      </c>
      <c r="G348" t="s">
        <v>428</v>
      </c>
      <c r="L348" s="3" t="s">
        <v>309</v>
      </c>
      <c r="M348" t="s">
        <v>397</v>
      </c>
      <c r="N348" t="s">
        <v>432</v>
      </c>
      <c r="O348">
        <v>3041</v>
      </c>
      <c r="P348">
        <v>73</v>
      </c>
      <c r="Q348">
        <v>83</v>
      </c>
      <c r="R348" t="s">
        <v>428</v>
      </c>
    </row>
    <row r="349" spans="1:21" x14ac:dyDescent="0.25">
      <c r="A349" t="s">
        <v>311</v>
      </c>
      <c r="B349" t="s">
        <v>312</v>
      </c>
      <c r="C349" t="s">
        <v>420</v>
      </c>
      <c r="D349">
        <v>1800</v>
      </c>
      <c r="E349">
        <v>175</v>
      </c>
      <c r="F349">
        <v>71</v>
      </c>
      <c r="G349" t="s">
        <v>427</v>
      </c>
      <c r="L349" s="3" t="s">
        <v>311</v>
      </c>
      <c r="M349" t="s">
        <v>312</v>
      </c>
      <c r="N349" t="s">
        <v>420</v>
      </c>
      <c r="O349">
        <v>1513</v>
      </c>
      <c r="P349">
        <v>169</v>
      </c>
      <c r="Q349">
        <v>71</v>
      </c>
      <c r="R349" t="s">
        <v>427</v>
      </c>
    </row>
    <row r="350" spans="1:21" x14ac:dyDescent="0.25">
      <c r="A350" t="s">
        <v>341</v>
      </c>
      <c r="B350" s="3" t="s">
        <v>399</v>
      </c>
      <c r="C350" t="s">
        <v>449</v>
      </c>
      <c r="D350">
        <v>5523</v>
      </c>
      <c r="E350">
        <v>48</v>
      </c>
      <c r="F350">
        <v>93</v>
      </c>
      <c r="G350" t="s">
        <v>428</v>
      </c>
      <c r="L350" s="3" t="s">
        <v>341</v>
      </c>
      <c r="M350" t="s">
        <v>399</v>
      </c>
      <c r="N350" t="s">
        <v>449</v>
      </c>
      <c r="O350">
        <v>4802</v>
      </c>
      <c r="P350">
        <v>34</v>
      </c>
      <c r="Q350">
        <v>93</v>
      </c>
      <c r="R350" t="s">
        <v>428</v>
      </c>
    </row>
    <row r="351" spans="1:21" x14ac:dyDescent="0.25">
      <c r="A351" t="s">
        <v>313</v>
      </c>
      <c r="B351" s="3" t="s">
        <v>400</v>
      </c>
      <c r="C351" t="s">
        <v>419</v>
      </c>
      <c r="D351">
        <v>3695</v>
      </c>
      <c r="E351">
        <v>102</v>
      </c>
      <c r="F351">
        <v>87</v>
      </c>
      <c r="G351" t="s">
        <v>427</v>
      </c>
      <c r="L351" s="3" t="s">
        <v>313</v>
      </c>
      <c r="M351" t="s">
        <v>400</v>
      </c>
      <c r="N351" t="s">
        <v>419</v>
      </c>
      <c r="O351">
        <v>3293</v>
      </c>
      <c r="P351">
        <v>76</v>
      </c>
      <c r="Q351">
        <v>87</v>
      </c>
      <c r="R351" t="s">
        <v>427</v>
      </c>
    </row>
    <row r="352" spans="1:21" x14ac:dyDescent="0.25">
      <c r="A352" t="s">
        <v>314</v>
      </c>
      <c r="B352" s="3" t="s">
        <v>401</v>
      </c>
      <c r="C352" t="s">
        <v>432</v>
      </c>
      <c r="D352">
        <v>4062</v>
      </c>
      <c r="E352">
        <v>68</v>
      </c>
      <c r="F352">
        <v>83</v>
      </c>
      <c r="G352" t="s">
        <v>428</v>
      </c>
      <c r="L352" s="3" t="s">
        <v>314</v>
      </c>
      <c r="M352" t="s">
        <v>401</v>
      </c>
      <c r="N352" t="s">
        <v>432</v>
      </c>
      <c r="O352">
        <v>3610</v>
      </c>
      <c r="P352">
        <v>33</v>
      </c>
      <c r="Q352">
        <v>83</v>
      </c>
      <c r="R352" t="s">
        <v>428</v>
      </c>
    </row>
    <row r="353" spans="1:18" x14ac:dyDescent="0.25">
      <c r="A353" t="s">
        <v>315</v>
      </c>
      <c r="B353" t="s">
        <v>316</v>
      </c>
      <c r="C353" t="s">
        <v>420</v>
      </c>
      <c r="D353">
        <v>1947</v>
      </c>
      <c r="E353">
        <v>178</v>
      </c>
      <c r="F353">
        <v>73</v>
      </c>
      <c r="G353" t="s">
        <v>427</v>
      </c>
      <c r="L353" s="3" t="s">
        <v>315</v>
      </c>
      <c r="M353" t="s">
        <v>316</v>
      </c>
      <c r="N353" t="s">
        <v>420</v>
      </c>
      <c r="O353">
        <v>1622</v>
      </c>
      <c r="P353">
        <v>171</v>
      </c>
      <c r="Q353">
        <v>73</v>
      </c>
      <c r="R353" t="s">
        <v>427</v>
      </c>
    </row>
    <row r="354" spans="1:18" x14ac:dyDescent="0.25">
      <c r="A354" t="s">
        <v>343</v>
      </c>
      <c r="B354" t="s">
        <v>344</v>
      </c>
      <c r="C354" t="s">
        <v>449</v>
      </c>
      <c r="D354">
        <v>5781</v>
      </c>
      <c r="E354">
        <v>55</v>
      </c>
      <c r="F354">
        <v>95</v>
      </c>
      <c r="G354" t="s">
        <v>428</v>
      </c>
      <c r="L354" s="3" t="s">
        <v>343</v>
      </c>
      <c r="M354" t="s">
        <v>344</v>
      </c>
      <c r="N354" t="s">
        <v>449</v>
      </c>
      <c r="O354">
        <v>5027</v>
      </c>
      <c r="P354">
        <v>36</v>
      </c>
      <c r="Q354">
        <v>95</v>
      </c>
      <c r="R354" t="s">
        <v>428</v>
      </c>
    </row>
    <row r="355" spans="1:18" x14ac:dyDescent="0.25">
      <c r="A355" t="s">
        <v>317</v>
      </c>
      <c r="B355" s="3" t="s">
        <v>402</v>
      </c>
      <c r="C355" t="s">
        <v>432</v>
      </c>
      <c r="D355">
        <v>4138</v>
      </c>
      <c r="E355">
        <v>54</v>
      </c>
      <c r="F355">
        <v>90</v>
      </c>
      <c r="G355" t="s">
        <v>428</v>
      </c>
      <c r="L355" s="3" t="s">
        <v>317</v>
      </c>
      <c r="M355" t="s">
        <v>402</v>
      </c>
      <c r="N355" t="s">
        <v>432</v>
      </c>
      <c r="O355">
        <v>3662</v>
      </c>
      <c r="P355">
        <v>28</v>
      </c>
      <c r="Q355">
        <v>90</v>
      </c>
      <c r="R355" t="s">
        <v>428</v>
      </c>
    </row>
    <row r="356" spans="1:18" x14ac:dyDescent="0.25">
      <c r="A356" t="s">
        <v>318</v>
      </c>
      <c r="B356" s="3" t="s">
        <v>403</v>
      </c>
      <c r="C356" t="s">
        <v>420</v>
      </c>
      <c r="D356">
        <v>1941</v>
      </c>
      <c r="E356">
        <v>189</v>
      </c>
      <c r="F356">
        <v>52</v>
      </c>
      <c r="G356" t="s">
        <v>427</v>
      </c>
      <c r="L356" s="3" t="s">
        <v>318</v>
      </c>
      <c r="M356" t="s">
        <v>403</v>
      </c>
      <c r="N356" t="s">
        <v>420</v>
      </c>
      <c r="O356">
        <v>1617</v>
      </c>
      <c r="P356">
        <v>183</v>
      </c>
      <c r="Q356">
        <v>52</v>
      </c>
      <c r="R356" t="s">
        <v>427</v>
      </c>
    </row>
    <row r="357" spans="1:18" x14ac:dyDescent="0.25">
      <c r="A357" t="s">
        <v>319</v>
      </c>
      <c r="B357" s="3" t="s">
        <v>404</v>
      </c>
      <c r="C357" t="s">
        <v>419</v>
      </c>
      <c r="D357">
        <v>4106</v>
      </c>
      <c r="E357">
        <v>88</v>
      </c>
      <c r="F357">
        <v>66</v>
      </c>
      <c r="G357" t="s">
        <v>427</v>
      </c>
      <c r="L357" s="3" t="s">
        <v>319</v>
      </c>
      <c r="M357" t="s">
        <v>404</v>
      </c>
      <c r="N357" t="s">
        <v>419</v>
      </c>
      <c r="O357">
        <v>3618</v>
      </c>
      <c r="P357">
        <v>80</v>
      </c>
      <c r="Q357">
        <v>66</v>
      </c>
      <c r="R357" t="s">
        <v>427</v>
      </c>
    </row>
    <row r="358" spans="1:18" x14ac:dyDescent="0.25">
      <c r="A358" t="s">
        <v>331</v>
      </c>
      <c r="B358" s="3" t="s">
        <v>405</v>
      </c>
      <c r="C358" t="s">
        <v>448</v>
      </c>
      <c r="D358">
        <v>4472</v>
      </c>
      <c r="E358">
        <v>53</v>
      </c>
      <c r="F358">
        <v>77</v>
      </c>
      <c r="G358" t="s">
        <v>427</v>
      </c>
      <c r="L358" s="3" t="s">
        <v>331</v>
      </c>
      <c r="M358" t="s">
        <v>405</v>
      </c>
      <c r="N358" t="s">
        <v>448</v>
      </c>
      <c r="O358">
        <v>3727</v>
      </c>
      <c r="P358">
        <v>49</v>
      </c>
      <c r="Q358">
        <v>77</v>
      </c>
      <c r="R358" t="s">
        <v>427</v>
      </c>
    </row>
    <row r="359" spans="1:18" x14ac:dyDescent="0.25">
      <c r="A359" t="s">
        <v>332</v>
      </c>
      <c r="B359" s="3" t="s">
        <v>406</v>
      </c>
      <c r="C359" t="s">
        <v>448</v>
      </c>
      <c r="D359">
        <v>4472</v>
      </c>
      <c r="E359">
        <v>53</v>
      </c>
      <c r="F359">
        <v>77</v>
      </c>
      <c r="G359" t="s">
        <v>427</v>
      </c>
      <c r="L359" s="3" t="s">
        <v>332</v>
      </c>
      <c r="M359" t="s">
        <v>406</v>
      </c>
      <c r="N359" t="s">
        <v>448</v>
      </c>
      <c r="O359">
        <v>3727</v>
      </c>
      <c r="P359">
        <v>49</v>
      </c>
      <c r="Q359">
        <v>77</v>
      </c>
      <c r="R359" t="s">
        <v>427</v>
      </c>
    </row>
    <row r="360" spans="1:18" x14ac:dyDescent="0.25">
      <c r="A360" t="s">
        <v>339</v>
      </c>
      <c r="B360" s="3" t="s">
        <v>407</v>
      </c>
      <c r="C360" t="s">
        <v>449</v>
      </c>
      <c r="D360">
        <v>5126</v>
      </c>
      <c r="E360">
        <v>54</v>
      </c>
      <c r="F360">
        <v>82</v>
      </c>
      <c r="G360" t="s">
        <v>428</v>
      </c>
      <c r="L360" s="3" t="s">
        <v>339</v>
      </c>
      <c r="M360" t="s">
        <v>407</v>
      </c>
      <c r="N360" t="s">
        <v>449</v>
      </c>
      <c r="O360">
        <v>4458</v>
      </c>
      <c r="P360">
        <v>33</v>
      </c>
      <c r="Q360">
        <v>82</v>
      </c>
      <c r="R360" t="s">
        <v>428</v>
      </c>
    </row>
    <row r="361" spans="1:18" x14ac:dyDescent="0.25">
      <c r="A361" t="s">
        <v>320</v>
      </c>
      <c r="B361" s="3" t="s">
        <v>408</v>
      </c>
      <c r="C361" t="s">
        <v>419</v>
      </c>
      <c r="D361">
        <v>4637</v>
      </c>
      <c r="E361">
        <v>98</v>
      </c>
      <c r="F361">
        <v>0</v>
      </c>
      <c r="G361" t="s">
        <v>427</v>
      </c>
      <c r="L361" s="3" t="s">
        <v>320</v>
      </c>
      <c r="M361" t="s">
        <v>408</v>
      </c>
      <c r="N361" t="s">
        <v>419</v>
      </c>
      <c r="O361">
        <v>4215</v>
      </c>
      <c r="P361">
        <v>73</v>
      </c>
      <c r="Q361">
        <v>0</v>
      </c>
      <c r="R361" t="s">
        <v>427</v>
      </c>
    </row>
    <row r="362" spans="1:18" x14ac:dyDescent="0.25">
      <c r="A362" t="s">
        <v>321</v>
      </c>
      <c r="B362" t="s">
        <v>322</v>
      </c>
      <c r="C362" t="s">
        <v>433</v>
      </c>
      <c r="D362">
        <v>7967</v>
      </c>
      <c r="E362">
        <v>35</v>
      </c>
      <c r="F362">
        <v>0</v>
      </c>
      <c r="G362" t="s">
        <v>429</v>
      </c>
      <c r="L362" s="3" t="s">
        <v>321</v>
      </c>
      <c r="M362" t="s">
        <v>322</v>
      </c>
      <c r="N362" t="s">
        <v>433</v>
      </c>
      <c r="O362">
        <v>6897</v>
      </c>
      <c r="P362">
        <v>18</v>
      </c>
      <c r="Q362">
        <v>0</v>
      </c>
      <c r="R362" t="s">
        <v>429</v>
      </c>
    </row>
    <row r="363" spans="1:18" x14ac:dyDescent="0.25">
      <c r="A363" t="s">
        <v>323</v>
      </c>
      <c r="B363" t="s">
        <v>324</v>
      </c>
      <c r="C363" t="s">
        <v>432</v>
      </c>
      <c r="D363">
        <v>4793</v>
      </c>
      <c r="E363">
        <v>86</v>
      </c>
      <c r="F363">
        <v>0</v>
      </c>
      <c r="G363" t="s">
        <v>428</v>
      </c>
      <c r="L363" s="3" t="s">
        <v>323</v>
      </c>
      <c r="M363" t="s">
        <v>324</v>
      </c>
      <c r="N363" t="s">
        <v>432</v>
      </c>
      <c r="O363">
        <v>4260</v>
      </c>
      <c r="P363">
        <v>41</v>
      </c>
      <c r="Q363">
        <v>0</v>
      </c>
      <c r="R363" t="s">
        <v>428</v>
      </c>
    </row>
    <row r="364" spans="1:18" x14ac:dyDescent="0.25">
      <c r="A364" t="s">
        <v>325</v>
      </c>
      <c r="B364" t="s">
        <v>326</v>
      </c>
      <c r="C364" t="s">
        <v>433</v>
      </c>
      <c r="D364">
        <v>8607</v>
      </c>
      <c r="E364">
        <v>37</v>
      </c>
      <c r="F364">
        <v>0</v>
      </c>
      <c r="G364" t="s">
        <v>429</v>
      </c>
      <c r="L364" s="3" t="s">
        <v>325</v>
      </c>
      <c r="M364" t="s">
        <v>326</v>
      </c>
      <c r="N364" t="s">
        <v>433</v>
      </c>
      <c r="O364">
        <v>7356</v>
      </c>
      <c r="P364">
        <v>18</v>
      </c>
      <c r="Q364">
        <v>0</v>
      </c>
      <c r="R364" t="s">
        <v>429</v>
      </c>
    </row>
    <row r="365" spans="1:18" x14ac:dyDescent="0.25">
      <c r="A365" t="s">
        <v>327</v>
      </c>
      <c r="B365" s="3" t="s">
        <v>409</v>
      </c>
      <c r="C365" t="s">
        <v>432</v>
      </c>
      <c r="D365">
        <v>5920</v>
      </c>
      <c r="E365">
        <v>78</v>
      </c>
      <c r="F365">
        <v>0</v>
      </c>
      <c r="G365" t="s">
        <v>428</v>
      </c>
      <c r="L365" s="3" t="s">
        <v>327</v>
      </c>
      <c r="M365" t="s">
        <v>409</v>
      </c>
      <c r="N365" t="s">
        <v>432</v>
      </c>
      <c r="O365">
        <v>5382</v>
      </c>
      <c r="P365">
        <v>39</v>
      </c>
      <c r="Q365">
        <v>0</v>
      </c>
      <c r="R365" t="s">
        <v>428</v>
      </c>
    </row>
    <row r="366" spans="1:18" x14ac:dyDescent="0.25">
      <c r="A366" t="s">
        <v>328</v>
      </c>
      <c r="B366" t="s">
        <v>295</v>
      </c>
      <c r="C366" t="s">
        <v>432</v>
      </c>
      <c r="D366">
        <v>5363</v>
      </c>
      <c r="E366">
        <v>80</v>
      </c>
      <c r="F366">
        <v>0</v>
      </c>
      <c r="G366" t="s">
        <v>428</v>
      </c>
      <c r="L366" s="3" t="s">
        <v>328</v>
      </c>
      <c r="M366" t="s">
        <v>295</v>
      </c>
      <c r="N366" t="s">
        <v>432</v>
      </c>
      <c r="O366">
        <v>4876</v>
      </c>
      <c r="P366">
        <v>42</v>
      </c>
      <c r="Q366">
        <v>0</v>
      </c>
      <c r="R366" t="s">
        <v>428</v>
      </c>
    </row>
    <row r="367" spans="1:18" x14ac:dyDescent="0.25">
      <c r="A367" s="3"/>
    </row>
  </sheetData>
  <sortState ref="L2:U366">
    <sortCondition ref="L366"/>
  </sortState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8AF55-D1DE-4A96-AB4C-91F60E4938F9}">
  <dimension ref="A1:M35"/>
  <sheetViews>
    <sheetView workbookViewId="0">
      <selection activeCell="M12" sqref="M12"/>
    </sheetView>
  </sheetViews>
  <sheetFormatPr defaultRowHeight="13.2" x14ac:dyDescent="0.25"/>
  <cols>
    <col min="2" max="2" width="11.5546875" customWidth="1"/>
    <col min="3" max="3" width="8.88671875" customWidth="1"/>
    <col min="7" max="7" width="8.88671875" customWidth="1"/>
    <col min="8" max="8" width="12.77734375" customWidth="1"/>
    <col min="9" max="9" width="13.109375" customWidth="1"/>
    <col min="10" max="10" width="10.5546875" customWidth="1"/>
  </cols>
  <sheetData>
    <row r="1" spans="1:13" x14ac:dyDescent="0.25">
      <c r="A1" t="s">
        <v>425</v>
      </c>
      <c r="B1" t="s">
        <v>426</v>
      </c>
      <c r="C1" t="s">
        <v>427</v>
      </c>
      <c r="D1" t="s">
        <v>428</v>
      </c>
      <c r="E1" t="s">
        <v>429</v>
      </c>
      <c r="G1" t="s">
        <v>444</v>
      </c>
      <c r="M1">
        <f>_xlfn.PERCENTRANK.INC('eHP Calc'!B11:K20,'eHP Calc'!B11)</f>
        <v>0</v>
      </c>
    </row>
    <row r="2" spans="1:13" x14ac:dyDescent="0.25">
      <c r="A2" t="s">
        <v>420</v>
      </c>
      <c r="B2" t="s">
        <v>421</v>
      </c>
      <c r="C2" s="30">
        <v>1</v>
      </c>
      <c r="D2" s="30">
        <v>0.5</v>
      </c>
      <c r="E2" s="30">
        <v>0.2</v>
      </c>
      <c r="G2">
        <f t="array" ref="G2">IFERROR(INDEX(C2:E23,MATCH('eHP Calc'!G5&amp;'eHP Calc'!H5,A2:A23&amp;B2:B23,0),MATCH('eHP Calc'!E8,C1:E1,0)),1)</f>
        <v>1</v>
      </c>
    </row>
    <row r="3" spans="1:13" x14ac:dyDescent="0.25">
      <c r="A3" t="s">
        <v>420</v>
      </c>
      <c r="B3" t="s">
        <v>422</v>
      </c>
      <c r="C3" s="30">
        <v>1</v>
      </c>
      <c r="D3" s="30">
        <v>0.6</v>
      </c>
      <c r="E3" s="30">
        <v>0.2</v>
      </c>
    </row>
    <row r="4" spans="1:13" x14ac:dyDescent="0.25">
      <c r="A4" t="s">
        <v>420</v>
      </c>
      <c r="B4" t="s">
        <v>423</v>
      </c>
      <c r="C4" s="30">
        <v>1.2</v>
      </c>
      <c r="D4" s="30">
        <v>0.6</v>
      </c>
      <c r="E4" s="30">
        <v>0.6</v>
      </c>
      <c r="G4" t="s">
        <v>445</v>
      </c>
    </row>
    <row r="5" spans="1:13" x14ac:dyDescent="0.25">
      <c r="A5" t="s">
        <v>420</v>
      </c>
      <c r="B5" t="s">
        <v>424</v>
      </c>
      <c r="C5" s="30">
        <v>0.9</v>
      </c>
      <c r="D5" s="30">
        <v>0.7</v>
      </c>
      <c r="E5" s="30">
        <v>0.4</v>
      </c>
      <c r="G5">
        <f t="array" ref="G5">IFERROR(INDEX(C2:E23,MATCH('eHP Calc'!G5&amp;'eHP Calc'!H5,A2:A23&amp;B2:B23,0),MATCH('eHP Calc'!E46,C1:E1,0)),1)</f>
        <v>1</v>
      </c>
    </row>
    <row r="6" spans="1:13" x14ac:dyDescent="0.25">
      <c r="A6" t="s">
        <v>419</v>
      </c>
      <c r="B6" t="s">
        <v>421</v>
      </c>
      <c r="C6" s="30">
        <v>1</v>
      </c>
      <c r="D6" s="30">
        <v>0.75</v>
      </c>
      <c r="E6" s="30">
        <v>0.4</v>
      </c>
    </row>
    <row r="7" spans="1:13" x14ac:dyDescent="0.25">
      <c r="A7" t="s">
        <v>419</v>
      </c>
      <c r="B7" t="s">
        <v>423</v>
      </c>
      <c r="C7" s="30">
        <v>1.4</v>
      </c>
      <c r="D7" s="30">
        <v>0.9</v>
      </c>
      <c r="E7" s="30">
        <v>0.7</v>
      </c>
    </row>
    <row r="8" spans="1:13" x14ac:dyDescent="0.25">
      <c r="A8" t="s">
        <v>419</v>
      </c>
      <c r="B8" t="s">
        <v>430</v>
      </c>
      <c r="C8" s="30">
        <v>1.45</v>
      </c>
      <c r="D8" s="30">
        <v>1.05</v>
      </c>
      <c r="E8" s="30">
        <v>0.7</v>
      </c>
      <c r="G8" s="3" t="str">
        <f>IFERROR(_xlfn.IFS('eHP Calc'!$G$5="General",C26,'eHP Calc'!$G$5="DD",D26,'eHP Calc'!$G$5="CL",E26,'eHP Calc'!$G$5="CA",F26,'eHP Calc'!$G$5="BB",G26)," ")</f>
        <v>General</v>
      </c>
    </row>
    <row r="9" spans="1:13" x14ac:dyDescent="0.25">
      <c r="A9" t="s">
        <v>419</v>
      </c>
      <c r="B9" t="s">
        <v>424</v>
      </c>
      <c r="C9" s="30">
        <v>1</v>
      </c>
      <c r="D9" s="30">
        <v>0.8</v>
      </c>
      <c r="E9" s="30">
        <v>0.6</v>
      </c>
      <c r="G9" s="3">
        <f>IFERROR(_xlfn.IFS('eHP Calc'!$G$5="General",C27,'eHP Calc'!$G$5="DD",D27,'eHP Calc'!$G$5="CL",E27,'eHP Calc'!$G$5="CA",F27,'eHP Calc'!$G$5="BB",G27),"")</f>
        <v>0</v>
      </c>
    </row>
    <row r="10" spans="1:13" x14ac:dyDescent="0.25">
      <c r="A10" t="s">
        <v>419</v>
      </c>
      <c r="B10" t="s">
        <v>431</v>
      </c>
      <c r="C10" s="30">
        <v>1.1000000000000001</v>
      </c>
      <c r="D10" s="30">
        <v>0.9</v>
      </c>
      <c r="E10" s="30">
        <v>0.7</v>
      </c>
      <c r="G10" s="3">
        <f>IFERROR(_xlfn.IFS('eHP Calc'!$G$5="General",C28,'eHP Calc'!$G$5="DD",D28,'eHP Calc'!$G$5="CL",E28,'eHP Calc'!$G$5="CA",F28,'eHP Calc'!$G$5="BB",G28),"")</f>
        <v>0</v>
      </c>
      <c r="H10" s="3" t="s">
        <v>465</v>
      </c>
    </row>
    <row r="11" spans="1:13" x14ac:dyDescent="0.25">
      <c r="A11" t="s">
        <v>432</v>
      </c>
      <c r="B11" t="s">
        <v>421</v>
      </c>
      <c r="C11" s="30">
        <v>1</v>
      </c>
      <c r="D11" s="30">
        <v>0.9</v>
      </c>
      <c r="E11" s="30">
        <v>0.5</v>
      </c>
      <c r="G11" s="3">
        <f>IFERROR(_xlfn.IFS('eHP Calc'!$G$5="General",C29,'eHP Calc'!$G$5="DD",D29,'eHP Calc'!$G$5="CL",E29,'eHP Calc'!$G$5="CA",F29,'eHP Calc'!$G$5="BB",G29),"")</f>
        <v>0</v>
      </c>
    </row>
    <row r="12" spans="1:13" x14ac:dyDescent="0.25">
      <c r="A12" t="s">
        <v>432</v>
      </c>
      <c r="B12" t="s">
        <v>423</v>
      </c>
      <c r="C12" s="30">
        <v>1.35</v>
      </c>
      <c r="D12" s="30">
        <v>0.95</v>
      </c>
      <c r="E12" s="30">
        <v>0.7</v>
      </c>
      <c r="G12" s="3">
        <f>IFERROR(_xlfn.IFS('eHP Calc'!$G$5="General",C30,'eHP Calc'!$G$5="DD",D30,'eHP Calc'!$G$5="CL",E30,'eHP Calc'!$G$5="CA",F30,'eHP Calc'!$G$5="BB",G30),"")</f>
        <v>0</v>
      </c>
      <c r="L12" s="41">
        <f>COUNTIF('eHP Calc'!M5:M32,"Yes")</f>
        <v>10</v>
      </c>
    </row>
    <row r="13" spans="1:13" x14ac:dyDescent="0.25">
      <c r="A13" t="s">
        <v>432</v>
      </c>
      <c r="B13" t="s">
        <v>424</v>
      </c>
      <c r="C13" s="30">
        <v>0.75</v>
      </c>
      <c r="D13" s="30">
        <v>1.1000000000000001</v>
      </c>
      <c r="E13" s="30">
        <v>0.75</v>
      </c>
      <c r="G13" s="3">
        <f>IFERROR(_xlfn.IFS('eHP Calc'!$G$5="General",C31,'eHP Calc'!$G$5="DD",D31,'eHP Calc'!$G$5="CL",E31,'eHP Calc'!$G$5="CA",F31,'eHP Calc'!$G$5="BB",G31),"")</f>
        <v>0</v>
      </c>
    </row>
    <row r="14" spans="1:13" x14ac:dyDescent="0.25">
      <c r="A14" t="s">
        <v>433</v>
      </c>
      <c r="B14" t="s">
        <v>421</v>
      </c>
      <c r="C14" s="30">
        <v>0.7</v>
      </c>
      <c r="D14" s="30">
        <v>1</v>
      </c>
      <c r="E14" s="30">
        <v>0.9</v>
      </c>
    </row>
    <row r="15" spans="1:13" x14ac:dyDescent="0.25">
      <c r="A15" t="s">
        <v>433</v>
      </c>
      <c r="B15" t="s">
        <v>423</v>
      </c>
      <c r="C15" s="30">
        <v>1.4</v>
      </c>
      <c r="D15" s="30">
        <v>1.1000000000000001</v>
      </c>
      <c r="E15" s="30">
        <v>0.9</v>
      </c>
    </row>
    <row r="16" spans="1:13" x14ac:dyDescent="0.25">
      <c r="A16" t="s">
        <v>433</v>
      </c>
      <c r="B16" t="s">
        <v>424</v>
      </c>
      <c r="C16" s="30">
        <v>0.3</v>
      </c>
      <c r="D16" s="30">
        <v>1.3</v>
      </c>
      <c r="E16" s="30">
        <v>1.1000000000000001</v>
      </c>
    </row>
    <row r="17" spans="1:10" x14ac:dyDescent="0.25">
      <c r="A17" t="s">
        <v>433</v>
      </c>
      <c r="B17" t="s">
        <v>435</v>
      </c>
      <c r="C17" s="30">
        <v>1.4</v>
      </c>
      <c r="D17" s="30">
        <v>1.1000000000000001</v>
      </c>
      <c r="E17" s="30">
        <v>0.9</v>
      </c>
    </row>
    <row r="18" spans="1:10" x14ac:dyDescent="0.25">
      <c r="A18" t="s">
        <v>433</v>
      </c>
      <c r="B18" t="s">
        <v>436</v>
      </c>
      <c r="C18" s="30">
        <v>1.45</v>
      </c>
      <c r="D18" s="30">
        <v>1.05</v>
      </c>
      <c r="E18" s="30">
        <v>0.7</v>
      </c>
    </row>
    <row r="19" spans="1:10" x14ac:dyDescent="0.25">
      <c r="A19" t="s">
        <v>433</v>
      </c>
      <c r="B19" t="s">
        <v>434</v>
      </c>
      <c r="C19" s="30">
        <v>0.6</v>
      </c>
      <c r="D19" s="30">
        <v>1.35</v>
      </c>
      <c r="E19" s="30">
        <v>1.1499999999999999</v>
      </c>
    </row>
    <row r="20" spans="1:10" x14ac:dyDescent="0.25">
      <c r="A20" t="s">
        <v>443</v>
      </c>
      <c r="B20" t="s">
        <v>443</v>
      </c>
      <c r="C20" s="30">
        <v>1</v>
      </c>
      <c r="D20" s="30">
        <v>1</v>
      </c>
      <c r="E20" s="30">
        <v>1</v>
      </c>
    </row>
    <row r="21" spans="1:10" x14ac:dyDescent="0.25">
      <c r="A21" t="s">
        <v>420</v>
      </c>
      <c r="B21" t="s">
        <v>446</v>
      </c>
      <c r="C21" s="30">
        <v>0.8</v>
      </c>
      <c r="D21" s="30">
        <v>1</v>
      </c>
      <c r="E21" s="30">
        <v>1.3</v>
      </c>
      <c r="J21" s="3"/>
    </row>
    <row r="22" spans="1:10" x14ac:dyDescent="0.25">
      <c r="A22" t="s">
        <v>419</v>
      </c>
      <c r="B22" t="s">
        <v>446</v>
      </c>
      <c r="C22" s="30">
        <v>0.8</v>
      </c>
      <c r="D22" s="30">
        <v>1</v>
      </c>
      <c r="E22" s="30">
        <v>1.3</v>
      </c>
    </row>
    <row r="23" spans="1:10" x14ac:dyDescent="0.25">
      <c r="A23" t="s">
        <v>432</v>
      </c>
      <c r="B23" t="s">
        <v>446</v>
      </c>
      <c r="C23" s="30">
        <v>0.8</v>
      </c>
      <c r="D23" s="30">
        <v>1</v>
      </c>
      <c r="E23" s="30">
        <v>1.3</v>
      </c>
    </row>
    <row r="25" spans="1:10" x14ac:dyDescent="0.25">
      <c r="A25" t="s">
        <v>441</v>
      </c>
      <c r="B25" s="34" t="s">
        <v>442</v>
      </c>
      <c r="C25" t="s">
        <v>443</v>
      </c>
      <c r="D25" t="s">
        <v>420</v>
      </c>
      <c r="E25" t="s">
        <v>419</v>
      </c>
      <c r="F25" t="s">
        <v>432</v>
      </c>
      <c r="G25" t="s">
        <v>433</v>
      </c>
      <c r="H25" t="s">
        <v>438</v>
      </c>
      <c r="I25" s="3" t="s">
        <v>454</v>
      </c>
      <c r="J25" t="s">
        <v>463</v>
      </c>
    </row>
    <row r="26" spans="1:10" x14ac:dyDescent="0.25">
      <c r="A26">
        <v>100</v>
      </c>
      <c r="B26" s="32" t="s">
        <v>443</v>
      </c>
      <c r="C26" t="s">
        <v>443</v>
      </c>
      <c r="D26" t="s">
        <v>421</v>
      </c>
      <c r="E26" t="s">
        <v>421</v>
      </c>
      <c r="F26" t="s">
        <v>421</v>
      </c>
      <c r="G26" t="s">
        <v>421</v>
      </c>
      <c r="H26" t="s">
        <v>427</v>
      </c>
      <c r="I26" s="3" t="s">
        <v>420</v>
      </c>
      <c r="J26" t="s">
        <v>461</v>
      </c>
    </row>
    <row r="27" spans="1:10" x14ac:dyDescent="0.25">
      <c r="A27">
        <v>120</v>
      </c>
      <c r="B27" s="33" t="s">
        <v>420</v>
      </c>
      <c r="D27" t="s">
        <v>422</v>
      </c>
      <c r="E27" t="s">
        <v>423</v>
      </c>
      <c r="F27" t="s">
        <v>423</v>
      </c>
      <c r="G27" t="s">
        <v>423</v>
      </c>
      <c r="H27" t="s">
        <v>428</v>
      </c>
      <c r="I27" s="3" t="s">
        <v>419</v>
      </c>
      <c r="J27" t="s">
        <v>462</v>
      </c>
    </row>
    <row r="28" spans="1:10" x14ac:dyDescent="0.25">
      <c r="B28" s="32" t="s">
        <v>419</v>
      </c>
      <c r="D28" t="s">
        <v>423</v>
      </c>
      <c r="E28" t="s">
        <v>430</v>
      </c>
      <c r="F28" t="s">
        <v>424</v>
      </c>
      <c r="G28" t="s">
        <v>424</v>
      </c>
      <c r="H28" t="s">
        <v>429</v>
      </c>
      <c r="I28" s="3" t="s">
        <v>432</v>
      </c>
    </row>
    <row r="29" spans="1:10" x14ac:dyDescent="0.25">
      <c r="B29" s="33" t="s">
        <v>432</v>
      </c>
      <c r="D29" t="s">
        <v>424</v>
      </c>
      <c r="E29" t="s">
        <v>424</v>
      </c>
      <c r="F29" t="s">
        <v>446</v>
      </c>
      <c r="G29" t="s">
        <v>435</v>
      </c>
      <c r="I29" s="3" t="s">
        <v>433</v>
      </c>
    </row>
    <row r="30" spans="1:10" x14ac:dyDescent="0.25">
      <c r="B30" s="32" t="s">
        <v>433</v>
      </c>
      <c r="D30" t="s">
        <v>446</v>
      </c>
      <c r="E30" t="s">
        <v>431</v>
      </c>
      <c r="G30" t="s">
        <v>436</v>
      </c>
      <c r="I30" s="3" t="s">
        <v>451</v>
      </c>
    </row>
    <row r="31" spans="1:10" x14ac:dyDescent="0.25">
      <c r="E31" t="s">
        <v>446</v>
      </c>
      <c r="G31" t="s">
        <v>434</v>
      </c>
      <c r="I31" s="3" t="s">
        <v>452</v>
      </c>
    </row>
    <row r="32" spans="1:10" x14ac:dyDescent="0.25">
      <c r="I32" s="3" t="s">
        <v>449</v>
      </c>
    </row>
    <row r="33" spans="9:9" x14ac:dyDescent="0.25">
      <c r="I33" s="3" t="s">
        <v>448</v>
      </c>
    </row>
    <row r="34" spans="9:9" x14ac:dyDescent="0.25">
      <c r="I34" s="3" t="s">
        <v>450</v>
      </c>
    </row>
    <row r="35" spans="9:9" x14ac:dyDescent="0.25">
      <c r="I35" s="3" t="s">
        <v>453</v>
      </c>
    </row>
  </sheetData>
  <pageMargins left="0.7" right="0.7" top="0.75" bottom="0.75" header="0.3" footer="0.3"/>
  <pageSetup orientation="portrait" horizontalDpi="4294967293" verticalDpi="0" r:id="rId1"/>
  <tableParts count="11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eHP Calc</vt:lpstr>
      <vt:lpstr>Ship Stats</vt:lpstr>
      <vt:lpstr>Background Tables</vt:lpstr>
      <vt:lpstr>Application</vt:lpstr>
      <vt:lpstr>'Ship Stats'!Hull_Class</vt:lpstr>
      <vt:lpstr>Hull_Class</vt:lpstr>
      <vt:lpstr>Hull_Class_2</vt:lpstr>
      <vt:lpstr>Ship_Armor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Lee</dc:creator>
  <cp:lastModifiedBy>John Lee</cp:lastModifiedBy>
  <dcterms:created xsi:type="dcterms:W3CDTF">2019-03-04T00:15:58Z</dcterms:created>
  <dcterms:modified xsi:type="dcterms:W3CDTF">2019-04-07T13:44:14Z</dcterms:modified>
</cp:coreProperties>
</file>