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0D796ED2-02B7-4658-9332-BD44C1AE751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Tables'!$J$29:$J$30</definedName>
    <definedName name="Hull_Class" localSheetId="1">'Ship Stats'!$C$2:$C$399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I22" i="1" l="1"/>
  <c r="I21" i="1"/>
  <c r="I20" i="1"/>
  <c r="K7" i="4" l="1" a="1"/>
  <c r="K7" i="4" s="1"/>
  <c r="K11" i="4" a="1"/>
  <c r="K11" i="4" s="1"/>
  <c r="K8" i="4"/>
  <c r="K12" i="4"/>
  <c r="K9" i="4" a="1"/>
  <c r="K9" i="4" s="1"/>
  <c r="K13" i="4" a="1"/>
  <c r="K13" i="4" s="1"/>
  <c r="C20" i="1"/>
  <c r="D2" i="1"/>
  <c r="A2" i="1"/>
  <c r="G20" i="1"/>
  <c r="E22" i="1"/>
  <c r="E21" i="1"/>
  <c r="E20" i="1"/>
  <c r="C22" i="1"/>
  <c r="C21" i="1"/>
  <c r="K4" i="4" l="1"/>
  <c r="K2" i="4" s="1"/>
  <c r="K3" i="4"/>
  <c r="D5" i="1" l="1"/>
  <c r="D4" i="1"/>
  <c r="D3" i="1"/>
  <c r="A7" i="1"/>
  <c r="A6" i="1"/>
  <c r="A5" i="1"/>
  <c r="A4" i="1"/>
  <c r="A3" i="1"/>
  <c r="A25" i="1"/>
  <c r="C24" i="1"/>
  <c r="L24" i="1"/>
  <c r="A34" i="1"/>
  <c r="A33" i="1"/>
  <c r="K24" i="1"/>
  <c r="J24" i="1"/>
  <c r="A32" i="1"/>
  <c r="A31" i="1"/>
  <c r="I24" i="1"/>
  <c r="A30" i="1"/>
  <c r="H24" i="1"/>
  <c r="A29" i="1"/>
  <c r="G24" i="1"/>
  <c r="A28" i="1"/>
  <c r="F24" i="1"/>
  <c r="A27" i="1"/>
  <c r="E24" i="1"/>
  <c r="A26" i="1"/>
  <c r="D24" i="1"/>
  <c r="G14" i="4" l="1"/>
  <c r="G13" i="4"/>
  <c r="G12" i="4"/>
  <c r="G11" i="4"/>
  <c r="G10" i="4"/>
  <c r="G9" i="4"/>
  <c r="G8" i="4"/>
  <c r="H3" i="4" l="1" a="1"/>
  <c r="H3" i="4" s="1"/>
  <c r="H2" i="4" l="1" a="1"/>
  <c r="H2" i="4" s="1"/>
  <c r="C25" i="1" s="1"/>
  <c r="G30" i="1" l="1"/>
  <c r="K34" i="1"/>
  <c r="I34" i="1"/>
  <c r="I33" i="1"/>
  <c r="F29" i="1"/>
  <c r="G25" i="1"/>
  <c r="L26" i="1"/>
  <c r="E32" i="1"/>
  <c r="D32" i="1"/>
  <c r="L25" i="1"/>
  <c r="G29" i="1"/>
  <c r="G31" i="1"/>
  <c r="J32" i="1"/>
  <c r="K28" i="1"/>
  <c r="H33" i="1"/>
  <c r="G34" i="1"/>
  <c r="L27" i="1"/>
  <c r="G28" i="1"/>
  <c r="J28" i="1"/>
  <c r="K30" i="1"/>
  <c r="K27" i="1"/>
  <c r="H29" i="1"/>
  <c r="J34" i="1"/>
  <c r="L32" i="1"/>
  <c r="K32" i="1"/>
  <c r="G26" i="1"/>
  <c r="E34" i="1"/>
  <c r="E33" i="1"/>
  <c r="J26" i="1"/>
  <c r="J30" i="1"/>
  <c r="L29" i="1"/>
  <c r="C34" i="1"/>
  <c r="D33" i="1"/>
  <c r="G33" i="1"/>
  <c r="K26" i="1"/>
  <c r="J31" i="1"/>
  <c r="H32" i="1"/>
  <c r="K31" i="1"/>
  <c r="L31" i="1"/>
  <c r="H34" i="1"/>
  <c r="L33" i="1"/>
  <c r="J33" i="1"/>
  <c r="I32" i="1"/>
  <c r="F34" i="1"/>
  <c r="L28" i="1"/>
  <c r="C29" i="1"/>
  <c r="C33" i="1"/>
  <c r="K29" i="1"/>
  <c r="L30" i="1"/>
  <c r="G27" i="1"/>
  <c r="D34" i="1"/>
  <c r="K25" i="1"/>
  <c r="G32" i="1"/>
  <c r="J25" i="1"/>
  <c r="C32" i="1"/>
  <c r="J27" i="1"/>
  <c r="I29" i="1"/>
  <c r="D29" i="1"/>
  <c r="F32" i="1"/>
  <c r="F33" i="1"/>
  <c r="J29" i="1"/>
  <c r="E29" i="1"/>
  <c r="D27" i="1"/>
  <c r="E30" i="1"/>
  <c r="I27" i="1"/>
  <c r="C27" i="1"/>
  <c r="E27" i="1"/>
  <c r="H27" i="1"/>
  <c r="F27" i="1"/>
  <c r="E26" i="1"/>
  <c r="E28" i="1"/>
  <c r="E25" i="1"/>
  <c r="E31" i="1"/>
  <c r="C30" i="1"/>
  <c r="F30" i="1"/>
  <c r="D30" i="1"/>
  <c r="H28" i="1"/>
  <c r="H26" i="1"/>
  <c r="I30" i="1"/>
  <c r="H31" i="1"/>
  <c r="H30" i="1"/>
  <c r="H25" i="1"/>
  <c r="C26" i="1"/>
  <c r="I31" i="1"/>
  <c r="C28" i="1"/>
  <c r="F25" i="1"/>
  <c r="D25" i="1"/>
  <c r="I28" i="1"/>
  <c r="D31" i="1"/>
  <c r="I26" i="1"/>
  <c r="D28" i="1"/>
  <c r="F26" i="1"/>
  <c r="C31" i="1"/>
  <c r="I25" i="1"/>
  <c r="D26" i="1"/>
  <c r="F31" i="1"/>
  <c r="F28" i="1"/>
</calcChain>
</file>

<file path=xl/sharedStrings.xml><?xml version="1.0" encoding="utf-8"?>
<sst xmlns="http://schemas.openxmlformats.org/spreadsheetml/2006/main" count="2761" uniqueCount="547">
  <si>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</si>
  <si>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</si>
  <si>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</si>
  <si>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</si>
  <si>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</si>
  <si>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</si>
  <si>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</si>
  <si>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</si>
  <si>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</si>
  <si>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</si>
  <si>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</si>
  <si>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</si>
  <si>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</si>
  <si>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</si>
  <si>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</si>
  <si>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</si>
  <si>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</si>
  <si>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</si>
  <si>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</si>
  <si>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</si>
  <si>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</si>
  <si>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</si>
  <si>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</si>
  <si>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</si>
  <si>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</si>
  <si>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</si>
  <si>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</si>
  <si>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</si>
  <si>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</si>
  <si>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</si>
  <si>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</si>
  <si>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</si>
  <si>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</si>
  <si>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</si>
  <si>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</si>
  <si>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</si>
  <si>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</si>
  <si>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</si>
  <si>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</si>
  <si>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</si>
  <si>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</si>
  <si>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</si>
  <si>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</si>
  <si>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</si>
  <si>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</si>
  <si>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</si>
  <si>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</si>
  <si>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</si>
  <si>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</si>
  <si>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</si>
  <si>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</si>
  <si>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</si>
  <si>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</si>
  <si>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</si>
  <si>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</si>
  <si>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</si>
  <si>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</si>
  <si>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</si>
  <si>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</si>
  <si>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</si>
  <si>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</si>
  <si>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</si>
  <si>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</si>
  <si>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</si>
  <si>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</si>
  <si>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</si>
  <si>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</si>
  <si>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</si>
  <si>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</si>
  <si>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</si>
  <si>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</si>
  <si>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</si>
  <si>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</si>
  <si>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</si>
  <si>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</si>
  <si>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</si>
  <si>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</si>
  <si>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</si>
  <si>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</si>
  <si>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</si>
  <si>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</si>
  <si>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</si>
  <si>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</si>
  <si>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</si>
  <si>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</si>
  <si>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</si>
  <si>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</si>
  <si>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</si>
  <si>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</si>
  <si>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</si>
  <si>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</si>
  <si>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</si>
  <si>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</si>
  <si>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</si>
  <si>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</si>
  <si>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</si>
  <si>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</si>
  <si>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</si>
  <si>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</si>
  <si>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</si>
  <si>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</si>
  <si>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</si>
  <si>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</si>
  <si>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</si>
  <si>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</si>
  <si>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</si>
  <si>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</si>
  <si>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</si>
  <si>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</si>
  <si>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</si>
  <si>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</si>
  <si>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</si>
  <si>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</si>
  <si>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</si>
  <si>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</si>
  <si>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</si>
  <si>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</si>
  <si>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</si>
  <si>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</si>
  <si>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</si>
  <si>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</si>
  <si>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</si>
  <si>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</si>
  <si>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</si>
  <si>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</si>
  <si>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</si>
  <si>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</si>
  <si>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</si>
  <si>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</si>
  <si>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</si>
  <si>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</si>
  <si>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</si>
  <si>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</si>
  <si>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</si>
  <si>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</si>
  <si>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</si>
  <si>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</si>
  <si>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</si>
  <si>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</si>
  <si>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</si>
  <si>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</si>
  <si>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</si>
  <si>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</si>
  <si>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</si>
  <si>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</si>
  <si>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</si>
  <si>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</si>
  <si>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</si>
  <si>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</si>
  <si>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</si>
  <si>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</si>
  <si>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</si>
  <si>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</si>
  <si>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</si>
  <si>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</si>
  <si>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</si>
  <si>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</si>
  <si>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</si>
  <si>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</si>
  <si>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</si>
  <si>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</si>
  <si>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</si>
  <si>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</si>
  <si>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</si>
  <si>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</si>
  <si>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</si>
  <si>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</si>
  <si>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</si>
  <si>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</si>
  <si>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</si>
  <si>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</si>
  <si>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</si>
  <si>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</si>
  <si>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</si>
  <si>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</si>
  <si>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</si>
  <si>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</si>
  <si>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</si>
  <si>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</si>
  <si>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</si>
  <si>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</si>
  <si>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</si>
  <si>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</si>
  <si>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</si>
  <si>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</si>
  <si>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</si>
  <si>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</si>
  <si>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</si>
  <si>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</si>
  <si>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</si>
  <si>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</si>
  <si>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</si>
  <si>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</si>
  <si>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</si>
  <si>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</si>
  <si>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</si>
  <si>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</si>
  <si>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</si>
  <si>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</si>
  <si>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</si>
  <si>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</si>
  <si>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</si>
  <si>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</si>
  <si>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</si>
  <si>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</si>
  <si>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</si>
  <si>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</si>
  <si>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</si>
  <si>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</si>
  <si>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</si>
  <si>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</si>
  <si>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</si>
  <si>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</si>
  <si>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</si>
  <si>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</si>
  <si>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</si>
  <si>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</si>
  <si>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</si>
  <si>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</si>
  <si>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</si>
  <si>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</si>
  <si>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</si>
  <si>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</si>
  <si>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</si>
  <si>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</si>
  <si>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</si>
  <si>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</si>
  <si>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</si>
  <si>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</si>
  <si>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</si>
  <si>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</si>
  <si>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</si>
  <si>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</si>
  <si>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</si>
  <si>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</si>
  <si>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</si>
  <si>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</si>
  <si>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</si>
  <si>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</si>
  <si>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</si>
  <si>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</si>
  <si>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</si>
  <si>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</si>
  <si>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</si>
  <si>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</si>
  <si>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</si>
  <si>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</si>
  <si>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</si>
  <si>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</si>
  <si>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</si>
  <si>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</si>
  <si>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</si>
  <si>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</si>
  <si>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</si>
  <si>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</si>
  <si>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</si>
  <si>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</si>
  <si>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</si>
  <si>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</si>
  <si>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</si>
  <si>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</si>
  <si>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</si>
  <si>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</si>
  <si>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</si>
  <si>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</si>
  <si>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</si>
  <si>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</si>
  <si>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</si>
  <si>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</si>
  <si>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</si>
  <si>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</si>
  <si>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</si>
  <si>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</si>
  <si>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</si>
  <si>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</si>
  <si>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</si>
  <si>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</si>
  <si>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</si>
  <si>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</si>
  <si>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</si>
  <si>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</si>
  <si>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</si>
  <si>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</si>
  <si>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</si>
  <si>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</si>
  <si>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</si>
  <si>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</si>
  <si>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</si>
  <si>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</si>
  <si>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</si>
  <si>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</si>
  <si>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</si>
  <si>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</si>
  <si>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</si>
  <si>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</si>
  <si>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</si>
  <si>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</si>
  <si>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</si>
  <si>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</si>
  <si>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</si>
  <si>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</si>
  <si>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</si>
  <si>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</si>
  <si>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</si>
  <si>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</si>
  <si>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</si>
  <si>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</si>
  <si>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</si>
  <si>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</si>
  <si>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</si>
  <si>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</si>
  <si>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</si>
  <si>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</si>
  <si>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</si>
  <si>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</si>
  <si>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</si>
  <si>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</si>
  <si>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</si>
  <si>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</si>
  <si>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</si>
  <si>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</si>
  <si>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</si>
  <si>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</si>
  <si>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</si>
  <si>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</si>
  <si>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</si>
  <si>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</si>
  <si>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</si>
  <si>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</si>
  <si>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</si>
  <si>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</si>
  <si>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</si>
  <si>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</si>
  <si>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</si>
  <si>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</si>
  <si>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</si>
  <si>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</si>
  <si>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</si>
  <si>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</si>
  <si>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</si>
  <si>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</si>
  <si>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</si>
  <si>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</si>
  <si>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</si>
  <si>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</si>
  <si>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</si>
  <si>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</si>
  <si>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</si>
  <si>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</si>
  <si>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</si>
  <si>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</si>
  <si>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</si>
  <si>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</si>
  <si>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</si>
  <si>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</si>
  <si>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</si>
  <si>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</si>
  <si>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</si>
  <si>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</si>
  <si>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</si>
  <si>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</si>
  <si>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</si>
  <si>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</si>
  <si>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</si>
  <si>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</si>
  <si>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</si>
  <si>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</si>
  <si>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</si>
  <si>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</si>
  <si>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</si>
  <si>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</si>
  <si>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</si>
  <si>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</si>
  <si>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</si>
  <si>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</si>
  <si>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</si>
  <si>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</si>
  <si>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</si>
  <si>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</si>
  <si>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</si>
  <si>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</si>
  <si>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</si>
  <si>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</si>
  <si>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</si>
  <si>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</si>
  <si>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</si>
  <si>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</si>
  <si>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</si>
  <si>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</si>
  <si>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</si>
  <si>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</si>
  <si>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</si>
  <si>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</si>
  <si>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</si>
  <si>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</si>
  <si>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</si>
  <si>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</si>
  <si>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</si>
  <si>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</si>
  <si>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</si>
  <si>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</si>
  <si>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</si>
  <si>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</si>
  <si>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</si>
  <si>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</si>
  <si>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</si>
  <si>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</si>
  <si>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</si>
  <si>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</si>
  <si>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</si>
  <si>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</si>
  <si>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</si>
  <si>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</si>
  <si>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</si>
  <si>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</si>
  <si>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</si>
  <si>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</si>
  <si>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</si>
  <si>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</si>
  <si>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</si>
  <si>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</si>
  <si>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</si>
  <si>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</si>
  <si>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</si>
  <si>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</si>
  <si>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</si>
  <si>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</si>
  <si>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</si>
  <si>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</si>
  <si>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</si>
  <si>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</si>
  <si>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</si>
  <si>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</si>
  <si>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</si>
  <si>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</si>
  <si>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</si>
  <si>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</si>
  <si>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</si>
  <si>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</si>
  <si>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</si>
  <si>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</si>
  <si>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</si>
  <si>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</si>
  <si>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</si>
  <si>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</si>
  <si>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</si>
  <si>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</si>
  <si>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</si>
  <si>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</si>
  <si>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</si>
  <si>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</si>
  <si>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</si>
  <si>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</si>
  <si>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</si>
  <si>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</si>
  <si>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</si>
  <si>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</si>
  <si>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</si>
  <si>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</si>
  <si>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</si>
  <si>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</si>
  <si>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</si>
  <si>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</si>
  <si>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</si>
  <si>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</si>
  <si>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</si>
  <si>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</si>
  <si>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</si>
  <si>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</si>
  <si>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</si>
  <si>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</si>
  <si>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</si>
  <si>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</si>
  <si>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</si>
  <si>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</si>
  <si>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</si>
  <si>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</si>
  <si>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</si>
  <si>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</si>
  <si>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</si>
  <si>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</si>
  <si>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</si>
  <si>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</si>
  <si>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</si>
  <si>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</si>
  <si>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</si>
  <si>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</si>
  <si>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</si>
  <si>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</si>
  <si>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</si>
  <si>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</si>
  <si>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</si>
  <si>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</si>
  <si>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</si>
  <si>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Uh….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</si>
  <si>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</si>
  <si>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</si>
  <si>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</si>
  <si>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</si>
  <si>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</si>
  <si>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</si>
  <si>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</si>
  <si>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</si>
  <si>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</si>
  <si>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</si>
  <si>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</si>
  <si>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</si>
  <si>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</si>
  <si>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</si>
  <si>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</si>
  <si>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</si>
  <si>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</si>
  <si>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</t>
  </si>
  <si>
    <t>Ammo Type</t>
  </si>
  <si>
    <t>Fire Probability</t>
  </si>
  <si>
    <t>Burn Coefficient</t>
  </si>
  <si>
    <t>Fire Time Reduc.</t>
  </si>
  <si>
    <t>Fire DMG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</si>
  <si>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</si>
  <si>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</si>
  <si>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</si>
  <si>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</si>
  <si>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</si>
  <si>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</si>
  <si>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</si>
  <si>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Manual</t>
  </si>
  <si>
    <t>Shells on Target</t>
  </si>
  <si>
    <t>Gun Fire Rate</t>
  </si>
  <si>
    <t>Fire Settings</t>
  </si>
  <si>
    <t>Armor Modifier</t>
  </si>
  <si>
    <t>Auto</t>
  </si>
  <si>
    <t>Safe</t>
  </si>
  <si>
    <t>Modifier</t>
  </si>
  <si>
    <t>Danger Level &amp; Level Advantage</t>
  </si>
  <si>
    <t>Fire Stuff</t>
  </si>
  <si>
    <t>Shell Probability</t>
  </si>
  <si>
    <t>Fire Extinguisher Fire Stuff</t>
  </si>
  <si>
    <t>Coefficients</t>
  </si>
  <si>
    <t>MIN(MAX((0.1+($F$14/($F$14+(E19*(1+G19)+2)))+(($F$15-E20+I15)/1000)-(E21)),0.1),1)</t>
  </si>
  <si>
    <t>Reset Chances</t>
  </si>
  <si>
    <t>Emile Bertin Kai</t>
  </si>
  <si>
    <t>LCK</t>
  </si>
  <si>
    <t>Le Malin</t>
  </si>
  <si>
    <t>L'Opiniatre</t>
  </si>
  <si>
    <t>London Kai</t>
  </si>
  <si>
    <t>Equipment Settings</t>
  </si>
  <si>
    <t>Ship Stat Input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</si>
</sst>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E6B8AF"/>
      </patternFill>
    </fill>
    <fill>
      <patternFill patternType="solid">
        <fgColor rgb="FFFFC000"/>
        <bgColor rgb="FFCFE2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0" fillId="0" borderId="1" xfId="0" applyFont="1" applyFill="1" applyBorder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0" fillId="14" borderId="1" xfId="0" applyFont="1" applyFill="1" applyBorder="1" applyAlignment="1"/>
    <xf numFmtId="0" fontId="5" fillId="0" borderId="0" xfId="0" quotePrefix="1" applyFont="1" applyAlignment="1"/>
    <xf numFmtId="9" fontId="5" fillId="0" borderId="0" xfId="0" applyNumberFormat="1" applyFont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3" fillId="0" borderId="3" xfId="0" applyNumberFormat="1" applyFont="1" applyBorder="1"/>
    <xf numFmtId="164" fontId="3" fillId="0" borderId="3" xfId="0" applyNumberFormat="1" applyFont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12" borderId="8" xfId="0" applyFont="1" applyFill="1" applyBorder="1" applyAlignment="1"/>
    <xf numFmtId="0" fontId="6" fillId="5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9" borderId="1" xfId="0" applyFont="1" applyFill="1" applyBorder="1" applyAlignment="1"/>
    <xf numFmtId="0" fontId="2" fillId="6" borderId="1" xfId="0" applyFont="1" applyFill="1" applyBorder="1" applyAlignment="1"/>
    <xf numFmtId="0" fontId="0" fillId="0" borderId="0" xfId="0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2" fillId="12" borderId="1" xfId="0" applyFont="1" applyFill="1" applyBorder="1" applyAlignment="1"/>
    <xf numFmtId="0" fontId="0" fillId="0" borderId="1" xfId="0" applyFont="1" applyFill="1" applyBorder="1" applyAlignment="1"/>
    <xf numFmtId="0" fontId="2" fillId="13" borderId="1" xfId="0" applyFont="1" applyFill="1" applyBorder="1" applyAlignment="1"/>
    <xf numFmtId="0" fontId="5" fillId="11" borderId="1" xfId="0" applyFont="1" applyFill="1" applyBorder="1" applyAlignment="1"/>
    <xf numFmtId="0" fontId="6" fillId="3" borderId="1" xfId="0" applyFont="1" applyFill="1" applyBorder="1" applyAlignment="1"/>
    <xf numFmtId="0" fontId="2" fillId="16" borderId="2" xfId="0" applyFont="1" applyFill="1" applyBorder="1" applyAlignment="1"/>
    <xf numFmtId="0" fontId="5" fillId="9" borderId="2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0" borderId="0" xfId="0" applyFont="1" applyAlignment="1"/>
    <xf numFmtId="0" fontId="0" fillId="0" borderId="7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15" borderId="2" xfId="0" applyFont="1" applyFill="1" applyBorder="1" applyAlignment="1"/>
    <xf numFmtId="0" fontId="2" fillId="15" borderId="3" xfId="0" applyFont="1" applyFill="1" applyBorder="1" applyAlignment="1"/>
    <xf numFmtId="0" fontId="2" fillId="16" borderId="2" xfId="0" applyFont="1" applyFill="1" applyBorder="1" applyAlignment="1"/>
    <xf numFmtId="0" fontId="2" fillId="16" borderId="3" xfId="0" applyFont="1" applyFill="1" applyBorder="1" applyAlignment="1"/>
    <xf numFmtId="0" fontId="5" fillId="17" borderId="1" xfId="0" applyFont="1" applyFill="1" applyBorder="1" applyAlignment="1"/>
    <xf numFmtId="0" fontId="2" fillId="18" borderId="1" xfId="0" applyFont="1" applyFill="1" applyBorder="1" applyAlignment="1"/>
    <xf numFmtId="0" fontId="2" fillId="15" borderId="1" xfId="0" applyFont="1" applyFill="1" applyBorder="1" applyAlignment="1"/>
    <xf numFmtId="0" fontId="2" fillId="19" borderId="2" xfId="0" applyFont="1" applyFill="1" applyBorder="1" applyAlignment="1"/>
    <xf numFmtId="0" fontId="2" fillId="19" borderId="3" xfId="0" applyFont="1" applyFill="1" applyBorder="1" applyAlignment="1"/>
    <xf numFmtId="0" fontId="2" fillId="19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9" fontId="5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5" fillId="21" borderId="1" xfId="0" applyFont="1" applyFill="1" applyBorder="1" applyAlignment="1"/>
    <xf numFmtId="0" fontId="0" fillId="21" borderId="1" xfId="0" applyFont="1" applyFill="1" applyBorder="1" applyAlignment="1"/>
    <xf numFmtId="0" fontId="0" fillId="17" borderId="2" xfId="0" applyFont="1" applyFill="1" applyBorder="1" applyAlignment="1"/>
    <xf numFmtId="0" fontId="0" fillId="17" borderId="3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2" fillId="13" borderId="2" xfId="0" applyFont="1" applyFill="1" applyBorder="1" applyAlignment="1"/>
    <xf numFmtId="0" fontId="2" fillId="13" borderId="3" xfId="0" applyFont="1" applyFill="1" applyBorder="1" applyAlignment="1"/>
    <xf numFmtId="0" fontId="5" fillId="20" borderId="2" xfId="0" applyFont="1" applyFill="1" applyBorder="1" applyAlignment="1"/>
    <xf numFmtId="0" fontId="5" fillId="20" borderId="8" xfId="0" applyFont="1" applyFill="1" applyBorder="1" applyAlignment="1"/>
    <xf numFmtId="0" fontId="5" fillId="20" borderId="3" xfId="0" applyFont="1" applyFill="1" applyBorder="1" applyAlignment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/>
  </cellXfs>
  <cellStyles count="2">
    <cellStyle name="Normal" xfId="0" builtinId="0"/>
    <cellStyle name="Normal 2" xfId="1" xr:uid="{00000000-0005-0000-0000-000031000000}"/>
  </cellStyles>
  <dxfs count="91"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0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89"/>
    <tableColumn id="4" xr3:uid="{0A4F5395-51BB-4099-91EE-E8F0FA8305F2}" name="Medium" dataDxfId="88"/>
    <tableColumn id="5" xr3:uid="{84F3AB1E-A0A5-4425-84CF-282C7369C5A3}" name="Heavy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86" dataDxfId="85" tableBorderDxfId="84">
  <autoFilter ref="B28:B33" xr:uid="{4F7E1C47-FB5E-4E98-A28A-321A928E5123}"/>
  <tableColumns count="1">
    <tableColumn id="1" xr3:uid="{EB97A1AF-8DD2-4D44-92D2-3BB09BA6DF6E}" name="Hull Class" dataDxfId="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2" dataDxfId="81">
  <autoFilter ref="I28:I41" xr:uid="{2025355D-0CBF-42F6-84F7-CCF0141134A5}"/>
  <tableColumns count="1">
    <tableColumn id="1" xr3:uid="{F7AA5280-9281-4AA3-953C-F277228E6B80}" name="Hull Class 2" dataDxfId="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D48" totalsRowShown="0">
  <autoFilter ref="A39:D48" xr:uid="{A713FCD5-DC92-4869-9640-89E8ABEE4152}"/>
  <tableColumns count="4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5"/>
  <sheetViews>
    <sheetView tabSelected="1" zoomScaleNormal="100" workbookViewId="0">
      <selection activeCell="E39" sqref="E39"/>
    </sheetView>
  </sheetViews>
  <sheetFormatPr defaultColWidth="14.44140625" defaultRowHeight="15.75" customHeight="1" x14ac:dyDescent="0.25"/>
  <cols>
    <col min="1" max="2" width="8.21875" style="49" customWidth="1"/>
    <col min="3" max="3" width="15.88671875" style="49" customWidth="1"/>
    <col min="4" max="26" width="15.88671875" customWidth="1"/>
  </cols>
  <sheetData>
    <row r="1" spans="1:27" ht="15.75" customHeight="1" x14ac:dyDescent="0.25">
      <c r="A1" s="91" t="s">
        <v>545</v>
      </c>
      <c r="B1" s="92"/>
      <c r="C1" s="93"/>
      <c r="G1" s="83" t="s">
        <v>546</v>
      </c>
      <c r="H1" s="84"/>
      <c r="M1" s="9"/>
      <c r="N1" s="10"/>
      <c r="O1" s="10"/>
      <c r="P1" s="10"/>
      <c r="Q1" s="9"/>
      <c r="R1" s="10"/>
      <c r="S1" s="10"/>
      <c r="T1" s="10"/>
      <c r="U1" s="11"/>
      <c r="V1" s="11"/>
      <c r="W1" s="11"/>
      <c r="X1" s="11"/>
      <c r="Y1" s="11"/>
      <c r="Z1" s="11"/>
      <c r="AA1" s="11"/>
    </row>
    <row r="2" spans="1:27" ht="15.75" customHeight="1" x14ac:dyDescent="0.25">
      <c r="A2" s="81" t="str">
        <f>IF('Background Tables'!N2="Off","No Gear","naked")</f>
        <v>No Gear</v>
      </c>
      <c r="B2" s="82"/>
      <c r="C2" s="40" t="s">
        <v>444</v>
      </c>
      <c r="D2" s="21" t="str">
        <f>IF('Background Tables'!N2="Off","Repair Toolkit","Lunchkit")</f>
        <v>Repair Toolkit</v>
      </c>
      <c r="E2" s="33" t="s">
        <v>444</v>
      </c>
      <c r="G2" s="23" t="s">
        <v>430</v>
      </c>
      <c r="H2" s="26" t="s">
        <v>467</v>
      </c>
      <c r="I2" s="23" t="s">
        <v>4</v>
      </c>
      <c r="J2" s="26" t="s">
        <v>467</v>
      </c>
      <c r="K2" s="23" t="s">
        <v>518</v>
      </c>
      <c r="L2" s="26" t="s">
        <v>467</v>
      </c>
      <c r="M2" s="12"/>
      <c r="N2" s="10"/>
      <c r="O2" s="10"/>
      <c r="P2" s="10"/>
      <c r="Q2" s="13"/>
      <c r="R2" s="14"/>
      <c r="S2" s="13"/>
      <c r="T2" s="10"/>
      <c r="U2" s="13"/>
      <c r="V2" s="10"/>
      <c r="W2" s="10"/>
      <c r="X2" s="10"/>
      <c r="Y2" s="10"/>
      <c r="Z2" s="10"/>
      <c r="AA2" s="10"/>
    </row>
    <row r="3" spans="1:27" ht="15.75" customHeight="1" x14ac:dyDescent="0.25">
      <c r="A3" s="81" t="str">
        <f>IF('Background Tables'!N2="Off","Fire Extin.","Bottle")</f>
        <v>Fire Extin.</v>
      </c>
      <c r="B3" s="82"/>
      <c r="C3" s="41" t="s">
        <v>444</v>
      </c>
      <c r="D3" s="55" t="str">
        <f>IF('Background Tables'!N2="Off","SG Radar","Helena's hairpin")</f>
        <v>SG Radar</v>
      </c>
      <c r="E3" s="33" t="s">
        <v>444</v>
      </c>
      <c r="F3" s="49"/>
      <c r="G3" s="23" t="s">
        <v>423</v>
      </c>
      <c r="H3" s="26" t="s">
        <v>467</v>
      </c>
      <c r="I3" s="23" t="s">
        <v>15</v>
      </c>
      <c r="J3" s="26" t="s">
        <v>467</v>
      </c>
      <c r="K3" s="23" t="s">
        <v>475</v>
      </c>
      <c r="L3" s="26" t="s">
        <v>471</v>
      </c>
      <c r="X3" s="13"/>
      <c r="Y3" s="13"/>
      <c r="Z3" s="13"/>
      <c r="AA3" s="13"/>
    </row>
    <row r="4" spans="1:27" ht="15.75" customHeight="1" x14ac:dyDescent="0.25">
      <c r="A4" s="81" t="str">
        <f>IF('Background Tables'!N2="Off","Naval Camo.","Blue Paint")</f>
        <v>Naval Camo.</v>
      </c>
      <c r="B4" s="82"/>
      <c r="C4" s="41" t="s">
        <v>444</v>
      </c>
      <c r="D4" s="55" t="str">
        <f>IF('Background Tables'!N2="Off","Beaver Badge","gottagofast2.jpg")</f>
        <v>Beaver Badge</v>
      </c>
      <c r="E4" s="33" t="s">
        <v>444</v>
      </c>
      <c r="F4" s="49"/>
      <c r="G4" s="23" t="s">
        <v>12</v>
      </c>
      <c r="H4" s="26" t="s">
        <v>467</v>
      </c>
      <c r="I4" s="23" t="s">
        <v>474</v>
      </c>
      <c r="J4" s="26" t="s">
        <v>467</v>
      </c>
      <c r="K4" s="49"/>
      <c r="L4" s="49"/>
      <c r="X4" s="11"/>
      <c r="Y4" s="11"/>
      <c r="Z4" s="11"/>
      <c r="AA4" s="11"/>
    </row>
    <row r="5" spans="1:27" ht="15.75" customHeight="1" x14ac:dyDescent="0.25">
      <c r="A5" s="81" t="str">
        <f>IF('Background Tables'!N2="Off","Adv. Boiler","gottagofast.jpg")</f>
        <v>Adv. Boiler</v>
      </c>
      <c r="B5" s="82"/>
      <c r="C5" s="41" t="s">
        <v>444</v>
      </c>
      <c r="D5" s="55" t="str">
        <f>IF('Background Tables'!N2="Off","Imp. Rudder","Washing Machine")</f>
        <v>Imp. Rudder</v>
      </c>
      <c r="E5" s="33" t="s">
        <v>444</v>
      </c>
      <c r="F5" s="49"/>
      <c r="G5" s="23" t="s">
        <v>13</v>
      </c>
      <c r="H5" s="26" t="s">
        <v>467</v>
      </c>
      <c r="I5" s="23" t="s">
        <v>519</v>
      </c>
      <c r="J5" s="26" t="s">
        <v>467</v>
      </c>
      <c r="K5" s="49"/>
      <c r="L5" s="49"/>
      <c r="X5" s="13"/>
      <c r="Y5" s="11"/>
      <c r="Z5" s="11"/>
      <c r="AA5" s="11"/>
    </row>
    <row r="6" spans="1:27" ht="15.75" customHeight="1" x14ac:dyDescent="0.25">
      <c r="A6" s="81" t="str">
        <f>IF('Background Tables'!N2="Off","Fuel Filter","Coca Cola")</f>
        <v>Fuel Filter</v>
      </c>
      <c r="B6" s="82"/>
      <c r="C6" s="40" t="s">
        <v>444</v>
      </c>
      <c r="D6" s="55" t="s">
        <v>443</v>
      </c>
      <c r="E6" s="33" t="s">
        <v>444</v>
      </c>
      <c r="F6" s="49"/>
      <c r="G6" s="23" t="s">
        <v>14</v>
      </c>
      <c r="H6" s="26" t="s">
        <v>467</v>
      </c>
      <c r="I6" s="23" t="s">
        <v>516</v>
      </c>
      <c r="J6" s="26" t="s">
        <v>467</v>
      </c>
      <c r="K6" s="49"/>
      <c r="L6" s="49"/>
      <c r="X6" s="13"/>
      <c r="Y6" s="11"/>
      <c r="Z6" s="11"/>
      <c r="AA6" s="11"/>
    </row>
    <row r="7" spans="1:27" ht="15.75" customHeight="1" x14ac:dyDescent="0.25">
      <c r="A7" s="81" t="str">
        <f>IF('Background Tables'!N2="Off","Torp. Bulge","owo what's this")</f>
        <v>Torp. Bulge</v>
      </c>
      <c r="B7" s="82"/>
      <c r="C7" s="40" t="s">
        <v>444</v>
      </c>
      <c r="D7" s="49"/>
      <c r="E7" s="49"/>
      <c r="F7" s="49"/>
      <c r="G7" s="23" t="s">
        <v>3</v>
      </c>
      <c r="H7" s="26" t="s">
        <v>467</v>
      </c>
      <c r="I7" s="23" t="s">
        <v>517</v>
      </c>
      <c r="J7" s="26" t="s">
        <v>467</v>
      </c>
      <c r="K7" s="49"/>
      <c r="L7" s="49"/>
      <c r="X7" s="13"/>
      <c r="Y7" s="11"/>
      <c r="Z7" s="11"/>
      <c r="AA7" s="11"/>
    </row>
    <row r="8" spans="1:27" ht="15.75" customHeight="1" x14ac:dyDescent="0.25">
      <c r="A8" s="94"/>
      <c r="B8" s="94"/>
      <c r="D8" s="49"/>
      <c r="E8" s="49"/>
      <c r="F8" s="49"/>
      <c r="G8" s="49"/>
      <c r="H8" s="49"/>
      <c r="I8" s="49"/>
      <c r="J8" s="49"/>
      <c r="K8" s="49"/>
      <c r="L8" s="49"/>
      <c r="M8" s="9"/>
      <c r="O8" s="10"/>
      <c r="P8" s="10"/>
      <c r="Q8" s="10"/>
      <c r="R8" s="10"/>
      <c r="S8" s="13"/>
      <c r="T8" s="10"/>
      <c r="U8" s="13"/>
      <c r="V8" s="13"/>
      <c r="W8" s="13"/>
      <c r="X8" s="13"/>
      <c r="Y8" s="11"/>
      <c r="Z8" s="11"/>
      <c r="AA8" s="11"/>
    </row>
    <row r="9" spans="1:27" ht="15.75" customHeight="1" x14ac:dyDescent="0.25">
      <c r="A9" s="57" t="s">
        <v>470</v>
      </c>
      <c r="B9" s="57"/>
      <c r="C9" s="57"/>
      <c r="D9" s="49"/>
      <c r="E9" s="49"/>
      <c r="F9" s="49"/>
      <c r="G9" s="49"/>
      <c r="H9" s="49"/>
      <c r="I9" s="49"/>
      <c r="J9" s="49"/>
      <c r="K9" s="49"/>
      <c r="L9" s="49"/>
      <c r="N9" s="11"/>
      <c r="X9" s="13"/>
      <c r="Y9" s="11"/>
      <c r="Z9" s="11"/>
      <c r="AA9" s="11"/>
    </row>
    <row r="10" spans="1:27" ht="15.75" customHeight="1" x14ac:dyDescent="0.25">
      <c r="A10" s="56" t="s">
        <v>430</v>
      </c>
      <c r="B10" s="56"/>
      <c r="C10" s="45"/>
      <c r="D10" s="56" t="s">
        <v>13</v>
      </c>
      <c r="E10" s="46"/>
      <c r="F10" s="56" t="s">
        <v>4</v>
      </c>
      <c r="G10" s="46"/>
      <c r="H10" s="56" t="s">
        <v>519</v>
      </c>
      <c r="I10" s="77"/>
      <c r="J10" s="56" t="s">
        <v>518</v>
      </c>
      <c r="K10" s="46"/>
      <c r="L10" s="49"/>
      <c r="X10" s="13"/>
      <c r="Y10" s="11"/>
      <c r="Z10" s="11"/>
      <c r="AA10" s="11"/>
    </row>
    <row r="11" spans="1:27" ht="15.75" customHeight="1" x14ac:dyDescent="0.25">
      <c r="A11" s="56" t="s">
        <v>423</v>
      </c>
      <c r="B11" s="56"/>
      <c r="C11" s="45"/>
      <c r="D11" s="56" t="s">
        <v>14</v>
      </c>
      <c r="E11" s="46"/>
      <c r="F11" s="56" t="s">
        <v>15</v>
      </c>
      <c r="G11" s="46"/>
      <c r="H11" s="56" t="s">
        <v>516</v>
      </c>
      <c r="I11" s="46"/>
      <c r="J11" s="49"/>
      <c r="K11" s="49"/>
      <c r="L11" s="49"/>
      <c r="X11" s="13"/>
      <c r="Y11" s="11"/>
      <c r="Z11" s="11"/>
      <c r="AA11" s="11"/>
    </row>
    <row r="12" spans="1:27" ht="15.75" customHeight="1" x14ac:dyDescent="0.25">
      <c r="A12" s="89" t="s">
        <v>12</v>
      </c>
      <c r="B12" s="90"/>
      <c r="C12" s="45"/>
      <c r="D12" s="56" t="s">
        <v>3</v>
      </c>
      <c r="E12" s="46"/>
      <c r="F12" s="25" t="s">
        <v>474</v>
      </c>
      <c r="G12" s="46"/>
      <c r="H12" s="56" t="s">
        <v>517</v>
      </c>
      <c r="I12" s="46"/>
      <c r="J12" s="49"/>
      <c r="K12" s="49"/>
      <c r="L12" s="49"/>
      <c r="X12" s="13"/>
      <c r="Y12" s="11"/>
      <c r="Z12" s="11"/>
      <c r="AA12" s="11"/>
    </row>
    <row r="13" spans="1:27" ht="15.75" customHeight="1" x14ac:dyDescent="0.25">
      <c r="A13" s="95"/>
      <c r="B13" s="95"/>
      <c r="D13" s="49"/>
      <c r="E13" s="49"/>
      <c r="F13" s="49"/>
      <c r="G13" s="49"/>
      <c r="H13" s="49"/>
      <c r="I13" s="49"/>
      <c r="J13" s="49"/>
      <c r="K13" s="49"/>
      <c r="L13" s="49"/>
      <c r="X13" s="13"/>
      <c r="Y13" s="11"/>
      <c r="Z13" s="11"/>
      <c r="AA13" s="11"/>
    </row>
    <row r="14" spans="1:27" ht="15.75" customHeight="1" x14ac:dyDescent="0.25">
      <c r="A14" s="30" t="s">
        <v>468</v>
      </c>
      <c r="B14" s="42"/>
      <c r="C14" s="31"/>
      <c r="D14" s="49"/>
      <c r="E14" s="43" t="s">
        <v>469</v>
      </c>
      <c r="F14" s="43"/>
      <c r="G14" s="49"/>
      <c r="H14" s="60" t="s">
        <v>493</v>
      </c>
      <c r="I14" s="61"/>
      <c r="J14" s="49"/>
      <c r="K14" s="85" t="s">
        <v>528</v>
      </c>
      <c r="L14" s="86"/>
      <c r="O14" s="11"/>
      <c r="P14" s="11"/>
      <c r="Q14" s="11"/>
      <c r="R14" s="11"/>
      <c r="S14" s="11"/>
      <c r="T14" s="13"/>
      <c r="U14" s="13"/>
      <c r="V14" s="13"/>
      <c r="W14" s="13"/>
      <c r="X14" s="13"/>
      <c r="Y14" s="11"/>
      <c r="Z14" s="11"/>
      <c r="AA14" s="11"/>
    </row>
    <row r="15" spans="1:27" ht="15.75" customHeight="1" x14ac:dyDescent="0.25">
      <c r="A15" s="54" t="s">
        <v>7</v>
      </c>
      <c r="B15" s="58" t="s">
        <v>40</v>
      </c>
      <c r="C15" s="58"/>
      <c r="D15" s="49"/>
      <c r="E15" s="7" t="s">
        <v>16</v>
      </c>
      <c r="F15" s="6">
        <v>50</v>
      </c>
      <c r="G15" s="49"/>
      <c r="H15" s="47" t="s">
        <v>403</v>
      </c>
      <c r="I15" s="44">
        <v>60</v>
      </c>
      <c r="J15" s="49"/>
      <c r="K15" s="70" t="s">
        <v>512</v>
      </c>
      <c r="L15" s="33" t="s">
        <v>445</v>
      </c>
      <c r="N15" s="11"/>
      <c r="O15" s="11"/>
      <c r="P15" s="11"/>
      <c r="Q15" s="11"/>
      <c r="R15" s="11"/>
      <c r="S15" s="11"/>
      <c r="T15" s="13"/>
      <c r="U15" s="13"/>
      <c r="V15" s="13"/>
      <c r="W15" s="13"/>
      <c r="X15" s="13"/>
      <c r="Y15" s="11"/>
      <c r="Z15" s="13"/>
      <c r="AA15" s="11"/>
    </row>
    <row r="16" spans="1:27" ht="15.75" customHeight="1" x14ac:dyDescent="0.25">
      <c r="A16" s="87" t="s">
        <v>399</v>
      </c>
      <c r="B16" s="88"/>
      <c r="C16" s="40">
        <v>120</v>
      </c>
      <c r="D16" s="49"/>
      <c r="E16" s="7" t="s">
        <v>17</v>
      </c>
      <c r="F16" s="6">
        <v>0</v>
      </c>
      <c r="G16" s="49"/>
      <c r="H16" s="47" t="s">
        <v>489</v>
      </c>
      <c r="I16" s="39">
        <v>0</v>
      </c>
      <c r="J16" s="49"/>
      <c r="K16" s="71" t="s">
        <v>527</v>
      </c>
      <c r="L16" s="76"/>
      <c r="M16" s="11"/>
      <c r="O16" s="11"/>
      <c r="P16" s="11"/>
      <c r="Q16" s="11"/>
      <c r="R16" s="11"/>
      <c r="S16" s="11"/>
      <c r="T16" s="13"/>
      <c r="U16" s="13"/>
      <c r="V16" s="13"/>
      <c r="W16" s="13"/>
      <c r="X16" s="13"/>
      <c r="Y16" s="11"/>
      <c r="Z16" s="11"/>
      <c r="AA16" s="11"/>
    </row>
    <row r="17" spans="1:27" ht="15.75" customHeight="1" x14ac:dyDescent="0.25">
      <c r="A17" s="63"/>
      <c r="B17" s="63"/>
      <c r="D17" s="49"/>
      <c r="E17" s="5" t="s">
        <v>424</v>
      </c>
      <c r="F17" s="78" t="s">
        <v>428</v>
      </c>
      <c r="G17" s="49"/>
      <c r="H17" s="47" t="s">
        <v>491</v>
      </c>
      <c r="I17" s="33" t="s">
        <v>492</v>
      </c>
      <c r="J17" s="49"/>
      <c r="K17" s="71" t="s">
        <v>526</v>
      </c>
      <c r="L17" s="76"/>
      <c r="O17" s="11"/>
      <c r="P17" s="11"/>
      <c r="Q17" s="11"/>
      <c r="R17" s="11"/>
      <c r="S17" s="11"/>
      <c r="T17" s="13"/>
      <c r="U17" s="13"/>
      <c r="V17" s="13"/>
      <c r="W17" s="13"/>
      <c r="X17" s="13"/>
      <c r="Y17" s="11"/>
      <c r="Z17" s="11"/>
      <c r="AA17" s="11"/>
    </row>
    <row r="18" spans="1:27" ht="15.75" customHeight="1" x14ac:dyDescent="0.25">
      <c r="A18" s="62"/>
      <c r="B18" s="62"/>
      <c r="D18" s="49"/>
      <c r="E18" s="5" t="s">
        <v>425</v>
      </c>
      <c r="F18" s="78" t="s">
        <v>428</v>
      </c>
      <c r="G18" s="49"/>
      <c r="H18" s="47" t="s">
        <v>490</v>
      </c>
      <c r="I18" s="34">
        <v>0</v>
      </c>
      <c r="J18" s="49"/>
      <c r="K18" s="49"/>
      <c r="L18" s="49"/>
      <c r="N18" s="11"/>
      <c r="O18" s="11"/>
      <c r="P18" s="11"/>
      <c r="Q18" s="11"/>
      <c r="R18" s="11"/>
      <c r="S18" s="11"/>
      <c r="T18" s="13"/>
      <c r="U18" s="13"/>
      <c r="V18" s="13"/>
      <c r="W18" s="13"/>
      <c r="X18" s="13"/>
      <c r="Y18" s="11"/>
      <c r="Z18" s="11"/>
      <c r="AA18" s="11"/>
    </row>
    <row r="19" spans="1:27" ht="15.75" customHeight="1" x14ac:dyDescent="0.25">
      <c r="A19" s="64"/>
      <c r="B19" s="64"/>
      <c r="D19" s="49"/>
      <c r="E19" s="49"/>
      <c r="F19" s="49"/>
      <c r="G19" s="49"/>
      <c r="H19" s="49"/>
      <c r="I19" s="49"/>
      <c r="J19" s="49"/>
      <c r="K19" s="49"/>
      <c r="L19" s="49"/>
      <c r="O19" s="11"/>
      <c r="P19" s="11"/>
      <c r="Q19" s="11"/>
      <c r="R19" s="11"/>
      <c r="S19" s="11"/>
      <c r="T19" s="13"/>
      <c r="U19" s="13"/>
      <c r="V19" s="13"/>
      <c r="W19" s="13"/>
      <c r="X19" s="13"/>
      <c r="Y19" s="11"/>
      <c r="Z19" s="11"/>
      <c r="AA19" s="11"/>
    </row>
    <row r="20" spans="1:27" ht="15.75" customHeight="1" x14ac:dyDescent="0.25">
      <c r="A20" s="8" t="s">
        <v>430</v>
      </c>
      <c r="B20" s="8"/>
      <c r="C20" s="38" t="str">
        <f>_xlfn.IFS(L3="Manual",IFERROR(C10,"General"),L3="Automatic",IFERROR(INDEX(IF(C16=120,'Ship Stats'!C2:C1000,IF(C16=100,'Ship Stats'!T2:T1000,0)),MATCH(B15,'Ship Stats'!B2:B1000,0)),"General"),L3="Mixed",IF(H3="Manual",C10,IFERROR(INDEX(IF(C16=120,'Ship Stats'!C2:C1000,IF(C16=100,'Ship Stats'!T2:T1000,"General")),MATCH(B15,'Ship Stats'!B2:B1000,0)),"General")))</f>
        <v>CL</v>
      </c>
      <c r="D20" s="8" t="s">
        <v>13</v>
      </c>
      <c r="E20" s="34">
        <f>_xlfn.IFS(L3="Manual",E10,L3="Automatic",IFERROR(INDEX(IF(C16=120,'Ship Stats'!F2:F1000,IF(C16=100,'Ship Stats'!W2:W1000,0)),MATCH(B15,'Ship Stats'!B2:B1000,0)),0),L3="Mixed",IF(H5="Manual",E10,IFERROR(INDEX(IF(C16=120,'Ship Stats'!F2:F1000,IF(C16=100,'Ship Stats'!W2:W1000,0)),MATCH(B15,'Ship Stats'!B2:B1000,0)),0)))</f>
        <v>90</v>
      </c>
      <c r="F20" s="8" t="s">
        <v>4</v>
      </c>
      <c r="G20" s="34">
        <f>_xlfn.IFS(L3="Manual",G10,L3="Automatic",IFERROR(INDEX(IF(C16=120,'Ship Stats'!I2:I1000,IF(C16=100,'Ship Stats'!Z2:Z1000,0)),MATCH(B15,'Ship Stats'!B2:B1000,0)),0),L3="Mixed",IF(J2="Manual",G10,IFERROR(INDEX(IF(C16=120,'Ship Stats'!I2:I1000,IF(C16=100,'Ship Stats'!Z2:Z1000,0)),MATCH(B15,'Ship Stats'!B2:B1000,0)),0)))</f>
        <v>0</v>
      </c>
      <c r="H20" s="8" t="s">
        <v>519</v>
      </c>
      <c r="I20" s="34">
        <f>_xlfn.IFS(L3="Manual",I10,L3="Automatic",IFERROR(INDEX(IF(C16=120,'Ship Stats'!L2:L1000,IF(C16=100,'Ship Stats'!AC2:AC1000,0)),MATCH(B15,'Ship Stats'!B2:B1000,0)),0),L3="Mixed",IF(J5="Manual",I10,IFERROR(INDEX(IF(C16=120,'Ship Stats'!L2:L1000,IF(C16=100,'Ship Stats'!AC2:AC1000,0)),MATCH(B15,'Ship Stats'!B2:B1000,0)),0)))</f>
        <v>0</v>
      </c>
      <c r="J20" s="8" t="s">
        <v>518</v>
      </c>
      <c r="K20" s="35"/>
      <c r="L20" s="49"/>
      <c r="M20" s="11"/>
      <c r="O20" s="11"/>
      <c r="P20" s="11"/>
      <c r="Q20" s="11"/>
      <c r="R20" s="11"/>
      <c r="S20" s="11"/>
      <c r="T20" s="13"/>
      <c r="U20" s="13"/>
      <c r="V20" s="13"/>
      <c r="W20" s="13"/>
      <c r="X20" s="13"/>
      <c r="Y20" s="11"/>
      <c r="Z20" s="11"/>
      <c r="AA20" s="11"/>
    </row>
    <row r="21" spans="1:27" ht="15.75" customHeight="1" x14ac:dyDescent="0.25">
      <c r="A21" s="8" t="s">
        <v>423</v>
      </c>
      <c r="B21" s="8"/>
      <c r="C21" s="38" t="str">
        <f>_xlfn.IFS(L3="Manual",IFERROR(C11,"General"),L3="Automatic",IFERROR(INDEX(IF(C16=120,'Ship Stats'!D2:D1000,IF(C16=100,'Ship Stats'!U2:U1000,0)),MATCH(B15,'Ship Stats'!B2:B1000,0)),"General"),L3="Mixed",IF(H3="Manual",C11,IFERROR(INDEX(IF(C16=120,'Ship Stats'!D2:D1000,IF(C16=100,'Ship Stats'!U2:U1000,"General")),MATCH(B15,'Ship Stats'!B2:B1000,0)),"General")))</f>
        <v>Light</v>
      </c>
      <c r="D21" s="8" t="s">
        <v>14</v>
      </c>
      <c r="E21" s="34">
        <f>_xlfn.IFS(L3="Manual",E11,L3="Automatic",IFERROR(INDEX(IF(C16=120,'Ship Stats'!G2:G1000,IF(C16=100,'Ship Stats'!X2:X1000,0)),MATCH(B15,'Ship Stats'!B2:B1000,0)),0),L3="Mixed",IF(H6="Manual",E11,IFERROR(INDEX(IF(C16=120,'Ship Stats'!G2:G1000,IF(C16=100,'Ship Stats'!X2:X1000,0)),MATCH(B15,'Ship Stats'!B2:B1000,0)),0)))</f>
        <v>33</v>
      </c>
      <c r="F21" s="24" t="s">
        <v>15</v>
      </c>
      <c r="G21" s="34">
        <f>_xlfn.IFS(L3="Manual",G11,L3="Automatic",IFERROR(INDEX(IF(C16=120,'Ship Stats'!J2:J1000,IF(C16=100,'Ship Stats'!AA2:AA1000,0)),MATCH(B15,'Ship Stats'!B2:B1000,0)),0),L3="Mixed",IF(J3="Manual",G11,IFERROR(INDEX(IF(C16=120,'Ship Stats'!J2:J1000,IF(C16=100,'Ship Stats'!AA2:AA1000,0)),MATCH(B15,'Ship Stats'!B2:B1000,0)),0)))</f>
        <v>0</v>
      </c>
      <c r="H21" s="8" t="s">
        <v>516</v>
      </c>
      <c r="I21" s="34">
        <f>_xlfn.IFS(L3="Manual",I11,L3="Automatic",IFERROR(INDEX(IF(C16=120,'Ship Stats'!M2:M1000,IF(C16=100,'Ship Stats'!AD2:AD1000,0)),MATCH(B15,'Ship Stats'!B2:B1000,0)),0),L3="Mixed",IF(J6="Manual",I11,IFERROR(INDEX(IF(C16=120,'Ship Stats'!M2:M1000,IF(C16=100,'Ship Stats'!AD2:AD1000,0)),MATCH(B15,'Ship Stats'!B2:B1000,0)),0)))</f>
        <v>0</v>
      </c>
      <c r="J21" s="49"/>
      <c r="K21" s="49"/>
      <c r="L21" s="49"/>
      <c r="M21" s="11"/>
      <c r="O21" s="11"/>
      <c r="P21" s="11"/>
      <c r="Q21" s="11"/>
      <c r="R21" s="11"/>
      <c r="S21" s="11"/>
      <c r="T21" s="13"/>
      <c r="U21" s="13"/>
      <c r="V21" s="13"/>
      <c r="W21" s="13"/>
      <c r="X21" s="13"/>
      <c r="Y21" s="11"/>
      <c r="Z21" s="11"/>
      <c r="AA21" s="11"/>
    </row>
    <row r="22" spans="1:27" ht="15.75" customHeight="1" x14ac:dyDescent="0.25">
      <c r="A22" s="50" t="s">
        <v>12</v>
      </c>
      <c r="B22" s="51"/>
      <c r="C22" s="39">
        <f>_xlfn.IFS(L3="Manual",C12,L3="Automatic",IFERROR(INDEX(IF(C16=120,'Ship Stats'!E2:E1000,IF(C16=100,'Ship Stats'!V2:V1000,0)),MATCH(B15,'Ship Stats'!B2:B1000,0)),0),L3="Mixed",IF(H4="Manual",C12,IFERROR(INDEX(IF(C16=120,'Ship Stats'!E2:E1000,IF(C16=100,'Ship Stats'!V2:V1000,0)),MATCH(B15,'Ship Stats'!B2:B1000,0)),0)))</f>
        <v>3604</v>
      </c>
      <c r="D22" s="8" t="s">
        <v>3</v>
      </c>
      <c r="E22" s="34">
        <f>_xlfn.IFS(L3="Manual",E12,L3="Automatic",IFERROR(INDEX(IF(C16=120,'Ship Stats'!H2:H1000,IF(C16=100,'Ship Stats'!Y2:Y1000,0)),MATCH(B15,'Ship Stats'!B2:B1000,0)),0),L3="Mixed",IF(H7="Manual",E12,IFERROR(INDEX(IF(C16=120,'Ship Stats'!H2:H1000,IF(C16=100,'Ship Stats'!Y2:Y1000,0)),MATCH(B15,'Ship Stats'!B2:B1000,0)),0)))</f>
        <v>0</v>
      </c>
      <c r="F22" s="24" t="s">
        <v>474</v>
      </c>
      <c r="G22" s="35"/>
      <c r="H22" s="8" t="s">
        <v>517</v>
      </c>
      <c r="I22" s="34">
        <f>_xlfn.IFS(L3="Manual",I12,L3="Automatic",IFERROR(INDEX(IF(C16=120,'Ship Stats'!N2:N1000,IF(C16=100,'Ship Stats'!AE2:AE1000,0)),MATCH(B15,'Ship Stats'!B2:B1000,0)),0),L3="Mixed",IF(J7="Manual",I12,IFERROR(INDEX(IF(C16=120,'Ship Stats'!N2:N1000,IF(C16=100,'Ship Stats'!AE2:AE1000,0)),MATCH(B15,'Ship Stats'!B2:B1000,0)),0)))</f>
        <v>0</v>
      </c>
      <c r="J22" s="49"/>
      <c r="K22" s="49"/>
      <c r="L22" s="49"/>
      <c r="M22" s="11"/>
      <c r="O22" s="11"/>
      <c r="P22" s="11"/>
      <c r="Q22" s="11"/>
      <c r="R22" s="11"/>
      <c r="S22" s="11"/>
      <c r="T22" s="13"/>
      <c r="U22" s="13"/>
      <c r="V22" s="13"/>
      <c r="W22" s="13"/>
      <c r="X22" s="13"/>
      <c r="Y22" s="11"/>
      <c r="Z22" s="11"/>
      <c r="AA22" s="11"/>
    </row>
    <row r="23" spans="1:27" ht="15.75" customHeight="1" x14ac:dyDescent="0.25">
      <c r="A23" s="63"/>
      <c r="B23" s="63"/>
      <c r="D23" s="49"/>
      <c r="E23" s="49"/>
      <c r="F23" s="49"/>
      <c r="G23" s="49"/>
      <c r="H23" s="49"/>
      <c r="I23" s="49"/>
      <c r="J23" s="49"/>
      <c r="K23" s="49"/>
      <c r="L23" s="49"/>
      <c r="M23" s="11"/>
      <c r="O23" s="11"/>
      <c r="P23" s="11"/>
      <c r="Q23" s="11"/>
      <c r="R23" s="11"/>
      <c r="S23" s="11"/>
      <c r="T23" s="13"/>
      <c r="U23" s="13"/>
      <c r="V23" s="13"/>
      <c r="W23" s="13"/>
      <c r="X23" s="13"/>
      <c r="Y23" s="11"/>
      <c r="Z23" s="11"/>
      <c r="AA23" s="11"/>
    </row>
    <row r="24" spans="1:27" ht="15.75" customHeight="1" x14ac:dyDescent="0.25">
      <c r="A24" s="64"/>
      <c r="B24" s="65"/>
      <c r="C24" s="48" t="str">
        <f>IF('Background Tables'!N2="Off","No Gear","naked")</f>
        <v>No Gear</v>
      </c>
      <c r="D24" s="48" t="str">
        <f>IF('Background Tables'!N2="Off","Fire Extin.","Bottle")</f>
        <v>Fire Extin.</v>
      </c>
      <c r="E24" s="48" t="str">
        <f>IF('Background Tables'!N2="Off","Naval Camo.","Blue Paint")</f>
        <v>Naval Camo.</v>
      </c>
      <c r="F24" s="48" t="str">
        <f>IF('Background Tables'!N2="Off","Adv. Boiler","gottagofast.jpg")</f>
        <v>Adv. Boiler</v>
      </c>
      <c r="G24" s="48" t="str">
        <f>IF('Background Tables'!N2="Off","Fuel Filter","Coca Cola")</f>
        <v>Fuel Filter</v>
      </c>
      <c r="H24" s="48" t="str">
        <f>IF('Background Tables'!N2="Off","Torp. Bulge","owo what's this")</f>
        <v>Torp. Bulge</v>
      </c>
      <c r="I24" s="48" t="str">
        <f>IF('Background Tables'!N2="Off","Repair Toolkit","Lunchkit")</f>
        <v>Repair Toolkit</v>
      </c>
      <c r="J24" s="48" t="str">
        <f>IF('Background Tables'!N2="Off","SG Radar","Helena's hairpin")</f>
        <v>SG Radar</v>
      </c>
      <c r="K24" s="48" t="str">
        <f>IF('Background Tables'!N2="Off","Beaver Badge","gottagofast2.jpg")</f>
        <v>Beaver Badge</v>
      </c>
      <c r="L24" s="48" t="str">
        <f>IF('Background Tables'!N2="Off","Imp. Rudder","Washing Machine")</f>
        <v>Imp. Rudder</v>
      </c>
      <c r="M24" s="11"/>
      <c r="O24" s="11"/>
      <c r="P24" s="11"/>
      <c r="Q24" s="11"/>
      <c r="R24" s="11"/>
      <c r="S24" s="11"/>
      <c r="T24" s="13"/>
      <c r="U24" s="13"/>
      <c r="V24" s="13"/>
      <c r="W24" s="13"/>
      <c r="X24" s="13"/>
      <c r="Y24" s="11"/>
      <c r="Z24" s="11"/>
      <c r="AA24" s="11"/>
    </row>
    <row r="25" spans="1:27" ht="15.75" customHeight="1" x14ac:dyDescent="0.25">
      <c r="A25" s="52" t="str">
        <f>IF('Background Tables'!N2="Off","No Gear","naked")</f>
        <v>No Gear</v>
      </c>
      <c r="B25" s="53"/>
      <c r="C25" s="36">
        <f>IF($C$2="Yes",ROUND(((C22+(C22*G22))/(1-G21)/MIN(MAX((0.1+($F$15/($F$15+(E20*(1+G20)+2)))+(($F$16-E21+I16)/1000)-(E22)),0.1),1))/'Background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8599</v>
      </c>
      <c r="D25" s="4">
        <f>IF($C$3="Yes",IF($C$2="Yes",ROUND(((C22+266+(C22+266)*G22)/(1-G21)/MIN(MAX((0.1+($F$15/($F$15+(E20*(1+G20)+2)))+(($F$16-E21+I16)/1000)-(E22)),0.1),1))/'Background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9234</v>
      </c>
      <c r="E25" s="3">
        <f>IF($C$4="Yes",IF($C$2="Yes",ROUND(((C22+44+(C22+44)*G22)/(1-G21)/MIN(MAX((0.1+($F$15/($F$15+((E20+17)*(1+G20)+2)))+(($F$16-E21+I16)/1000)-(E22)),0.1),1))/'Background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9563</v>
      </c>
      <c r="F25" s="4">
        <f>IF($C$5="Yes",IF($C$2="Yes",ROUND(((C22+245+(C22+245)*G22)/(1-G21)/MIN(MAX((0.1+($F$15/($F$15+(E20*(1+G20)+2)))+(($F$16-E21+I16)/1000)-(E22)),0.1),1))/'Background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9184</v>
      </c>
      <c r="G25" s="4">
        <f>IF($C$6="Yes",IF($C$2="Yes",ROUND(((C22+350+(C22+350)*G22)/(1-G21)/MIN(MAX((0.1+($F$15/($F$15+((E20+5)*(1+G20)+2)))+(($F$16-E21+I16)/1000)-(E22)),0.1),1))/'Background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9712</v>
      </c>
      <c r="H25" s="4">
        <f>IF($C$7="Yes",IF($C$2="Yes",IFERROR(_xlfn.IFS(C20="DD","N/A",C20="SS","N/A",C20="SSV","N/A",C20="CB","N/A"),ROUND(((C22+350+(C22+350)*G22)/(1-G21)/MIN(MAX((0.1+($F$15/($F$15+(E20*(1+G20)+2)))+(($F$16-E21+I16)/1000)-(E22)),0.1),1))/'Background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9434</v>
      </c>
      <c r="I25" s="4">
        <f>IF($E$2="Yes",IF($C$2="Yes",ROUND(((C22+500+(C22+500)*G22+IF($E$6="Yes",ROUNDDOWN($I$15/15,0)*0.01*(C22+500),0))/(1-G21)/MIN(MAX((0.1+($F$15/($F$15+(E20*(1+G20)+2)))+(($F$16-E21+I16)/1000)-(E22)),0.1),1))/'Background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10184</v>
      </c>
      <c r="J25" s="4">
        <f>IF($E$3="Yes",IF($C$2="Yes",ROUND(((C22+C22*G22)/(1-G21)/MIN(MAX((0.1+($F$15/($F$15+((E20+15)*(1+G20)+2)))+(($F$16-E21+I16)/1000)-(E22)),0.1),1))/'Background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9350</v>
      </c>
      <c r="K25" s="4">
        <f>IF($E$4="Yes",IF($C$2="Yes",ROUND(((C22+75+(C22+75)*G22)/(1-G21)/MIN(MAX((0.1+($F$15/($F$15+((E20+35)*(1+G20)+2)))+(($F$16-E21+I16)/1000)-(E22)),0.1),1))/'Background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10527</v>
      </c>
      <c r="L25" s="4">
        <f>IF($E$5="Yes",IF($C$2="Yes",ROUND((((C22+60+(C22+60)*G22)/(1-G21)/MIN(MAX((0.1+($F$15/($F$15+((E20+40)*(1+G20)+2)))+(($F$16-E21+I16)/1000)-(E22)),0.1),1))/'Background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11054</v>
      </c>
      <c r="M25" s="11"/>
      <c r="O25" s="11"/>
      <c r="P25" s="11"/>
      <c r="Q25" s="11"/>
      <c r="R25" s="11"/>
      <c r="S25" s="11"/>
      <c r="T25" s="13"/>
      <c r="U25" s="13"/>
      <c r="V25" s="13"/>
      <c r="W25" s="13"/>
      <c r="X25" s="13"/>
      <c r="Y25" s="11"/>
      <c r="Z25" s="11"/>
      <c r="AA25" s="11"/>
    </row>
    <row r="26" spans="1:27" ht="15.75" customHeight="1" x14ac:dyDescent="0.25">
      <c r="A26" s="52" t="str">
        <f>IF('Background Tables'!N2="Off","Fire Extin.","Bottle")</f>
        <v>Fire Extin.</v>
      </c>
      <c r="B26" s="53"/>
      <c r="C26" s="36">
        <f>IF($C$2="Yes",IF($C$3="Yes",ROUND((((C22+266)+(C22+266)*G22)/(1-G21)/MIN(MAX((0.1+($F$15/($F$15+(E20*(1+G20)+2)))+(($F$16-E21+I16)/1000)-(E22)),0.1),1))/'Background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9234</v>
      </c>
      <c r="D26" s="4">
        <f>IF($C$3="Yes",ROUND(((C22+266+266+(C22+266+266)*G22)/(1-G21)/MIN(MAX((0.1+($F$15/($F$15+(E20*(1+G20)+2)))+(($F$16-E21+I16)/1000)-(E22)),0.1),1))/'Background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</f>
        <v>9868</v>
      </c>
      <c r="E26" s="4">
        <f>IF($C$4="Yes",IF($C$3="Yes",ROUND(((C22+266+44+(C22+266+44)*G22)/(1-G21)/MIN(MAX((0.1+($F$15/($F$15+((E20+17)*(1+G20)+2)))+(($F$16-E21+I16)/1000)-(E22)),0.1),1))/'Background Tables'!$H$2/'Background Tables'!K2/(IF(L15="Yes",1+(1-(1-'Background Tables'!K11)^((L17*(MIN(MAX((0.1+($F$15/($F$15+((E20+17)*(1+G20)+2)))+(($F$16-E21+I16)/1000)-(E22)),0.1),1)))*'Background Tables'!K12))*'Background Tables'!K13,1)),0),"Calc. Off"),"Calc. Off")</f>
        <v>10260</v>
      </c>
      <c r="F26" s="4">
        <f>IF($C$5="Yes",IF($C$3="Yes",ROUND(((C22+266+245+(C22+266+245)*G22)/(1-G21)/MIN(MAX((0.1+($F$15/($F$15+(E20*(1+G20)+2)))+(($F$16-E21+I16)/1000)-(E22)),0.1),1))/'Background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9818</v>
      </c>
      <c r="G26" s="4">
        <f>IF($C$6="Yes",IF($C$3="Yes",ROUND(((C22+266+350+(C22+266+350)*G22)/(1-G21)/MIN(MAX((0.1+($F$15/($F$15+((E20+5)*(1+G20)+2)))+(($F$16-E21+I16)/1000)-(E22)),0.1),1))/'Background Tables'!$H$2/'Background Tables'!K2/(IF(L15="Yes",1+(1-(1-'Background Tables'!K11)^((L17*(MIN(MAX((0.1+($F$15/($F$15+((E20+5)*(1+G20)+2)))+(($F$16-E21+I16)/1000)-(E22)),0.1),1)))*'Background Tables'!K12))*'Background Tables'!K13,1)),0),"Calc. Off"),"Calc. Off")</f>
        <v>10365</v>
      </c>
      <c r="H26" s="4">
        <f>IF($C$7="Yes",IF($C$3="Yes",IFERROR(_xlfn.IFS(C20="DD","N/A",C20="SS","N/A",C20="SSV","N/A",C20="CB","N/A"),ROUND(((C22+266+350+(C22+266+350)*G22)/(1-G21)/MIN(MAX((0.1+($F$15/($F$15+(E20*(1+G20)+2)))+(($F$16-E21+I16)/1000)-(E22)),0.1),1))/'Background Tables'!$H$2/IF($E$6="Yes",IF(F18="Torpedo",0.7,1),1)/'Background Tables'!K2/(IF(L15="Yes",1+(1-(1-'Background Tables'!K11)^((L17*(MIN(MAX((0.1+($F$15/($F$15+(E20*(1+G20)+2)))+(($F$16-E21+I16)/1000)-(E22)),0.1),1)))*'Background Tables'!K12))*'Background Tables'!K13,1)),0)),"Calc. Off"),"Calc. Off")</f>
        <v>10069</v>
      </c>
      <c r="I26" s="4">
        <f>IF($E$2="Yes",IF($C$3="Yes",ROUND(((C22+266+500+(C22+266+500)*G22+IF($E$6="Yes",ROUNDDOWN($I$15/15,0)*0.01*(C22+266+500),0))/(1-G21)/MIN(MAX((0.1+($F$15/($F$15+(E20*(1+G20)+2)))+(($F$16-E21+I16)/1000)-(E22)),0.1),1))/'Background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10844</v>
      </c>
      <c r="J26" s="4">
        <f>IF($E$3="Yes",IF($C$3="Yes",ROUND(((C22+266+(C22+266)*G22)/(1-G21)/MIN(MAX((0.1+($F$15/($F$15+((E20+15)*(1+G20)+2)))+(($F$16-E21+I16)/1000)-(E22)),0.1),1))/'Background Tables'!$H$2/'Background Tables'!K2/(IF(L15="Yes",1+(1-(1-'Background Tables'!K11)^((L17*(MIN(MAX((0.1+($F$15/($F$15+((E20+15)*(1+G20)+2)))+(($F$16-E21+I16)/1000)-(E22)),0.1),1)))*'Background Tables'!K12))*'Background Tables'!K13,1)),0),"Calc. Off"),"Calc. Off")</f>
        <v>10040</v>
      </c>
      <c r="K26" s="4">
        <f>IF($E$4="Yes",IF($C$3="Yes",ROUND(((C22+266+75+(C22+266+75)*G22)/(1-G21)/MIN(MAX((0.1+($F$15/($F$15+((E20+35)*(1+G20)+2)))+(($F$16-E21+I16)/1000)-(E22)),0.1),1))/'Background Tables'!$H$2/'Background Tables'!K2/(IF(L15="Yes",1+(1-(1-'Background Tables'!K11)^((L17*(MIN(MAX((0.1+($F$15/($F$15+((E20+35)*(1+G20)+2)))+(($F$16-E21+I16)/1000)-(E22)),0.1),1)))*'Background Tables'!K12))*'Background Tables'!K13,1)),0),"Calc. Off"),"Calc. Off")</f>
        <v>11288</v>
      </c>
      <c r="L26" s="4">
        <f>IF($E$5="Yes",IF($C$3="Yes",ROUND((((C22+266+60+(C22+266+60)*G22)/(1-G21)/MIN(MAX((0.1+($F$15/($F$15+((E20+40)*(1+G20)+2)))+(($F$16-E21+I16)/1000)-(E22)),0.1),1))/'Background Tables'!$H$2)/IF($E$6="Yes",0.97,1)/'Background Tables'!K2/(IF(L15="Yes",1+(1-(1-'Background Tables'!K11)^((L17*(MIN(MAX((0.1+($F$15/($F$15+((E20+40)*(1+G20)+2)))+(($F$16-E21+I16)/1000)-(E22)),0.1),1)))*'Background Tables'!K12))*'Background Tables'!K13,1)),0),"Calc. Off"),"Calc. Off")</f>
        <v>11856</v>
      </c>
      <c r="M26" s="11"/>
      <c r="O26" s="11"/>
      <c r="P26" s="11"/>
      <c r="Q26" s="11"/>
      <c r="R26" s="11"/>
      <c r="S26" s="11"/>
      <c r="T26" s="13"/>
      <c r="U26" s="13"/>
      <c r="V26" s="13"/>
      <c r="W26" s="13"/>
      <c r="X26" s="13"/>
      <c r="Y26" s="11"/>
      <c r="Z26" s="11"/>
      <c r="AA26" s="11"/>
    </row>
    <row r="27" spans="1:27" ht="15.75" customHeight="1" x14ac:dyDescent="0.25">
      <c r="A27" s="52" t="str">
        <f>IF('Background Tables'!N2="Off","Naval Camo.","Blue Paint")</f>
        <v>Naval Camo.</v>
      </c>
      <c r="B27" s="53"/>
      <c r="C27" s="36">
        <f>IF($C$4="Yes",IF($C$2="Yes",ROUND(((C22+44+(C22+44)*G22)/(1-G21)/MIN(MAX((0.1+($F$15/($F$15+((E20+17)*(1+G20)+2)))+(($F$16-E21+I16)/1000)-(E22)),0.1),1))/'Background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9563</v>
      </c>
      <c r="D27" s="3">
        <f>IF($C$4="Yes",IF($C$3="Yes",ROUND(((C22+266+44+(C22+266+44)*G22)/(1-G21)/MIN(MAX((0.1+($F$15/($F$15+((E20+17)*(1+G20)+2)))+(($F$16-E21+I16)/1000)-(E22)),0.1),1))/'Background Tables'!$H$2/'Background Tables'!K2/(IF(L15="Yes",1+(1-(1-'Background Tables'!K11)^((L17*(MIN(MAX((0.1+($F$15/($F$15+((E20+17)*(1+G20)+2)))+(($F$16-E21+I16)/1000)-(E22)),0.1),1)))*'Background Tables'!K12))*'Background Tables'!K13,1)),0),"Calc. Off"),"Calc. Off")</f>
        <v>10260</v>
      </c>
      <c r="E27" s="3">
        <f>IF($C$4="Yes",ROUND(((C22+44+44+(C22+44+44)*G22)/(1-G21)/MIN(MAX((0.1+($F$15/($F$15+((E20+17+17)*(1+G20)+2)))+(($F$16-E21+I16)/1000)-(E22)),0.1),1))/'Background Tables'!$H$2/'Background Tables'!K2/(IF(L15="Yes",1+(1-(1-'Background Tables'!K7)^((L17*(MIN(MAX((0.1+($F$15/($F$15+((E20+17+17)*(1+G20)+2)))+(($F$16-E21+I16)/1000)-(E22)),0.1),1)))*'Background Tables'!K8))*'Background Tables'!K9,1)),0),"Calc. Off")</f>
        <v>10516</v>
      </c>
      <c r="F27" s="3">
        <f>IF($C$4="Yes",IF($C$5="Yes",ROUND(((C22+44+245+(C22+44+245)*G22)/(1-G21)/MIN(MAX((0.1+($F$15/($F$15+((E20+17)*(1+G20)+2)))+(($F$16-E21+I16)/1000)-(E22)),0.1),1))/'Background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10205</v>
      </c>
      <c r="G27" s="3">
        <f>IF($C$4="Yes",IF($C$6="Yes",ROUND(((C22+44+350+(C22+44+350)*G22)/(1-G21)/MIN(MAX((0.1+($F$15/($F$15+((E20+17+5)*(1+G20)+2)))+(($F$16-E21+I16)/1000)-(E22)),0.1),1))/'Background Tables'!$H$2/'Background Tables'!K2/(IF(L15="Yes",1+(1-(1-'Background Tables'!K7)^((L17*(MIN(MAX((0.1+($F$15/($F$15+((E20+17+5)*(1+G20)+2)))+(($F$16-E21+I16)/1000)-(E22)),0.1),1)))*'Background Tables'!K8))*'Background Tables'!K9,1)),0),"Calc. Off"),"Calc. Off")</f>
        <v>10751</v>
      </c>
      <c r="H27" s="3">
        <f>IF($C$4="Yes",IF($C$7="Yes",IFERROR(_xlfn.IFS(C20="DD","N/A",C20="SS","N/A",C20="SSV","N/A",C20="CB","N/A"),ROUND(((C22+44+350+(C22+350+44)*G22)/(1-G21)/MIN(MAX((0.1+($F$15/($F$15+((E20+17)*(1+G20)+2)))+(($F$16-E21+I16)/1000)-E22),0.1),1))/'Background Tables'!$H$2/IF($E$6="Yes",IF(F18="Torpedo",0.7,1),1)/'Background Tables'!K2/(IF(L15="Yes",1+(1-(1-'Background Tables'!K7)^((L17*(MIN(MAX((0.1+($F$15/($F$15+((E20+17)*(1+G20)+2)))+(($F$16-E21+I16)/1000)-(E22)),0.1),1)))*'Background Tables'!K8))*'Background Tables'!K9,1)),0)),"Calc. Off"),"Calc. Off")</f>
        <v>10481</v>
      </c>
      <c r="I27" s="3">
        <f>IF($C$4="Yes",IF($E$2="Yes",ROUND(((C22+44+500+(C22+500+44)*G22+IF($E$6="Yes",ROUNDDOWN($I$15/15,0)*0.01*(C22+44+500),0))/(1-G21)/MIN(MAX((0.1+($F$15/($F$15+((E20+17)*(1+G20)+2)))+(($F$16-E21+I16)/1000)-E22),0.1),1))/'Background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11309</v>
      </c>
      <c r="J27" s="3">
        <f>IF($C$4="Yes",IF($E$3="Yes",ROUND(((C22+44+(C22+44)*G22)/(1-G21)/MIN(MAX((0.1+($F$15/($F$15+((E20+17+15)*(1+G20)+2)))+(($F$16-E21+I16)/1000)-E22),0.1),1))/'Background Tables'!$H$2/'Background Tables'!K2/(IF(L15="Yes",1+(1-(1-'Background Tables'!K7)^((L17*(MIN(MAX((0.1+($F$15/($F$15+((E20+17+15)*(1+G20)+2)))+(($F$16-E21+I16)/1000)-(E22)),0.1),1)))*'Background Tables'!K8))*'Background Tables'!K9,1)),0),"Calc. Off"),"Calc. Off")</f>
        <v>10295</v>
      </c>
      <c r="K27" s="3">
        <f>IF($C$4="Yes",IF($E$4="Yes",ROUND(((C22+44+75+(C22+75+44)*G22)/(1-G21)/MIN(MAX((0.1+($F$15/($F$15+((E20+17+35)*(1+G20)+2)))+(($F$16-E21+I16)/1000)-E22),0.1),1))/'Background Tables'!$H$2/'Background Tables'!K2/(IF(L15="Yes",1+(1-(1-'Background Tables'!K7)^((L17*(MIN(MAX((0.1+($F$15/($F$15+((E20+17+35)*(1+G20)+2)))+(($F$16-E21+I16)/1000)-(E22)),0.1),1)))*'Background Tables'!K8))*'Background Tables'!K9,1)),0),"Calc. Off"),"Calc. Off")</f>
        <v>11465</v>
      </c>
      <c r="L27" s="3">
        <f>IF($C$4="Yes",IF($E$5="Yes",ROUND((((C22+44+60+(C22+60+44)*G22)/(1-G21)/MIN(MAX((0.1+($F$15/($F$15+((E20+17+40)*(1+G20)+2)))+(($F$16-E21+I16)/1000)-E22),0.1),1))/'Background Tables'!$H$2)/IF($E$6="Yes",0.97,1)/'Background Tables'!K2/(IF(L15="Yes",1+(1-(1-'Background Tables'!K7)^((L17*(MIN(MAX((0.1+($F$15/($F$15+((E20+17+40)*(1+G20)+2)))+(($F$16-E21+I16)/1000)-(E22)),0.1),1)))*'Background Tables'!K8))*'Background Tables'!K9,1)),0),"Calc. Off"),"Calc. Off")</f>
        <v>12011</v>
      </c>
      <c r="M27" s="11"/>
      <c r="O27" s="11"/>
      <c r="P27" s="11"/>
      <c r="Q27" s="11"/>
      <c r="R27" s="11"/>
      <c r="S27" s="11"/>
      <c r="T27" s="13"/>
      <c r="U27" s="13"/>
      <c r="V27" s="13"/>
      <c r="W27" s="13"/>
      <c r="X27" s="13"/>
      <c r="Y27" s="11"/>
      <c r="Z27" s="11"/>
      <c r="AA27" s="11"/>
    </row>
    <row r="28" spans="1:27" ht="15.75" customHeight="1" x14ac:dyDescent="0.25">
      <c r="A28" s="52" t="str">
        <f>IF('Background Tables'!N2="Off","Adv. Boiler","gottagofast.jpg")</f>
        <v>Adv. Boiler</v>
      </c>
      <c r="B28" s="53"/>
      <c r="C28" s="36">
        <f>IF($C$2="Yes",IF($C$5="Yes",ROUND(((C22+245+(C22+245)*G22)/(1-G21)/MIN(MAX((0.1+($F$15/($F$15+(E20*(1+G20)+2)))+(($F$16-E21+I16)/1000)-(E22)),0.1),1))/'Background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9184</v>
      </c>
      <c r="D28" s="3">
        <f>IF($C$3="Yes",IF($C$5="Yes",ROUND(((C22+266+245+(C22+266+245)*G22)/(1-G21)/MIN(MAX((0.1+($F$15/($F$15+(E20*(1+G20)+2)))+(($F$16-E21+I16)/1000)-(E22)),0.1),1))/'Background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9818</v>
      </c>
      <c r="E28" s="3">
        <f>IF($C$4="Yes",IF($C$5="Yes",ROUND(((C22+44+245+(C22+44+245)*G22)/(1-G21)/MIN(MAX((0.1+($F$15/($F$15+((E20+17)*(1+G20)+2)))+(($F$16-E21+I16)/1000)-(E22)),0.1),1))/'Background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10205</v>
      </c>
      <c r="F28" s="3">
        <f>IF($C$5="Yes",ROUND(((C22+245+245+(C22+245+245)*G22)/(1-G21)/MIN(MAX((0.1+($F$15/($F$15+((E20+0)*(1+G20)+2)))+(($F$16-E21+I16)/1000)-E22),0.1),1))/'Background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9768</v>
      </c>
      <c r="G28" s="3">
        <f>IF($C$6="Yes",IF($C$5="Yes",ROUND(((C22+245+350+(C22+245+350)*G22)/(1-G21)/MIN(MAX((0.1+($F$15/($F$15+((E20+5)*(1+G20)+2)))+(($F$16-E21+I16)/1000)-E22),0.1),1))/'Background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10314</v>
      </c>
      <c r="H28" s="3">
        <f>IF($C$7="Yes",IF($C$5="Yes",IFERROR(_xlfn.IFS(C20="DD","N/A",C20="SS","N/A",C20="SSV","N/A",C20="CB","N/A"),ROUND(((C22+245+350+(C22+245+350)*G22)/(1-G21)/MIN(MAX((0.1+($F$15/($F$15+((E20+0)*(1+G20)+2)))+(($F$16-E21+I16)/1000)-E22),0.1),1))/'Background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10019</v>
      </c>
      <c r="I28" s="3">
        <f>IF($E$2="Yes",IF($C$5="Yes",ROUND(((C22+245+500+(C22+245+500)*G22+IF($E$6="Yes",ROUNDDOWN($I$15/15,0)*0.01*(C22+245+500),0))/(1-G21)/MIN(MAX((0.1+($F$15/($F$15+((E20+0)*(1+G20)+2)))+(($F$16-E21+I16)/1000)-E22),0.1),1))/'Background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10792</v>
      </c>
      <c r="J28" s="3">
        <f>IF($E$3="Yes",IF($C$5="Yes",ROUND(((C22+245+(C22+245)*G22)/(1-G21)/MIN(MAX((0.1+($F$15/($F$15+((E20+15)*(1+G20)+2)))+(($F$16-E21+I16)/1000)-E22),0.1),1))/'Background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9985</v>
      </c>
      <c r="K28" s="3">
        <f>IF($E$4="Yes",IF($C$5="Yes",ROUND(((C22+245+75+(C22+245+75)*G22)/(1-G21)/MIN(MAX((0.1+($F$15/($F$15+((E20+35)*(1+G20)+2)))+(($F$16-E21+I16)/1000)-E22),0.1),1))/'Background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11228</v>
      </c>
      <c r="L28" s="3">
        <f>IF($E$5="Yes",IF($C$5="Yes",ROUND((((C22+245+60+(C22+245+60)*G22)/(1-G21)/MIN(MAX((0.1+($F$15/($F$15+((E20+40)*(1+G20)+2)))+(($F$16-E21+I16)/1000)-E22),0.1),1))/'Background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11793</v>
      </c>
      <c r="M28" s="11"/>
      <c r="O28" s="11"/>
      <c r="P28" s="11"/>
      <c r="Q28" s="11"/>
      <c r="R28" s="11"/>
      <c r="S28" s="11"/>
      <c r="T28" s="13"/>
      <c r="U28" s="13"/>
      <c r="V28" s="13"/>
      <c r="W28" s="13"/>
      <c r="X28" s="13"/>
      <c r="Y28" s="11"/>
      <c r="Z28" s="11"/>
      <c r="AA28" s="11"/>
    </row>
    <row r="29" spans="1:27" ht="15.75" customHeight="1" x14ac:dyDescent="0.25">
      <c r="A29" s="52" t="str">
        <f>IF('Background Tables'!N2="Off","Fuel Filter","Coca Cola")</f>
        <v>Fuel Filter</v>
      </c>
      <c r="B29" s="53"/>
      <c r="C29" s="36">
        <f>IF($C$6="Yes",IF($C$2="Yes",ROUND(((C22+350+(C22+350)*G22)/(1-G21)/MIN(MAX((0.1+($F$15/($F$15+((E20+5)*(1+G20)+2)))+(($F$16-E21+I16)/1000)-(E22)),0.1),1))/'Background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9712</v>
      </c>
      <c r="D29" s="3">
        <f>IF($C$6="Yes",IF($C$3="Yes",ROUND(((C22+266+350+(C22+266+350)*G22)/(1-G21)/MIN(MAX((0.1+($F$15/($F$15+((E20+5)*(1+G20)+2)))+(($F$16-E21+I16)/1000)-(E22)),0.1),1))/'Background Tables'!$H$2/'Background Tables'!K2/(IF(L15="Yes",1+(1-(1-'Background Tables'!K11)^((L17*(MIN(MAX((0.1+($F$15/($F$15+((E20+5)*(1+G20)+2)))+(($F$16-E21+I16)/1000)-(E22)),0.1),1)))*'Background Tables'!K12))*'Background Tables'!K13,1)),0),"Calc. Off"),"Calc. Off")</f>
        <v>10365</v>
      </c>
      <c r="E29" s="3">
        <f>IF($C$4="Yes",IF($C$6="Yes",ROUND(((C22+44+350+(C22+44+350)*G22)/(1-G21)/MIN(MAX((0.1+($F$15/($F$15+((E20+17+5)*(1+G20)+2)))+(($F$16-E21+I16)/1000)-(E22)),0.1),1))/'Background Tables'!$H$2/'Background Tables'!K2/(IF(L15="Yes",1+(1-(1-'Background Tables'!K7)^((L17*(MIN(MAX((0.1+($F$15/($F$15+((E20+17+5)*(1+G20)+2)))+(($F$16-E21+I16)/1000)-(E22)),0.1),1)))*'Background Tables'!K8))*'Background Tables'!K9,1)),0),"Calc. Off"),"Calc. Off")</f>
        <v>10751</v>
      </c>
      <c r="F29" s="3">
        <f>IF($C$6="Yes",IF($C$5="Yes",ROUND(((C22+245+350+(C22+245+350)*G22)/(1-G21)/MIN(MAX((0.1+($F$15/($F$15+((E20+5)*(1+G20)+2)))+(($F$16-E21+I16)/1000)-E22),0.1),1))/'Background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10314</v>
      </c>
      <c r="G29" s="3">
        <f>IF($C$6="Yes",ROUND(((C22+350+350+(C22+350+350)*G22)/(1-G21)/MIN(MAX((0.1+($F$15/($F$15+((E20+5+5)*(1+G20)+2)))+(($F$16-E21+I16)/1000)-E22),0.1),1))/'Background Tables'!$H$2/'Background Tables'!K2/(IF(L15="Yes",1+(1-(1-'Background Tables'!K7)^((L17*(MIN(MAX((0.1+($F$15/($F$15+((E20+5+5)*(1+G20)+2)))+(($F$16-E21+I16)/1000)-(E22)),0.1),1)))*'Background Tables'!K8))*'Background Tables'!K9,1)),0),"Calc. Off")</f>
        <v>10870</v>
      </c>
      <c r="H29" s="3">
        <f>IF($C$6="Yes",IF($C$7="Yes",IFERROR(_xlfn.IFS(C20="DD","N/A",C20="SS","N/A",C20="SSV","N/A",C20="CB","N/A"),ROUND(((C22+350+350+(C22+350+350)*G22)/(1-G21)/MIN(MAX((0.1+($F$15/($F$15+((E20+5)*(1+G20)+2)))+(($F$16-E21+I16)/1000)-E22),0.1),1))/'Background Tables'!$H$2/IF($E$6="Yes",IF(F18="Torpedo",0.7,1),1)/'Background Tables'!K2/(IF(L15="Yes",1+(1-(1-'Background Tables'!K7)^((L17*(MIN(MAX((0.1+($F$15/($F$15+((E20+5)*(1+G20)+2)))+(($F$16-E21+I16)/1000)-(E22)),0.1),1)))*'Background Tables'!K8))*'Background Tables'!K9,1)),0)),"Calc. Off"),"Calc. Off")</f>
        <v>10571</v>
      </c>
      <c r="I29" s="3">
        <f>IF($C$6="Yes",IF($E$2="Yes",ROUND(((C22+350+500+(C22+500+350)*G22+IF($E$6="Yes",ROUNDDOWN($I$15/15,0)*0.01*(C22+350+500),0))/(1-G21)/MIN(MAX((0.1+($F$15/($F$15+((E20+5)*(1+G20)+2)))+(($F$16-E21+I16)/1000)-E22),0.1),1))/'Background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11377</v>
      </c>
      <c r="J29" s="3">
        <f>IF($C$6="Yes",IF($E$3="Yes",ROUND(((C22+350+(C22+350)*G22)/(1-G21)/MIN(MAX((0.1+($F$15/($F$15+((E20+5+15)*(1+G20)+2)))+(($F$16-E21+I16)/1000)-E22),0.1),1))/'Background Tables'!$H$2/'Background Tables'!K2/(IF(L15="Yes",1+(1-(1-'Background Tables'!K7)^((L17*(MIN(MAX((0.1+($F$15/($F$15+((E20+5+15)*(1+G20)+2)))+(($F$16-E21+I16)/1000)-(E22)),0.1),1)))*'Background Tables'!K8))*'Background Tables'!K9,1)),0),"Calc. Off"),"Calc. Off")</f>
        <v>10526</v>
      </c>
      <c r="K29" s="3">
        <f>IF($C$6="Yes",IF($E$4="Yes",ROUND(((C22+350+75+(C22+350+75)*G22)/(1-G21)/MIN(MAX((0.1+($F$15/($F$15+((E20+5+35)*(1+G20)+2)))+(($F$16-E21+I16)/1000)-E22),0.1),1))/'Background Tables'!$H$2/'Background Tables'!K2/(IF(L15="Yes",1+(1-(1-'Background Tables'!K7)^((L17*(MIN(MAX((0.1+($F$15/($F$15+((E20+5+35)*(1+G20)+2)))+(($F$16-E21+I16)/1000)-(E22)),0.1),1)))*'Background Tables'!K8))*'Background Tables'!K9,1)),0),"Calc. Off"),"Calc. Off")</f>
        <v>11790</v>
      </c>
      <c r="L29" s="3">
        <f>IF($C$6="Yes",IF($E$5="Yes",ROUND((((C22+350+60+(C22+60+350)*G22)/(1-G21)/MIN(MAX((0.1+($F$15/($F$15+((E20+5+40)*(1+G20)+2)))+(($F$16-E21+I16)/1000)-E22),0.1),1))/'Background Tables'!$H$2)/IF($E$6="Yes",0.97,1)/'Background Tables'!K2/(IF(L15="Yes",1+(1-(1-'Background Tables'!K7)^((L17*(MIN(MAX((0.1+($F$15/($F$15+((E20+5+40)*(1+G20)+2)))+(($F$16-E21+I16)/1000)-(E22)),0.1),1)))*'Background Tables'!K8))*'Background Tables'!K9,1)),0),"Calc. Off"),"Calc. Off")</f>
        <v>12376</v>
      </c>
      <c r="M29" s="11"/>
      <c r="O29" s="11"/>
      <c r="P29" s="11"/>
      <c r="Q29" s="11"/>
      <c r="R29" s="11"/>
      <c r="S29" s="11"/>
      <c r="T29" s="13"/>
      <c r="U29" s="13"/>
      <c r="V29" s="13"/>
      <c r="W29" s="13"/>
      <c r="X29" s="13"/>
      <c r="Y29" s="11"/>
      <c r="Z29" s="11"/>
      <c r="AA29" s="11"/>
    </row>
    <row r="30" spans="1:27" ht="15.75" customHeight="1" x14ac:dyDescent="0.25">
      <c r="A30" s="52" t="str">
        <f>IF('Background Tables'!N2="Off","Torp. Bulge","owo what's this")</f>
        <v>Torp. Bulge</v>
      </c>
      <c r="B30" s="53"/>
      <c r="C30" s="36">
        <f>IF($C$2="Yes",IF($C$7="Yes",IFERROR(_xlfn.IFS(C20="DD","N/A",C20="SS","N/A",C20="SSV","N/A",C20="CB","N/A"),ROUND(((C22+350+(C22+350)*G22)/(1-G21)/MIN(MAX((0.1+($F$15/($F$15+(E20*(1+G20)+2)))+(($F$16-E21+I16)/1000)-(E22)),0.1),1))/'Background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9434</v>
      </c>
      <c r="D30" s="3">
        <f>IF($C$3="Yes",IF($C$7="Yes",IFERROR(_xlfn.IFS(C20="DD","N/A",C20="SS","N/A",C20="SSV","N/A",C20="CB","N/A"),ROUND(((C22+266+350+(C22+350+266)*G22)/(1-G21)/MIN(MAX((0.1+($F$15/($F$15+(E20*(1+G20)+2)))+(($F$16-E21+I16)/1000)-(E22)),0.1),1))/'Background Tables'!$H$2/IF($E$6="Yes",IF(F18="Torpedo",0.7,1),1)/'Background Tables'!K2/(IF(L15="Yes",1+(1-(1-'Background Tables'!K11)^((L17*(MIN(MAX((0.1+($F$15/($F$15+(E20*(1+G20)+2)))+(($F$16-E21+I16)/1000)-(E22)),0.1),1)))*'Background Tables'!K12))*'Background Tables'!K13,1)),0)),"Calc. Off"),"Calc. Off")</f>
        <v>10069</v>
      </c>
      <c r="E30" s="3">
        <f>IF($C$4="Yes",IF($C$7="Yes",IFERROR(_xlfn.IFS(C20="DD","N/A",C20="SS","N/A",C20="SSV","N/A",C20="CB","N/A"),ROUND(((C22+44+350+(C22+350+44)*G22)/(1-G21)/MIN(MAX((0.1+($F$15/($F$15+((E20+17)*(1+G20)+2)))+(($F$16-E21+I16)/1000)-E22),0.1),1))/'Background Tables'!$H$2/IF($E$6="Yes",IF(F18="Torpedo",0.7,1),1)/'Background Tables'!K2/(IF(L15="Yes",1+(1-(1-'Background Tables'!K7)^((L17*(MIN(MAX((0.1+($F$15/($F$15+((E20+17)*(1+G20)+2)))+(($F$16-E21+I16)/1000)-(E22)),0.1),1)))*'Background Tables'!K8))*'Background Tables'!K9,1)),0)),"Calc. Off"),"Calc. Off")</f>
        <v>10481</v>
      </c>
      <c r="F30" s="3">
        <f>IF($C$7="Yes",IF($C$5="Yes",IFERROR(_xlfn.IFS(C20="DD","N/A",C20="SS","N/A",C20="SSV","N/A",C20="CB","N/A"),ROUND(((C22+245+350+(C22+245+350)*G22)/(1-G21)/MIN(MAX((0.1+($F$15/($F$15+((E20+0)*(1+G20)+2)))+(($F$16-E21+I16)/1000)-E22),0.1),1))/'Background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10019</v>
      </c>
      <c r="G30" s="3">
        <f>IF($C$6="Yes",IF($C$7="Yes",IFERROR(_xlfn.IFS(C20="DD","N/A",C20="SS","N/A",C20="SSV","N/A",C20="CB","N/A"),ROUND(((C22+350+350+(C22+350+350)*G22)/(1-G21)/MIN(MAX((0.1+($F$15/($F$15+((E20+5)*(1+G20)+2)))+(($F$16-E21+I16)/1000)-E22),0.1),1))/'Background Tables'!$H$2/IF($E$6="Yes",IF(F18="Torpedo",0.7,1),1)/'Background Tables'!K2/(IF(L15="Yes",1+(1-(1-'Background Tables'!K7)^((L17*(MIN(MAX((0.1+($F$15/($F$15+((E20+5)*(1+G20)+2)))+(($F$16-E21+I16)/1000)-(E22)),0.1),1)))*'Background Tables'!K8))*'Background Tables'!K9,1)),0)),"Calc. Off"),"Calc. Off")</f>
        <v>10571</v>
      </c>
      <c r="H30" s="3">
        <f>IF($C$7="Yes",IFERROR(_xlfn.IFS(C20="DD","N/A",C20="SS","N/A",C20="SSV","N/A",C20="CB","N/A"),ROUND(((C22+350+350+(C22+350+350)*G22)/(1-G21)/MIN(MAX((0.1+($F$15/($F$15+((E20+0)*(1+G20)+2)))+(($F$16-E21+I16)/1000)-E22),0.1),1))/'Background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</f>
        <v>10269</v>
      </c>
      <c r="I30" s="3">
        <f>IF($E$2="Yes",IF($C$7="Yes",IFERROR(_xlfn.IFS(C20="DD","N/A",C20="SS","N/A",C20="SSV","N/A",C20="CB","N/A"),ROUND(((C22+350+500+(C22+350+500)*G22+IF($E$6="Yes",ROUNDDOWN($I$15/15,0)*0.01*(C22+350+500),0)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11052</v>
      </c>
      <c r="J30" s="3">
        <f>IF($E$3="Yes",IF($C$7="Yes",IFERROR(_xlfn.IFS(C20="DD","N/A",C20="SS","N/A",C20="SSV","N/A",C20="CB","N/A"),ROUND(((C22+350+(C22+350)*G22)/(1-G21)/MIN(MAX((0.1+($F$15/($F$15+((E20+15)*(1+G20)+2)))+(($F$16-E21+I16)/1000)-E22),0.1),1))/'Background Tables'!$H$2/IF($E$6="Yes",IF(F18="Torpedo",0.7,1),1)/'Background Tables'!K2/(IF(L15="Yes",1+(1-(1-'Background Tables'!K7)^((L17*(MIN(MAX((0.1+($F$15/($F$15+((E20+15)*(1+G20)+2)))+(($F$16-E21+I16)/1000)-(E22)),0.1),1)))*'Background Tables'!K8))*'Background Tables'!K9,1)),0)),"Calc. Off"),"Calc. Off")</f>
        <v>10258</v>
      </c>
      <c r="K30" s="3">
        <f>IF($E$4="Yes",IF($C$7="Yes",IFERROR(_xlfn.IFS(C20="DD","N/A",C20="SS","N/A",C20="SSV","N/A",C20="CB","N/A"),ROUND(((C22+350+75+(C22+350+75)*G22)/(1-G21)/MIN(MAX((0.1+($F$15/($F$15+((E20+35)*(1+G20)+2)))+(($F$16-E21+I16)/1000)-E22),0.1),1))/'Background Tables'!$H$2/IF($E$6="Yes",IF(F18="Torpedo",0.7,1),1)/'Background Tables'!K2/(IF(L15="Yes",1+(1-(1-'Background Tables'!K7)^((L17*(MIN(MAX((0.1+($F$15/($F$15+((E20+35)*(1+G20)+2)))+(($F$16-E21+I16)/1000)-(E22)),0.1),1)))*'Background Tables'!K8))*'Background Tables'!K9,1)),0)),"Calc. Off"),"Calc. Off")</f>
        <v>11528</v>
      </c>
      <c r="L30" s="3">
        <f>IF($E$5="Yes",IF($C$7="Yes",IFERROR(_xlfn.IFS(C20="DD","N/A",C20="SS","N/A",C20="SSV","N/A",C20="CB","N/A"),ROUND((((C22+350+60+(C22+350+60)*G22)/(1-G21)/MIN(MAX((0.1+($F$15/($F$15+((E20+40)*(1+G20)+2)))+(($F$16-E21+I16)/1000)-E22),0.1),1))/'Background Tables'!$H$2/IF($E$6="Yes",IF(F18="Torpedo",0.7,1),1))/IF($E$6="Yes",0.97,1)/'Background Tables'!K2/(IF(L15="Yes",1+(1-(1-'Background Tables'!K7)^((L17*(MIN(MAX((0.1+($F$15/($F$15+((E20+40)*(1+G20)+2)))+(($F$16-E21+I16)/1000)-(E22)),0.1),1)))*'Background Tables'!K8))*'Background Tables'!K9,1)),0)),"Calc. Off"),"Calc. Off")</f>
        <v>12110</v>
      </c>
      <c r="M30" s="11"/>
      <c r="O30" s="11"/>
      <c r="P30" s="11"/>
      <c r="Q30" s="11"/>
      <c r="R30" s="11"/>
      <c r="S30" s="11"/>
      <c r="T30" s="13"/>
      <c r="U30" s="13"/>
      <c r="V30" s="13"/>
      <c r="W30" s="13"/>
      <c r="X30" s="13"/>
      <c r="Y30" s="11"/>
      <c r="Z30" s="11"/>
      <c r="AA30" s="11"/>
    </row>
    <row r="31" spans="1:27" ht="15.75" customHeight="1" x14ac:dyDescent="0.25">
      <c r="A31" s="79" t="str">
        <f>IF('Background Tables'!N2="Off","Repair Toolkit","Lunchkit")</f>
        <v>Repair Toolkit</v>
      </c>
      <c r="B31" s="80"/>
      <c r="C31" s="36">
        <f>IF($C$2="Yes",IF($E$2="Yes",ROUND(((C22+500+(C22+500)*G22+IF($E$6="Yes",ROUNDDOWN($I$15/15,0)*0.01*(C22+500),0))/(1-G21)/MIN(MAX((0.1+($F$15/($F$15+(E20*(1+G20)+2)))+(($F$16-E21+I16)/1000)-(E22)),0.1),1))/'Background Tables'!$H$2/'Background Tables'!K2/(IF(L15="Yes",1+(1-(1-'Background Tables'!K7)^((L17*(MIN(MAX((0.1+($F$15/($F$15+(E20*(1+G20)+2)))+(($F$16-E21+I16)/1000)-(E22)),0.1),1)))*'Background Tables'!K8))*'Background Tables'!K9,1)),0),"Calc. Off"),"Calc. Off")</f>
        <v>10184</v>
      </c>
      <c r="D31" s="3">
        <f>IF($C$3="Yes",IF($E$2="Yes",ROUND(((C22+266+500+(C22+500+266)*G22+IF($E$6="Yes",ROUNDDOWN($I$15/15,0)*0.01*(C22+266+500),0))/(1-G21)/MIN(MAX((0.1+($F$15/($F$15+(E20*(1+G20)+2)))+(($F$16-E21+I16)/1000)-(E22)),0.1),1))/'Background Tables'!$H$2/'Background Tables'!K2/(IF(L15="Yes",1+(1-(1-'Background Tables'!K11)^((L17*(MIN(MAX((0.1+($F$15/($F$15+(E20*(1+G20)+2)))+(($F$16-E21+I16)/1000)-(E22)),0.1),1)))*'Background Tables'!K12))*'Background Tables'!K13,1)),0),"Calc. Off"),"Calc. Off")</f>
        <v>10844</v>
      </c>
      <c r="E31" s="3">
        <f>IF($C$4="Yes",IF($E$2="Yes",ROUND(((C22+44+500+(C22+500+44)*G22+IF($E$6="Yes",ROUNDDOWN($I$15/15,0)*0.01*(C22+44+500),0))/(1-G21)/MIN(MAX((0.1+($F$15/($F$15+((E20+17)*(1+G20)+2)))+(($F$16-E21+I16)/1000)-E22),0.1),1))/'Background Tables'!$H$2/'Background Tables'!K2/(IF(L15="Yes",1+(1-(1-'Background Tables'!K7)^((L17*(MIN(MAX((0.1+($F$15/($F$15+((E20+17)*(1+G20)+2)))+(($F$16-E21+I16)/1000)-(E22)),0.1),1)))*'Background Tables'!K8))*'Background Tables'!K9,1)),0),"Calc. Off"),"Calc. Off")</f>
        <v>11309</v>
      </c>
      <c r="F31" s="3">
        <f>IF($C$5="Yes",IF($E$2="Yes",ROUND(((C22+245+500+(C22+500+245)*G22+IF($E$6="Yes",ROUNDDOWN($I$15/15,0)*0.01*(C22+245+500),0))/(1-G21)/MIN(MAX((0.1+($F$15/($F$15+((E20+0)*(1+G20)+2)))+(($F$16-E21+I16)/1000)-E22),0.1),1))/'Background Tables'!$H$2,0),"Calc. Off")/'Background Tables'!K2/(IF(L15="Yes",1+(1-(1-'Background Tables'!K7)^((L17*(MIN(MAX((0.1+($F$15/($F$15+(E20*(1+G20)+2)))+(($F$16-E21+I16)/1000)-(E22)),0.1),1)))*'Background Tables'!K8))*'Background Tables'!K9,1)),"Calc. Off")</f>
        <v>10792</v>
      </c>
      <c r="G31" s="3">
        <f>IF($C$6="Yes",IF($E$2="Yes",ROUND(((C22+350+500+(C22+500+350)*G22+IF($E$6="Yes",ROUNDDOWN($I$15/15,0)*0.01*(C22+350+500),0))/(1-G21)/MIN(MAX((0.1+($F$15/($F$15+((E20+5)*(1+G20)+2)))+(($F$16-E21+I16)/1000)-E22),0.1),1))/'Background Tables'!$H$2/'Background Tables'!K2/(IF(L15="Yes",1+(1-(1-'Background Tables'!K7)^((L17*(MIN(MAX((0.1+($F$15/($F$15+((E20+5)*(1+G20)+2)))+(($F$16-E21+I16)/1000)-(E22)),0.1),1)))*'Background Tables'!K8))*'Background Tables'!K9,1)),0),"Calc. Off"),"Calc. Off")</f>
        <v>11377</v>
      </c>
      <c r="H31" s="3">
        <f>IF($C$7="Yes",IF($E$2="Yes",IFERROR(_xlfn.IFS(C20="DD","N/A",C20="SS","N/A",C20="SSV","N/A",C20="CB","N/A"),ROUND(((C22+350+500+(C22+500+350)*G22+IF($E$6="Yes",ROUNDDOWN($I$15/15,0)*0.01*(C22+350+500),0))/(1-G21)/MIN(MAX((0.1+($F$15/($F$15+((E20+0)*(1+G20)+2)))+(($F$16-E21+I16)/1000)-E22),0.1),1))/'Background Tables'!$H$2/IF($E$6="Yes",IF(F18="Torpedo",0.7,1),1)/'Background Tables'!K2/(IF(L15="Yes",1+(1-(1-'Background Tables'!K7)^((L17*(MIN(MAX((0.1+($F$15/($F$15+(E20*(1+G20)+2)))+(($F$16-E21+I16)/1000)-(E22)),0.1),1)))*'Background Tables'!K8))*'Background Tables'!K9,1)),0)),"Calc. Off"),"Calc. Off")</f>
        <v>11052</v>
      </c>
      <c r="I31" s="3">
        <f>IF($E$2="Yes",ROUND(((C22+500+500+(C22+500+500)*G22+IF($E$6="Yes",ROUNDDOWN($I$15/15,0)*0.01*(C22+500+500),0))/(1-G21)/MIN(MAX((0.1+($F$15/($F$15+((E20+0)*(1+G20)+2)))+(($F$16-E21+I16)/1000)-E22),0.1),1))/'Background Tables'!$H$2/'Background Tables'!K2/(IF(L15="Yes",1+(1-(1-'Background Tables'!K7)^((L17*(MIN(MAX((0.1+($F$15/($F$15+(E20*(1+G20)+2)))+(($F$16-E21+I16)/1000)-(E22)),0.1),1)))*'Background Tables'!K8))*'Background Tables'!K9,1)),0),"Calc. Off")</f>
        <v>11425</v>
      </c>
      <c r="J31" s="3">
        <f>IF($E$3="Yes",IF($E$2="Yes",ROUND(((C22+500+(C22+500)*G22+IF($E$6="Yes",ROUNDDOWN($I$15/15,0)*0.01*(C22+500),0))/(1-G21)/MIN(MAX((0.1+($F$15/($F$15+((E20+15)*(1+G20)+2)))+(($F$16-E21+I16)/1000)-E22),0.1),1))/'Background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11073</v>
      </c>
      <c r="K31" s="3">
        <f>IF($E$4="Yes",IF($E$2="Yes",ROUND(((C22+500+75+(C22+500+75)*G22+IF($E$6="Yes",ROUNDDOWN($I$15/15,0)*0.01*(C22+500+75),0))/(1-G21)/MIN(MAX((0.1+($F$15/($F$15+((E20+35)*(1+G20)+2)))+(($F$16-E21+I16)/1000)-E22),0.1),1))/'Background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12436</v>
      </c>
      <c r="L31" s="3">
        <f>IF($E$5="Yes",IF($E$2="Yes",ROUND((((C22+500+60+(C22+500+60)*G22+IF($E$6="Yes",ROUNDDOWN($I$15/15,0)*0.01*(C22+500+60),0))/(1-G21)/MIN(MAX((0.1+($F$15/($F$15+((E20+40)*(1+G20)+2)))+(($F$16-E21+I16)/1000)-E22),0.1),1))/'Background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13065</v>
      </c>
      <c r="M31" s="11"/>
      <c r="O31" s="11"/>
      <c r="P31" s="11"/>
      <c r="Q31" s="11"/>
      <c r="R31" s="11"/>
      <c r="S31" s="11"/>
      <c r="T31" s="13"/>
      <c r="U31" s="13"/>
      <c r="V31" s="13"/>
      <c r="W31" s="13"/>
      <c r="X31" s="13"/>
      <c r="Y31" s="11"/>
      <c r="Z31" s="11"/>
      <c r="AA31" s="11"/>
    </row>
    <row r="32" spans="1:27" ht="15.75" customHeight="1" x14ac:dyDescent="0.25">
      <c r="A32" s="52" t="str">
        <f>IF('Background Tables'!N2="Off","SG Radar","Helena's hairpin")</f>
        <v>SG Radar</v>
      </c>
      <c r="B32" s="53"/>
      <c r="C32" s="36">
        <f>IF($E$3="Yes",IF($C$2="Yes",ROUND(((C22+C22*G22)/(1-G21)/MIN(MAX((0.1+($F$15/($F$15+((E20+15)*(1+G20)+2)))+(($F$16-E21+I16)/1000)-(E22)),0.1),1))/'Background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9350</v>
      </c>
      <c r="D32" s="3">
        <f>IF($E$3="Yes",IF($C$3="Yes",ROUND(((C22+266+(C22+266)*G22)/(1-G21)/MIN(MAX((0.1+($F$15/($F$15+((E20+15)*(1+G20)+2)))+(($F$16-E21+I16)/1000)-(E22)),0.1),1))/'Background Tables'!$H$2/'Background Tables'!K2/(IF(L15="Yes",1+(1-(1-'Background Tables'!K11)^((L17*(MIN(MAX((0.1+($F$15/($F$15+((E20+15)*(1+G20)+2)))+(($F$16-E21+I16)/1000)-(E22)),0.1),1)))*'Background Tables'!K12))*'Background Tables'!K13,1)),0),"Calc. Off"),"Calc. Off")</f>
        <v>10040</v>
      </c>
      <c r="E32" s="19">
        <f>IF($C$4="Yes",IF($E$3="Yes",ROUND(((C22+44+(C22+44)*G22)/(1-G21)/MIN(MAX((0.1+($F$15/($F$15+((E20+17+15)*(1+G20)+2)))+(($F$16-E21+I16)/1000)-E22),0.1),1))/'Background Tables'!$H$2/'Background Tables'!K2/(IF(L15="Yes",1+(1-(1-'Background Tables'!K7)^((L17*(MIN(MAX((0.1+($F$15/($F$15+((E20+17+15)*(1+G20)+2)))+(($F$16-E21+I16)/1000)-(E22)),0.1),1)))*'Background Tables'!K8))*'Background Tables'!K9,1)),0),"Calc. Off"),"Calc. Off")</f>
        <v>10295</v>
      </c>
      <c r="F32" s="3">
        <f>IF($E$3="Yes",IF($C$5="Yes",ROUND(((C22+245+(C22+245)*G22)/(1-G21)/MIN(MAX((0.1+($F$15/($F$15+((E20+15)*(1+G20)+2)))+(($F$16-E21+I16)/1000)-E22),0.1),1))/'Background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9985</v>
      </c>
      <c r="G32" s="3">
        <f>IF($C$6="Yes",IF($E$3="Yes",ROUND(((C22+350+(C22+350)*G22)/(1-G21)/MIN(MAX((0.1+($F$15/($F$15+((E20+5+15)*(1+G20)+2)))+(($F$16-E21+I16)/1000)-E22),0.1),1))/'Background Tables'!$H$2/'Background Tables'!K2/(IF(L15="Yes",1+(1-(1-'Background Tables'!K7)^((L17*(MIN(MAX((0.1+($F$15/($F$15+((E20+5+15)*(1+G20)+2)))+(($F$16-E21+I16)/1000)-(E22)),0.1),1)))*'Background Tables'!K8))*'Background Tables'!K9,1)),0),"Calc. Off"),"Calc. Off")</f>
        <v>10526</v>
      </c>
      <c r="H32" s="3">
        <f>IF($E$3="Yes",IF($C$7="Yes",IFERROR(_xlfn.IFS(C20="DD","N/A",C20="SS","N/A",C20="SSV","N/A",C20="CB","N/A"),ROUND(((C22+350+(C22+350)*G22)/(1-G21)/MIN(MAX((0.1+($F$15/($F$15+((E20+15)*(1+G20)+2)))+(($F$16-E21+I16)/1000)-E22),0.1),1))/'Background Tables'!$H$2/IF($E$6="Yes",IF(F18="Torpedo",0.7,1),1)/'Background Tables'!K2/(IF(L15="Yes",1+(1-(1-'Background Tables'!K7)^((L17*(MIN(MAX((0.1+($F$15/($F$15+((E20+15)*(1+G20)+2)))+(($F$16-E21+I16)/1000)-(E22)),0.1),1)))*'Background Tables'!K8))*'Background Tables'!K9,1)),0)),"Calc. Off"),"Calc. Off")</f>
        <v>10258</v>
      </c>
      <c r="I32" s="3">
        <f>IF($E$3="Yes",IF($E$2="Yes",ROUND(((C22+500+(C22+500)*G22+IF($E$6="Yes",ROUNDDOWN($I$15/15,0)*0.01*(C22+500),0))/(1-G21)/MIN(MAX((0.1+($F$15/($F$15+((E20+15)*(1+G20)+2)))+(($F$16-E21+I16)/1000)-E22),0.1),1))/'Background Tables'!$H$2/'Background Tables'!K2/(IF(L15="Yes",1+(1-(1-'Background Tables'!K7)^((L17*(MIN(MAX((0.1+($F$15/($F$15+((E20+15)*(1+G20)+2)))+(($F$16-E21+I16)/1000)-(E22)),0.1),1)))*'Background Tables'!K8))*'Background Tables'!K9,1)),0),"Calc. Off"),"Calc. Off")</f>
        <v>11073</v>
      </c>
      <c r="J32" s="3">
        <f>IF($E$3="Yes",ROUND(((C22+(C22)*G22)/(1-G21)/MIN(MAX((0.1+($F$15/($F$15+((E20+15+15)*(1+G20)+2)))+(($F$16-E21+I16)/1000)-E22),0.1),1))/'Background Tables'!$H$2/'Background Tables'!K2/(IF(L15="Yes",1+(1-(1-'Background Tables'!K7)^((L17*(MIN(MAX((0.1+($F$15/($F$15+((E20+15+15)*(1+G20)+2)))+(($F$16-E21+I16)/1000)-(E22)),0.1),1)))*'Background Tables'!K8))*'Background Tables'!K9,1)),0),"Calc. Off")</f>
        <v>10076</v>
      </c>
      <c r="K32" s="3">
        <f>IF($E$3="Yes",IF($E$4="Yes",ROUND(((C22+75+(C22+75)*G22)/(1-G21)/MIN(MAX((0.1+($F$15/($F$15+((E20+15+35)*(1+G20)+2)))+(($F$16-E21+I16)/1000)-E22),0.1),1))/'Background Tables'!$H$2/'Background Tables'!K2/(IF(L15="Yes",1+(1-(1-'Background Tables'!K7)^((L17*(MIN(MAX((0.1+($F$15/($F$15+((E20+15+35)*(1+G20)+2)))+(($F$16-E21+I16)/1000)-(E22)),0.1),1)))*'Background Tables'!K8))*'Background Tables'!K9,1)),0),"Calc. Off"),"Calc. Off")</f>
        <v>11236</v>
      </c>
      <c r="L32" s="3">
        <f>IF($E$3="Yes",IF($E$5="Yes",ROUND((((C22+60+(C22+60)*G22)/(1-G21)/MIN(MAX((0.1+($F$15/($F$15+((E20+15+40)*(1+G20)+2)))+(($F$16-E21+I16)/1000)-E22),0.1),1))/'Background Tables'!$H$2)/IF($E$6="Yes",0.97,1)/'Background Tables'!K2/(IF(L15="Yes",1+(1-(1-'Background Tables'!K7)^((L17*(MIN(MAX((0.1+($F$15/($F$15+((E20+15+40)*(1+G20)+2)))+(($F$16-E21+I16)/1000)-(E22)),0.1),1)))*'Background Tables'!K8))*'Background Tables'!K9,1)),0),"Calc. Off"),"Calc. Off")</f>
        <v>11774</v>
      </c>
      <c r="M32" s="11"/>
      <c r="O32" s="11"/>
      <c r="P32" s="11"/>
      <c r="Q32" s="11"/>
      <c r="R32" s="11"/>
      <c r="S32" s="11"/>
      <c r="T32" s="13"/>
      <c r="U32" s="13"/>
      <c r="V32" s="13"/>
      <c r="W32" s="13"/>
      <c r="X32" s="13"/>
      <c r="Y32" s="11"/>
      <c r="Z32" s="11"/>
      <c r="AA32" s="11"/>
    </row>
    <row r="33" spans="1:27" ht="15.75" customHeight="1" x14ac:dyDescent="0.25">
      <c r="A33" s="52" t="str">
        <f>IF('Background Tables'!N2="Off","Beaver Badge","gottagofast2.jpg")</f>
        <v>Beaver Badge</v>
      </c>
      <c r="B33" s="53"/>
      <c r="C33" s="37">
        <f>IF($E$4="Yes",IF($C$2="Yes",ROUND(((C22+75+(C22+75)*G22)/(1-G21)/MIN(MAX((0.1+($F$15/($F$15+((E20+35)*(1+G20)+2)))+(($F$16-E21+I16)/1000)-(E22)),0.1),1))/'Background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10527</v>
      </c>
      <c r="D33" s="3">
        <f>IF($E$4="Yes",IF($C$3="Yes",ROUND(((C22+266+75+(C22+266+75)*G22)/(1-G21)/MIN(MAX((0.1+($F$15/($F$15+((E20+35)*(1+G20)+2)))+(($F$16-E21+I16)/1000)-(E22)),0.1),1))/'Background Tables'!$H$2/'Background Tables'!K2/(IF(L15="Yes",1+(1-(1-'Background Tables'!K11)^((L17*(MIN(MAX((0.1+($F$15/($F$15+((E20+35)*(1+G20)+2)))+(($F$16-E21+I16)/1000)-(E22)),0.1),1)))*'Background Tables'!K12))*'Background Tables'!K13,1)),0),"Calc. Off"),"Calc. Off")</f>
        <v>11288</v>
      </c>
      <c r="E33" s="3">
        <f>IF($C$4="Yes",IF($E$4="Yes",ROUND(((C22+44+75+(C22+75+44)*G22)/(1-G21)/MIN(MAX((0.1+($F$15/($F$15+((E20+17+35)*(1+G20)+2)))+(($F$16-E21+I16)/1000)-E22),0.1),1))/'Background Tables'!$H$2/'Background Tables'!K2/(IF(L15="Yes",1+(1-(1-'Background Tables'!K7)^((L17*(MIN(MAX((0.1+($F$15/($F$15+((E20+17+35)*(1+G20)+2)))+(($F$16-E21+I16)/1000)-(E22)),0.1),1)))*'Background Tables'!K8))*'Background Tables'!K9,1)),0),"Calc. Off"),"Calc. Off")</f>
        <v>11465</v>
      </c>
      <c r="F33" s="3">
        <f>IF($E$4="Yes",IF($C$5="Yes",ROUND(((C22+245+75+(C22+245+75)*G22)/(1-G21)/MIN(MAX((0.1+($F$15/($F$15+((E20+35)*(1+G20)+2)))+(($F$16-E21+I16)/1000)-E22),0.1),1))/'Background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11228</v>
      </c>
      <c r="G33" s="3">
        <f>IF($C$6="Yes",IF($E$4="Yes",ROUND(((C22+350+75+(C22+350+75)*G22)/(1-G21)/MIN(MAX((0.1+($F$15/($F$15+((E20+5+35)*(1+G20)+2)))+(($F$16-E21+I16)/1000)-E22),0.1),1))/'Background Tables'!$H$2/'Background Tables'!K2/(IF(L15="Yes",1+(1-(1-'Background Tables'!K7)^((L17*(MIN(MAX((0.1+($F$15/($F$15+((E20+5+35)*(1+G20)+2)))+(($F$16-E21+I16)/1000)-(E22)),0.1),1)))*'Background Tables'!K8))*'Background Tables'!K9,1)),0),"Calc. Off"),"Calc. Off")</f>
        <v>11790</v>
      </c>
      <c r="H33" s="3">
        <f>IF($E$4="Yes",IF($C$7="Yes",IFERROR(_xlfn.IFS(C20="DD","N/A",C20="SS","N/A",C20="SSV","N/A",C20="CB","N/A"),ROUND(((C22+350+75+(C22+350+75)*G22)/(1-G21)/MIN(MAX((0.1+($F$15/($F$15+((E20+35)*(1+G20)+2)))+(($F$16-E21+I16)/1000)-E22),0.1),1))/'Background Tables'!$H$2/IF($E$6="Yes",IF(F18="Torpedo",0.7,1),1)/'Background Tables'!K2/(IF(L15="Yes",1+(1-(1-'Background Tables'!K7)^((L17*(MIN(MAX((0.1+($F$15/($F$15+((E20+35)*(1+G20)+2)))+(($F$16-E21+I16)/1000)-(E22)),0.1),1)))*'Background Tables'!K8))*'Background Tables'!K9,1)),0)),"Calc. Off"),"Calc. Off")</f>
        <v>11528</v>
      </c>
      <c r="I33" s="3">
        <f>IF($E$4="Yes",IF($E$2="Yes",ROUND(((C22+500+75+(C22+500+75)*G22+IF($E$6="Yes",ROUNDDOWN($I$15/15,0)*0.01*(C22+500+75),0))/(1-G21)/MIN(MAX((0.1+($F$15/($F$15+((E20+35)*(1+G20)+2)))+(($F$16-E21+I16)/1000)-E22),0.1),1))/'Background Tables'!$H$2/'Background Tables'!K2/(IF(L15="Yes",1+(1-(1-'Background Tables'!K7)^((L17*(MIN(MAX((0.1+($F$15/($F$15+((E20+35)*(1+G20)+2)))+(($F$16-E21+I16)/1000)-(E22)),0.1),1)))*'Background Tables'!K8))*'Background Tables'!K9,1)),0),"Calc. Off"),"Calc. Off")</f>
        <v>12436</v>
      </c>
      <c r="J33" s="3">
        <f>IF($E$3="Yes",IF($E$4="Yes",ROUND(((C22+75+(C22+75)*G22)/(1-G21)/MIN(MAX((0.1+($F$15/($F$15+((E20+15+35)*(1+G20)+2)))+(($F$16-E21+I16)/1000)-E22),0.1),1))/'Background Tables'!$H$2/'Background Tables'!K2/(IF(L15="Yes",1+(1-(1-'Background Tables'!K7)^((L17*(MIN(MAX((0.1+($F$15/($F$15+((E20+15+35)*(1+G20)+2)))+(($F$16-E21+I16)/1000)-(E22)),0.1),1)))*'Background Tables'!K8))*'Background Tables'!K9,1)),0),"Calc. Off"),"Calc. Off")</f>
        <v>11236</v>
      </c>
      <c r="K33" s="20" t="s">
        <v>29</v>
      </c>
      <c r="L33" s="3">
        <f>IF($E$4="Yes",IF($E$5="Yes",ROUND((((C22+75+60+(C22+60+75)*G22)/(1-G21)/MIN(MAX((0.1+($F$15/($F$15+((E20+35+40)*(1+G20)+2)))+(($F$16-E21+I16)/1000)-E22),0.1),1))/'Background Tables'!$H$2)/IF($E$6="Yes",0.97,1)/'Background Tables'!K2/(IF(L15="Yes",1+(1-(1-'Background Tables'!K7)^((L17*(MIN(MAX((0.1+($F$15/($F$15+((E20+35+40)*(1+G20)+2)))+(($F$16-E21+I16)/1000)-(E22)),0.1),1)))*'Background Tables'!K8))*'Background Tables'!K9,1)),0),"Calc. Off"),"Calc. Off")</f>
        <v>12960</v>
      </c>
      <c r="M33" s="11"/>
      <c r="O33" s="11"/>
      <c r="P33" s="11"/>
      <c r="Q33" s="11"/>
      <c r="R33" s="11"/>
      <c r="S33" s="11"/>
      <c r="T33" s="13"/>
      <c r="U33" s="13"/>
      <c r="V33" s="13"/>
      <c r="W33" s="13"/>
      <c r="X33" s="13"/>
      <c r="Y33" s="11"/>
      <c r="Z33" s="11"/>
      <c r="AA33" s="11"/>
    </row>
    <row r="34" spans="1:27" ht="15.75" customHeight="1" x14ac:dyDescent="0.25">
      <c r="A34" s="79" t="str">
        <f>IF('Background Tables'!N2="Off","Imp. Rudder","Washing Machine")</f>
        <v>Imp. Rudder</v>
      </c>
      <c r="B34" s="80"/>
      <c r="C34" s="36">
        <f>IF($E$5="Yes",IF($C$2="Yes",ROUND((((C22+60+(C22+60)*G22)/(1-G21)/MIN(MAX((0.1+($F$15/($F$15+((E20+40)*(1+G20)+2)))+(($F$16-E21+I16)/1000)-(E22)),0.1),1))/'Background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11054</v>
      </c>
      <c r="D34" s="3">
        <f>IF($E$5="Yes",IF($C$3="Yes",ROUND((((C22+266+60+(C22+266+60)*G22)/(1-G21)/MIN(MAX((0.1+($F$15/($F$15+((E20+40)*(1+G20)+2)))+(($F$16-E21+I16)/1000)-(E22)),0.1),1))/'Background Tables'!$H$2)/IF($E$6="Yes",0.97,1)/'Background Tables'!K2/(IF(L15="Yes",1+(1-(1-'Background Tables'!K11)^((L17*(MIN(MAX((0.1+($F$15/($F$15+((E20+40)*(1+G20)+2)))+(($F$16-E21+I16)/1000)-(E22)),0.1),1)))*'Background Tables'!K12))*'Background Tables'!K13,1)),0),"Calc. Off"),"Calc. Off")</f>
        <v>11856</v>
      </c>
      <c r="E34" s="3">
        <f>IF($C$4="Yes",IF($E$5="Yes",ROUND((((C22+44+60+(C22+60+44)*G22)/(1-G21)/MIN(MAX((0.1+($F$15/($F$15+((E20+17+40)*(1+G20)+2)))+(($F$16-E21+I16)/1000)-E22),0.1),1))/'Background Tables'!$H$2)/IF($E$6="Yes",0.97,1)/'Background Tables'!K2/(IF(L15="Yes",1+(1-(1-'Background Tables'!K7)^((L17*(MIN(MAX((0.1+($F$15/($F$15+((E20+17+40)*(1+G20)+2)))+(($F$16-E21+I16)/1000)-(E22)),0.1),1)))*'Background Tables'!K8))*'Background Tables'!K9,1)),0),"Calc. Off"),"Calc. Off")</f>
        <v>12011</v>
      </c>
      <c r="F34" s="3">
        <f>IF($E$5="Yes",IF($C$5="Yes",ROUND((((C22+245+60+(C22+245+60)*G22)/(1-G21)/MIN(MAX((0.1+($F$15/($F$15+((E20+40)*(1+G20)+2)))+(($F$16-E21+I16)/1000)-E22),0.1),1))/'Background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11793</v>
      </c>
      <c r="G34" s="3">
        <f>IF($C$6="Yes",IF($E$5="Yes",ROUND((((C22+350+60+(C22+60+350)*G22)/(1-G21)/MIN(MAX((0.1+($F$15/($F$15+((E20+5+40)*(1+G20)+2)))+(($F$16-E21+I16)/1000)-E22),0.1),1))/'Background Tables'!$H$2)/IF($E$6="Yes",0.97,1)/'Background Tables'!K2/(IF(L15="Yes",1+(1-(1-'Background Tables'!K7)^((L17*(MIN(MAX((0.1+($F$15/($F$15+((E20+5+40)*(1+G20)+2)))+(($F$16-E21+I16)/1000)-(E22)),0.1),1)))*'Background Tables'!K8))*'Background Tables'!K9,1)),0),"Calc. Off"),"Calc. Off")</f>
        <v>12376</v>
      </c>
      <c r="H34" s="3">
        <f>IF($E$5="Yes",IF($C$7="Yes",IFERROR(_xlfn.IFS(C20="DD","N/A",C20="SS","N/A",C20="SSV","N/A",C20="CB","N/A"),ROUND((((C22+350+60+(C22+350+60)*G22)/(1-G21)/MIN(MAX((0.1+($F$15/($F$15+((E20+40)*(1+G20)+2)))+(($F$16-E21+I16)/1000)-E22),0.1),1))/'Background Tables'!$H$2/IF($E$6="Yes",IF(F18="Torpedo",0.7,1),1))/IF($E$6="Yes",0.97,1)/'Background Tables'!K2/(IF(L15="Yes",1+(1-(1-'Background Tables'!K7)^((L17*(MIN(MAX((0.1+($F$15/($F$15+((E20+40)*(1+G20)+2)))+(($F$16-E21+I16)/1000)-(E22)),0.1),1)))*'Background Tables'!K8))*'Background Tables'!K9,1)),0)),"Calc. Off"),"Calc. Off")</f>
        <v>12110</v>
      </c>
      <c r="I34" s="3">
        <f>IF($E$5="Yes",IF($E$2="Yes",ROUND((((C22+500+60+(C22+500+60)*G22+IF($E$6="Yes",ROUNDDOWN($I$15/15,0)*0.01*(C22+500+60),0))/(1-G21)/MIN(MAX((0.1+($F$15/($F$15+((E20+40)*(1+G20)+2)))+(($F$16-E21+I16)/1000)-E22),0.1),1))/'Background Tables'!$H$2)/IF($E$6="Yes",0.97,1)/'Background Tables'!K2/(IF(L15="Yes",1+(1-(1-'Background Tables'!K7)^((L17*(MIN(MAX((0.1+($F$15/($F$15+((E20+40)*(1+G20)+2)))+(($F$16-E21+I16)/1000)-(E22)),0.1),1)))*'Background Tables'!K8))*'Background Tables'!K9,1)),0),"Calc. Off"),"Calc. Off")</f>
        <v>13065</v>
      </c>
      <c r="J34" s="3">
        <f>IF($E$3="Yes",IF($E$5="Yes",ROUND((((C22+60+(C22+60)*G22)/(1-G21)/MIN(MAX((0.1+($F$15/($F$15+((E20+15+40)*(1+G20)+2)))+(($F$16-E21+I16)/1000)-E22),0.1),1))/'Background Tables'!$H$2)/IF($E$6="Yes",0.97,1)/'Background Tables'!K2/(IF(L15="Yes",1+(1-(1-'Background Tables'!K7)^((L17*(MIN(MAX((0.1+($F$15/($F$15+((E20+15+40)*(1+G20)+2)))+(($F$16-E21+I16)/1000)-(E22)),0.1),1)))*'Background Tables'!K8))*'Background Tables'!K9,1)),0),"Calc. Off"),"Calc. Off")</f>
        <v>11774</v>
      </c>
      <c r="K34" s="3">
        <f>IF($E$4="Yes",IF($E$5="Yes",ROUND((((C22+75+60+(C22+60+75)*G22)/(1-G21)/MIN(MAX((0.1+($F$15/($F$15+((E20+35+40)*(1+G20)+2)))+(($F$16-E21+I16)/1000)-E22),0.1),1))/'Background Tables'!$H$2)/IF($E$6="Yes",0.97,1)/'Background Tables'!K2/(IF(L15="Yes",1+(1-(1-'Background Tables'!K7)^((L17*(MIN(MAX((0.1+($F$15/($F$15+((E20+35+40)*(1+G20)+2)))+(($F$16-E21+I16)/1000)-(E22)),0.1),1)))*'Background Tables'!K8))*'Background Tables'!K9,1)),0),"Calc. Off"),"Calc. Off")</f>
        <v>12960</v>
      </c>
      <c r="L34" s="19" t="s">
        <v>29</v>
      </c>
      <c r="M34" s="11"/>
      <c r="O34" s="11"/>
      <c r="P34" s="11"/>
      <c r="Q34" s="11"/>
      <c r="R34" s="11"/>
      <c r="S34" s="11"/>
      <c r="T34" s="13"/>
      <c r="U34" s="13"/>
      <c r="V34" s="13"/>
      <c r="W34" s="13"/>
      <c r="X34" s="13"/>
      <c r="Y34" s="11"/>
      <c r="Z34" s="11"/>
      <c r="AA34" s="11"/>
    </row>
    <row r="35" spans="1:27" ht="15.75" customHeight="1" x14ac:dyDescent="0.25">
      <c r="A35" s="63"/>
      <c r="B35" s="63"/>
      <c r="D35" s="49"/>
      <c r="E35" s="49"/>
      <c r="F35" s="49"/>
      <c r="G35" s="49"/>
      <c r="H35" s="49"/>
      <c r="I35" s="49"/>
      <c r="J35" s="49"/>
      <c r="K35" s="49"/>
      <c r="L35" s="49"/>
      <c r="M35" s="11"/>
      <c r="N35" s="11"/>
      <c r="O35" s="11"/>
      <c r="P35" s="11"/>
      <c r="Q35" s="11"/>
      <c r="R35" s="11"/>
      <c r="S35" s="11"/>
      <c r="T35" s="13"/>
      <c r="U35" s="13"/>
      <c r="V35" s="13"/>
      <c r="W35" s="13"/>
      <c r="X35" s="13"/>
      <c r="Y35" s="11"/>
      <c r="Z35" s="11"/>
      <c r="AA35" s="11"/>
    </row>
    <row r="36" spans="1:27" ht="15.75" customHeight="1" x14ac:dyDescent="0.25">
      <c r="A36" s="62"/>
      <c r="B36" s="62"/>
      <c r="D36" s="49"/>
      <c r="E36" s="49"/>
      <c r="F36" s="49"/>
      <c r="G36" s="49"/>
      <c r="H36" s="49"/>
      <c r="I36" s="49"/>
      <c r="J36" s="49"/>
      <c r="K36" s="49"/>
      <c r="L36" s="49"/>
      <c r="M36" s="11"/>
      <c r="N36" s="11"/>
      <c r="O36" s="11"/>
      <c r="P36" s="11"/>
      <c r="Q36" s="11"/>
      <c r="R36" s="11"/>
      <c r="S36" s="11"/>
      <c r="T36" s="13"/>
      <c r="U36" s="13"/>
      <c r="V36" s="13"/>
      <c r="W36" s="13"/>
      <c r="X36" s="13"/>
      <c r="Y36" s="11"/>
      <c r="Z36" s="11"/>
      <c r="AA36" s="11"/>
    </row>
    <row r="37" spans="1:27" ht="15.75" customHeight="1" x14ac:dyDescent="0.25">
      <c r="A37" s="62"/>
      <c r="B37" s="62"/>
      <c r="M37" s="11"/>
      <c r="N37" s="11"/>
      <c r="O37" s="11"/>
      <c r="P37" s="11"/>
      <c r="Q37" s="11"/>
      <c r="R37" s="11"/>
      <c r="S37" s="11"/>
      <c r="T37" s="13"/>
      <c r="U37" s="13"/>
      <c r="V37" s="13"/>
      <c r="W37" s="13"/>
      <c r="X37" s="13"/>
      <c r="Y37" s="11"/>
      <c r="Z37" s="11"/>
      <c r="AA37" s="11"/>
    </row>
    <row r="38" spans="1:27" ht="15.75" customHeight="1" x14ac:dyDescent="0.25">
      <c r="A38" s="62"/>
      <c r="B38" s="62"/>
      <c r="M38" s="11"/>
      <c r="N38" s="11"/>
      <c r="O38" s="11"/>
      <c r="P38" s="11"/>
      <c r="Q38" s="11"/>
      <c r="R38" s="11"/>
      <c r="S38" s="11"/>
      <c r="T38" s="13"/>
      <c r="U38" s="13"/>
      <c r="V38" s="13"/>
      <c r="W38" s="13"/>
      <c r="X38" s="13"/>
      <c r="Y38" s="11"/>
      <c r="Z38" s="11"/>
      <c r="AA38" s="11"/>
    </row>
    <row r="39" spans="1:27" ht="15.75" customHeight="1" x14ac:dyDescent="0.25">
      <c r="A39" s="62"/>
      <c r="B39" s="62"/>
      <c r="M39" s="11"/>
      <c r="N39" s="11"/>
      <c r="O39" s="11"/>
      <c r="P39" s="11"/>
      <c r="Q39" s="11"/>
      <c r="R39" s="11"/>
      <c r="S39" s="11"/>
      <c r="T39" s="13"/>
      <c r="U39" s="13"/>
      <c r="V39" s="13"/>
      <c r="W39" s="13"/>
      <c r="X39" s="13"/>
      <c r="Y39" s="11"/>
      <c r="Z39" s="11"/>
      <c r="AA39" s="11"/>
    </row>
    <row r="40" spans="1:27" ht="15.75" customHeight="1" x14ac:dyDescent="0.25">
      <c r="A40" s="62"/>
      <c r="B40" s="62"/>
      <c r="M40" s="11"/>
      <c r="N40" s="11"/>
      <c r="O40" s="11"/>
      <c r="P40" s="11"/>
      <c r="Q40" s="11"/>
      <c r="R40" s="11"/>
      <c r="S40" s="11"/>
      <c r="T40" s="13"/>
      <c r="U40" s="13"/>
      <c r="V40" s="13"/>
      <c r="W40" s="13"/>
      <c r="X40" s="13"/>
      <c r="Y40" s="11"/>
      <c r="Z40" s="11"/>
      <c r="AA40" s="11"/>
    </row>
    <row r="41" spans="1:27" ht="15.75" customHeight="1" x14ac:dyDescent="0.25">
      <c r="A41" s="62"/>
      <c r="B41" s="62"/>
      <c r="M41" s="11"/>
      <c r="N41" s="11"/>
      <c r="O41" s="11"/>
      <c r="P41" s="11"/>
      <c r="Q41" s="11"/>
      <c r="R41" s="11"/>
      <c r="S41" s="11"/>
      <c r="T41" s="13"/>
      <c r="U41" s="13"/>
      <c r="V41" s="13"/>
      <c r="W41" s="13"/>
      <c r="X41" s="13"/>
      <c r="Y41" s="11"/>
      <c r="Z41" s="11"/>
      <c r="AA41" s="11"/>
    </row>
    <row r="42" spans="1:27" ht="15.75" customHeight="1" x14ac:dyDescent="0.25">
      <c r="A42" s="62"/>
      <c r="B42" s="62"/>
      <c r="M42" s="11"/>
      <c r="N42" s="11"/>
      <c r="O42" s="11"/>
      <c r="P42" s="11"/>
      <c r="Q42" s="11"/>
      <c r="R42" s="11"/>
      <c r="S42" s="11"/>
      <c r="T42" s="13"/>
      <c r="U42" s="13"/>
      <c r="V42" s="13"/>
      <c r="W42" s="13"/>
      <c r="X42" s="13"/>
      <c r="Y42" s="11"/>
      <c r="Z42" s="11"/>
      <c r="AA42" s="11"/>
    </row>
    <row r="43" spans="1:27" ht="15.75" customHeight="1" x14ac:dyDescent="0.25">
      <c r="A43" s="62"/>
      <c r="B43" s="62"/>
      <c r="M43" s="11"/>
      <c r="N43" s="11"/>
      <c r="O43" s="11"/>
      <c r="P43" s="11"/>
      <c r="Q43" s="11"/>
      <c r="R43" s="11"/>
      <c r="S43" s="11"/>
      <c r="T43" s="13"/>
      <c r="U43" s="13"/>
      <c r="V43" s="13"/>
      <c r="W43" s="13"/>
      <c r="X43" s="13"/>
      <c r="Y43" s="11"/>
      <c r="Z43" s="11"/>
      <c r="AA43" s="11"/>
    </row>
    <row r="44" spans="1:27" ht="15.75" customHeight="1" x14ac:dyDescent="0.25">
      <c r="A44" s="62"/>
      <c r="B44" s="62"/>
      <c r="M44" s="11"/>
      <c r="N44" s="11"/>
      <c r="O44" s="11"/>
      <c r="P44" s="11"/>
      <c r="Q44" s="11"/>
      <c r="R44" s="11"/>
      <c r="S44" s="11"/>
      <c r="T44" s="13"/>
      <c r="U44" s="13"/>
      <c r="V44" s="13"/>
      <c r="W44" s="13"/>
      <c r="X44" s="13"/>
      <c r="Y44" s="11"/>
      <c r="Z44" s="11"/>
      <c r="AA44" s="11"/>
    </row>
    <row r="45" spans="1:27" ht="15.75" customHeight="1" x14ac:dyDescent="0.25">
      <c r="A45" s="62"/>
      <c r="B45" s="62"/>
      <c r="M45" s="11"/>
      <c r="N45" s="11"/>
      <c r="O45" s="11"/>
      <c r="P45" s="11"/>
      <c r="Q45" s="11"/>
      <c r="R45" s="11"/>
      <c r="S45" s="11"/>
      <c r="T45" s="13"/>
      <c r="U45" s="13"/>
      <c r="V45" s="13"/>
      <c r="W45" s="13"/>
      <c r="X45" s="13"/>
      <c r="Y45" s="11"/>
      <c r="Z45" s="11"/>
      <c r="AA45" s="11"/>
    </row>
    <row r="46" spans="1:27" ht="15.75" customHeight="1" x14ac:dyDescent="0.25">
      <c r="A46" s="62"/>
      <c r="B46" s="62"/>
      <c r="M46" s="11"/>
      <c r="N46" s="11"/>
      <c r="O46" s="11"/>
      <c r="P46" s="11"/>
      <c r="Q46" s="11"/>
      <c r="R46" s="11"/>
      <c r="S46" s="11"/>
      <c r="T46" s="13"/>
      <c r="U46" s="13"/>
      <c r="V46" s="13"/>
      <c r="W46" s="13"/>
      <c r="X46" s="13"/>
      <c r="Y46" s="11"/>
      <c r="Z46" s="11"/>
      <c r="AA46" s="11"/>
    </row>
    <row r="47" spans="1:27" ht="15.75" customHeight="1" x14ac:dyDescent="0.25">
      <c r="A47" s="62"/>
      <c r="B47" s="62"/>
      <c r="M47" s="11"/>
      <c r="N47" s="11"/>
      <c r="O47" s="11"/>
      <c r="P47" s="11"/>
      <c r="Q47" s="11"/>
      <c r="R47" s="11"/>
      <c r="S47" s="11"/>
      <c r="T47" s="13"/>
      <c r="U47" s="13"/>
      <c r="V47" s="13"/>
      <c r="W47" s="13"/>
      <c r="X47" s="13"/>
      <c r="Y47" s="11"/>
      <c r="Z47" s="11"/>
      <c r="AA47" s="11"/>
    </row>
    <row r="48" spans="1:27" ht="15.75" customHeight="1" x14ac:dyDescent="0.25">
      <c r="A48" s="62"/>
      <c r="B48" s="62"/>
      <c r="M48" s="11"/>
      <c r="N48" s="11"/>
      <c r="O48" s="11"/>
      <c r="P48" s="11"/>
      <c r="Q48" s="11"/>
      <c r="R48" s="11"/>
      <c r="S48" s="11"/>
      <c r="T48" s="13"/>
      <c r="U48" s="13"/>
      <c r="V48" s="13"/>
      <c r="W48" s="13"/>
      <c r="X48" s="13"/>
      <c r="Y48" s="11"/>
      <c r="Z48" s="11"/>
      <c r="AA48" s="11"/>
    </row>
    <row r="49" spans="1:27" ht="15.75" customHeight="1" x14ac:dyDescent="0.25">
      <c r="A49" s="62"/>
      <c r="B49" s="62"/>
      <c r="M49" s="11"/>
      <c r="N49" s="11"/>
      <c r="O49" s="11"/>
      <c r="P49" s="11"/>
      <c r="Q49" s="11"/>
      <c r="R49" s="11"/>
      <c r="S49" s="11"/>
      <c r="T49" s="13"/>
      <c r="U49" s="13"/>
      <c r="V49" s="13"/>
      <c r="W49" s="13"/>
      <c r="X49" s="13"/>
      <c r="Y49" s="11"/>
      <c r="Z49" s="11"/>
      <c r="AA49" s="11"/>
    </row>
    <row r="50" spans="1:27" ht="15.75" customHeight="1" x14ac:dyDescent="0.25">
      <c r="A50" s="62"/>
      <c r="B50" s="62"/>
      <c r="M50" s="11"/>
      <c r="N50" s="11"/>
      <c r="O50" s="11"/>
      <c r="P50" s="11"/>
      <c r="Q50" s="11"/>
      <c r="R50" s="11"/>
      <c r="S50" s="11"/>
      <c r="T50" s="13"/>
      <c r="U50" s="13"/>
      <c r="V50" s="13"/>
      <c r="W50" s="13"/>
      <c r="X50" s="13"/>
      <c r="Y50" s="11"/>
      <c r="Z50" s="11"/>
      <c r="AA50" s="11"/>
    </row>
    <row r="51" spans="1:27" ht="15.75" customHeight="1" x14ac:dyDescent="0.25">
      <c r="A51" s="62"/>
      <c r="B51" s="62"/>
      <c r="M51" s="11"/>
      <c r="N51" s="11"/>
      <c r="O51" s="11"/>
      <c r="P51" s="11"/>
      <c r="Q51" s="11"/>
      <c r="R51" s="11"/>
      <c r="S51" s="11"/>
      <c r="T51" s="13"/>
      <c r="U51" s="13"/>
      <c r="V51" s="13"/>
      <c r="W51" s="13"/>
      <c r="X51" s="13"/>
      <c r="Y51" s="11"/>
      <c r="Z51" s="11"/>
      <c r="AA51" s="11"/>
    </row>
    <row r="52" spans="1:27" ht="15.75" customHeight="1" x14ac:dyDescent="0.25">
      <c r="A52" s="62"/>
      <c r="B52" s="62"/>
      <c r="M52" s="11"/>
      <c r="N52" s="11"/>
      <c r="O52" s="11"/>
      <c r="P52" s="11"/>
      <c r="Q52" s="11"/>
      <c r="R52" s="11"/>
      <c r="S52" s="11"/>
      <c r="T52" s="13"/>
      <c r="U52" s="13"/>
      <c r="V52" s="13"/>
      <c r="W52" s="13"/>
      <c r="X52" s="13"/>
      <c r="Y52" s="11"/>
      <c r="Z52" s="11"/>
      <c r="AA52" s="11"/>
    </row>
    <row r="53" spans="1:27" ht="15.75" customHeight="1" x14ac:dyDescent="0.25">
      <c r="A53" s="62"/>
      <c r="B53" s="62"/>
      <c r="M53" s="11"/>
      <c r="N53" s="11"/>
      <c r="O53" s="11"/>
      <c r="P53" s="11"/>
      <c r="Q53" s="11"/>
      <c r="R53" s="11"/>
      <c r="S53" s="11"/>
      <c r="T53" s="13"/>
      <c r="U53" s="13"/>
      <c r="V53" s="13"/>
      <c r="W53" s="13"/>
      <c r="X53" s="13"/>
      <c r="Y53" s="11"/>
      <c r="Z53" s="11"/>
      <c r="AA53" s="11"/>
    </row>
    <row r="54" spans="1:27" ht="15.75" customHeight="1" x14ac:dyDescent="0.25">
      <c r="A54" s="62"/>
      <c r="B54" s="62"/>
      <c r="M54" s="11"/>
      <c r="N54" s="11"/>
      <c r="O54" s="11"/>
      <c r="P54" s="11"/>
      <c r="Q54" s="11"/>
      <c r="R54" s="11"/>
      <c r="S54" s="11"/>
      <c r="T54" s="13"/>
      <c r="U54" s="13"/>
      <c r="V54" s="13"/>
      <c r="W54" s="13"/>
      <c r="X54" s="13"/>
      <c r="Y54" s="11"/>
      <c r="Z54" s="11"/>
      <c r="AA54" s="11"/>
    </row>
    <row r="55" spans="1:27" ht="15.75" customHeight="1" x14ac:dyDescent="0.25">
      <c r="A55" s="62"/>
      <c r="B55" s="62"/>
      <c r="M55" s="11"/>
      <c r="N55" s="11"/>
      <c r="O55" s="11"/>
      <c r="P55" s="11"/>
      <c r="Q55" s="11"/>
      <c r="R55" s="11"/>
      <c r="S55" s="11"/>
      <c r="T55" s="13"/>
      <c r="U55" s="13"/>
      <c r="V55" s="13"/>
      <c r="W55" s="13"/>
      <c r="X55" s="13"/>
      <c r="Y55" s="11"/>
      <c r="Z55" s="11"/>
      <c r="AA55" s="11"/>
    </row>
    <row r="56" spans="1:27" ht="15.75" customHeight="1" x14ac:dyDescent="0.25">
      <c r="A56" s="62"/>
      <c r="B56" s="62"/>
      <c r="M56" s="11"/>
      <c r="N56" s="11"/>
      <c r="O56" s="11"/>
      <c r="P56" s="11"/>
      <c r="Q56" s="11"/>
      <c r="R56" s="11"/>
      <c r="S56" s="11"/>
      <c r="T56" s="13"/>
      <c r="U56" s="13"/>
      <c r="V56" s="13"/>
      <c r="W56" s="13"/>
      <c r="X56" s="13"/>
      <c r="Y56" s="11"/>
      <c r="Z56" s="11"/>
      <c r="AA56" s="11"/>
    </row>
    <row r="57" spans="1:27" ht="15.75" customHeight="1" x14ac:dyDescent="0.25">
      <c r="A57" s="62"/>
      <c r="B57" s="62"/>
      <c r="M57" s="11"/>
      <c r="N57" s="11"/>
      <c r="O57" s="11"/>
      <c r="P57" s="11"/>
      <c r="Q57" s="11"/>
      <c r="R57" s="11"/>
      <c r="S57" s="11"/>
      <c r="T57" s="13"/>
      <c r="U57" s="13"/>
      <c r="V57" s="13"/>
      <c r="W57" s="13"/>
      <c r="X57" s="13"/>
      <c r="Y57" s="11"/>
      <c r="Z57" s="11"/>
      <c r="AA57" s="11"/>
    </row>
    <row r="58" spans="1:27" ht="15.75" customHeight="1" x14ac:dyDescent="0.25">
      <c r="A58" s="62"/>
      <c r="B58" s="62"/>
      <c r="M58" s="11"/>
      <c r="N58" s="11"/>
      <c r="O58" s="11"/>
      <c r="P58" s="11"/>
      <c r="Q58" s="11"/>
      <c r="R58" s="11"/>
      <c r="S58" s="11"/>
      <c r="T58" s="13"/>
      <c r="U58" s="13"/>
      <c r="V58" s="13"/>
      <c r="W58" s="13"/>
      <c r="X58" s="13"/>
      <c r="Y58" s="11"/>
      <c r="Z58" s="11"/>
      <c r="AA58" s="11"/>
    </row>
    <row r="59" spans="1:27" ht="13.2" x14ac:dyDescent="0.25">
      <c r="A59" s="62"/>
      <c r="B59" s="62"/>
      <c r="M59" s="11"/>
      <c r="N59" s="11"/>
      <c r="O59" s="11"/>
      <c r="P59" s="11"/>
      <c r="Q59" s="11"/>
      <c r="R59" s="11"/>
      <c r="S59" s="11"/>
      <c r="T59" s="13"/>
      <c r="U59" s="13"/>
      <c r="V59" s="13"/>
      <c r="W59" s="13"/>
      <c r="X59" s="13"/>
      <c r="Y59" s="11"/>
      <c r="Z59" s="11"/>
      <c r="AA59" s="11"/>
    </row>
    <row r="60" spans="1:27" ht="13.2" x14ac:dyDescent="0.25">
      <c r="A60" s="62"/>
      <c r="B60" s="62"/>
      <c r="M60" s="11"/>
      <c r="N60" s="11"/>
      <c r="O60" s="11"/>
      <c r="P60" s="11"/>
      <c r="Q60" s="11"/>
      <c r="R60" s="11"/>
      <c r="S60" s="11"/>
      <c r="T60" s="13"/>
      <c r="U60" s="13"/>
      <c r="V60" s="13"/>
      <c r="W60" s="13"/>
      <c r="X60" s="13"/>
      <c r="Y60" s="11"/>
      <c r="Z60" s="11"/>
      <c r="AA60" s="11"/>
    </row>
    <row r="61" spans="1:27" ht="13.2" x14ac:dyDescent="0.25">
      <c r="A61" s="62"/>
      <c r="B61" s="62"/>
      <c r="M61" s="11"/>
      <c r="N61" s="11"/>
      <c r="O61" s="11"/>
      <c r="P61" s="11"/>
      <c r="Q61" s="11"/>
      <c r="R61" s="11"/>
      <c r="S61" s="11"/>
      <c r="T61" s="13"/>
      <c r="U61" s="13"/>
      <c r="V61" s="13"/>
      <c r="W61" s="13"/>
      <c r="X61" s="13"/>
      <c r="Y61" s="11"/>
      <c r="Z61" s="11"/>
      <c r="AA61" s="11"/>
    </row>
    <row r="62" spans="1:27" ht="13.2" x14ac:dyDescent="0.25">
      <c r="A62" s="62"/>
      <c r="B62" s="62"/>
      <c r="M62" s="11"/>
      <c r="N62" s="11"/>
      <c r="O62" s="11"/>
      <c r="P62" s="11"/>
      <c r="Q62" s="11"/>
      <c r="R62" s="11"/>
      <c r="S62" s="11"/>
      <c r="T62" s="13"/>
      <c r="U62" s="13"/>
      <c r="V62" s="13"/>
      <c r="W62" s="13"/>
      <c r="X62" s="13"/>
      <c r="Y62" s="11"/>
      <c r="Z62" s="11"/>
      <c r="AA62" s="11"/>
    </row>
    <row r="63" spans="1:27" ht="13.2" x14ac:dyDescent="0.25">
      <c r="A63" s="62"/>
      <c r="B63" s="62"/>
      <c r="M63" s="11"/>
      <c r="N63" s="11"/>
      <c r="O63" s="11"/>
      <c r="P63" s="11"/>
      <c r="Q63" s="11"/>
      <c r="R63" s="11"/>
      <c r="S63" s="11"/>
      <c r="T63" s="13"/>
      <c r="U63" s="13"/>
      <c r="V63" s="13"/>
      <c r="W63" s="13"/>
      <c r="X63" s="13"/>
      <c r="Y63" s="11"/>
      <c r="Z63" s="11"/>
      <c r="AA63" s="11"/>
    </row>
    <row r="64" spans="1:27" ht="13.2" x14ac:dyDescent="0.25">
      <c r="A64" s="62"/>
      <c r="B64" s="62"/>
      <c r="M64" s="11"/>
      <c r="N64" s="11"/>
      <c r="O64" s="11"/>
      <c r="P64" s="11"/>
      <c r="Q64" s="11"/>
      <c r="R64" s="11"/>
      <c r="S64" s="11"/>
      <c r="T64" s="13"/>
      <c r="U64" s="13"/>
      <c r="V64" s="13"/>
      <c r="W64" s="13"/>
      <c r="X64" s="13"/>
      <c r="Y64" s="11"/>
      <c r="Z64" s="11"/>
      <c r="AA64" s="11"/>
    </row>
    <row r="65" spans="1:27" ht="13.2" x14ac:dyDescent="0.25">
      <c r="A65" s="62"/>
      <c r="B65" s="62"/>
      <c r="M65" s="11"/>
      <c r="N65" s="11"/>
      <c r="O65" s="11"/>
      <c r="P65" s="11"/>
      <c r="Q65" s="11"/>
      <c r="R65" s="11"/>
      <c r="S65" s="11"/>
      <c r="T65" s="13"/>
      <c r="U65" s="13"/>
      <c r="V65" s="13"/>
      <c r="W65" s="13"/>
      <c r="X65" s="13"/>
      <c r="Y65" s="11"/>
      <c r="Z65" s="11"/>
      <c r="AA65" s="11"/>
    </row>
    <row r="66" spans="1:27" ht="13.2" x14ac:dyDescent="0.25">
      <c r="A66" s="62"/>
      <c r="B66" s="62"/>
      <c r="M66" s="11"/>
      <c r="N66" s="11"/>
      <c r="O66" s="11"/>
      <c r="P66" s="11"/>
      <c r="Q66" s="11"/>
      <c r="R66" s="11"/>
      <c r="S66" s="11"/>
      <c r="T66" s="13"/>
      <c r="U66" s="13"/>
      <c r="V66" s="13"/>
      <c r="W66" s="13"/>
      <c r="X66" s="13"/>
      <c r="Y66" s="11"/>
      <c r="Z66" s="11"/>
      <c r="AA66" s="11"/>
    </row>
    <row r="67" spans="1:27" ht="13.2" x14ac:dyDescent="0.25">
      <c r="A67" s="62"/>
      <c r="B67" s="62"/>
      <c r="M67" s="11"/>
      <c r="N67" s="11"/>
      <c r="O67" s="11"/>
      <c r="P67" s="11"/>
      <c r="Q67" s="11"/>
      <c r="R67" s="11"/>
      <c r="S67" s="11"/>
      <c r="T67" s="13"/>
      <c r="U67" s="13"/>
      <c r="V67" s="13"/>
      <c r="W67" s="13"/>
      <c r="X67" s="13"/>
      <c r="Y67" s="11"/>
      <c r="Z67" s="11"/>
      <c r="AA67" s="11"/>
    </row>
    <row r="68" spans="1:27" ht="13.2" x14ac:dyDescent="0.25">
      <c r="A68" s="62"/>
      <c r="B68" s="62"/>
      <c r="M68" s="11"/>
      <c r="N68" s="11"/>
      <c r="O68" s="11"/>
      <c r="P68" s="11"/>
      <c r="Q68" s="11"/>
      <c r="R68" s="11"/>
      <c r="S68" s="11"/>
      <c r="T68" s="13"/>
      <c r="U68" s="13"/>
      <c r="V68" s="13"/>
      <c r="W68" s="13"/>
      <c r="X68" s="13"/>
      <c r="Y68" s="11"/>
      <c r="Z68" s="11"/>
      <c r="AA68" s="11"/>
    </row>
    <row r="69" spans="1:27" ht="13.2" x14ac:dyDescent="0.25">
      <c r="A69" s="62"/>
      <c r="B69" s="62"/>
      <c r="M69" s="11"/>
      <c r="N69" s="11"/>
      <c r="O69" s="11"/>
      <c r="P69" s="11"/>
      <c r="Q69" s="11"/>
      <c r="R69" s="11"/>
      <c r="S69" s="11"/>
      <c r="T69" s="13"/>
      <c r="U69" s="13"/>
      <c r="V69" s="13"/>
      <c r="W69" s="13"/>
      <c r="X69" s="13"/>
      <c r="Y69" s="11"/>
      <c r="Z69" s="11"/>
      <c r="AA69" s="11"/>
    </row>
    <row r="70" spans="1:27" ht="13.2" x14ac:dyDescent="0.25">
      <c r="A70" s="62"/>
      <c r="B70" s="62"/>
      <c r="M70" s="11"/>
      <c r="N70" s="11"/>
      <c r="O70" s="11"/>
      <c r="P70" s="11"/>
      <c r="Q70" s="11"/>
      <c r="R70" s="11"/>
      <c r="S70" s="11"/>
      <c r="T70" s="13"/>
      <c r="U70" s="13"/>
      <c r="V70" s="13"/>
      <c r="W70" s="13"/>
      <c r="X70" s="13"/>
      <c r="Y70" s="11"/>
      <c r="Z70" s="11"/>
      <c r="AA70" s="11"/>
    </row>
    <row r="71" spans="1:27" ht="13.2" x14ac:dyDescent="0.25">
      <c r="A71" s="62"/>
      <c r="B71" s="62"/>
      <c r="M71" s="11"/>
      <c r="N71" s="11"/>
      <c r="O71" s="11"/>
      <c r="P71" s="11"/>
      <c r="Q71" s="11"/>
      <c r="R71" s="11"/>
      <c r="S71" s="11"/>
      <c r="T71" s="13"/>
      <c r="U71" s="13"/>
      <c r="V71" s="13"/>
      <c r="W71" s="13"/>
      <c r="X71" s="13"/>
      <c r="Y71" s="11"/>
      <c r="Z71" s="11"/>
      <c r="AA71" s="11"/>
    </row>
    <row r="72" spans="1:27" ht="13.2" x14ac:dyDescent="0.25">
      <c r="A72" s="62"/>
      <c r="B72" s="62"/>
      <c r="M72" s="11"/>
      <c r="N72" s="11"/>
      <c r="O72" s="11"/>
      <c r="P72" s="11"/>
      <c r="Q72" s="11"/>
      <c r="R72" s="11"/>
      <c r="S72" s="11"/>
      <c r="T72" s="13"/>
      <c r="U72" s="13"/>
      <c r="V72" s="13"/>
      <c r="W72" s="13"/>
      <c r="X72" s="13"/>
      <c r="Y72" s="11"/>
      <c r="Z72" s="11"/>
      <c r="AA72" s="11"/>
    </row>
    <row r="73" spans="1:27" ht="13.2" x14ac:dyDescent="0.25">
      <c r="A73" s="62"/>
      <c r="B73" s="62"/>
      <c r="M73" s="11"/>
      <c r="N73" s="11"/>
      <c r="O73" s="11"/>
      <c r="P73" s="11"/>
      <c r="Q73" s="11"/>
      <c r="R73" s="11"/>
      <c r="S73" s="11"/>
      <c r="T73" s="13"/>
      <c r="U73" s="13"/>
      <c r="V73" s="13"/>
      <c r="W73" s="13"/>
      <c r="X73" s="13"/>
      <c r="Y73" s="11"/>
      <c r="Z73" s="11"/>
      <c r="AA73" s="11"/>
    </row>
    <row r="74" spans="1:27" ht="13.2" x14ac:dyDescent="0.25">
      <c r="A74" s="62"/>
      <c r="B74" s="62"/>
      <c r="M74" s="11"/>
      <c r="N74" s="11"/>
      <c r="O74" s="11"/>
      <c r="P74" s="11"/>
      <c r="Q74" s="11"/>
      <c r="R74" s="11"/>
      <c r="S74" s="11"/>
      <c r="T74" s="13"/>
      <c r="U74" s="13"/>
      <c r="V74" s="13"/>
      <c r="W74" s="13"/>
      <c r="X74" s="13"/>
      <c r="Y74" s="11"/>
      <c r="Z74" s="11"/>
      <c r="AA74" s="11"/>
    </row>
    <row r="75" spans="1:27" ht="13.2" x14ac:dyDescent="0.25">
      <c r="A75" s="62"/>
      <c r="B75" s="62"/>
      <c r="M75" s="11"/>
      <c r="N75" s="11"/>
      <c r="O75" s="11"/>
      <c r="P75" s="11"/>
      <c r="Q75" s="11"/>
      <c r="R75" s="11"/>
      <c r="S75" s="11"/>
      <c r="T75" s="13"/>
      <c r="U75" s="13"/>
      <c r="V75" s="13"/>
      <c r="W75" s="13"/>
      <c r="X75" s="13"/>
      <c r="Y75" s="11"/>
      <c r="Z75" s="11"/>
      <c r="AA75" s="11"/>
    </row>
    <row r="76" spans="1:27" ht="13.2" x14ac:dyDescent="0.25">
      <c r="A76" s="62"/>
      <c r="B76" s="62"/>
      <c r="M76" s="11"/>
      <c r="N76" s="11"/>
      <c r="O76" s="11"/>
      <c r="P76" s="11"/>
      <c r="Q76" s="11"/>
      <c r="R76" s="11"/>
      <c r="S76" s="11"/>
      <c r="T76" s="13"/>
      <c r="U76" s="13"/>
      <c r="V76" s="13"/>
      <c r="W76" s="13"/>
      <c r="X76" s="13"/>
      <c r="Y76" s="11"/>
      <c r="Z76" s="11"/>
      <c r="AA76" s="11"/>
    </row>
    <row r="77" spans="1:27" ht="13.2" x14ac:dyDescent="0.25">
      <c r="A77" s="62"/>
      <c r="B77" s="62"/>
      <c r="M77" s="11"/>
      <c r="N77" s="11"/>
      <c r="O77" s="11"/>
      <c r="P77" s="11"/>
      <c r="Q77" s="11"/>
      <c r="R77" s="11"/>
      <c r="S77" s="11"/>
      <c r="T77" s="13"/>
      <c r="U77" s="13"/>
      <c r="V77" s="13"/>
      <c r="W77" s="13"/>
      <c r="X77" s="13"/>
      <c r="Y77" s="11"/>
      <c r="Z77" s="11"/>
      <c r="AA77" s="11"/>
    </row>
    <row r="78" spans="1:27" ht="13.2" x14ac:dyDescent="0.25">
      <c r="A78" s="62"/>
      <c r="B78" s="62"/>
      <c r="M78" s="11"/>
      <c r="N78" s="11"/>
      <c r="O78" s="11"/>
      <c r="P78" s="11"/>
      <c r="Q78" s="11"/>
      <c r="R78" s="11"/>
      <c r="S78" s="11"/>
      <c r="T78" s="13"/>
      <c r="U78" s="13"/>
      <c r="V78" s="13"/>
      <c r="W78" s="13"/>
      <c r="X78" s="13"/>
      <c r="Y78" s="11"/>
      <c r="Z78" s="11"/>
      <c r="AA78" s="11"/>
    </row>
    <row r="79" spans="1:27" ht="13.2" x14ac:dyDescent="0.25">
      <c r="A79" s="62"/>
      <c r="B79" s="62"/>
      <c r="M79" s="11"/>
      <c r="N79" s="11"/>
      <c r="O79" s="11"/>
      <c r="P79" s="11"/>
      <c r="Q79" s="11"/>
      <c r="R79" s="11"/>
      <c r="S79" s="11"/>
      <c r="T79" s="13"/>
      <c r="U79" s="13"/>
      <c r="V79" s="13"/>
      <c r="W79" s="13"/>
      <c r="X79" s="13"/>
      <c r="Y79" s="11"/>
      <c r="Z79" s="11"/>
      <c r="AA79" s="11"/>
    </row>
    <row r="80" spans="1:27" ht="13.2" x14ac:dyDescent="0.25">
      <c r="A80" s="62"/>
      <c r="B80" s="62"/>
      <c r="M80" s="11"/>
      <c r="N80" s="11"/>
      <c r="O80" s="11"/>
      <c r="P80" s="11"/>
      <c r="Q80" s="11"/>
      <c r="R80" s="11"/>
      <c r="S80" s="11"/>
      <c r="T80" s="13"/>
      <c r="U80" s="13"/>
      <c r="V80" s="13"/>
      <c r="W80" s="13"/>
      <c r="X80" s="13"/>
      <c r="Y80" s="11"/>
      <c r="Z80" s="11"/>
      <c r="AA80" s="11"/>
    </row>
    <row r="81" spans="1:27" ht="13.2" x14ac:dyDescent="0.25">
      <c r="A81" s="62"/>
      <c r="B81" s="62"/>
      <c r="M81" s="11"/>
      <c r="N81" s="11"/>
      <c r="O81" s="11"/>
      <c r="P81" s="11"/>
      <c r="Q81" s="11"/>
      <c r="R81" s="11"/>
      <c r="S81" s="11"/>
      <c r="T81" s="13"/>
      <c r="U81" s="13"/>
      <c r="V81" s="13"/>
      <c r="W81" s="13"/>
      <c r="X81" s="13"/>
      <c r="Y81" s="11"/>
      <c r="Z81" s="11"/>
      <c r="AA81" s="11"/>
    </row>
    <row r="82" spans="1:27" ht="13.2" x14ac:dyDescent="0.25">
      <c r="A82" s="62"/>
      <c r="B82" s="62"/>
      <c r="M82" s="11"/>
      <c r="N82" s="11"/>
      <c r="O82" s="11"/>
      <c r="P82" s="11"/>
      <c r="Q82" s="11"/>
      <c r="R82" s="11"/>
      <c r="S82" s="11"/>
      <c r="T82" s="13"/>
      <c r="U82" s="13"/>
      <c r="V82" s="13"/>
      <c r="W82" s="13"/>
      <c r="X82" s="13"/>
      <c r="Y82" s="11"/>
      <c r="Z82" s="11"/>
      <c r="AA82" s="11"/>
    </row>
    <row r="83" spans="1:27" ht="13.2" x14ac:dyDescent="0.25">
      <c r="A83" s="62"/>
      <c r="B83" s="62"/>
      <c r="M83" s="11"/>
      <c r="N83" s="11"/>
      <c r="O83" s="11"/>
      <c r="P83" s="11"/>
      <c r="Q83" s="11"/>
      <c r="R83" s="11"/>
      <c r="S83" s="11"/>
      <c r="T83" s="13"/>
      <c r="U83" s="13"/>
      <c r="V83" s="13"/>
      <c r="W83" s="13"/>
      <c r="X83" s="13"/>
      <c r="Y83" s="11"/>
      <c r="Z83" s="11"/>
      <c r="AA83" s="11"/>
    </row>
    <row r="84" spans="1:27" ht="13.2" x14ac:dyDescent="0.25">
      <c r="A84" s="62"/>
      <c r="B84" s="62"/>
      <c r="M84" s="11"/>
      <c r="N84" s="11"/>
      <c r="O84" s="11"/>
      <c r="P84" s="11"/>
      <c r="Q84" s="11"/>
      <c r="R84" s="11"/>
      <c r="S84" s="11"/>
      <c r="T84" s="13"/>
      <c r="U84" s="13"/>
      <c r="V84" s="13"/>
      <c r="W84" s="13"/>
      <c r="X84" s="13"/>
      <c r="Y84" s="11"/>
      <c r="Z84" s="11"/>
      <c r="AA84" s="11"/>
    </row>
    <row r="85" spans="1:27" ht="13.2" x14ac:dyDescent="0.25">
      <c r="A85" s="62"/>
      <c r="B85" s="62"/>
      <c r="M85" s="11"/>
      <c r="N85" s="11"/>
      <c r="O85" s="11"/>
      <c r="P85" s="11"/>
      <c r="Q85" s="11"/>
      <c r="R85" s="11"/>
      <c r="S85" s="11"/>
      <c r="T85" s="13"/>
      <c r="U85" s="13"/>
      <c r="V85" s="13"/>
      <c r="W85" s="13"/>
      <c r="X85" s="13"/>
      <c r="Y85" s="11"/>
      <c r="Z85" s="11"/>
      <c r="AA85" s="11"/>
    </row>
    <row r="86" spans="1:27" ht="13.2" x14ac:dyDescent="0.25">
      <c r="A86" s="62"/>
      <c r="B86" s="62"/>
      <c r="M86" s="11"/>
      <c r="N86" s="11"/>
      <c r="O86" s="11"/>
      <c r="P86" s="11"/>
      <c r="Q86" s="11"/>
      <c r="R86" s="11"/>
      <c r="S86" s="11"/>
      <c r="T86" s="13"/>
      <c r="U86" s="13"/>
      <c r="V86" s="13"/>
      <c r="W86" s="13"/>
      <c r="X86" s="13"/>
      <c r="Y86" s="11"/>
      <c r="Z86" s="11"/>
      <c r="AA86" s="11"/>
    </row>
    <row r="87" spans="1:27" ht="13.2" x14ac:dyDescent="0.25">
      <c r="A87" s="62"/>
      <c r="B87" s="62"/>
      <c r="M87" s="11"/>
      <c r="N87" s="11"/>
      <c r="O87" s="11"/>
      <c r="P87" s="11"/>
      <c r="Q87" s="11"/>
      <c r="R87" s="11"/>
      <c r="S87" s="11"/>
      <c r="T87" s="13"/>
      <c r="U87" s="13"/>
      <c r="V87" s="13"/>
      <c r="W87" s="13"/>
      <c r="X87" s="13"/>
      <c r="Y87" s="11"/>
      <c r="Z87" s="11"/>
      <c r="AA87" s="11"/>
    </row>
    <row r="88" spans="1:27" ht="13.2" x14ac:dyDescent="0.25">
      <c r="A88" s="62"/>
      <c r="B88" s="62"/>
      <c r="M88" s="11"/>
      <c r="N88" s="11"/>
      <c r="O88" s="11"/>
      <c r="P88" s="11"/>
      <c r="Q88" s="11"/>
      <c r="R88" s="11"/>
      <c r="S88" s="11"/>
      <c r="T88" s="13"/>
      <c r="U88" s="13"/>
      <c r="V88" s="13"/>
      <c r="W88" s="13"/>
      <c r="X88" s="13"/>
      <c r="Y88" s="11"/>
      <c r="Z88" s="11"/>
      <c r="AA88" s="11"/>
    </row>
    <row r="89" spans="1:27" ht="13.2" x14ac:dyDescent="0.25">
      <c r="A89" s="62"/>
      <c r="B89" s="62"/>
      <c r="M89" s="11"/>
      <c r="N89" s="11"/>
      <c r="O89" s="11"/>
      <c r="P89" s="11"/>
      <c r="Q89" s="11"/>
      <c r="R89" s="11"/>
      <c r="S89" s="11"/>
      <c r="T89" s="13"/>
      <c r="U89" s="13"/>
      <c r="V89" s="13"/>
      <c r="W89" s="13"/>
      <c r="X89" s="13"/>
      <c r="Y89" s="11"/>
      <c r="Z89" s="11"/>
      <c r="AA89" s="11"/>
    </row>
    <row r="90" spans="1:27" ht="13.2" x14ac:dyDescent="0.25">
      <c r="A90" s="62"/>
      <c r="B90" s="62"/>
      <c r="M90" s="11"/>
      <c r="N90" s="11"/>
      <c r="O90" s="11"/>
      <c r="P90" s="11"/>
      <c r="Q90" s="11"/>
      <c r="R90" s="11"/>
      <c r="S90" s="11"/>
      <c r="T90" s="13"/>
      <c r="U90" s="13"/>
      <c r="V90" s="13"/>
      <c r="W90" s="13"/>
      <c r="X90" s="13"/>
      <c r="Y90" s="11"/>
      <c r="Z90" s="11"/>
      <c r="AA90" s="11"/>
    </row>
    <row r="91" spans="1:27" ht="13.2" x14ac:dyDescent="0.25">
      <c r="A91" s="62"/>
      <c r="B91" s="62"/>
      <c r="M91" s="11"/>
      <c r="N91" s="11"/>
      <c r="O91" s="11"/>
      <c r="P91" s="11"/>
      <c r="Q91" s="11"/>
      <c r="R91" s="11"/>
      <c r="S91" s="11"/>
      <c r="T91" s="13"/>
      <c r="U91" s="13"/>
      <c r="V91" s="13"/>
      <c r="W91" s="13"/>
      <c r="X91" s="13"/>
      <c r="Y91" s="11"/>
      <c r="Z91" s="11"/>
      <c r="AA91" s="11"/>
    </row>
    <row r="92" spans="1:27" ht="13.2" x14ac:dyDescent="0.25">
      <c r="A92" s="62"/>
      <c r="B92" s="62"/>
      <c r="M92" s="11"/>
      <c r="N92" s="11"/>
      <c r="O92" s="11"/>
      <c r="P92" s="11"/>
      <c r="Q92" s="11"/>
      <c r="R92" s="11"/>
      <c r="S92" s="11"/>
      <c r="T92" s="13"/>
      <c r="U92" s="13"/>
      <c r="V92" s="13"/>
      <c r="W92" s="13"/>
      <c r="X92" s="13"/>
      <c r="Y92" s="11"/>
      <c r="Z92" s="11"/>
      <c r="AA92" s="11"/>
    </row>
    <row r="93" spans="1:27" ht="13.2" x14ac:dyDescent="0.25">
      <c r="A93" s="62"/>
      <c r="B93" s="62"/>
      <c r="M93" s="11"/>
      <c r="N93" s="11"/>
      <c r="O93" s="11"/>
      <c r="P93" s="11"/>
      <c r="Q93" s="11"/>
      <c r="R93" s="11"/>
      <c r="S93" s="11"/>
      <c r="T93" s="13"/>
      <c r="U93" s="13"/>
      <c r="V93" s="13"/>
      <c r="W93" s="13"/>
      <c r="X93" s="13"/>
      <c r="Y93" s="11"/>
      <c r="Z93" s="11"/>
      <c r="AA93" s="11"/>
    </row>
    <row r="94" spans="1:27" ht="13.2" x14ac:dyDescent="0.25">
      <c r="A94" s="62"/>
      <c r="B94" s="62"/>
      <c r="M94" s="11"/>
      <c r="N94" s="11"/>
      <c r="O94" s="11"/>
      <c r="P94" s="11"/>
      <c r="Q94" s="11"/>
      <c r="R94" s="11"/>
      <c r="S94" s="11"/>
      <c r="T94" s="13"/>
      <c r="U94" s="13"/>
      <c r="V94" s="13"/>
      <c r="W94" s="13"/>
      <c r="X94" s="13"/>
      <c r="Y94" s="11"/>
      <c r="Z94" s="11"/>
      <c r="AA94" s="11"/>
    </row>
    <row r="95" spans="1:27" ht="13.2" x14ac:dyDescent="0.25">
      <c r="A95" s="62"/>
      <c r="B95" s="62"/>
      <c r="M95" s="11"/>
      <c r="N95" s="11"/>
      <c r="O95" s="11"/>
      <c r="P95" s="11"/>
      <c r="Q95" s="11"/>
      <c r="R95" s="11"/>
      <c r="S95" s="11"/>
      <c r="T95" s="13"/>
      <c r="U95" s="13"/>
      <c r="V95" s="13"/>
      <c r="W95" s="13"/>
      <c r="X95" s="13"/>
      <c r="Y95" s="11"/>
      <c r="Z95" s="11"/>
      <c r="AA95" s="11"/>
    </row>
    <row r="96" spans="1:27" ht="13.2" x14ac:dyDescent="0.25">
      <c r="A96" s="62"/>
      <c r="B96" s="62"/>
      <c r="M96" s="11"/>
      <c r="N96" s="11"/>
      <c r="O96" s="11"/>
      <c r="P96" s="11"/>
      <c r="Q96" s="11"/>
      <c r="R96" s="11"/>
      <c r="S96" s="11"/>
      <c r="T96" s="13"/>
      <c r="U96" s="13"/>
      <c r="V96" s="13"/>
      <c r="W96" s="13"/>
      <c r="X96" s="13"/>
      <c r="Y96" s="11"/>
      <c r="Z96" s="11"/>
      <c r="AA96" s="11"/>
    </row>
    <row r="97" spans="1:27" ht="13.2" x14ac:dyDescent="0.25">
      <c r="A97" s="62"/>
      <c r="B97" s="62"/>
      <c r="M97" s="11"/>
      <c r="N97" s="11"/>
      <c r="O97" s="11"/>
      <c r="P97" s="11"/>
      <c r="Q97" s="11"/>
      <c r="R97" s="11"/>
      <c r="S97" s="11"/>
      <c r="T97" s="13"/>
      <c r="U97" s="13"/>
      <c r="V97" s="13"/>
      <c r="W97" s="13"/>
      <c r="X97" s="13"/>
      <c r="Y97" s="11"/>
      <c r="Z97" s="11"/>
      <c r="AA97" s="11"/>
    </row>
    <row r="98" spans="1:27" ht="13.2" x14ac:dyDescent="0.25">
      <c r="A98" s="62"/>
      <c r="B98" s="62"/>
      <c r="M98" s="11"/>
      <c r="N98" s="11"/>
      <c r="O98" s="11"/>
      <c r="P98" s="11"/>
      <c r="Q98" s="11"/>
      <c r="R98" s="11"/>
      <c r="S98" s="11"/>
      <c r="T98" s="13"/>
      <c r="U98" s="13"/>
      <c r="V98" s="13"/>
      <c r="W98" s="13"/>
      <c r="X98" s="13"/>
      <c r="Y98" s="11"/>
      <c r="Z98" s="11"/>
      <c r="AA98" s="11"/>
    </row>
    <row r="99" spans="1:27" ht="13.2" x14ac:dyDescent="0.25">
      <c r="A99" s="62"/>
      <c r="B99" s="62"/>
      <c r="M99" s="11"/>
      <c r="N99" s="11"/>
      <c r="O99" s="11"/>
      <c r="P99" s="11"/>
      <c r="Q99" s="11"/>
      <c r="R99" s="11"/>
      <c r="S99" s="11"/>
      <c r="T99" s="13"/>
      <c r="U99" s="13"/>
      <c r="V99" s="13"/>
      <c r="W99" s="13"/>
      <c r="X99" s="13"/>
      <c r="Y99" s="11"/>
      <c r="Z99" s="13"/>
      <c r="AA99" s="11"/>
    </row>
    <row r="100" spans="1:27" ht="13.2" x14ac:dyDescent="0.25">
      <c r="A100" s="62"/>
      <c r="B100" s="62"/>
      <c r="M100" s="11"/>
      <c r="N100" s="11"/>
      <c r="O100" s="11"/>
      <c r="P100" s="11"/>
      <c r="Q100" s="11"/>
      <c r="R100" s="11"/>
      <c r="S100" s="11"/>
      <c r="T100" s="13"/>
      <c r="U100" s="13"/>
      <c r="V100" s="13"/>
      <c r="W100" s="13"/>
      <c r="X100" s="13"/>
      <c r="Y100" s="11"/>
      <c r="Z100" s="11"/>
      <c r="AA100" s="11"/>
    </row>
    <row r="101" spans="1:27" ht="13.2" x14ac:dyDescent="0.25">
      <c r="A101" s="62"/>
      <c r="B101" s="62"/>
      <c r="M101" s="11"/>
      <c r="N101" s="11"/>
      <c r="O101" s="11"/>
      <c r="P101" s="11"/>
      <c r="Q101" s="11"/>
      <c r="R101" s="11"/>
      <c r="S101" s="11"/>
      <c r="T101" s="13"/>
      <c r="U101" s="13"/>
      <c r="V101" s="13"/>
      <c r="W101" s="13"/>
      <c r="X101" s="13"/>
      <c r="Y101" s="11"/>
      <c r="Z101" s="11"/>
      <c r="AA101" s="11"/>
    </row>
    <row r="102" spans="1:27" ht="13.2" x14ac:dyDescent="0.25">
      <c r="A102" s="62"/>
      <c r="B102" s="62"/>
      <c r="M102" s="11"/>
      <c r="N102" s="11"/>
      <c r="O102" s="11"/>
      <c r="P102" s="11"/>
      <c r="Q102" s="11"/>
      <c r="R102" s="11"/>
      <c r="S102" s="11"/>
      <c r="T102" s="13"/>
      <c r="U102" s="13"/>
      <c r="V102" s="13"/>
      <c r="W102" s="13"/>
      <c r="X102" s="13"/>
      <c r="Y102" s="11"/>
      <c r="Z102" s="11"/>
      <c r="AA102" s="11"/>
    </row>
    <row r="103" spans="1:27" ht="13.2" x14ac:dyDescent="0.25">
      <c r="A103" s="62"/>
      <c r="B103" s="62"/>
      <c r="M103" s="11"/>
      <c r="N103" s="11"/>
      <c r="O103" s="11"/>
      <c r="P103" s="11"/>
      <c r="Q103" s="11"/>
      <c r="R103" s="11"/>
      <c r="S103" s="11"/>
      <c r="T103" s="13"/>
      <c r="U103" s="13"/>
      <c r="V103" s="13"/>
      <c r="W103" s="13"/>
      <c r="X103" s="13"/>
      <c r="Y103" s="11"/>
      <c r="Z103" s="11"/>
      <c r="AA103" s="11"/>
    </row>
    <row r="104" spans="1:27" ht="13.2" x14ac:dyDescent="0.25">
      <c r="A104" s="62"/>
      <c r="B104" s="62"/>
      <c r="M104" s="11"/>
      <c r="N104" s="11"/>
      <c r="O104" s="11"/>
      <c r="P104" s="11"/>
      <c r="Q104" s="11"/>
      <c r="R104" s="11"/>
      <c r="S104" s="11"/>
      <c r="T104" s="13"/>
      <c r="U104" s="13"/>
      <c r="V104" s="13"/>
      <c r="W104" s="13"/>
      <c r="X104" s="13"/>
      <c r="Y104" s="11"/>
      <c r="Z104" s="11"/>
      <c r="AA104" s="11"/>
    </row>
    <row r="105" spans="1:27" ht="13.2" x14ac:dyDescent="0.25">
      <c r="A105" s="62"/>
      <c r="B105" s="62"/>
      <c r="M105" s="11"/>
      <c r="N105" s="11"/>
      <c r="O105" s="11"/>
      <c r="P105" s="11"/>
      <c r="Q105" s="11"/>
      <c r="R105" s="11"/>
      <c r="S105" s="11"/>
      <c r="T105" s="13"/>
      <c r="U105" s="13"/>
      <c r="V105" s="13"/>
      <c r="W105" s="13"/>
      <c r="X105" s="13"/>
      <c r="Y105" s="11"/>
      <c r="Z105" s="11"/>
      <c r="AA105" s="11"/>
    </row>
    <row r="106" spans="1:27" ht="13.2" x14ac:dyDescent="0.25">
      <c r="A106" s="62"/>
      <c r="B106" s="62"/>
      <c r="M106" s="11"/>
      <c r="N106" s="11"/>
      <c r="O106" s="11"/>
      <c r="P106" s="11"/>
      <c r="Q106" s="11"/>
      <c r="R106" s="11"/>
      <c r="S106" s="11"/>
      <c r="T106" s="13"/>
      <c r="U106" s="13"/>
      <c r="V106" s="13"/>
      <c r="W106" s="13"/>
      <c r="X106" s="13"/>
      <c r="Y106" s="11"/>
      <c r="Z106" s="11"/>
      <c r="AA106" s="11"/>
    </row>
    <row r="107" spans="1:27" ht="13.2" x14ac:dyDescent="0.25">
      <c r="A107" s="62"/>
      <c r="B107" s="62"/>
      <c r="M107" s="11"/>
      <c r="N107" s="11"/>
      <c r="O107" s="11"/>
      <c r="P107" s="11"/>
      <c r="Q107" s="11"/>
      <c r="R107" s="11"/>
      <c r="S107" s="11"/>
      <c r="T107" s="13"/>
      <c r="U107" s="13"/>
      <c r="V107" s="13"/>
      <c r="W107" s="13"/>
      <c r="X107" s="13"/>
      <c r="Y107" s="11"/>
      <c r="Z107" s="11"/>
      <c r="AA107" s="11"/>
    </row>
    <row r="108" spans="1:27" ht="13.2" x14ac:dyDescent="0.25">
      <c r="A108" s="62"/>
      <c r="B108" s="62"/>
      <c r="M108" s="11"/>
      <c r="N108" s="11"/>
      <c r="O108" s="11"/>
      <c r="P108" s="11"/>
      <c r="Q108" s="11"/>
      <c r="R108" s="11"/>
      <c r="S108" s="11"/>
      <c r="T108" s="13"/>
      <c r="U108" s="13"/>
      <c r="V108" s="13"/>
      <c r="W108" s="13"/>
      <c r="X108" s="13"/>
      <c r="Y108" s="11"/>
      <c r="Z108" s="11"/>
      <c r="AA108" s="11"/>
    </row>
    <row r="109" spans="1:27" ht="13.2" x14ac:dyDescent="0.25">
      <c r="A109" s="62"/>
      <c r="B109" s="62"/>
      <c r="M109" s="11"/>
      <c r="N109" s="11"/>
      <c r="O109" s="11"/>
      <c r="P109" s="11"/>
      <c r="Q109" s="11"/>
      <c r="R109" s="11"/>
      <c r="S109" s="11"/>
      <c r="T109" s="13"/>
      <c r="U109" s="13"/>
      <c r="V109" s="13"/>
      <c r="W109" s="13"/>
      <c r="X109" s="13"/>
      <c r="Y109" s="11"/>
      <c r="Z109" s="11"/>
      <c r="AA109" s="11"/>
    </row>
    <row r="110" spans="1:27" ht="13.2" x14ac:dyDescent="0.25">
      <c r="A110" s="62"/>
      <c r="B110" s="62"/>
      <c r="M110" s="11"/>
      <c r="N110" s="11"/>
      <c r="O110" s="11"/>
      <c r="P110" s="11"/>
      <c r="Q110" s="11"/>
      <c r="R110" s="11"/>
      <c r="S110" s="11"/>
      <c r="T110" s="13"/>
      <c r="U110" s="13"/>
      <c r="V110" s="13"/>
      <c r="W110" s="13"/>
      <c r="X110" s="13"/>
      <c r="Y110" s="11"/>
      <c r="Z110" s="11"/>
      <c r="AA110" s="11"/>
    </row>
    <row r="111" spans="1:27" ht="13.2" x14ac:dyDescent="0.25">
      <c r="A111" s="62"/>
      <c r="B111" s="62"/>
      <c r="M111" s="11"/>
      <c r="N111" s="11"/>
      <c r="O111" s="11"/>
      <c r="P111" s="11"/>
      <c r="Q111" s="11"/>
      <c r="R111" s="11"/>
      <c r="S111" s="11"/>
      <c r="T111" s="13"/>
      <c r="U111" s="13"/>
      <c r="V111" s="13"/>
      <c r="W111" s="13"/>
      <c r="X111" s="13"/>
      <c r="Y111" s="11"/>
      <c r="Z111" s="11"/>
      <c r="AA111" s="11"/>
    </row>
    <row r="112" spans="1:27" ht="13.2" x14ac:dyDescent="0.25">
      <c r="A112" s="62"/>
      <c r="B112" s="62"/>
      <c r="M112" s="11"/>
      <c r="N112" s="11"/>
      <c r="O112" s="11"/>
      <c r="P112" s="11"/>
      <c r="Q112" s="11"/>
      <c r="R112" s="11"/>
      <c r="S112" s="11"/>
      <c r="T112" s="13"/>
      <c r="U112" s="13"/>
      <c r="V112" s="13"/>
      <c r="W112" s="13"/>
      <c r="X112" s="13"/>
      <c r="Y112" s="11"/>
      <c r="Z112" s="11"/>
      <c r="AA112" s="11"/>
    </row>
    <row r="113" spans="1:27" ht="13.2" x14ac:dyDescent="0.25">
      <c r="A113" s="62"/>
      <c r="B113" s="62"/>
      <c r="M113" s="11"/>
      <c r="N113" s="11"/>
      <c r="O113" s="11"/>
      <c r="P113" s="11"/>
      <c r="Q113" s="11"/>
      <c r="R113" s="11"/>
      <c r="S113" s="11"/>
      <c r="T113" s="13"/>
      <c r="U113" s="13"/>
      <c r="V113" s="13"/>
      <c r="W113" s="13"/>
      <c r="X113" s="13"/>
      <c r="Y113" s="11"/>
      <c r="Z113" s="11"/>
      <c r="AA113" s="11"/>
    </row>
    <row r="114" spans="1:27" ht="13.2" x14ac:dyDescent="0.25">
      <c r="A114" s="62"/>
      <c r="B114" s="62"/>
      <c r="M114" s="11"/>
      <c r="N114" s="11"/>
      <c r="O114" s="11"/>
      <c r="P114" s="11"/>
      <c r="Q114" s="11"/>
      <c r="R114" s="11"/>
      <c r="S114" s="11"/>
      <c r="T114" s="13"/>
      <c r="U114" s="13"/>
      <c r="V114" s="13"/>
      <c r="W114" s="13"/>
      <c r="X114" s="13"/>
      <c r="Y114" s="11"/>
      <c r="Z114" s="11"/>
      <c r="AA114" s="11"/>
    </row>
    <row r="115" spans="1:27" ht="13.2" x14ac:dyDescent="0.25">
      <c r="A115" s="62"/>
      <c r="B115" s="62"/>
      <c r="M115" s="11"/>
      <c r="N115" s="11"/>
      <c r="O115" s="11"/>
      <c r="P115" s="11"/>
      <c r="Q115" s="11"/>
      <c r="R115" s="11"/>
      <c r="S115" s="11"/>
      <c r="T115" s="13"/>
      <c r="U115" s="13"/>
      <c r="V115" s="13"/>
      <c r="W115" s="13"/>
      <c r="X115" s="13"/>
      <c r="Y115" s="11"/>
      <c r="Z115" s="11"/>
      <c r="AA115" s="11"/>
    </row>
    <row r="116" spans="1:27" ht="13.2" x14ac:dyDescent="0.25">
      <c r="A116" s="62"/>
      <c r="B116" s="62"/>
      <c r="M116" s="11"/>
      <c r="N116" s="11"/>
      <c r="O116" s="11"/>
      <c r="P116" s="11"/>
      <c r="Q116" s="11"/>
      <c r="R116" s="11"/>
      <c r="S116" s="11"/>
      <c r="T116" s="13"/>
      <c r="U116" s="13"/>
      <c r="V116" s="13"/>
      <c r="W116" s="13"/>
      <c r="X116" s="13"/>
      <c r="Y116" s="11"/>
      <c r="Z116" s="11"/>
      <c r="AA116" s="11"/>
    </row>
    <row r="117" spans="1:27" ht="13.2" x14ac:dyDescent="0.25">
      <c r="A117" s="62"/>
      <c r="B117" s="62"/>
      <c r="M117" s="11"/>
      <c r="N117" s="11"/>
      <c r="O117" s="11"/>
      <c r="P117" s="11"/>
      <c r="Q117" s="11"/>
      <c r="R117" s="11"/>
      <c r="S117" s="11"/>
      <c r="T117" s="13"/>
      <c r="U117" s="13"/>
      <c r="V117" s="13"/>
      <c r="W117" s="13"/>
      <c r="X117" s="13"/>
      <c r="Y117" s="11"/>
      <c r="Z117" s="11"/>
      <c r="AA117" s="11"/>
    </row>
    <row r="118" spans="1:27" ht="13.2" x14ac:dyDescent="0.25">
      <c r="A118" s="62"/>
      <c r="B118" s="62"/>
      <c r="M118" s="11"/>
      <c r="N118" s="11"/>
      <c r="O118" s="11"/>
      <c r="P118" s="11"/>
      <c r="Q118" s="11"/>
      <c r="R118" s="11"/>
      <c r="S118" s="11"/>
      <c r="T118" s="13"/>
      <c r="U118" s="13"/>
      <c r="V118" s="13"/>
      <c r="W118" s="13"/>
      <c r="X118" s="13"/>
      <c r="Y118" s="11"/>
      <c r="Z118" s="11"/>
      <c r="AA118" s="11"/>
    </row>
    <row r="119" spans="1:27" ht="13.2" x14ac:dyDescent="0.25">
      <c r="A119" s="62"/>
      <c r="B119" s="62"/>
      <c r="M119" s="11"/>
      <c r="N119" s="11"/>
      <c r="O119" s="11"/>
      <c r="P119" s="11"/>
      <c r="Q119" s="11"/>
      <c r="R119" s="11"/>
      <c r="S119" s="11"/>
      <c r="T119" s="13"/>
      <c r="U119" s="13"/>
      <c r="V119" s="13"/>
      <c r="W119" s="13"/>
      <c r="X119" s="13"/>
      <c r="Y119" s="11"/>
      <c r="Z119" s="11"/>
      <c r="AA119" s="11"/>
    </row>
    <row r="120" spans="1:27" ht="13.2" x14ac:dyDescent="0.25">
      <c r="A120" s="62"/>
      <c r="B120" s="62"/>
      <c r="M120" s="11"/>
      <c r="N120" s="11"/>
      <c r="O120" s="11"/>
      <c r="P120" s="11"/>
      <c r="Q120" s="11"/>
      <c r="R120" s="11"/>
      <c r="S120" s="11"/>
      <c r="T120" s="13"/>
      <c r="U120" s="13"/>
      <c r="V120" s="13"/>
      <c r="W120" s="13"/>
      <c r="X120" s="13"/>
      <c r="Y120" s="11"/>
      <c r="Z120" s="11"/>
      <c r="AA120" s="11"/>
    </row>
    <row r="121" spans="1:27" ht="13.2" x14ac:dyDescent="0.25">
      <c r="A121" s="62"/>
      <c r="B121" s="62"/>
      <c r="M121" s="11"/>
      <c r="N121" s="11"/>
      <c r="O121" s="11"/>
      <c r="P121" s="11"/>
      <c r="Q121" s="11"/>
      <c r="R121" s="11"/>
      <c r="S121" s="11"/>
      <c r="T121" s="13"/>
      <c r="U121" s="13"/>
      <c r="V121" s="13"/>
      <c r="W121" s="13"/>
      <c r="X121" s="13"/>
      <c r="Y121" s="11"/>
      <c r="Z121" s="11"/>
      <c r="AA121" s="11"/>
    </row>
    <row r="122" spans="1:27" ht="13.2" x14ac:dyDescent="0.25">
      <c r="A122" s="62"/>
      <c r="B122" s="62"/>
      <c r="M122" s="11"/>
      <c r="N122" s="11"/>
      <c r="O122" s="11"/>
      <c r="P122" s="11"/>
      <c r="Q122" s="11"/>
      <c r="R122" s="11"/>
      <c r="S122" s="11"/>
      <c r="T122" s="13"/>
      <c r="U122" s="13"/>
      <c r="V122" s="13"/>
      <c r="W122" s="13"/>
      <c r="X122" s="13"/>
      <c r="Y122" s="11"/>
      <c r="Z122" s="11"/>
      <c r="AA122" s="11"/>
    </row>
    <row r="123" spans="1:27" ht="13.2" x14ac:dyDescent="0.25">
      <c r="A123" s="62"/>
      <c r="B123" s="62"/>
      <c r="M123" s="11"/>
      <c r="N123" s="11"/>
      <c r="O123" s="11"/>
      <c r="P123" s="11"/>
      <c r="Q123" s="11"/>
      <c r="R123" s="11"/>
      <c r="S123" s="11"/>
      <c r="T123" s="13"/>
      <c r="U123" s="13"/>
      <c r="V123" s="13"/>
      <c r="W123" s="13"/>
      <c r="X123" s="13"/>
      <c r="Y123" s="11"/>
      <c r="Z123" s="11"/>
      <c r="AA123" s="11"/>
    </row>
    <row r="124" spans="1:27" ht="13.2" x14ac:dyDescent="0.25">
      <c r="A124" s="62"/>
      <c r="B124" s="62"/>
      <c r="M124" s="11"/>
      <c r="N124" s="11"/>
      <c r="O124" s="11"/>
      <c r="P124" s="11"/>
      <c r="Q124" s="11"/>
      <c r="R124" s="11"/>
      <c r="S124" s="11"/>
      <c r="T124" s="13"/>
      <c r="U124" s="13"/>
      <c r="V124" s="13"/>
      <c r="W124" s="13"/>
      <c r="X124" s="13"/>
      <c r="Y124" s="11"/>
      <c r="Z124" s="11"/>
      <c r="AA124" s="11"/>
    </row>
    <row r="125" spans="1:27" ht="13.2" x14ac:dyDescent="0.25">
      <c r="A125" s="62"/>
      <c r="B125" s="62"/>
      <c r="M125" s="11"/>
      <c r="N125" s="11"/>
      <c r="O125" s="11"/>
      <c r="P125" s="11"/>
      <c r="Q125" s="11"/>
      <c r="R125" s="11"/>
      <c r="S125" s="11"/>
      <c r="T125" s="13"/>
      <c r="U125" s="13"/>
      <c r="V125" s="13"/>
      <c r="W125" s="13"/>
      <c r="X125" s="13"/>
      <c r="Y125" s="11"/>
      <c r="Z125" s="11"/>
      <c r="AA125" s="11"/>
    </row>
    <row r="126" spans="1:27" ht="13.2" x14ac:dyDescent="0.25">
      <c r="A126" s="62"/>
      <c r="B126" s="62"/>
      <c r="M126" s="11"/>
      <c r="N126" s="11"/>
      <c r="O126" s="11"/>
      <c r="P126" s="11"/>
      <c r="Q126" s="11"/>
      <c r="R126" s="11"/>
      <c r="S126" s="11"/>
      <c r="T126" s="13"/>
      <c r="U126" s="13"/>
      <c r="V126" s="13"/>
      <c r="W126" s="13"/>
      <c r="X126" s="13"/>
      <c r="Y126" s="11"/>
      <c r="Z126" s="11"/>
      <c r="AA126" s="11"/>
    </row>
    <row r="127" spans="1:27" ht="13.2" x14ac:dyDescent="0.25">
      <c r="A127" s="62"/>
      <c r="B127" s="62"/>
      <c r="M127" s="11"/>
      <c r="N127" s="11"/>
      <c r="O127" s="11"/>
      <c r="P127" s="11"/>
      <c r="Q127" s="11"/>
      <c r="R127" s="11"/>
      <c r="S127" s="11"/>
      <c r="T127" s="13"/>
      <c r="U127" s="13"/>
      <c r="V127" s="13"/>
      <c r="W127" s="13"/>
      <c r="X127" s="13"/>
      <c r="Y127" s="11"/>
      <c r="Z127" s="11"/>
      <c r="AA127" s="11"/>
    </row>
    <row r="128" spans="1:27" ht="13.2" x14ac:dyDescent="0.25">
      <c r="A128" s="62"/>
      <c r="B128" s="62"/>
      <c r="M128" s="11"/>
      <c r="N128" s="11"/>
      <c r="O128" s="11"/>
      <c r="P128" s="11"/>
      <c r="Q128" s="11"/>
      <c r="R128" s="11"/>
      <c r="S128" s="11"/>
      <c r="T128" s="13"/>
      <c r="U128" s="13"/>
      <c r="V128" s="13"/>
      <c r="W128" s="13"/>
      <c r="X128" s="13"/>
      <c r="Y128" s="11"/>
      <c r="Z128" s="11"/>
      <c r="AA128" s="11"/>
    </row>
    <row r="129" spans="1:27" ht="13.2" x14ac:dyDescent="0.25">
      <c r="A129" s="62"/>
      <c r="B129" s="62"/>
      <c r="M129" s="11"/>
      <c r="N129" s="11"/>
      <c r="O129" s="11"/>
      <c r="P129" s="11"/>
      <c r="Q129" s="11"/>
      <c r="R129" s="11"/>
      <c r="S129" s="11"/>
      <c r="T129" s="13"/>
      <c r="U129" s="13"/>
      <c r="V129" s="13"/>
      <c r="W129" s="13"/>
      <c r="X129" s="13"/>
      <c r="Y129" s="11"/>
      <c r="Z129" s="11"/>
      <c r="AA129" s="11"/>
    </row>
    <row r="130" spans="1:27" ht="13.2" x14ac:dyDescent="0.25">
      <c r="A130" s="62"/>
      <c r="B130" s="62"/>
      <c r="M130" s="11"/>
      <c r="N130" s="11"/>
      <c r="O130" s="11"/>
      <c r="P130" s="11"/>
      <c r="Q130" s="11"/>
      <c r="R130" s="11"/>
      <c r="S130" s="11"/>
      <c r="T130" s="13"/>
      <c r="U130" s="13"/>
      <c r="V130" s="13"/>
      <c r="W130" s="13"/>
      <c r="X130" s="13"/>
      <c r="Y130" s="11"/>
      <c r="Z130" s="11"/>
      <c r="AA130" s="11"/>
    </row>
    <row r="131" spans="1:27" ht="13.2" x14ac:dyDescent="0.25">
      <c r="A131" s="62"/>
      <c r="B131" s="62"/>
      <c r="M131" s="11"/>
      <c r="N131" s="11"/>
      <c r="O131" s="11"/>
      <c r="P131" s="11"/>
      <c r="Q131" s="11"/>
      <c r="R131" s="11"/>
      <c r="S131" s="11"/>
      <c r="T131" s="13"/>
      <c r="U131" s="13"/>
      <c r="V131" s="13"/>
      <c r="W131" s="13"/>
      <c r="X131" s="13"/>
      <c r="Y131" s="11"/>
      <c r="Z131" s="11"/>
      <c r="AA131" s="11"/>
    </row>
    <row r="132" spans="1:27" ht="13.2" x14ac:dyDescent="0.25">
      <c r="A132" s="62"/>
      <c r="B132" s="62"/>
      <c r="M132" s="11"/>
      <c r="N132" s="11"/>
      <c r="O132" s="11"/>
      <c r="P132" s="11"/>
      <c r="Q132" s="11"/>
      <c r="R132" s="11"/>
      <c r="S132" s="11"/>
      <c r="T132" s="13"/>
      <c r="U132" s="13"/>
      <c r="V132" s="13"/>
      <c r="W132" s="13"/>
      <c r="X132" s="13"/>
      <c r="Y132" s="11"/>
      <c r="Z132" s="11"/>
      <c r="AA132" s="11"/>
    </row>
    <row r="133" spans="1:27" ht="13.2" x14ac:dyDescent="0.25">
      <c r="A133" s="62"/>
      <c r="B133" s="62"/>
      <c r="M133" s="11"/>
      <c r="N133" s="11"/>
      <c r="O133" s="11"/>
      <c r="P133" s="11"/>
      <c r="Q133" s="11"/>
      <c r="R133" s="11"/>
      <c r="S133" s="11"/>
      <c r="T133" s="13"/>
      <c r="U133" s="13"/>
      <c r="V133" s="13"/>
      <c r="W133" s="13"/>
      <c r="X133" s="13"/>
      <c r="Y133" s="11"/>
      <c r="Z133" s="11"/>
      <c r="AA133" s="11"/>
    </row>
    <row r="134" spans="1:27" ht="13.2" x14ac:dyDescent="0.25">
      <c r="A134" s="62"/>
      <c r="B134" s="62"/>
      <c r="M134" s="11"/>
      <c r="N134" s="11"/>
      <c r="O134" s="11"/>
      <c r="P134" s="11"/>
      <c r="Q134" s="11"/>
      <c r="R134" s="11"/>
      <c r="S134" s="11"/>
      <c r="T134" s="13"/>
      <c r="U134" s="13"/>
      <c r="V134" s="13"/>
      <c r="W134" s="13"/>
      <c r="X134" s="13"/>
      <c r="Y134" s="11"/>
      <c r="Z134" s="11"/>
      <c r="AA134" s="11"/>
    </row>
    <row r="135" spans="1:27" ht="13.2" x14ac:dyDescent="0.25">
      <c r="A135" s="62"/>
      <c r="B135" s="62"/>
      <c r="M135" s="11"/>
      <c r="N135" s="11"/>
      <c r="O135" s="11"/>
      <c r="P135" s="11"/>
      <c r="Q135" s="11"/>
      <c r="R135" s="11"/>
      <c r="S135" s="11"/>
      <c r="T135" s="13"/>
      <c r="U135" s="13"/>
      <c r="V135" s="13"/>
      <c r="W135" s="13"/>
      <c r="X135" s="13"/>
      <c r="Y135" s="11"/>
      <c r="Z135" s="11"/>
      <c r="AA135" s="11"/>
    </row>
    <row r="136" spans="1:27" ht="13.2" x14ac:dyDescent="0.25">
      <c r="A136" s="62"/>
      <c r="B136" s="62"/>
      <c r="M136" s="11"/>
      <c r="N136" s="11"/>
      <c r="O136" s="11"/>
      <c r="P136" s="11"/>
      <c r="Q136" s="11"/>
      <c r="R136" s="11"/>
      <c r="S136" s="11"/>
      <c r="T136" s="13"/>
      <c r="U136" s="13"/>
      <c r="V136" s="13"/>
      <c r="W136" s="13"/>
      <c r="X136" s="13"/>
      <c r="Y136" s="11"/>
      <c r="Z136" s="11"/>
      <c r="AA136" s="11"/>
    </row>
    <row r="137" spans="1:27" ht="13.2" x14ac:dyDescent="0.25">
      <c r="A137" s="62"/>
      <c r="B137" s="62"/>
      <c r="M137" s="11"/>
      <c r="N137" s="11"/>
      <c r="O137" s="11"/>
      <c r="P137" s="11"/>
      <c r="Q137" s="11"/>
      <c r="R137" s="11"/>
      <c r="S137" s="11"/>
      <c r="T137" s="13"/>
      <c r="U137" s="13"/>
      <c r="V137" s="13"/>
      <c r="W137" s="13"/>
      <c r="X137" s="13"/>
      <c r="Y137" s="11"/>
      <c r="Z137" s="11"/>
      <c r="AA137" s="11"/>
    </row>
    <row r="138" spans="1:27" ht="13.2" x14ac:dyDescent="0.25">
      <c r="A138" s="62"/>
      <c r="B138" s="62"/>
      <c r="M138" s="11"/>
      <c r="N138" s="11"/>
      <c r="O138" s="11"/>
      <c r="P138" s="11"/>
      <c r="Q138" s="11"/>
      <c r="R138" s="11"/>
      <c r="S138" s="11"/>
      <c r="T138" s="13"/>
      <c r="U138" s="13"/>
      <c r="V138" s="13"/>
      <c r="W138" s="13"/>
      <c r="X138" s="13"/>
      <c r="Y138" s="11"/>
      <c r="Z138" s="11"/>
      <c r="AA138" s="11"/>
    </row>
    <row r="139" spans="1:27" ht="13.2" x14ac:dyDescent="0.25">
      <c r="A139" s="62"/>
      <c r="B139" s="62"/>
      <c r="M139" s="11"/>
      <c r="N139" s="11"/>
      <c r="O139" s="11"/>
      <c r="P139" s="11"/>
      <c r="Q139" s="11"/>
      <c r="R139" s="11"/>
      <c r="S139" s="11"/>
      <c r="T139" s="13"/>
      <c r="U139" s="13"/>
      <c r="V139" s="13"/>
      <c r="W139" s="13"/>
      <c r="X139" s="13"/>
      <c r="Y139" s="11"/>
      <c r="Z139" s="11"/>
      <c r="AA139" s="11"/>
    </row>
    <row r="140" spans="1:27" ht="13.2" x14ac:dyDescent="0.25">
      <c r="A140" s="62"/>
      <c r="B140" s="62"/>
      <c r="M140" s="11"/>
      <c r="N140" s="11"/>
      <c r="O140" s="11"/>
      <c r="P140" s="11"/>
      <c r="Q140" s="11"/>
      <c r="R140" s="11"/>
      <c r="S140" s="11"/>
      <c r="T140" s="13"/>
      <c r="U140" s="13"/>
      <c r="V140" s="13"/>
      <c r="W140" s="13"/>
      <c r="X140" s="13"/>
      <c r="Y140" s="11"/>
      <c r="Z140" s="11"/>
      <c r="AA140" s="11"/>
    </row>
    <row r="141" spans="1:27" ht="13.2" x14ac:dyDescent="0.25">
      <c r="A141" s="62"/>
      <c r="B141" s="62"/>
      <c r="M141" s="11"/>
      <c r="N141" s="11"/>
      <c r="O141" s="11"/>
      <c r="P141" s="11"/>
      <c r="Q141" s="11"/>
      <c r="R141" s="11"/>
      <c r="S141" s="11"/>
      <c r="T141" s="13"/>
      <c r="U141" s="13"/>
      <c r="V141" s="13"/>
      <c r="W141" s="13"/>
      <c r="X141" s="13"/>
      <c r="Y141" s="11"/>
      <c r="Z141" s="11"/>
      <c r="AA141" s="11"/>
    </row>
    <row r="142" spans="1:27" ht="13.2" x14ac:dyDescent="0.25">
      <c r="A142" s="62"/>
      <c r="B142" s="62"/>
      <c r="M142" s="11"/>
      <c r="N142" s="11"/>
      <c r="O142" s="11"/>
      <c r="P142" s="11"/>
      <c r="Q142" s="11"/>
      <c r="R142" s="11"/>
      <c r="S142" s="11"/>
      <c r="T142" s="13"/>
      <c r="U142" s="13"/>
      <c r="V142" s="13"/>
      <c r="W142" s="13"/>
      <c r="X142" s="13"/>
      <c r="Y142" s="11"/>
      <c r="Z142" s="13"/>
      <c r="AA142" s="11"/>
    </row>
    <row r="143" spans="1:27" ht="13.2" x14ac:dyDescent="0.25">
      <c r="A143" s="62"/>
      <c r="B143" s="62"/>
      <c r="M143" s="11"/>
      <c r="N143" s="11"/>
      <c r="O143" s="11"/>
      <c r="P143" s="11"/>
      <c r="Q143" s="11"/>
      <c r="R143" s="11"/>
      <c r="S143" s="11"/>
      <c r="T143" s="13"/>
      <c r="U143" s="13"/>
      <c r="V143" s="13"/>
      <c r="W143" s="13"/>
      <c r="X143" s="13"/>
      <c r="Y143" s="11"/>
      <c r="Z143" s="11"/>
      <c r="AA143" s="11"/>
    </row>
    <row r="144" spans="1:27" ht="13.2" x14ac:dyDescent="0.25">
      <c r="A144" s="62"/>
      <c r="B144" s="62"/>
      <c r="M144" s="11"/>
      <c r="N144" s="11"/>
      <c r="O144" s="11"/>
      <c r="P144" s="11"/>
      <c r="Q144" s="11"/>
      <c r="R144" s="11"/>
      <c r="S144" s="11"/>
      <c r="T144" s="13"/>
      <c r="U144" s="13"/>
      <c r="V144" s="13"/>
      <c r="W144" s="13"/>
      <c r="X144" s="13"/>
      <c r="Y144" s="11"/>
      <c r="Z144" s="11"/>
      <c r="AA144" s="11"/>
    </row>
    <row r="145" spans="1:27" ht="13.2" x14ac:dyDescent="0.25">
      <c r="A145" s="62"/>
      <c r="B145" s="62"/>
      <c r="M145" s="11"/>
      <c r="N145" s="11"/>
      <c r="O145" s="11"/>
      <c r="P145" s="11"/>
      <c r="Q145" s="11"/>
      <c r="R145" s="11"/>
      <c r="S145" s="11"/>
      <c r="T145" s="13"/>
      <c r="U145" s="13"/>
      <c r="V145" s="13"/>
      <c r="W145" s="13"/>
      <c r="X145" s="13"/>
      <c r="Y145" s="11"/>
      <c r="Z145" s="11"/>
      <c r="AA145" s="11"/>
    </row>
    <row r="146" spans="1:27" ht="13.2" x14ac:dyDescent="0.25">
      <c r="A146" s="62"/>
      <c r="B146" s="62"/>
      <c r="M146" s="11"/>
      <c r="N146" s="11"/>
      <c r="O146" s="11"/>
      <c r="P146" s="11"/>
      <c r="Q146" s="11"/>
      <c r="R146" s="11"/>
      <c r="S146" s="11"/>
      <c r="T146" s="13"/>
      <c r="U146" s="13"/>
      <c r="V146" s="13"/>
      <c r="W146" s="13"/>
      <c r="X146" s="13"/>
      <c r="Y146" s="11"/>
      <c r="Z146" s="11"/>
      <c r="AA146" s="11"/>
    </row>
    <row r="147" spans="1:27" ht="13.2" x14ac:dyDescent="0.25">
      <c r="A147" s="62"/>
      <c r="B147" s="62"/>
      <c r="M147" s="11"/>
      <c r="N147" s="11"/>
      <c r="O147" s="11"/>
      <c r="P147" s="11"/>
      <c r="Q147" s="11"/>
      <c r="R147" s="11"/>
      <c r="S147" s="11"/>
      <c r="T147" s="13"/>
      <c r="U147" s="13"/>
      <c r="V147" s="13"/>
      <c r="W147" s="13"/>
      <c r="X147" s="13"/>
      <c r="Y147" s="11"/>
      <c r="Z147" s="11"/>
      <c r="AA147" s="11"/>
    </row>
    <row r="148" spans="1:27" ht="13.2" x14ac:dyDescent="0.25">
      <c r="A148" s="62"/>
      <c r="B148" s="62"/>
      <c r="M148" s="11"/>
      <c r="N148" s="11"/>
      <c r="O148" s="11"/>
      <c r="P148" s="11"/>
      <c r="Q148" s="11"/>
      <c r="R148" s="11"/>
      <c r="S148" s="11"/>
      <c r="T148" s="13"/>
      <c r="U148" s="13"/>
      <c r="V148" s="13"/>
      <c r="W148" s="13"/>
      <c r="X148" s="13"/>
      <c r="Y148" s="11"/>
      <c r="Z148" s="11"/>
      <c r="AA148" s="11"/>
    </row>
    <row r="149" spans="1:27" ht="13.2" x14ac:dyDescent="0.25">
      <c r="A149" s="62"/>
      <c r="B149" s="62"/>
      <c r="M149" s="11"/>
      <c r="N149" s="11"/>
      <c r="O149" s="11"/>
      <c r="P149" s="11"/>
      <c r="Q149" s="11"/>
      <c r="R149" s="11"/>
      <c r="S149" s="11"/>
      <c r="T149" s="13"/>
      <c r="U149" s="13"/>
      <c r="V149" s="13"/>
      <c r="W149" s="13"/>
      <c r="X149" s="13"/>
      <c r="Y149" s="11"/>
      <c r="Z149" s="11"/>
      <c r="AA149" s="11"/>
    </row>
    <row r="150" spans="1:27" ht="13.2" x14ac:dyDescent="0.25">
      <c r="A150" s="62"/>
      <c r="B150" s="62"/>
      <c r="M150" s="11"/>
      <c r="N150" s="11"/>
      <c r="O150" s="11"/>
      <c r="P150" s="11"/>
      <c r="Q150" s="11"/>
      <c r="R150" s="11"/>
      <c r="S150" s="11"/>
      <c r="T150" s="13"/>
      <c r="U150" s="13"/>
      <c r="V150" s="13"/>
      <c r="W150" s="13"/>
      <c r="X150" s="13"/>
      <c r="Y150" s="11"/>
      <c r="Z150" s="11"/>
      <c r="AA150" s="11"/>
    </row>
    <row r="151" spans="1:27" ht="13.2" x14ac:dyDescent="0.25">
      <c r="A151" s="62"/>
      <c r="B151" s="62"/>
      <c r="M151" s="11"/>
      <c r="N151" s="11"/>
      <c r="O151" s="11"/>
      <c r="P151" s="11"/>
      <c r="Q151" s="11"/>
      <c r="R151" s="11"/>
      <c r="S151" s="11"/>
      <c r="T151" s="13"/>
      <c r="U151" s="13"/>
      <c r="V151" s="13"/>
      <c r="W151" s="13"/>
      <c r="X151" s="13"/>
      <c r="Y151" s="11"/>
      <c r="Z151" s="11"/>
      <c r="AA151" s="11"/>
    </row>
    <row r="152" spans="1:27" ht="13.2" x14ac:dyDescent="0.25">
      <c r="A152" s="62"/>
      <c r="B152" s="62"/>
      <c r="M152" s="11"/>
      <c r="N152" s="11"/>
      <c r="O152" s="11"/>
      <c r="P152" s="11"/>
      <c r="Q152" s="11"/>
      <c r="R152" s="11"/>
      <c r="S152" s="11"/>
      <c r="T152" s="13"/>
      <c r="U152" s="13"/>
      <c r="V152" s="13"/>
      <c r="W152" s="13"/>
      <c r="X152" s="13"/>
      <c r="Y152" s="11"/>
      <c r="Z152" s="11"/>
      <c r="AA152" s="11"/>
    </row>
    <row r="153" spans="1:27" ht="13.2" x14ac:dyDescent="0.25">
      <c r="A153" s="62"/>
      <c r="B153" s="62"/>
      <c r="M153" s="11"/>
      <c r="N153" s="11"/>
      <c r="O153" s="11"/>
      <c r="P153" s="11"/>
      <c r="Q153" s="11"/>
      <c r="R153" s="11"/>
      <c r="S153" s="11"/>
      <c r="T153" s="13"/>
      <c r="U153" s="13"/>
      <c r="V153" s="13"/>
      <c r="W153" s="13"/>
      <c r="X153" s="13"/>
      <c r="Y153" s="11"/>
      <c r="Z153" s="11"/>
      <c r="AA153" s="11"/>
    </row>
    <row r="154" spans="1:27" ht="13.2" x14ac:dyDescent="0.25">
      <c r="A154" s="62"/>
      <c r="B154" s="62"/>
      <c r="M154" s="11"/>
      <c r="N154" s="11"/>
      <c r="O154" s="11"/>
      <c r="P154" s="11"/>
      <c r="Q154" s="11"/>
      <c r="R154" s="11"/>
      <c r="S154" s="11"/>
      <c r="T154" s="13"/>
      <c r="U154" s="13"/>
      <c r="V154" s="13"/>
      <c r="W154" s="13"/>
      <c r="X154" s="13"/>
      <c r="Y154" s="11"/>
      <c r="Z154" s="11"/>
      <c r="AA154" s="11"/>
    </row>
    <row r="155" spans="1:27" ht="13.2" x14ac:dyDescent="0.25">
      <c r="A155" s="62"/>
      <c r="B155" s="62"/>
      <c r="M155" s="11"/>
      <c r="N155" s="11"/>
      <c r="O155" s="11"/>
      <c r="P155" s="11"/>
      <c r="Q155" s="11"/>
      <c r="R155" s="11"/>
      <c r="S155" s="11"/>
      <c r="T155" s="13"/>
      <c r="U155" s="13"/>
      <c r="V155" s="13"/>
      <c r="W155" s="13"/>
      <c r="X155" s="13"/>
      <c r="Y155" s="11"/>
      <c r="Z155" s="13"/>
      <c r="AA155" s="11"/>
    </row>
    <row r="156" spans="1:27" ht="13.2" x14ac:dyDescent="0.25">
      <c r="A156" s="62"/>
      <c r="B156" s="62"/>
      <c r="M156" s="11"/>
      <c r="N156" s="11"/>
      <c r="O156" s="11"/>
      <c r="P156" s="11"/>
      <c r="Q156" s="11"/>
      <c r="R156" s="11"/>
      <c r="S156" s="11"/>
      <c r="T156" s="13"/>
      <c r="U156" s="13"/>
      <c r="V156" s="13"/>
      <c r="W156" s="13"/>
      <c r="X156" s="13"/>
      <c r="Y156" s="11"/>
      <c r="Z156" s="11"/>
      <c r="AA156" s="11"/>
    </row>
    <row r="157" spans="1:27" ht="13.2" x14ac:dyDescent="0.25">
      <c r="A157" s="62"/>
      <c r="B157" s="62"/>
      <c r="M157" s="11"/>
      <c r="N157" s="11"/>
      <c r="O157" s="11"/>
      <c r="P157" s="11"/>
      <c r="Q157" s="11"/>
      <c r="R157" s="11"/>
      <c r="S157" s="11"/>
      <c r="T157" s="13"/>
      <c r="U157" s="13"/>
      <c r="V157" s="13"/>
      <c r="W157" s="13"/>
      <c r="X157" s="13"/>
      <c r="Y157" s="11"/>
      <c r="Z157" s="11"/>
      <c r="AA157" s="11"/>
    </row>
    <row r="158" spans="1:27" ht="13.2" x14ac:dyDescent="0.25">
      <c r="A158" s="62"/>
      <c r="B158" s="62"/>
      <c r="M158" s="11"/>
      <c r="N158" s="11"/>
      <c r="O158" s="11"/>
      <c r="P158" s="11"/>
      <c r="Q158" s="11"/>
      <c r="R158" s="11"/>
      <c r="S158" s="11"/>
      <c r="T158" s="13"/>
      <c r="U158" s="13"/>
      <c r="V158" s="13"/>
      <c r="W158" s="13"/>
      <c r="X158" s="13"/>
      <c r="Y158" s="11"/>
      <c r="Z158" s="11"/>
      <c r="AA158" s="11"/>
    </row>
    <row r="159" spans="1:27" ht="13.2" x14ac:dyDescent="0.25">
      <c r="A159" s="62"/>
      <c r="B159" s="62"/>
      <c r="M159" s="11"/>
      <c r="N159" s="11"/>
      <c r="O159" s="11"/>
      <c r="P159" s="11"/>
      <c r="Q159" s="11"/>
      <c r="R159" s="11"/>
      <c r="S159" s="11"/>
      <c r="T159" s="13"/>
      <c r="U159" s="13"/>
      <c r="V159" s="13"/>
      <c r="W159" s="13"/>
      <c r="X159" s="13"/>
      <c r="Y159" s="11"/>
      <c r="Z159" s="11"/>
      <c r="AA159" s="11"/>
    </row>
    <row r="160" spans="1:27" ht="13.2" x14ac:dyDescent="0.25">
      <c r="A160" s="62"/>
      <c r="B160" s="62"/>
      <c r="M160" s="11"/>
      <c r="N160" s="11"/>
      <c r="O160" s="11"/>
      <c r="P160" s="11"/>
      <c r="Q160" s="11"/>
      <c r="R160" s="11"/>
      <c r="S160" s="11"/>
      <c r="T160" s="13"/>
      <c r="U160" s="13"/>
      <c r="V160" s="13"/>
      <c r="W160" s="13"/>
      <c r="X160" s="13"/>
      <c r="Y160" s="11"/>
      <c r="Z160" s="11"/>
      <c r="AA160" s="11"/>
    </row>
    <row r="161" spans="1:27" ht="13.2" x14ac:dyDescent="0.25">
      <c r="A161" s="62"/>
      <c r="B161" s="62"/>
      <c r="M161" s="11"/>
      <c r="N161" s="11"/>
      <c r="O161" s="11"/>
      <c r="P161" s="11"/>
      <c r="Q161" s="11"/>
      <c r="R161" s="11"/>
      <c r="S161" s="11"/>
      <c r="T161" s="13"/>
      <c r="U161" s="13"/>
      <c r="V161" s="13"/>
      <c r="W161" s="13"/>
      <c r="X161" s="13"/>
      <c r="Y161" s="11"/>
      <c r="Z161" s="11"/>
      <c r="AA161" s="11"/>
    </row>
    <row r="162" spans="1:27" ht="13.2" x14ac:dyDescent="0.25">
      <c r="A162" s="62"/>
      <c r="B162" s="62"/>
      <c r="M162" s="11"/>
      <c r="N162" s="11"/>
      <c r="O162" s="11"/>
      <c r="P162" s="11"/>
      <c r="Q162" s="11"/>
      <c r="R162" s="11"/>
      <c r="S162" s="11"/>
      <c r="T162" s="13"/>
      <c r="U162" s="13"/>
      <c r="V162" s="13"/>
      <c r="W162" s="13"/>
      <c r="X162" s="13"/>
      <c r="Y162" s="11"/>
      <c r="Z162" s="11"/>
      <c r="AA162" s="11"/>
    </row>
    <row r="163" spans="1:27" ht="13.2" x14ac:dyDescent="0.25">
      <c r="A163" s="62"/>
      <c r="B163" s="62"/>
      <c r="M163" s="11"/>
      <c r="N163" s="11"/>
      <c r="O163" s="11"/>
      <c r="P163" s="11"/>
      <c r="Q163" s="11"/>
      <c r="R163" s="11"/>
      <c r="S163" s="11"/>
      <c r="T163" s="13"/>
      <c r="U163" s="13"/>
      <c r="V163" s="13"/>
      <c r="W163" s="13"/>
      <c r="X163" s="13"/>
      <c r="Y163" s="11"/>
      <c r="Z163" s="11"/>
      <c r="AA163" s="11"/>
    </row>
    <row r="164" spans="1:27" ht="13.2" x14ac:dyDescent="0.25">
      <c r="A164" s="62"/>
      <c r="B164" s="62"/>
      <c r="M164" s="11"/>
      <c r="N164" s="11"/>
      <c r="O164" s="11"/>
      <c r="P164" s="11"/>
      <c r="Q164" s="11"/>
      <c r="R164" s="11"/>
      <c r="S164" s="11"/>
      <c r="T164" s="13"/>
      <c r="U164" s="13"/>
      <c r="V164" s="13"/>
      <c r="W164" s="13"/>
      <c r="X164" s="13"/>
      <c r="Y164" s="11"/>
      <c r="Z164" s="11"/>
      <c r="AA164" s="11"/>
    </row>
    <row r="165" spans="1:27" ht="13.2" x14ac:dyDescent="0.25">
      <c r="A165" s="62"/>
      <c r="B165" s="62"/>
      <c r="M165" s="11"/>
      <c r="N165" s="11"/>
      <c r="O165" s="11"/>
      <c r="P165" s="11"/>
      <c r="Q165" s="11"/>
      <c r="R165" s="11"/>
      <c r="S165" s="11"/>
      <c r="T165" s="13"/>
      <c r="U165" s="13"/>
      <c r="V165" s="13"/>
      <c r="W165" s="13"/>
      <c r="X165" s="13"/>
      <c r="Y165" s="11"/>
      <c r="Z165" s="11"/>
      <c r="AA165" s="11"/>
    </row>
    <row r="166" spans="1:27" ht="13.2" x14ac:dyDescent="0.25">
      <c r="A166" s="62"/>
      <c r="B166" s="62"/>
      <c r="M166" s="11"/>
      <c r="N166" s="11"/>
      <c r="O166" s="11"/>
      <c r="P166" s="11"/>
      <c r="Q166" s="11"/>
      <c r="R166" s="11"/>
      <c r="S166" s="11"/>
      <c r="T166" s="13"/>
      <c r="U166" s="13"/>
      <c r="V166" s="13"/>
      <c r="W166" s="13"/>
      <c r="X166" s="13"/>
      <c r="Y166" s="11"/>
      <c r="Z166" s="11"/>
      <c r="AA166" s="11"/>
    </row>
    <row r="167" spans="1:27" ht="13.2" x14ac:dyDescent="0.25">
      <c r="A167" s="62"/>
      <c r="B167" s="62"/>
      <c r="M167" s="11"/>
      <c r="N167" s="11"/>
      <c r="O167" s="11"/>
      <c r="P167" s="11"/>
      <c r="Q167" s="11"/>
      <c r="R167" s="11"/>
      <c r="S167" s="11"/>
      <c r="T167" s="13"/>
      <c r="U167" s="13"/>
      <c r="V167" s="13"/>
      <c r="W167" s="13"/>
      <c r="X167" s="13"/>
      <c r="Y167" s="11"/>
      <c r="Z167" s="11"/>
      <c r="AA167" s="11"/>
    </row>
    <row r="168" spans="1:27" ht="13.2" x14ac:dyDescent="0.25">
      <c r="A168" s="62"/>
      <c r="B168" s="62"/>
      <c r="M168" s="11"/>
      <c r="N168" s="11"/>
      <c r="O168" s="11"/>
      <c r="P168" s="11"/>
      <c r="Q168" s="11"/>
      <c r="R168" s="11"/>
      <c r="S168" s="11"/>
      <c r="T168" s="13"/>
      <c r="U168" s="13"/>
      <c r="V168" s="13"/>
      <c r="W168" s="13"/>
      <c r="X168" s="13"/>
      <c r="Y168" s="11"/>
      <c r="Z168" s="11"/>
      <c r="AA168" s="11"/>
    </row>
    <row r="169" spans="1:27" ht="13.2" x14ac:dyDescent="0.25">
      <c r="A169" s="62"/>
      <c r="B169" s="62"/>
      <c r="M169" s="11"/>
      <c r="N169" s="11"/>
      <c r="O169" s="11"/>
      <c r="P169" s="11"/>
      <c r="Q169" s="11"/>
      <c r="R169" s="11"/>
      <c r="S169" s="11"/>
      <c r="T169" s="13"/>
      <c r="U169" s="13"/>
      <c r="V169" s="13"/>
      <c r="W169" s="13"/>
      <c r="X169" s="13"/>
      <c r="Y169" s="11"/>
      <c r="Z169" s="11"/>
      <c r="AA169" s="11"/>
    </row>
    <row r="170" spans="1:27" ht="13.2" x14ac:dyDescent="0.25">
      <c r="A170" s="62"/>
      <c r="B170" s="62"/>
      <c r="M170" s="11"/>
      <c r="N170" s="11"/>
      <c r="O170" s="11"/>
      <c r="P170" s="11"/>
      <c r="Q170" s="11"/>
      <c r="R170" s="11"/>
      <c r="S170" s="11"/>
      <c r="T170" s="13"/>
      <c r="U170" s="13"/>
      <c r="V170" s="13"/>
      <c r="W170" s="13"/>
      <c r="X170" s="13"/>
      <c r="Y170" s="11"/>
      <c r="Z170" s="11"/>
      <c r="AA170" s="11"/>
    </row>
    <row r="171" spans="1:27" ht="13.2" x14ac:dyDescent="0.25">
      <c r="A171" s="62"/>
      <c r="B171" s="62"/>
      <c r="M171" s="11"/>
      <c r="N171" s="11"/>
      <c r="O171" s="11"/>
      <c r="P171" s="11"/>
      <c r="Q171" s="11"/>
      <c r="R171" s="11"/>
      <c r="S171" s="11"/>
      <c r="T171" s="13"/>
      <c r="U171" s="13"/>
      <c r="V171" s="13"/>
      <c r="W171" s="13"/>
      <c r="X171" s="13"/>
      <c r="Y171" s="11"/>
      <c r="Z171" s="11"/>
      <c r="AA171" s="11"/>
    </row>
    <row r="172" spans="1:27" ht="13.2" x14ac:dyDescent="0.25">
      <c r="A172" s="62"/>
      <c r="B172" s="62"/>
      <c r="M172" s="11"/>
      <c r="N172" s="11"/>
      <c r="O172" s="11"/>
      <c r="P172" s="11"/>
      <c r="Q172" s="11"/>
      <c r="R172" s="11"/>
      <c r="S172" s="11"/>
      <c r="T172" s="13"/>
      <c r="U172" s="13"/>
      <c r="V172" s="13"/>
      <c r="W172" s="13"/>
      <c r="X172" s="13"/>
      <c r="Y172" s="11"/>
      <c r="Z172" s="11"/>
      <c r="AA172" s="11"/>
    </row>
    <row r="173" spans="1:27" ht="13.2" x14ac:dyDescent="0.25">
      <c r="A173" s="62"/>
      <c r="B173" s="62"/>
      <c r="M173" s="11"/>
      <c r="N173" s="11"/>
      <c r="O173" s="11"/>
      <c r="P173" s="11"/>
      <c r="Q173" s="11"/>
      <c r="R173" s="11"/>
      <c r="S173" s="11"/>
      <c r="T173" s="13"/>
      <c r="U173" s="13"/>
      <c r="V173" s="13"/>
      <c r="W173" s="13"/>
      <c r="X173" s="13"/>
      <c r="Y173" s="11"/>
      <c r="Z173" s="11"/>
      <c r="AA173" s="11"/>
    </row>
    <row r="174" spans="1:27" ht="13.2" x14ac:dyDescent="0.25">
      <c r="A174" s="62"/>
      <c r="B174" s="62"/>
      <c r="M174" s="11"/>
      <c r="N174" s="11"/>
      <c r="O174" s="11"/>
      <c r="P174" s="11"/>
      <c r="Q174" s="11"/>
      <c r="R174" s="11"/>
      <c r="S174" s="11"/>
      <c r="T174" s="13"/>
      <c r="U174" s="13"/>
      <c r="V174" s="13"/>
      <c r="W174" s="13"/>
      <c r="X174" s="13"/>
      <c r="Y174" s="11"/>
      <c r="Z174" s="11"/>
      <c r="AA174" s="11"/>
    </row>
    <row r="175" spans="1:27" ht="13.2" x14ac:dyDescent="0.25">
      <c r="A175" s="62"/>
      <c r="B175" s="62"/>
      <c r="M175" s="11"/>
      <c r="N175" s="11"/>
      <c r="O175" s="11"/>
      <c r="P175" s="11"/>
      <c r="Q175" s="11"/>
      <c r="R175" s="11"/>
      <c r="S175" s="11"/>
      <c r="T175" s="13"/>
      <c r="U175" s="13"/>
      <c r="V175" s="13"/>
      <c r="W175" s="13"/>
      <c r="X175" s="13"/>
      <c r="Y175" s="11"/>
      <c r="Z175" s="11"/>
      <c r="AA175" s="11"/>
    </row>
    <row r="176" spans="1:27" ht="13.2" x14ac:dyDescent="0.25">
      <c r="A176" s="62"/>
      <c r="B176" s="62"/>
      <c r="M176" s="11"/>
      <c r="N176" s="11"/>
      <c r="O176" s="11"/>
      <c r="P176" s="11"/>
      <c r="Q176" s="11"/>
      <c r="R176" s="11"/>
      <c r="S176" s="11"/>
      <c r="T176" s="13"/>
      <c r="U176" s="13"/>
      <c r="V176" s="13"/>
      <c r="W176" s="13"/>
      <c r="X176" s="13"/>
      <c r="Y176" s="11"/>
      <c r="Z176" s="11"/>
      <c r="AA176" s="11"/>
    </row>
    <row r="177" spans="1:27" ht="13.2" x14ac:dyDescent="0.25">
      <c r="A177" s="62"/>
      <c r="B177" s="62"/>
      <c r="M177" s="11"/>
      <c r="N177" s="11"/>
      <c r="O177" s="11"/>
      <c r="P177" s="11"/>
      <c r="Q177" s="11"/>
      <c r="R177" s="11"/>
      <c r="S177" s="11"/>
      <c r="T177" s="13"/>
      <c r="U177" s="13"/>
      <c r="V177" s="13"/>
      <c r="W177" s="13"/>
      <c r="X177" s="13"/>
      <c r="Y177" s="11"/>
      <c r="Z177" s="11"/>
      <c r="AA177" s="11"/>
    </row>
    <row r="178" spans="1:27" ht="13.2" x14ac:dyDescent="0.25">
      <c r="A178" s="62"/>
      <c r="B178" s="62"/>
      <c r="M178" s="11"/>
      <c r="N178" s="11"/>
      <c r="O178" s="11"/>
      <c r="P178" s="11"/>
      <c r="Q178" s="11"/>
      <c r="R178" s="11"/>
      <c r="S178" s="11"/>
      <c r="T178" s="13"/>
      <c r="U178" s="13"/>
      <c r="V178" s="13"/>
      <c r="W178" s="13"/>
      <c r="X178" s="13"/>
      <c r="Y178" s="11"/>
      <c r="Z178" s="11"/>
      <c r="AA178" s="11"/>
    </row>
    <row r="179" spans="1:27" ht="13.2" x14ac:dyDescent="0.25">
      <c r="A179" s="62"/>
      <c r="B179" s="62"/>
      <c r="M179" s="11"/>
      <c r="N179" s="11"/>
      <c r="O179" s="11"/>
      <c r="P179" s="11"/>
      <c r="Q179" s="11"/>
      <c r="R179" s="11"/>
      <c r="S179" s="11"/>
      <c r="T179" s="13"/>
      <c r="U179" s="13"/>
      <c r="V179" s="13"/>
      <c r="W179" s="13"/>
      <c r="X179" s="13"/>
      <c r="Y179" s="11"/>
      <c r="Z179" s="11"/>
      <c r="AA179" s="11"/>
    </row>
    <row r="180" spans="1:27" ht="13.2" x14ac:dyDescent="0.25">
      <c r="A180" s="62"/>
      <c r="B180" s="62"/>
      <c r="M180" s="11"/>
      <c r="N180" s="11"/>
      <c r="O180" s="11"/>
      <c r="P180" s="11"/>
      <c r="Q180" s="11"/>
      <c r="R180" s="11"/>
      <c r="S180" s="11"/>
      <c r="T180" s="13"/>
      <c r="U180" s="13"/>
      <c r="V180" s="13"/>
      <c r="W180" s="13"/>
      <c r="X180" s="13"/>
      <c r="Y180" s="11"/>
      <c r="Z180" s="11"/>
      <c r="AA180" s="11"/>
    </row>
    <row r="181" spans="1:27" ht="13.2" x14ac:dyDescent="0.25">
      <c r="A181" s="62"/>
      <c r="B181" s="62"/>
      <c r="M181" s="11"/>
      <c r="N181" s="11"/>
      <c r="O181" s="11"/>
      <c r="P181" s="11"/>
      <c r="Q181" s="11"/>
      <c r="R181" s="11"/>
      <c r="S181" s="11"/>
      <c r="T181" s="13"/>
      <c r="U181" s="13"/>
      <c r="V181" s="11"/>
      <c r="W181" s="11"/>
      <c r="X181" s="13"/>
      <c r="Y181" s="11"/>
      <c r="Z181" s="11"/>
      <c r="AA181" s="11"/>
    </row>
    <row r="182" spans="1:27" ht="13.2" x14ac:dyDescent="0.25">
      <c r="A182" s="62"/>
      <c r="B182" s="62"/>
      <c r="M182" s="11"/>
      <c r="N182" s="11"/>
      <c r="O182" s="11"/>
      <c r="P182" s="11"/>
      <c r="Q182" s="11"/>
      <c r="R182" s="11"/>
      <c r="S182" s="11"/>
      <c r="T182" s="13"/>
      <c r="U182" s="13"/>
      <c r="V182" s="13"/>
      <c r="W182" s="13"/>
      <c r="X182" s="13"/>
      <c r="Y182" s="11"/>
      <c r="Z182" s="11"/>
      <c r="AA182" s="11"/>
    </row>
    <row r="183" spans="1:27" ht="13.2" x14ac:dyDescent="0.25">
      <c r="A183" s="62"/>
      <c r="B183" s="62"/>
      <c r="M183" s="11"/>
      <c r="N183" s="11"/>
      <c r="O183" s="11"/>
      <c r="P183" s="11"/>
      <c r="Q183" s="11"/>
      <c r="R183" s="11"/>
      <c r="S183" s="11"/>
      <c r="T183" s="13"/>
      <c r="U183" s="13"/>
      <c r="V183" s="13"/>
      <c r="W183" s="13"/>
      <c r="X183" s="13"/>
      <c r="Y183" s="11"/>
      <c r="Z183" s="11"/>
      <c r="AA183" s="11"/>
    </row>
    <row r="184" spans="1:27" ht="13.2" x14ac:dyDescent="0.25">
      <c r="A184" s="62"/>
      <c r="B184" s="62"/>
      <c r="M184" s="11"/>
      <c r="N184" s="11"/>
      <c r="O184" s="11"/>
      <c r="P184" s="11"/>
      <c r="Q184" s="11"/>
      <c r="R184" s="11"/>
      <c r="S184" s="11"/>
      <c r="T184" s="13"/>
      <c r="U184" s="13"/>
      <c r="V184" s="13"/>
      <c r="W184" s="13"/>
      <c r="X184" s="13"/>
      <c r="Y184" s="11"/>
      <c r="Z184" s="11"/>
      <c r="AA184" s="11"/>
    </row>
    <row r="185" spans="1:27" ht="13.2" x14ac:dyDescent="0.25">
      <c r="A185" s="62"/>
      <c r="B185" s="62"/>
      <c r="M185" s="11"/>
      <c r="N185" s="11"/>
      <c r="O185" s="11"/>
      <c r="P185" s="11"/>
      <c r="Q185" s="11"/>
      <c r="R185" s="11"/>
      <c r="S185" s="11"/>
      <c r="T185" s="13"/>
      <c r="U185" s="13"/>
      <c r="V185" s="13"/>
      <c r="W185" s="13"/>
      <c r="X185" s="13"/>
      <c r="Y185" s="11"/>
      <c r="Z185" s="11"/>
      <c r="AA185" s="11"/>
    </row>
    <row r="186" spans="1:27" ht="13.2" x14ac:dyDescent="0.25">
      <c r="A186" s="62"/>
      <c r="B186" s="62"/>
      <c r="M186" s="11"/>
      <c r="N186" s="11"/>
      <c r="O186" s="11"/>
      <c r="P186" s="11"/>
      <c r="Q186" s="11"/>
      <c r="R186" s="11"/>
      <c r="S186" s="11"/>
      <c r="T186" s="13"/>
      <c r="U186" s="13"/>
      <c r="V186" s="13"/>
      <c r="W186" s="13"/>
      <c r="X186" s="13"/>
      <c r="Y186" s="11"/>
      <c r="Z186" s="11"/>
      <c r="AA186" s="11"/>
    </row>
    <row r="187" spans="1:27" ht="13.2" x14ac:dyDescent="0.25">
      <c r="A187" s="62"/>
      <c r="B187" s="62"/>
      <c r="M187" s="11"/>
      <c r="N187" s="11"/>
      <c r="O187" s="11"/>
      <c r="P187" s="11"/>
      <c r="Q187" s="11"/>
      <c r="R187" s="11"/>
      <c r="S187" s="11"/>
      <c r="T187" s="13"/>
      <c r="U187" s="13"/>
      <c r="V187" s="13"/>
      <c r="W187" s="13"/>
      <c r="X187" s="13"/>
      <c r="Y187" s="11"/>
      <c r="Z187" s="11"/>
      <c r="AA187" s="11"/>
    </row>
    <row r="188" spans="1:27" ht="13.2" x14ac:dyDescent="0.25">
      <c r="A188" s="62"/>
      <c r="B188" s="62"/>
      <c r="M188" s="11"/>
      <c r="N188" s="11"/>
      <c r="O188" s="11"/>
      <c r="P188" s="11"/>
      <c r="Q188" s="11"/>
      <c r="R188" s="11"/>
      <c r="S188" s="11"/>
      <c r="T188" s="13"/>
      <c r="U188" s="13"/>
      <c r="V188" s="13"/>
      <c r="W188" s="13"/>
      <c r="X188" s="13"/>
      <c r="Y188" s="11"/>
      <c r="Z188" s="11"/>
      <c r="AA188" s="11"/>
    </row>
    <row r="189" spans="1:27" ht="13.2" x14ac:dyDescent="0.25">
      <c r="A189" s="62"/>
      <c r="B189" s="62"/>
      <c r="M189" s="11"/>
      <c r="N189" s="11"/>
      <c r="O189" s="11"/>
      <c r="P189" s="11"/>
      <c r="Q189" s="11"/>
      <c r="R189" s="11"/>
      <c r="S189" s="11"/>
      <c r="T189" s="13"/>
      <c r="U189" s="13"/>
      <c r="V189" s="13"/>
      <c r="W189" s="13"/>
      <c r="X189" s="13"/>
      <c r="Y189" s="11"/>
      <c r="Z189" s="11"/>
      <c r="AA189" s="11"/>
    </row>
    <row r="190" spans="1:27" ht="13.2" x14ac:dyDescent="0.25">
      <c r="A190" s="62"/>
      <c r="B190" s="62"/>
      <c r="M190" s="11"/>
      <c r="N190" s="11"/>
      <c r="O190" s="11"/>
      <c r="P190" s="11"/>
      <c r="Q190" s="11"/>
      <c r="R190" s="11"/>
      <c r="S190" s="11"/>
      <c r="T190" s="13"/>
      <c r="U190" s="13"/>
      <c r="V190" s="13"/>
      <c r="W190" s="13"/>
      <c r="X190" s="13"/>
      <c r="Y190" s="11"/>
      <c r="Z190" s="11"/>
      <c r="AA190" s="11"/>
    </row>
    <row r="191" spans="1:27" ht="13.2" x14ac:dyDescent="0.25">
      <c r="A191" s="62"/>
      <c r="B191" s="62"/>
      <c r="M191" s="11"/>
      <c r="N191" s="11"/>
      <c r="O191" s="11"/>
      <c r="P191" s="11"/>
      <c r="Q191" s="11"/>
      <c r="R191" s="11"/>
      <c r="S191" s="11"/>
      <c r="T191" s="13"/>
      <c r="U191" s="13"/>
      <c r="V191" s="13"/>
      <c r="W191" s="13"/>
      <c r="X191" s="13"/>
      <c r="Y191" s="11"/>
      <c r="Z191" s="11"/>
      <c r="AA191" s="11"/>
    </row>
    <row r="192" spans="1:27" ht="13.2" x14ac:dyDescent="0.25">
      <c r="A192" s="62"/>
      <c r="B192" s="62"/>
      <c r="M192" s="11"/>
      <c r="N192" s="11"/>
      <c r="O192" s="11"/>
      <c r="P192" s="11"/>
      <c r="Q192" s="11"/>
      <c r="R192" s="11"/>
      <c r="S192" s="11"/>
      <c r="T192" s="13"/>
      <c r="U192" s="13"/>
      <c r="V192" s="13"/>
      <c r="W192" s="13"/>
      <c r="X192" s="13"/>
      <c r="Y192" s="11"/>
      <c r="Z192" s="11"/>
      <c r="AA192" s="11"/>
    </row>
    <row r="193" spans="1:27" ht="13.2" x14ac:dyDescent="0.25">
      <c r="A193" s="62"/>
      <c r="B193" s="62"/>
      <c r="M193" s="11"/>
      <c r="N193" s="11"/>
      <c r="O193" s="11"/>
      <c r="P193" s="11"/>
      <c r="Q193" s="11"/>
      <c r="R193" s="11"/>
      <c r="S193" s="11"/>
      <c r="T193" s="13"/>
      <c r="U193" s="13"/>
      <c r="V193" s="13"/>
      <c r="W193" s="13"/>
      <c r="X193" s="13"/>
      <c r="Y193" s="11"/>
      <c r="Z193" s="11"/>
      <c r="AA193" s="11"/>
    </row>
    <row r="194" spans="1:27" ht="13.2" x14ac:dyDescent="0.25">
      <c r="A194" s="62"/>
      <c r="B194" s="62"/>
      <c r="M194" s="11"/>
      <c r="N194" s="11"/>
      <c r="O194" s="11"/>
      <c r="P194" s="11"/>
      <c r="Q194" s="11"/>
      <c r="R194" s="11"/>
      <c r="S194" s="11"/>
      <c r="T194" s="13"/>
      <c r="U194" s="13"/>
      <c r="V194" s="13"/>
      <c r="W194" s="13"/>
      <c r="X194" s="13"/>
      <c r="Y194" s="11"/>
      <c r="Z194" s="11"/>
      <c r="AA194" s="11"/>
    </row>
    <row r="195" spans="1:27" ht="13.2" x14ac:dyDescent="0.25">
      <c r="A195" s="62"/>
      <c r="B195" s="62"/>
      <c r="M195" s="11"/>
      <c r="N195" s="11"/>
      <c r="O195" s="11"/>
      <c r="P195" s="11"/>
      <c r="Q195" s="11"/>
      <c r="R195" s="11"/>
      <c r="S195" s="11"/>
      <c r="T195" s="13"/>
      <c r="U195" s="13"/>
      <c r="V195" s="13"/>
      <c r="W195" s="13"/>
      <c r="X195" s="13"/>
      <c r="Y195" s="11"/>
      <c r="Z195" s="11"/>
      <c r="AA195" s="11"/>
    </row>
    <row r="196" spans="1:27" ht="13.2" x14ac:dyDescent="0.25">
      <c r="A196" s="62"/>
      <c r="B196" s="62"/>
      <c r="M196" s="11"/>
      <c r="N196" s="11"/>
      <c r="O196" s="11"/>
      <c r="P196" s="11"/>
      <c r="Q196" s="11"/>
      <c r="R196" s="11"/>
      <c r="S196" s="11"/>
      <c r="T196" s="13"/>
      <c r="U196" s="13"/>
      <c r="V196" s="13"/>
      <c r="W196" s="13"/>
      <c r="X196" s="13"/>
      <c r="Y196" s="11"/>
      <c r="Z196" s="11"/>
      <c r="AA196" s="11"/>
    </row>
    <row r="197" spans="1:27" ht="13.2" x14ac:dyDescent="0.25">
      <c r="A197" s="62"/>
      <c r="B197" s="62"/>
      <c r="M197" s="11"/>
      <c r="N197" s="11"/>
      <c r="O197" s="11"/>
      <c r="P197" s="11"/>
      <c r="Q197" s="11"/>
      <c r="R197" s="11"/>
      <c r="S197" s="11"/>
      <c r="T197" s="13"/>
      <c r="U197" s="13"/>
      <c r="V197" s="13"/>
      <c r="W197" s="13"/>
      <c r="X197" s="13"/>
      <c r="Y197" s="11"/>
      <c r="Z197" s="11"/>
      <c r="AA197" s="11"/>
    </row>
    <row r="198" spans="1:27" ht="13.2" x14ac:dyDescent="0.25">
      <c r="A198" s="62"/>
      <c r="B198" s="62"/>
      <c r="M198" s="11"/>
      <c r="N198" s="11"/>
      <c r="O198" s="11"/>
      <c r="P198" s="11"/>
      <c r="Q198" s="11"/>
      <c r="R198" s="11"/>
      <c r="S198" s="11"/>
      <c r="T198" s="13"/>
      <c r="U198" s="13"/>
      <c r="V198" s="13"/>
      <c r="W198" s="13"/>
      <c r="X198" s="13"/>
      <c r="Y198" s="11"/>
      <c r="Z198" s="11"/>
      <c r="AA198" s="11"/>
    </row>
    <row r="199" spans="1:27" ht="13.2" x14ac:dyDescent="0.25">
      <c r="A199" s="62"/>
      <c r="B199" s="62"/>
      <c r="M199" s="11"/>
      <c r="N199" s="11"/>
      <c r="O199" s="11"/>
      <c r="P199" s="11"/>
      <c r="Q199" s="11"/>
      <c r="R199" s="11"/>
      <c r="S199" s="11"/>
      <c r="T199" s="13"/>
      <c r="U199" s="13"/>
      <c r="V199" s="13"/>
      <c r="W199" s="13"/>
      <c r="X199" s="13"/>
      <c r="Y199" s="11"/>
      <c r="Z199" s="11"/>
      <c r="AA199" s="13"/>
    </row>
    <row r="200" spans="1:27" ht="13.2" x14ac:dyDescent="0.25">
      <c r="A200" s="62"/>
      <c r="B200" s="62"/>
      <c r="M200" s="11"/>
      <c r="N200" s="11"/>
      <c r="O200" s="11"/>
      <c r="P200" s="11"/>
      <c r="Q200" s="11"/>
      <c r="R200" s="11"/>
      <c r="S200" s="11"/>
      <c r="T200" s="13"/>
      <c r="U200" s="13"/>
      <c r="V200" s="13"/>
      <c r="W200" s="13"/>
      <c r="X200" s="13"/>
      <c r="Y200" s="11"/>
      <c r="Z200" s="11"/>
      <c r="AA200" s="11"/>
    </row>
    <row r="201" spans="1:27" ht="13.2" x14ac:dyDescent="0.25">
      <c r="A201" s="62"/>
      <c r="B201" s="62"/>
      <c r="M201" s="11"/>
      <c r="N201" s="11"/>
      <c r="O201" s="11"/>
      <c r="P201" s="11"/>
      <c r="Q201" s="11"/>
      <c r="R201" s="11"/>
      <c r="S201" s="11"/>
      <c r="T201" s="13"/>
      <c r="U201" s="13"/>
      <c r="V201" s="13"/>
      <c r="W201" s="13"/>
      <c r="X201" s="13"/>
      <c r="Y201" s="11"/>
      <c r="Z201" s="11"/>
      <c r="AA201" s="11"/>
    </row>
    <row r="202" spans="1:27" ht="13.2" x14ac:dyDescent="0.25">
      <c r="A202" s="62"/>
      <c r="B202" s="62"/>
      <c r="M202" s="11"/>
      <c r="N202" s="11"/>
      <c r="O202" s="11"/>
      <c r="P202" s="11"/>
      <c r="Q202" s="11"/>
      <c r="R202" s="11"/>
      <c r="S202" s="11"/>
      <c r="T202" s="13"/>
      <c r="U202" s="13"/>
      <c r="V202" s="13"/>
      <c r="W202" s="13"/>
      <c r="X202" s="13"/>
      <c r="Y202" s="11"/>
      <c r="Z202" s="11"/>
      <c r="AA202" s="11"/>
    </row>
    <row r="203" spans="1:27" ht="13.2" x14ac:dyDescent="0.25">
      <c r="A203" s="62"/>
      <c r="B203" s="62"/>
      <c r="M203" s="11"/>
      <c r="N203" s="11"/>
      <c r="O203" s="11"/>
      <c r="P203" s="11"/>
      <c r="Q203" s="11"/>
      <c r="R203" s="11"/>
      <c r="S203" s="11"/>
      <c r="T203" s="13"/>
      <c r="U203" s="13"/>
      <c r="V203" s="13"/>
      <c r="W203" s="13"/>
      <c r="X203" s="13"/>
      <c r="Y203" s="11"/>
      <c r="Z203" s="11"/>
      <c r="AA203" s="11"/>
    </row>
    <row r="204" spans="1:27" ht="13.2" x14ac:dyDescent="0.25">
      <c r="A204" s="62"/>
      <c r="B204" s="62"/>
      <c r="M204" s="11"/>
      <c r="N204" s="11"/>
      <c r="O204" s="11"/>
      <c r="P204" s="11"/>
      <c r="Q204" s="11"/>
      <c r="R204" s="11"/>
      <c r="S204" s="11"/>
      <c r="T204" s="13"/>
      <c r="U204" s="13"/>
      <c r="V204" s="13"/>
      <c r="W204" s="13"/>
      <c r="X204" s="13"/>
      <c r="Y204" s="11"/>
      <c r="Z204" s="11"/>
      <c r="AA204" s="11"/>
    </row>
    <row r="205" spans="1:27" ht="13.2" x14ac:dyDescent="0.25">
      <c r="A205" s="62"/>
      <c r="B205" s="62"/>
      <c r="M205" s="11"/>
      <c r="N205" s="11"/>
      <c r="O205" s="11"/>
      <c r="P205" s="11"/>
      <c r="Q205" s="11"/>
      <c r="R205" s="11"/>
      <c r="S205" s="11"/>
      <c r="T205" s="13"/>
      <c r="U205" s="13"/>
      <c r="V205" s="13"/>
      <c r="W205" s="13"/>
      <c r="X205" s="13"/>
      <c r="Y205" s="11"/>
      <c r="Z205" s="11"/>
      <c r="AA205" s="11"/>
    </row>
    <row r="206" spans="1:27" ht="13.2" x14ac:dyDescent="0.25">
      <c r="A206" s="62"/>
      <c r="B206" s="62"/>
      <c r="M206" s="11"/>
      <c r="N206" s="11"/>
      <c r="O206" s="11"/>
      <c r="P206" s="11"/>
      <c r="Q206" s="11"/>
      <c r="R206" s="11"/>
      <c r="S206" s="11"/>
      <c r="T206" s="13"/>
      <c r="U206" s="13"/>
      <c r="V206" s="13"/>
      <c r="W206" s="13"/>
      <c r="X206" s="13"/>
      <c r="Y206" s="11"/>
      <c r="Z206" s="11"/>
      <c r="AA206" s="11"/>
    </row>
    <row r="207" spans="1:27" ht="13.2" x14ac:dyDescent="0.25">
      <c r="A207" s="62"/>
      <c r="B207" s="62"/>
      <c r="M207" s="11"/>
      <c r="N207" s="11"/>
      <c r="O207" s="11"/>
      <c r="P207" s="11"/>
      <c r="Q207" s="11"/>
      <c r="R207" s="11"/>
      <c r="S207" s="11"/>
      <c r="T207" s="13"/>
      <c r="U207" s="13"/>
      <c r="V207" s="13"/>
      <c r="W207" s="13"/>
      <c r="X207" s="13"/>
      <c r="Y207" s="11"/>
      <c r="Z207" s="11"/>
      <c r="AA207" s="11"/>
    </row>
    <row r="208" spans="1:27" ht="13.2" x14ac:dyDescent="0.25">
      <c r="A208" s="62"/>
      <c r="B208" s="62"/>
      <c r="M208" s="11"/>
      <c r="N208" s="11"/>
      <c r="O208" s="11"/>
      <c r="P208" s="11"/>
      <c r="Q208" s="11"/>
      <c r="R208" s="11"/>
      <c r="S208" s="11"/>
      <c r="T208" s="13"/>
      <c r="U208" s="13"/>
      <c r="V208" s="13"/>
      <c r="W208" s="13"/>
      <c r="X208" s="13"/>
      <c r="Y208" s="11"/>
      <c r="Z208" s="11"/>
      <c r="AA208" s="11"/>
    </row>
    <row r="209" spans="1:27" ht="13.2" x14ac:dyDescent="0.25">
      <c r="A209" s="62"/>
      <c r="B209" s="62"/>
      <c r="M209" s="11"/>
      <c r="N209" s="11"/>
      <c r="O209" s="11"/>
      <c r="P209" s="11"/>
      <c r="Q209" s="11"/>
      <c r="R209" s="11"/>
      <c r="S209" s="11"/>
      <c r="T209" s="13"/>
      <c r="U209" s="13"/>
      <c r="V209" s="13"/>
      <c r="W209" s="13"/>
      <c r="X209" s="13"/>
      <c r="Y209" s="11"/>
      <c r="Z209" s="11"/>
      <c r="AA209" s="11"/>
    </row>
    <row r="210" spans="1:27" ht="13.2" x14ac:dyDescent="0.25">
      <c r="A210" s="62"/>
      <c r="B210" s="62"/>
      <c r="M210" s="11"/>
      <c r="N210" s="11"/>
      <c r="O210" s="11"/>
      <c r="P210" s="11"/>
      <c r="Q210" s="11"/>
      <c r="R210" s="11"/>
      <c r="S210" s="11"/>
      <c r="T210" s="13"/>
      <c r="U210" s="13"/>
      <c r="V210" s="13"/>
      <c r="W210" s="13"/>
      <c r="X210" s="13"/>
      <c r="Y210" s="11"/>
      <c r="Z210" s="11"/>
      <c r="AA210" s="11"/>
    </row>
    <row r="211" spans="1:27" ht="13.2" x14ac:dyDescent="0.25">
      <c r="A211" s="62"/>
      <c r="B211" s="62"/>
      <c r="M211" s="11"/>
      <c r="N211" s="11"/>
      <c r="O211" s="11"/>
      <c r="P211" s="11"/>
      <c r="Q211" s="11"/>
      <c r="R211" s="11"/>
      <c r="S211" s="11"/>
      <c r="T211" s="13"/>
      <c r="U211" s="13"/>
      <c r="V211" s="13"/>
      <c r="W211" s="13"/>
      <c r="X211" s="13"/>
      <c r="Y211" s="11"/>
      <c r="Z211" s="11"/>
      <c r="AA211" s="11"/>
    </row>
    <row r="212" spans="1:27" ht="13.2" x14ac:dyDescent="0.25">
      <c r="A212" s="62"/>
      <c r="B212" s="62"/>
      <c r="M212" s="11"/>
      <c r="N212" s="11"/>
      <c r="O212" s="11"/>
      <c r="P212" s="11"/>
      <c r="Q212" s="11"/>
      <c r="R212" s="11"/>
      <c r="S212" s="11"/>
      <c r="T212" s="13"/>
      <c r="U212" s="13"/>
      <c r="V212" s="13"/>
      <c r="W212" s="13"/>
      <c r="X212" s="13"/>
      <c r="Y212" s="11"/>
      <c r="Z212" s="11"/>
      <c r="AA212" s="11"/>
    </row>
    <row r="213" spans="1:27" ht="13.2" x14ac:dyDescent="0.25">
      <c r="A213" s="62"/>
      <c r="B213" s="62"/>
      <c r="M213" s="11"/>
      <c r="N213" s="11"/>
      <c r="O213" s="11"/>
      <c r="P213" s="11"/>
      <c r="Q213" s="11"/>
      <c r="R213" s="11"/>
      <c r="S213" s="11"/>
      <c r="T213" s="13"/>
      <c r="U213" s="13"/>
      <c r="V213" s="13"/>
      <c r="W213" s="13"/>
      <c r="X213" s="13"/>
      <c r="Y213" s="11"/>
      <c r="Z213" s="11"/>
      <c r="AA213" s="11"/>
    </row>
    <row r="214" spans="1:27" ht="13.2" x14ac:dyDescent="0.25">
      <c r="A214" s="62"/>
      <c r="B214" s="62"/>
      <c r="M214" s="11"/>
      <c r="N214" s="11"/>
      <c r="O214" s="11"/>
      <c r="P214" s="11"/>
      <c r="Q214" s="11"/>
      <c r="R214" s="11"/>
      <c r="S214" s="11"/>
      <c r="T214" s="13"/>
      <c r="U214" s="13"/>
      <c r="V214" s="13"/>
      <c r="W214" s="13"/>
      <c r="X214" s="13"/>
      <c r="Y214" s="11"/>
      <c r="Z214" s="11"/>
      <c r="AA214" s="11"/>
    </row>
    <row r="215" spans="1:27" ht="13.2" x14ac:dyDescent="0.25">
      <c r="A215" s="62"/>
      <c r="B215" s="62"/>
      <c r="M215" s="11"/>
      <c r="N215" s="11"/>
      <c r="O215" s="11"/>
      <c r="P215" s="11"/>
      <c r="Q215" s="11"/>
      <c r="R215" s="11"/>
      <c r="S215" s="11"/>
      <c r="T215" s="13"/>
      <c r="U215" s="13"/>
      <c r="V215" s="13"/>
      <c r="W215" s="13"/>
      <c r="X215" s="13"/>
      <c r="Y215" s="11"/>
      <c r="Z215" s="11"/>
      <c r="AA215" s="11"/>
    </row>
    <row r="216" spans="1:27" ht="13.2" x14ac:dyDescent="0.25">
      <c r="A216" s="62"/>
      <c r="B216" s="62"/>
      <c r="M216" s="11"/>
      <c r="N216" s="11"/>
      <c r="O216" s="11"/>
      <c r="P216" s="11"/>
      <c r="Q216" s="11"/>
      <c r="R216" s="11"/>
      <c r="S216" s="11"/>
      <c r="T216" s="13"/>
      <c r="U216" s="13"/>
      <c r="V216" s="13"/>
      <c r="W216" s="13"/>
      <c r="X216" s="13"/>
      <c r="Y216" s="11"/>
      <c r="Z216" s="11"/>
      <c r="AA216" s="11"/>
    </row>
    <row r="217" spans="1:27" ht="13.2" x14ac:dyDescent="0.25">
      <c r="A217" s="62"/>
      <c r="B217" s="62"/>
      <c r="M217" s="11"/>
      <c r="N217" s="11"/>
      <c r="O217" s="11"/>
      <c r="P217" s="11"/>
      <c r="Q217" s="11"/>
      <c r="R217" s="11"/>
      <c r="S217" s="11"/>
      <c r="T217" s="13"/>
      <c r="U217" s="13"/>
      <c r="V217" s="13"/>
      <c r="W217" s="11"/>
      <c r="X217" s="13"/>
      <c r="Y217" s="11"/>
      <c r="Z217" s="11"/>
      <c r="AA217" s="11"/>
    </row>
    <row r="218" spans="1:27" ht="13.2" x14ac:dyDescent="0.25">
      <c r="A218" s="62"/>
      <c r="B218" s="62"/>
      <c r="M218" s="11"/>
      <c r="N218" s="11"/>
      <c r="O218" s="11"/>
      <c r="P218" s="11"/>
      <c r="Q218" s="11"/>
      <c r="R218" s="11"/>
      <c r="S218" s="11"/>
      <c r="T218" s="13"/>
      <c r="U218" s="13"/>
      <c r="V218" s="13"/>
      <c r="W218" s="13"/>
      <c r="X218" s="13"/>
      <c r="Y218" s="11"/>
      <c r="Z218" s="13"/>
      <c r="AA218" s="11"/>
    </row>
    <row r="219" spans="1:27" ht="13.2" x14ac:dyDescent="0.25">
      <c r="A219" s="62"/>
      <c r="B219" s="62"/>
      <c r="M219" s="11"/>
      <c r="N219" s="11"/>
      <c r="O219" s="11"/>
      <c r="P219" s="11"/>
      <c r="Q219" s="11"/>
      <c r="R219" s="11"/>
      <c r="S219" s="11"/>
      <c r="T219" s="13"/>
      <c r="U219" s="13"/>
      <c r="V219" s="13"/>
      <c r="W219" s="13"/>
      <c r="X219" s="13"/>
      <c r="Y219" s="11"/>
      <c r="Z219" s="11"/>
      <c r="AA219" s="11"/>
    </row>
    <row r="220" spans="1:27" ht="13.2" x14ac:dyDescent="0.25">
      <c r="A220" s="62"/>
      <c r="B220" s="62"/>
      <c r="M220" s="11"/>
      <c r="N220" s="11"/>
      <c r="O220" s="11"/>
      <c r="P220" s="11"/>
      <c r="Q220" s="11"/>
      <c r="R220" s="11"/>
      <c r="S220" s="11"/>
      <c r="T220" s="13"/>
      <c r="U220" s="13"/>
      <c r="V220" s="13"/>
      <c r="W220" s="13"/>
      <c r="X220" s="13"/>
      <c r="Y220" s="11"/>
      <c r="Z220" s="11"/>
      <c r="AA220" s="11"/>
    </row>
    <row r="221" spans="1:27" ht="13.2" x14ac:dyDescent="0.25">
      <c r="A221" s="62"/>
      <c r="B221" s="62"/>
      <c r="M221" s="11"/>
      <c r="N221" s="11"/>
      <c r="O221" s="11"/>
      <c r="P221" s="11"/>
      <c r="Q221" s="11"/>
      <c r="R221" s="11"/>
      <c r="S221" s="11"/>
      <c r="T221" s="13"/>
      <c r="U221" s="13"/>
      <c r="V221" s="13"/>
      <c r="W221" s="13"/>
      <c r="X221" s="13"/>
      <c r="Y221" s="11"/>
      <c r="Z221" s="11"/>
      <c r="AA221" s="11"/>
    </row>
    <row r="222" spans="1:27" ht="13.2" x14ac:dyDescent="0.25">
      <c r="A222" s="62"/>
      <c r="B222" s="62"/>
      <c r="M222" s="11"/>
      <c r="N222" s="11"/>
      <c r="O222" s="11"/>
      <c r="P222" s="11"/>
      <c r="Q222" s="11"/>
      <c r="R222" s="11"/>
      <c r="S222" s="11"/>
      <c r="T222" s="13"/>
      <c r="U222" s="13"/>
      <c r="V222" s="13"/>
      <c r="W222" s="13"/>
      <c r="X222" s="13"/>
      <c r="Y222" s="11"/>
      <c r="Z222" s="11"/>
      <c r="AA222" s="11"/>
    </row>
    <row r="223" spans="1:27" ht="13.2" x14ac:dyDescent="0.25">
      <c r="A223" s="62"/>
      <c r="B223" s="62"/>
      <c r="M223" s="11"/>
      <c r="N223" s="11"/>
      <c r="O223" s="11"/>
      <c r="P223" s="11"/>
      <c r="Q223" s="11"/>
      <c r="R223" s="11"/>
      <c r="S223" s="11"/>
      <c r="T223" s="13"/>
      <c r="U223" s="13"/>
      <c r="V223" s="13"/>
      <c r="W223" s="13"/>
      <c r="X223" s="13"/>
      <c r="Y223" s="11"/>
      <c r="Z223" s="11"/>
      <c r="AA223" s="11"/>
    </row>
    <row r="224" spans="1:27" ht="13.2" x14ac:dyDescent="0.25">
      <c r="A224" s="62"/>
      <c r="B224" s="62"/>
      <c r="M224" s="11"/>
      <c r="N224" s="11"/>
      <c r="O224" s="11"/>
      <c r="P224" s="11"/>
      <c r="Q224" s="11"/>
      <c r="R224" s="11"/>
      <c r="S224" s="11"/>
      <c r="T224" s="13"/>
      <c r="U224" s="13"/>
      <c r="V224" s="13"/>
      <c r="W224" s="13"/>
      <c r="X224" s="13"/>
      <c r="Y224" s="11"/>
      <c r="Z224" s="11"/>
      <c r="AA224" s="11"/>
    </row>
    <row r="225" spans="1:27" ht="13.2" x14ac:dyDescent="0.25">
      <c r="A225" s="62"/>
      <c r="B225" s="62"/>
      <c r="M225" s="11"/>
      <c r="N225" s="11"/>
      <c r="O225" s="11"/>
      <c r="P225" s="11"/>
      <c r="Q225" s="11"/>
      <c r="R225" s="11"/>
      <c r="S225" s="11"/>
      <c r="T225" s="13"/>
      <c r="U225" s="13"/>
      <c r="V225" s="13"/>
      <c r="W225" s="13"/>
      <c r="X225" s="13"/>
      <c r="Y225" s="11"/>
      <c r="Z225" s="11"/>
      <c r="AA225" s="11"/>
    </row>
    <row r="226" spans="1:27" ht="13.2" x14ac:dyDescent="0.25">
      <c r="A226" s="62"/>
      <c r="B226" s="62"/>
      <c r="M226" s="11"/>
      <c r="N226" s="11"/>
      <c r="O226" s="11"/>
      <c r="P226" s="11"/>
      <c r="Q226" s="11"/>
      <c r="R226" s="11"/>
      <c r="S226" s="11"/>
      <c r="T226" s="13"/>
      <c r="U226" s="13"/>
      <c r="V226" s="13"/>
      <c r="W226" s="13"/>
      <c r="X226" s="13"/>
      <c r="Y226" s="11"/>
      <c r="Z226" s="11"/>
      <c r="AA226" s="11"/>
    </row>
    <row r="227" spans="1:27" ht="13.2" x14ac:dyDescent="0.25">
      <c r="A227" s="62"/>
      <c r="B227" s="62"/>
      <c r="M227" s="11"/>
      <c r="N227" s="11"/>
      <c r="O227" s="11"/>
      <c r="P227" s="11"/>
      <c r="Q227" s="11"/>
      <c r="R227" s="11"/>
      <c r="S227" s="11"/>
      <c r="T227" s="13"/>
      <c r="U227" s="13"/>
      <c r="V227" s="13"/>
      <c r="W227" s="13"/>
      <c r="X227" s="13"/>
      <c r="Y227" s="11"/>
      <c r="Z227" s="11"/>
      <c r="AA227" s="11"/>
    </row>
    <row r="228" spans="1:27" ht="13.2" x14ac:dyDescent="0.25">
      <c r="A228" s="62"/>
      <c r="B228" s="62"/>
      <c r="M228" s="11"/>
      <c r="N228" s="11"/>
      <c r="O228" s="11"/>
      <c r="P228" s="11"/>
      <c r="Q228" s="11"/>
      <c r="R228" s="11"/>
      <c r="S228" s="11"/>
      <c r="T228" s="13"/>
      <c r="U228" s="13"/>
      <c r="V228" s="13"/>
      <c r="W228" s="13"/>
      <c r="X228" s="13"/>
      <c r="Y228" s="11"/>
      <c r="Z228" s="11"/>
      <c r="AA228" s="11"/>
    </row>
    <row r="229" spans="1:27" ht="13.2" x14ac:dyDescent="0.25">
      <c r="A229" s="62"/>
      <c r="B229" s="62"/>
      <c r="M229" s="11"/>
      <c r="N229" s="11"/>
      <c r="O229" s="11"/>
      <c r="P229" s="11"/>
      <c r="Q229" s="11"/>
      <c r="R229" s="11"/>
      <c r="S229" s="11"/>
      <c r="T229" s="13"/>
      <c r="U229" s="13"/>
      <c r="V229" s="13"/>
      <c r="W229" s="13"/>
      <c r="X229" s="13"/>
      <c r="Y229" s="11"/>
      <c r="Z229" s="11"/>
      <c r="AA229" s="11"/>
    </row>
    <row r="230" spans="1:27" ht="13.2" x14ac:dyDescent="0.25">
      <c r="A230" s="62"/>
      <c r="B230" s="62"/>
      <c r="M230" s="11"/>
      <c r="N230" s="11"/>
      <c r="O230" s="11"/>
      <c r="P230" s="11"/>
      <c r="Q230" s="11"/>
      <c r="R230" s="11"/>
      <c r="S230" s="11"/>
      <c r="T230" s="13"/>
      <c r="U230" s="13"/>
      <c r="V230" s="13"/>
      <c r="W230" s="13"/>
      <c r="X230" s="13"/>
      <c r="Y230" s="11"/>
      <c r="Z230" s="11"/>
      <c r="AA230" s="11"/>
    </row>
    <row r="231" spans="1:27" ht="13.2" x14ac:dyDescent="0.25">
      <c r="A231" s="62"/>
      <c r="B231" s="62"/>
      <c r="M231" s="11"/>
      <c r="N231" s="11"/>
      <c r="O231" s="11"/>
      <c r="P231" s="11"/>
      <c r="Q231" s="11"/>
      <c r="R231" s="11"/>
      <c r="S231" s="11"/>
      <c r="T231" s="13"/>
      <c r="U231" s="13"/>
      <c r="V231" s="11"/>
      <c r="W231" s="11"/>
      <c r="X231" s="13"/>
      <c r="Y231" s="11"/>
      <c r="Z231" s="11"/>
      <c r="AA231" s="11"/>
    </row>
    <row r="232" spans="1:27" ht="13.2" x14ac:dyDescent="0.25">
      <c r="A232" s="62"/>
      <c r="B232" s="62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1"/>
      <c r="Z232" s="11"/>
      <c r="AA232" s="11"/>
    </row>
    <row r="233" spans="1:27" ht="13.2" x14ac:dyDescent="0.25">
      <c r="A233" s="62"/>
      <c r="B233" s="62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1"/>
      <c r="Z233" s="11"/>
      <c r="AA233" s="11"/>
    </row>
    <row r="234" spans="1:27" ht="13.2" x14ac:dyDescent="0.25">
      <c r="A234" s="62"/>
      <c r="B234" s="62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1"/>
      <c r="Z234" s="11"/>
      <c r="AA234" s="11"/>
    </row>
    <row r="235" spans="1:27" ht="13.2" x14ac:dyDescent="0.25">
      <c r="A235" s="62"/>
      <c r="B235" s="62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1"/>
      <c r="Z235" s="11"/>
      <c r="AA235" s="11"/>
    </row>
    <row r="236" spans="1:27" ht="13.2" x14ac:dyDescent="0.25">
      <c r="A236" s="62"/>
      <c r="B236" s="62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1"/>
      <c r="Z236" s="11"/>
      <c r="AA236" s="11"/>
    </row>
    <row r="237" spans="1:27" ht="13.2" x14ac:dyDescent="0.25">
      <c r="A237" s="62"/>
      <c r="B237" s="62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1"/>
      <c r="Y237" s="11"/>
      <c r="Z237" s="11"/>
      <c r="AA237" s="11"/>
    </row>
    <row r="238" spans="1:27" ht="13.2" x14ac:dyDescent="0.25">
      <c r="A238" s="62"/>
      <c r="B238" s="62"/>
      <c r="M238" s="11"/>
      <c r="N238" s="11"/>
      <c r="O238" s="11"/>
      <c r="P238" s="11"/>
      <c r="Q238" s="11"/>
      <c r="R238" s="11"/>
      <c r="S238" s="11"/>
      <c r="T238" s="13"/>
      <c r="U238" s="13"/>
      <c r="V238" s="11"/>
      <c r="W238" s="11"/>
      <c r="X238" s="13"/>
      <c r="Y238" s="11"/>
      <c r="Z238" s="11"/>
      <c r="AA238" s="11"/>
    </row>
    <row r="239" spans="1:27" ht="13.2" x14ac:dyDescent="0.25">
      <c r="A239" s="62"/>
      <c r="B239" s="62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1"/>
      <c r="Z239" s="11"/>
      <c r="AA239" s="11"/>
    </row>
    <row r="240" spans="1:27" ht="13.2" x14ac:dyDescent="0.25">
      <c r="A240" s="62"/>
      <c r="B240" s="62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1"/>
      <c r="Z240" s="11"/>
      <c r="AA240" s="11"/>
    </row>
    <row r="241" spans="1:27" ht="13.2" x14ac:dyDescent="0.25">
      <c r="A241" s="62"/>
      <c r="B241" s="62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1"/>
      <c r="Z241" s="11"/>
      <c r="AA241" s="11"/>
    </row>
    <row r="242" spans="1:27" ht="13.2" x14ac:dyDescent="0.25">
      <c r="A242" s="62"/>
      <c r="B242" s="62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1"/>
      <c r="Z242" s="11"/>
      <c r="AA242" s="11"/>
    </row>
    <row r="243" spans="1:27" ht="13.2" x14ac:dyDescent="0.25">
      <c r="A243" s="62"/>
      <c r="B243" s="62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1"/>
      <c r="Z243" s="11"/>
      <c r="AA243" s="11"/>
    </row>
    <row r="244" spans="1:27" ht="13.2" x14ac:dyDescent="0.25">
      <c r="A244" s="62"/>
      <c r="B244" s="62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1"/>
      <c r="Z244" s="11"/>
      <c r="AA244" s="11"/>
    </row>
    <row r="245" spans="1:27" ht="13.2" x14ac:dyDescent="0.25">
      <c r="A245" s="62"/>
      <c r="B245" s="62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1"/>
      <c r="Z245" s="11"/>
      <c r="AA245" s="11"/>
    </row>
  </sheetData>
  <mergeCells count="229">
    <mergeCell ref="G1:H1"/>
    <mergeCell ref="A8:B8"/>
    <mergeCell ref="A13:B13"/>
    <mergeCell ref="K14:L14"/>
    <mergeCell ref="A35:B35"/>
    <mergeCell ref="A37:B37"/>
    <mergeCell ref="A23:B23"/>
    <mergeCell ref="A24:B24"/>
    <mergeCell ref="A2:B2"/>
    <mergeCell ref="A3:B3"/>
    <mergeCell ref="A4:B4"/>
    <mergeCell ref="A5:B5"/>
    <mergeCell ref="A6:B6"/>
    <mergeCell ref="A7:B7"/>
    <mergeCell ref="A16:B16"/>
    <mergeCell ref="A12:B12"/>
    <mergeCell ref="A1:C1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17:B17"/>
    <mergeCell ref="A18:B18"/>
    <mergeCell ref="A19:B19"/>
    <mergeCell ref="A243:B243"/>
    <mergeCell ref="A244:B244"/>
    <mergeCell ref="A245:B245"/>
    <mergeCell ref="A36:B36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</mergeCells>
  <conditionalFormatting sqref="C25:L34">
    <cfRule type="colorScale" priority="220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C25:L34">
    <cfRule type="cellIs" dxfId="79" priority="174" operator="equal">
      <formula>"Calc. Off"</formula>
    </cfRule>
  </conditionalFormatting>
  <conditionalFormatting sqref="D2:D5">
    <cfRule type="expression" dxfId="78" priority="356">
      <formula>E2="Yes"</formula>
    </cfRule>
    <cfRule type="expression" dxfId="77" priority="357">
      <formula>E2="No"</formula>
    </cfRule>
  </conditionalFormatting>
  <conditionalFormatting sqref="D6">
    <cfRule type="expression" dxfId="76" priority="358">
      <formula>E6="Yes"</formula>
    </cfRule>
    <cfRule type="expression" dxfId="75" priority="359">
      <formula>E6="No"</formula>
    </cfRule>
  </conditionalFormatting>
  <conditionalFormatting sqref="G2:G7 K2 I2:I7">
    <cfRule type="expression" dxfId="74" priority="380">
      <formula>H2="Automatic"</formula>
    </cfRule>
    <cfRule type="expression" dxfId="73" priority="381">
      <formula>H2="Manual"</formula>
    </cfRule>
  </conditionalFormatting>
  <conditionalFormatting sqref="K3">
    <cfRule type="expression" dxfId="72" priority="524">
      <formula>L3="Mixed"</formula>
    </cfRule>
    <cfRule type="expression" dxfId="71" priority="525">
      <formula>L3="Automatic"</formula>
    </cfRule>
    <cfRule type="expression" dxfId="70" priority="526">
      <formula>L3="Manual"</formula>
    </cfRule>
  </conditionalFormatting>
  <conditionalFormatting sqref="B15">
    <cfRule type="expression" dxfId="69" priority="527" stopIfTrue="1">
      <formula>L3="Automatic"</formula>
    </cfRule>
  </conditionalFormatting>
  <conditionalFormatting sqref="B15">
    <cfRule type="expression" dxfId="68" priority="532">
      <formula>L3="Manual"</formula>
    </cfRule>
    <cfRule type="expression" dxfId="67" priority="533">
      <formula>AND(H2="Manual",H4="Manual",H5="Manual",H6="Manual",H3="Manual",H7="Manual",J2="Manual",J3="Manual")</formula>
    </cfRule>
  </conditionalFormatting>
  <conditionalFormatting sqref="C16">
    <cfRule type="expression" dxfId="66" priority="534" stopIfTrue="1">
      <formula>L3="Automatic"</formula>
    </cfRule>
    <cfRule type="expression" dxfId="65" priority="535">
      <formula>L3="Manual"</formula>
    </cfRule>
    <cfRule type="expression" dxfId="64" priority="536">
      <formula>AND(H2="Manual",H4="Manual",H5="Manual",H6="Manual",H3="Manual",H7="Manual",J2="Manual",J3="Manual")</formula>
    </cfRule>
  </conditionalFormatting>
  <conditionalFormatting sqref="A2">
    <cfRule type="expression" dxfId="63" priority="607">
      <formula>C2="Yes"</formula>
    </cfRule>
    <cfRule type="expression" dxfId="62" priority="608">
      <formula>C2="No"</formula>
    </cfRule>
  </conditionalFormatting>
  <conditionalFormatting sqref="C10:C12">
    <cfRule type="expression" dxfId="61" priority="609">
      <formula>$L$3="Manual"</formula>
    </cfRule>
    <cfRule type="expression" dxfId="60" priority="610">
      <formula>$L$3="Automatic"</formula>
    </cfRule>
    <cfRule type="expression" dxfId="59" priority="611">
      <formula>H2="Automatic"</formula>
    </cfRule>
    <cfRule type="expression" dxfId="58" priority="612">
      <formula>H2="Manual"</formula>
    </cfRule>
  </conditionalFormatting>
  <conditionalFormatting sqref="K10">
    <cfRule type="expression" dxfId="57" priority="613">
      <formula>$L$3="Manual"</formula>
    </cfRule>
    <cfRule type="expression" dxfId="56" priority="614">
      <formula>$L$3="Automatic"</formula>
    </cfRule>
    <cfRule type="expression" dxfId="55" priority="615">
      <formula>L2="Automatic"</formula>
    </cfRule>
    <cfRule type="expression" dxfId="54" priority="616">
      <formula>L2="Manual"</formula>
    </cfRule>
  </conditionalFormatting>
  <conditionalFormatting sqref="I10:I12">
    <cfRule type="expression" dxfId="53" priority="617">
      <formula>$L$3="Manual"</formula>
    </cfRule>
    <cfRule type="expression" dxfId="52" priority="618">
      <formula>$L$3="Automatic"</formula>
    </cfRule>
    <cfRule type="expression" dxfId="51" priority="619">
      <formula>J5="Automatic"</formula>
    </cfRule>
    <cfRule type="expression" dxfId="50" priority="620">
      <formula>J5="Manual"</formula>
    </cfRule>
  </conditionalFormatting>
  <conditionalFormatting sqref="G10:G12">
    <cfRule type="expression" dxfId="49" priority="625">
      <formula>$L$3="Manual"</formula>
    </cfRule>
    <cfRule type="expression" dxfId="48" priority="626">
      <formula>$L$3="Automatic"</formula>
    </cfRule>
    <cfRule type="expression" dxfId="47" priority="627">
      <formula>J2="Automatic"</formula>
    </cfRule>
    <cfRule type="expression" dxfId="46" priority="628">
      <formula>J2="Manual"</formula>
    </cfRule>
  </conditionalFormatting>
  <conditionalFormatting sqref="E10">
    <cfRule type="expression" dxfId="45" priority="633">
      <formula>$L$3="Manual"</formula>
    </cfRule>
    <cfRule type="expression" dxfId="44" priority="634">
      <formula>$L$3="Automatic"</formula>
    </cfRule>
    <cfRule type="expression" dxfId="43" priority="635">
      <formula>H5="Automatic"</formula>
    </cfRule>
    <cfRule type="expression" dxfId="42" priority="636">
      <formula>K5="Manual"</formula>
    </cfRule>
  </conditionalFormatting>
  <conditionalFormatting sqref="E11">
    <cfRule type="expression" dxfId="41" priority="637">
      <formula>$L$3="Manual"</formula>
    </cfRule>
    <cfRule type="expression" dxfId="40" priority="638">
      <formula>$L$3="Automatic"</formula>
    </cfRule>
    <cfRule type="expression" dxfId="39" priority="639">
      <formula>H6="Automatic"</formula>
    </cfRule>
    <cfRule type="expression" dxfId="38" priority="640">
      <formula>H%="Manual"</formula>
    </cfRule>
  </conditionalFormatting>
  <conditionalFormatting sqref="E12">
    <cfRule type="expression" dxfId="37" priority="641">
      <formula>$L$3="Manual"</formula>
    </cfRule>
    <cfRule type="expression" dxfId="36" priority="642">
      <formula>$L$3="Automatic"</formula>
    </cfRule>
    <cfRule type="expression" dxfId="35" priority="643">
      <formula>H7="Automatic"</formula>
    </cfRule>
    <cfRule type="expression" dxfId="34" priority="644">
      <formula>H7="Manual"</formula>
    </cfRule>
  </conditionalFormatting>
  <conditionalFormatting sqref="A3">
    <cfRule type="expression" dxfId="29" priority="25">
      <formula>C3="Yes"</formula>
    </cfRule>
    <cfRule type="expression" dxfId="28" priority="26">
      <formula>C3="No"</formula>
    </cfRule>
  </conditionalFormatting>
  <conditionalFormatting sqref="A4">
    <cfRule type="expression" dxfId="25" priority="21">
      <formula>C4="Yes"</formula>
    </cfRule>
    <cfRule type="expression" dxfId="24" priority="22">
      <formula>C4="No"</formula>
    </cfRule>
  </conditionalFormatting>
  <conditionalFormatting sqref="A5">
    <cfRule type="expression" dxfId="23" priority="19">
      <formula>C5="Yes"</formula>
    </cfRule>
    <cfRule type="expression" dxfId="22" priority="20">
      <formula>C5="No"</formula>
    </cfRule>
  </conditionalFormatting>
  <conditionalFormatting sqref="A6">
    <cfRule type="expression" dxfId="21" priority="17">
      <formula>C6="Yes"</formula>
    </cfRule>
    <cfRule type="expression" dxfId="20" priority="18">
      <formula>C6="No"</formula>
    </cfRule>
  </conditionalFormatting>
  <conditionalFormatting sqref="A7">
    <cfRule type="expression" dxfId="19" priority="15">
      <formula>C7="Yes"</formula>
    </cfRule>
    <cfRule type="expression" dxfId="18" priority="16">
      <formula>C7="No"</formula>
    </cfRule>
  </conditionalFormatting>
  <dataValidations count="8">
    <dataValidation type="list" allowBlank="1" showInputMessage="1" showErrorMessage="1" sqref="F17" xr:uid="{DB419D85-6878-465A-BCD1-D1CBE38A0F0A}">
      <formula1>Hull_Class</formula1>
    </dataValidation>
    <dataValidation type="list" allowBlank="1" showInputMessage="1" showErrorMessage="1" sqref="C10" xr:uid="{EE47345A-4581-4024-8A1F-A227D65C90E1}">
      <formula1>Hull_Class_2</formula1>
    </dataValidation>
    <dataValidation type="list" allowBlank="1" showInputMessage="1" showErrorMessage="1" sqref="J4" xr:uid="{0F67EA7E-56A0-4208-B2F3-352B0C1C1E8B}">
      <formula1>"Automatic, Manual"</formula1>
    </dataValidation>
    <dataValidation type="list" allowBlank="1" showInputMessage="1" showErrorMessage="1" sqref="L3" xr:uid="{B34158EB-EA56-42AC-94CD-46498A419D3A}">
      <formula1>"Mixed, Manual, Automatic"</formula1>
    </dataValidation>
    <dataValidation type="list" allowBlank="1" showInputMessage="1" showErrorMessage="1" sqref="I17" xr:uid="{0103DEC8-A5A5-40D0-A6E7-77BA99DDC4F0}">
      <formula1>"Non-Safe, Safe"</formula1>
    </dataValidation>
    <dataValidation type="list" allowBlank="1" showInputMessage="1" showErrorMessage="1" sqref="H2:H7 J2:J3 J5:J7 L2" xr:uid="{DD5B4461-5159-4CC7-B90E-A58F0492DC21}">
      <formula1>"Manual, Automatic"</formula1>
    </dataValidation>
    <dataValidation type="list" allowBlank="1" showInputMessage="1" showErrorMessage="1" sqref="C2:C7 E2:E6 L15" xr:uid="{FB2746B0-98C6-4B9B-A144-639C3D7FEA8F}">
      <formula1>Application</formula1>
    </dataValidation>
    <dataValidation type="list" allowBlank="1" showInputMessage="1" showErrorMessage="1" sqref="F18" xr:uid="{63D5573C-5A73-4951-88DE-B3EC33A10C1E}">
      <formula1>INDIRECT(F17)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C16</xm:sqref>
        </x14:dataValidation>
        <x14:dataValidation type="list" showInputMessage="1" showErrorMessage="1" xr:uid="{730B3FFB-9329-4867-862C-E517C5522A9C}">
          <x14:formula1>
            <xm:f>'Background Tables'!H29:H32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G405"/>
  <sheetViews>
    <sheetView zoomScaleNormal="100" workbookViewId="0">
      <pane ySplit="1" topLeftCell="A324" activePane="bottomLeft" state="frozen"/>
      <selection pane="bottomLeft" activeCell="I348" sqref="I348"/>
    </sheetView>
  </sheetViews>
  <sheetFormatPr defaultRowHeight="13.2" x14ac:dyDescent="0.25"/>
  <cols>
    <col min="1" max="22" width="9.33203125" customWidth="1"/>
  </cols>
  <sheetData>
    <row r="1" spans="1:33" x14ac:dyDescent="0.25">
      <c r="A1" s="2" t="s">
        <v>439</v>
      </c>
      <c r="B1" s="2" t="s">
        <v>0</v>
      </c>
      <c r="C1" t="s">
        <v>427</v>
      </c>
      <c r="D1" s="2" t="s">
        <v>422</v>
      </c>
      <c r="E1" s="2" t="s">
        <v>1</v>
      </c>
      <c r="F1" s="2" t="s">
        <v>2</v>
      </c>
      <c r="G1" s="2" t="s">
        <v>541</v>
      </c>
      <c r="H1" s="2" t="s">
        <v>400</v>
      </c>
      <c r="I1" s="2" t="s">
        <v>401</v>
      </c>
      <c r="J1" s="2" t="s">
        <v>402</v>
      </c>
      <c r="K1" s="2" t="s">
        <v>474</v>
      </c>
      <c r="L1" s="2" t="s">
        <v>520</v>
      </c>
      <c r="M1" s="2" t="s">
        <v>521</v>
      </c>
      <c r="N1" s="2" t="s">
        <v>522</v>
      </c>
      <c r="O1" s="2" t="s">
        <v>523</v>
      </c>
      <c r="P1" s="2" t="s">
        <v>524</v>
      </c>
      <c r="R1" s="2" t="s">
        <v>440</v>
      </c>
      <c r="S1" s="2" t="s">
        <v>0</v>
      </c>
      <c r="U1" s="2" t="s">
        <v>422</v>
      </c>
      <c r="V1" s="2" t="s">
        <v>1</v>
      </c>
      <c r="W1" s="2" t="s">
        <v>2</v>
      </c>
      <c r="X1" s="2" t="s">
        <v>541</v>
      </c>
      <c r="Y1" s="2" t="s">
        <v>400</v>
      </c>
      <c r="Z1" s="2" t="s">
        <v>401</v>
      </c>
      <c r="AA1" s="2" t="s">
        <v>402</v>
      </c>
      <c r="AB1" s="2" t="s">
        <v>474</v>
      </c>
      <c r="AC1" s="2" t="s">
        <v>520</v>
      </c>
      <c r="AD1" s="2" t="s">
        <v>521</v>
      </c>
      <c r="AE1" s="2" t="s">
        <v>522</v>
      </c>
      <c r="AF1" s="2" t="s">
        <v>523</v>
      </c>
      <c r="AG1" s="2" t="s">
        <v>524</v>
      </c>
    </row>
    <row r="2" spans="1:33" x14ac:dyDescent="0.25">
      <c r="A2">
        <v>1</v>
      </c>
      <c r="B2" s="2" t="s">
        <v>6</v>
      </c>
      <c r="C2" t="s">
        <v>405</v>
      </c>
      <c r="D2" t="s">
        <v>412</v>
      </c>
      <c r="E2">
        <v>245</v>
      </c>
      <c r="F2">
        <v>122</v>
      </c>
      <c r="G2">
        <v>100</v>
      </c>
      <c r="R2">
        <v>1</v>
      </c>
      <c r="S2" s="2" t="s">
        <v>6</v>
      </c>
      <c r="T2" t="s">
        <v>405</v>
      </c>
      <c r="U2" t="s">
        <v>412</v>
      </c>
      <c r="V2">
        <v>210</v>
      </c>
      <c r="W2">
        <v>105</v>
      </c>
      <c r="X2">
        <v>100</v>
      </c>
    </row>
    <row r="3" spans="1:33" x14ac:dyDescent="0.25">
      <c r="A3">
        <v>2</v>
      </c>
      <c r="B3" s="2" t="s">
        <v>5</v>
      </c>
      <c r="C3" t="s">
        <v>405</v>
      </c>
      <c r="D3" t="s">
        <v>412</v>
      </c>
      <c r="E3">
        <v>245</v>
      </c>
      <c r="F3">
        <v>122</v>
      </c>
      <c r="G3">
        <v>100</v>
      </c>
      <c r="R3">
        <v>2</v>
      </c>
      <c r="S3" s="2" t="s">
        <v>5</v>
      </c>
      <c r="T3" t="s">
        <v>405</v>
      </c>
      <c r="U3" t="s">
        <v>412</v>
      </c>
      <c r="V3">
        <v>210</v>
      </c>
      <c r="W3">
        <v>105</v>
      </c>
      <c r="X3">
        <v>100</v>
      </c>
    </row>
    <row r="4" spans="1:33" x14ac:dyDescent="0.25">
      <c r="A4">
        <v>4</v>
      </c>
      <c r="B4" s="2" t="s">
        <v>448</v>
      </c>
      <c r="C4" t="s">
        <v>405</v>
      </c>
      <c r="D4" s="2" t="s">
        <v>412</v>
      </c>
      <c r="E4">
        <v>1647</v>
      </c>
      <c r="F4">
        <v>162</v>
      </c>
      <c r="G4">
        <v>72</v>
      </c>
      <c r="R4">
        <v>4</v>
      </c>
      <c r="S4" s="2" t="s">
        <v>448</v>
      </c>
      <c r="T4" s="2" t="s">
        <v>405</v>
      </c>
      <c r="U4" s="2" t="s">
        <v>412</v>
      </c>
      <c r="V4">
        <v>1372</v>
      </c>
      <c r="W4">
        <v>156</v>
      </c>
      <c r="X4">
        <v>72</v>
      </c>
    </row>
    <row r="5" spans="1:33" x14ac:dyDescent="0.25">
      <c r="A5">
        <v>5</v>
      </c>
      <c r="B5" t="s">
        <v>8</v>
      </c>
      <c r="C5" t="s">
        <v>405</v>
      </c>
      <c r="D5" t="s">
        <v>412</v>
      </c>
      <c r="E5">
        <v>1735</v>
      </c>
      <c r="F5">
        <v>162</v>
      </c>
      <c r="G5">
        <v>66</v>
      </c>
      <c r="R5">
        <v>5</v>
      </c>
      <c r="S5" t="s">
        <v>8</v>
      </c>
      <c r="T5" t="s">
        <v>405</v>
      </c>
      <c r="U5" t="s">
        <v>412</v>
      </c>
      <c r="V5">
        <v>1446</v>
      </c>
      <c r="W5">
        <v>156</v>
      </c>
      <c r="X5">
        <v>66</v>
      </c>
    </row>
    <row r="6" spans="1:33" x14ac:dyDescent="0.25">
      <c r="A6">
        <v>6</v>
      </c>
      <c r="B6" s="2" t="s">
        <v>11</v>
      </c>
      <c r="C6" t="s">
        <v>405</v>
      </c>
      <c r="D6" t="s">
        <v>412</v>
      </c>
      <c r="E6">
        <v>1735</v>
      </c>
      <c r="F6">
        <v>162</v>
      </c>
      <c r="G6">
        <v>63</v>
      </c>
      <c r="R6">
        <v>6</v>
      </c>
      <c r="S6" t="s">
        <v>11</v>
      </c>
      <c r="T6" t="s">
        <v>405</v>
      </c>
      <c r="U6" t="s">
        <v>412</v>
      </c>
      <c r="V6">
        <v>1446</v>
      </c>
      <c r="W6">
        <v>156</v>
      </c>
      <c r="X6">
        <v>63</v>
      </c>
    </row>
    <row r="7" spans="1:33" x14ac:dyDescent="0.25">
      <c r="A7">
        <v>7</v>
      </c>
      <c r="B7" s="2" t="s">
        <v>19</v>
      </c>
      <c r="C7" t="s">
        <v>405</v>
      </c>
      <c r="D7" t="s">
        <v>412</v>
      </c>
      <c r="E7">
        <v>1810</v>
      </c>
      <c r="F7">
        <v>163</v>
      </c>
      <c r="G7">
        <v>72</v>
      </c>
      <c r="R7">
        <v>7</v>
      </c>
      <c r="S7" t="s">
        <v>19</v>
      </c>
      <c r="T7" t="s">
        <v>405</v>
      </c>
      <c r="U7" t="s">
        <v>412</v>
      </c>
      <c r="V7">
        <v>1508</v>
      </c>
      <c r="W7">
        <v>157</v>
      </c>
      <c r="X7">
        <v>72</v>
      </c>
    </row>
    <row r="8" spans="1:33" x14ac:dyDescent="0.25">
      <c r="A8">
        <v>8</v>
      </c>
      <c r="B8" s="2" t="s">
        <v>20</v>
      </c>
      <c r="C8" t="s">
        <v>405</v>
      </c>
      <c r="D8" t="s">
        <v>412</v>
      </c>
      <c r="E8">
        <v>1774</v>
      </c>
      <c r="F8">
        <v>163</v>
      </c>
      <c r="G8">
        <v>72</v>
      </c>
      <c r="R8">
        <v>8</v>
      </c>
      <c r="S8" t="s">
        <v>20</v>
      </c>
      <c r="T8" t="s">
        <v>405</v>
      </c>
      <c r="U8" t="s">
        <v>412</v>
      </c>
      <c r="V8">
        <v>1479</v>
      </c>
      <c r="W8">
        <v>157</v>
      </c>
      <c r="X8">
        <v>72</v>
      </c>
    </row>
    <row r="9" spans="1:33" x14ac:dyDescent="0.25">
      <c r="A9">
        <v>9</v>
      </c>
      <c r="B9" t="s">
        <v>248</v>
      </c>
      <c r="C9" t="s">
        <v>405</v>
      </c>
      <c r="D9" t="s">
        <v>412</v>
      </c>
      <c r="E9">
        <v>1724</v>
      </c>
      <c r="F9">
        <v>162</v>
      </c>
      <c r="G9">
        <v>69</v>
      </c>
      <c r="R9">
        <v>9</v>
      </c>
      <c r="S9" t="s">
        <v>248</v>
      </c>
      <c r="T9" t="s">
        <v>405</v>
      </c>
      <c r="U9" t="s">
        <v>412</v>
      </c>
      <c r="V9">
        <v>1437</v>
      </c>
      <c r="W9">
        <v>156</v>
      </c>
      <c r="X9">
        <v>69</v>
      </c>
    </row>
    <row r="10" spans="1:33" x14ac:dyDescent="0.25">
      <c r="A10">
        <v>10</v>
      </c>
      <c r="B10" s="2" t="s">
        <v>21</v>
      </c>
      <c r="C10" t="s">
        <v>405</v>
      </c>
      <c r="D10" t="s">
        <v>412</v>
      </c>
      <c r="E10">
        <v>1809</v>
      </c>
      <c r="F10">
        <v>198</v>
      </c>
      <c r="G10">
        <v>69</v>
      </c>
      <c r="R10">
        <v>10</v>
      </c>
      <c r="S10" t="s">
        <v>21</v>
      </c>
      <c r="T10" t="s">
        <v>405</v>
      </c>
      <c r="U10" t="s">
        <v>412</v>
      </c>
      <c r="V10">
        <v>1508</v>
      </c>
      <c r="W10">
        <v>190</v>
      </c>
      <c r="X10">
        <v>69</v>
      </c>
    </row>
    <row r="11" spans="1:33" x14ac:dyDescent="0.25">
      <c r="A11">
        <v>11</v>
      </c>
      <c r="B11" t="s">
        <v>22</v>
      </c>
      <c r="C11" t="s">
        <v>405</v>
      </c>
      <c r="D11" t="s">
        <v>412</v>
      </c>
      <c r="E11">
        <v>2077</v>
      </c>
      <c r="F11">
        <v>160</v>
      </c>
      <c r="G11">
        <v>73</v>
      </c>
      <c r="I11">
        <v>0.3</v>
      </c>
      <c r="R11">
        <v>11</v>
      </c>
      <c r="S11" t="s">
        <v>22</v>
      </c>
      <c r="T11" t="s">
        <v>405</v>
      </c>
      <c r="U11" t="s">
        <v>412</v>
      </c>
      <c r="V11">
        <v>1746</v>
      </c>
      <c r="W11">
        <v>156</v>
      </c>
      <c r="X11">
        <v>73</v>
      </c>
      <c r="Z11">
        <v>0.3</v>
      </c>
    </row>
    <row r="12" spans="1:33" x14ac:dyDescent="0.25">
      <c r="A12">
        <v>13</v>
      </c>
      <c r="B12" s="2" t="s">
        <v>23</v>
      </c>
      <c r="C12" t="s">
        <v>405</v>
      </c>
      <c r="D12" t="s">
        <v>412</v>
      </c>
      <c r="E12">
        <v>2112</v>
      </c>
      <c r="F12">
        <v>158</v>
      </c>
      <c r="G12">
        <v>82</v>
      </c>
      <c r="R12">
        <v>13</v>
      </c>
      <c r="S12" t="s">
        <v>23</v>
      </c>
      <c r="T12" t="s">
        <v>405</v>
      </c>
      <c r="U12" t="s">
        <v>412</v>
      </c>
      <c r="V12">
        <v>1775</v>
      </c>
      <c r="W12">
        <v>154</v>
      </c>
      <c r="X12">
        <v>82</v>
      </c>
    </row>
    <row r="13" spans="1:33" x14ac:dyDescent="0.25">
      <c r="A13">
        <v>14</v>
      </c>
      <c r="B13" t="s">
        <v>24</v>
      </c>
      <c r="C13" t="s">
        <v>405</v>
      </c>
      <c r="D13" t="s">
        <v>412</v>
      </c>
      <c r="E13">
        <v>2037</v>
      </c>
      <c r="F13">
        <v>158</v>
      </c>
      <c r="G13">
        <v>65</v>
      </c>
      <c r="R13">
        <v>14</v>
      </c>
      <c r="S13" t="s">
        <v>24</v>
      </c>
      <c r="T13" t="s">
        <v>405</v>
      </c>
      <c r="U13" t="s">
        <v>412</v>
      </c>
      <c r="V13">
        <v>1712</v>
      </c>
      <c r="W13">
        <v>154</v>
      </c>
      <c r="X13">
        <v>65</v>
      </c>
    </row>
    <row r="14" spans="1:33" x14ac:dyDescent="0.25">
      <c r="A14">
        <v>15</v>
      </c>
      <c r="B14" s="2" t="s">
        <v>25</v>
      </c>
      <c r="C14" t="s">
        <v>405</v>
      </c>
      <c r="D14" t="s">
        <v>412</v>
      </c>
      <c r="E14">
        <v>1998</v>
      </c>
      <c r="F14">
        <v>158</v>
      </c>
      <c r="G14">
        <v>62</v>
      </c>
      <c r="R14">
        <v>15</v>
      </c>
      <c r="S14" t="s">
        <v>25</v>
      </c>
      <c r="T14" t="s">
        <v>405</v>
      </c>
      <c r="U14" t="s">
        <v>412</v>
      </c>
      <c r="V14">
        <v>1679</v>
      </c>
      <c r="W14">
        <v>154</v>
      </c>
      <c r="X14">
        <v>62</v>
      </c>
    </row>
    <row r="15" spans="1:33" x14ac:dyDescent="0.25">
      <c r="A15">
        <v>16</v>
      </c>
      <c r="B15" s="2" t="s">
        <v>26</v>
      </c>
      <c r="C15" t="s">
        <v>405</v>
      </c>
      <c r="D15" t="s">
        <v>412</v>
      </c>
      <c r="E15">
        <v>1998</v>
      </c>
      <c r="F15">
        <v>158</v>
      </c>
      <c r="G15">
        <v>67</v>
      </c>
      <c r="R15">
        <v>16</v>
      </c>
      <c r="S15" t="s">
        <v>26</v>
      </c>
      <c r="T15" t="s">
        <v>405</v>
      </c>
      <c r="U15" t="s">
        <v>412</v>
      </c>
      <c r="V15">
        <v>1679</v>
      </c>
      <c r="W15">
        <v>154</v>
      </c>
      <c r="X15">
        <v>67</v>
      </c>
    </row>
    <row r="16" spans="1:33" x14ac:dyDescent="0.25">
      <c r="A16">
        <v>17</v>
      </c>
      <c r="B16" t="s">
        <v>27</v>
      </c>
      <c r="C16" t="s">
        <v>405</v>
      </c>
      <c r="D16" t="s">
        <v>412</v>
      </c>
      <c r="E16">
        <v>1998</v>
      </c>
      <c r="F16">
        <v>158</v>
      </c>
      <c r="G16">
        <v>20</v>
      </c>
      <c r="R16">
        <v>17</v>
      </c>
      <c r="S16" t="s">
        <v>27</v>
      </c>
      <c r="T16" t="s">
        <v>405</v>
      </c>
      <c r="U16" t="s">
        <v>412</v>
      </c>
      <c r="V16">
        <v>1679</v>
      </c>
      <c r="W16">
        <v>154</v>
      </c>
      <c r="X16">
        <v>20</v>
      </c>
    </row>
    <row r="17" spans="1:24" x14ac:dyDescent="0.25">
      <c r="A17">
        <v>18</v>
      </c>
      <c r="B17" t="s">
        <v>28</v>
      </c>
      <c r="C17" t="s">
        <v>405</v>
      </c>
      <c r="D17" t="s">
        <v>412</v>
      </c>
      <c r="E17">
        <v>1826</v>
      </c>
      <c r="F17">
        <v>163</v>
      </c>
      <c r="G17">
        <v>72</v>
      </c>
      <c r="R17">
        <v>18</v>
      </c>
      <c r="S17" t="s">
        <v>28</v>
      </c>
      <c r="T17" t="s">
        <v>405</v>
      </c>
      <c r="U17" t="s">
        <v>412</v>
      </c>
      <c r="V17">
        <v>1521</v>
      </c>
      <c r="W17">
        <v>157</v>
      </c>
      <c r="X17">
        <v>72</v>
      </c>
    </row>
    <row r="18" spans="1:24" x14ac:dyDescent="0.25">
      <c r="A18">
        <v>19</v>
      </c>
      <c r="B18" s="2" t="s">
        <v>30</v>
      </c>
      <c r="C18" t="s">
        <v>405</v>
      </c>
      <c r="D18" t="s">
        <v>412</v>
      </c>
      <c r="E18">
        <v>1980</v>
      </c>
      <c r="F18">
        <v>163</v>
      </c>
      <c r="G18">
        <v>18</v>
      </c>
      <c r="R18">
        <v>19</v>
      </c>
      <c r="S18" t="s">
        <v>30</v>
      </c>
      <c r="T18" t="s">
        <v>405</v>
      </c>
      <c r="U18" t="s">
        <v>412</v>
      </c>
      <c r="V18">
        <v>1650</v>
      </c>
      <c r="W18">
        <v>157</v>
      </c>
      <c r="X18">
        <v>18</v>
      </c>
    </row>
    <row r="19" spans="1:24" x14ac:dyDescent="0.25">
      <c r="A19">
        <v>26</v>
      </c>
      <c r="B19" t="s">
        <v>32</v>
      </c>
      <c r="C19" t="s">
        <v>405</v>
      </c>
      <c r="D19" t="s">
        <v>412</v>
      </c>
      <c r="E19">
        <v>1815</v>
      </c>
      <c r="F19">
        <v>160</v>
      </c>
      <c r="G19">
        <v>45</v>
      </c>
      <c r="R19">
        <v>26</v>
      </c>
      <c r="S19" t="s">
        <v>32</v>
      </c>
      <c r="T19" t="s">
        <v>405</v>
      </c>
      <c r="U19" t="s">
        <v>412</v>
      </c>
      <c r="V19">
        <v>1513</v>
      </c>
      <c r="W19">
        <v>154</v>
      </c>
      <c r="X19">
        <v>45</v>
      </c>
    </row>
    <row r="20" spans="1:24" x14ac:dyDescent="0.25">
      <c r="A20">
        <v>27</v>
      </c>
      <c r="B20" s="2" t="s">
        <v>33</v>
      </c>
      <c r="C20" t="s">
        <v>405</v>
      </c>
      <c r="D20" t="s">
        <v>412</v>
      </c>
      <c r="E20">
        <v>1815</v>
      </c>
      <c r="F20">
        <v>160</v>
      </c>
      <c r="G20">
        <v>47</v>
      </c>
      <c r="R20">
        <v>27</v>
      </c>
      <c r="S20" t="s">
        <v>33</v>
      </c>
      <c r="T20" t="s">
        <v>405</v>
      </c>
      <c r="U20" t="s">
        <v>412</v>
      </c>
      <c r="V20">
        <v>1513</v>
      </c>
      <c r="W20">
        <v>154</v>
      </c>
      <c r="X20">
        <v>47</v>
      </c>
    </row>
    <row r="21" spans="1:24" x14ac:dyDescent="0.25">
      <c r="A21">
        <v>28</v>
      </c>
      <c r="B21" s="2" t="s">
        <v>35</v>
      </c>
      <c r="C21" t="s">
        <v>405</v>
      </c>
      <c r="D21" t="s">
        <v>412</v>
      </c>
      <c r="E21">
        <v>1720</v>
      </c>
      <c r="F21">
        <v>211</v>
      </c>
      <c r="G21">
        <v>75</v>
      </c>
      <c r="R21">
        <v>28</v>
      </c>
      <c r="S21" t="s">
        <v>35</v>
      </c>
      <c r="T21" t="s">
        <v>405</v>
      </c>
      <c r="U21" t="s">
        <v>412</v>
      </c>
      <c r="V21">
        <v>1433</v>
      </c>
      <c r="W21">
        <v>203</v>
      </c>
      <c r="X21">
        <v>75</v>
      </c>
    </row>
    <row r="22" spans="1:24" x14ac:dyDescent="0.25">
      <c r="A22">
        <v>29</v>
      </c>
      <c r="B22" t="s">
        <v>36</v>
      </c>
      <c r="C22" t="s">
        <v>404</v>
      </c>
      <c r="D22" t="s">
        <v>412</v>
      </c>
      <c r="E22">
        <v>3237</v>
      </c>
      <c r="F22">
        <v>101</v>
      </c>
      <c r="G22">
        <v>67</v>
      </c>
      <c r="R22">
        <v>29</v>
      </c>
      <c r="S22" t="s">
        <v>36</v>
      </c>
      <c r="T22" t="s">
        <v>404</v>
      </c>
      <c r="U22" t="s">
        <v>412</v>
      </c>
      <c r="V22">
        <v>2865</v>
      </c>
      <c r="W22">
        <v>79</v>
      </c>
      <c r="X22">
        <v>67</v>
      </c>
    </row>
    <row r="23" spans="1:24" x14ac:dyDescent="0.25">
      <c r="A23">
        <v>30</v>
      </c>
      <c r="B23" t="s">
        <v>37</v>
      </c>
      <c r="C23" t="s">
        <v>404</v>
      </c>
      <c r="D23" t="s">
        <v>412</v>
      </c>
      <c r="E23">
        <v>3237</v>
      </c>
      <c r="F23">
        <v>101</v>
      </c>
      <c r="G23">
        <v>82</v>
      </c>
      <c r="R23">
        <v>30</v>
      </c>
      <c r="S23" t="s">
        <v>37</v>
      </c>
      <c r="T23" t="s">
        <v>404</v>
      </c>
      <c r="U23" t="s">
        <v>412</v>
      </c>
      <c r="V23">
        <v>2865</v>
      </c>
      <c r="W23">
        <v>79</v>
      </c>
      <c r="X23">
        <v>82</v>
      </c>
    </row>
    <row r="24" spans="1:24" x14ac:dyDescent="0.25">
      <c r="A24">
        <v>31</v>
      </c>
      <c r="B24" t="s">
        <v>38</v>
      </c>
      <c r="C24" t="s">
        <v>404</v>
      </c>
      <c r="D24" t="s">
        <v>412</v>
      </c>
      <c r="E24">
        <v>3470</v>
      </c>
      <c r="F24">
        <v>90</v>
      </c>
      <c r="G24">
        <v>55</v>
      </c>
      <c r="R24">
        <v>31</v>
      </c>
      <c r="S24" t="s">
        <v>38</v>
      </c>
      <c r="T24" t="s">
        <v>404</v>
      </c>
      <c r="U24" t="s">
        <v>412</v>
      </c>
      <c r="V24">
        <v>3076</v>
      </c>
      <c r="W24">
        <v>73</v>
      </c>
      <c r="X24">
        <v>55</v>
      </c>
    </row>
    <row r="25" spans="1:24" x14ac:dyDescent="0.25">
      <c r="A25">
        <v>32</v>
      </c>
      <c r="B25" t="s">
        <v>39</v>
      </c>
      <c r="C25" t="s">
        <v>404</v>
      </c>
      <c r="D25" t="s">
        <v>412</v>
      </c>
      <c r="E25">
        <v>3470</v>
      </c>
      <c r="F25">
        <v>90</v>
      </c>
      <c r="G25">
        <v>88</v>
      </c>
      <c r="R25">
        <v>32</v>
      </c>
      <c r="S25" t="s">
        <v>39</v>
      </c>
      <c r="T25" t="s">
        <v>404</v>
      </c>
      <c r="U25" t="s">
        <v>412</v>
      </c>
      <c r="V25">
        <v>3076</v>
      </c>
      <c r="W25">
        <v>73</v>
      </c>
      <c r="X25">
        <v>88</v>
      </c>
    </row>
    <row r="26" spans="1:24" x14ac:dyDescent="0.25">
      <c r="A26">
        <v>33</v>
      </c>
      <c r="B26" t="s">
        <v>40</v>
      </c>
      <c r="C26" t="s">
        <v>404</v>
      </c>
      <c r="D26" t="s">
        <v>412</v>
      </c>
      <c r="E26">
        <v>3604</v>
      </c>
      <c r="F26">
        <v>90</v>
      </c>
      <c r="G26">
        <v>33</v>
      </c>
      <c r="R26">
        <v>33</v>
      </c>
      <c r="S26" t="s">
        <v>40</v>
      </c>
      <c r="T26" t="s">
        <v>404</v>
      </c>
      <c r="U26" t="s">
        <v>412</v>
      </c>
      <c r="V26">
        <v>3204</v>
      </c>
      <c r="W26">
        <v>73</v>
      </c>
      <c r="X26">
        <v>33</v>
      </c>
    </row>
    <row r="27" spans="1:24" x14ac:dyDescent="0.25">
      <c r="A27">
        <v>34</v>
      </c>
      <c r="B27" t="s">
        <v>41</v>
      </c>
      <c r="C27" t="s">
        <v>404</v>
      </c>
      <c r="D27" t="s">
        <v>412</v>
      </c>
      <c r="E27">
        <v>3517</v>
      </c>
      <c r="F27">
        <v>95</v>
      </c>
      <c r="G27">
        <v>12</v>
      </c>
      <c r="R27">
        <v>34</v>
      </c>
      <c r="S27" t="s">
        <v>41</v>
      </c>
      <c r="T27" t="s">
        <v>404</v>
      </c>
      <c r="U27" t="s">
        <v>412</v>
      </c>
      <c r="V27">
        <v>3126</v>
      </c>
      <c r="W27">
        <v>73</v>
      </c>
      <c r="X27">
        <v>12</v>
      </c>
    </row>
    <row r="28" spans="1:24" x14ac:dyDescent="0.25">
      <c r="A28">
        <v>35</v>
      </c>
      <c r="B28" s="2" t="s">
        <v>42</v>
      </c>
      <c r="C28" t="s">
        <v>404</v>
      </c>
      <c r="D28" t="s">
        <v>412</v>
      </c>
      <c r="E28">
        <v>3517</v>
      </c>
      <c r="F28">
        <v>95</v>
      </c>
      <c r="G28">
        <v>18</v>
      </c>
      <c r="R28">
        <v>35</v>
      </c>
      <c r="S28" t="s">
        <v>42</v>
      </c>
      <c r="T28" t="s">
        <v>404</v>
      </c>
      <c r="U28" t="s">
        <v>412</v>
      </c>
      <c r="V28">
        <v>3126</v>
      </c>
      <c r="W28">
        <v>73</v>
      </c>
      <c r="X28">
        <v>18</v>
      </c>
    </row>
    <row r="29" spans="1:24" x14ac:dyDescent="0.25">
      <c r="A29">
        <v>36</v>
      </c>
      <c r="B29" t="s">
        <v>43</v>
      </c>
      <c r="C29" t="s">
        <v>404</v>
      </c>
      <c r="D29" t="s">
        <v>412</v>
      </c>
      <c r="E29">
        <v>3755</v>
      </c>
      <c r="F29">
        <v>95</v>
      </c>
      <c r="G29">
        <v>85</v>
      </c>
      <c r="R29">
        <v>36</v>
      </c>
      <c r="S29" t="s">
        <v>43</v>
      </c>
      <c r="T29" t="s">
        <v>404</v>
      </c>
      <c r="U29" t="s">
        <v>412</v>
      </c>
      <c r="V29">
        <v>3338</v>
      </c>
      <c r="W29">
        <v>73</v>
      </c>
      <c r="X29">
        <v>85</v>
      </c>
    </row>
    <row r="30" spans="1:24" x14ac:dyDescent="0.25">
      <c r="A30">
        <v>37</v>
      </c>
      <c r="B30" t="s">
        <v>45</v>
      </c>
      <c r="C30" t="s">
        <v>404</v>
      </c>
      <c r="D30" t="s">
        <v>412</v>
      </c>
      <c r="E30">
        <v>4307</v>
      </c>
      <c r="F30">
        <v>92</v>
      </c>
      <c r="G30">
        <v>71</v>
      </c>
      <c r="R30">
        <v>37</v>
      </c>
      <c r="S30" t="s">
        <v>45</v>
      </c>
      <c r="T30" t="s">
        <v>404</v>
      </c>
      <c r="U30" t="s">
        <v>412</v>
      </c>
      <c r="V30">
        <v>3880</v>
      </c>
      <c r="W30">
        <v>77</v>
      </c>
      <c r="X30">
        <v>71</v>
      </c>
    </row>
    <row r="31" spans="1:24" x14ac:dyDescent="0.25">
      <c r="A31">
        <v>38</v>
      </c>
      <c r="B31" t="s">
        <v>46</v>
      </c>
      <c r="C31" t="s">
        <v>404</v>
      </c>
      <c r="D31" t="s">
        <v>412</v>
      </c>
      <c r="E31">
        <v>4307</v>
      </c>
      <c r="F31">
        <v>92</v>
      </c>
      <c r="G31">
        <v>70</v>
      </c>
      <c r="R31">
        <v>38</v>
      </c>
      <c r="S31" t="s">
        <v>46</v>
      </c>
      <c r="T31" t="s">
        <v>404</v>
      </c>
      <c r="U31" t="s">
        <v>412</v>
      </c>
      <c r="V31">
        <v>3880</v>
      </c>
      <c r="W31">
        <v>77</v>
      </c>
      <c r="X31">
        <v>70</v>
      </c>
    </row>
    <row r="32" spans="1:24" x14ac:dyDescent="0.25">
      <c r="A32">
        <v>39</v>
      </c>
      <c r="B32" t="s">
        <v>47</v>
      </c>
      <c r="C32" t="s">
        <v>417</v>
      </c>
      <c r="D32" t="s">
        <v>412</v>
      </c>
      <c r="E32">
        <v>3290</v>
      </c>
      <c r="F32">
        <v>55</v>
      </c>
      <c r="G32">
        <v>75</v>
      </c>
      <c r="R32">
        <v>39</v>
      </c>
      <c r="S32" t="s">
        <v>47</v>
      </c>
      <c r="T32" t="s">
        <v>417</v>
      </c>
      <c r="U32" t="s">
        <v>412</v>
      </c>
      <c r="V32">
        <v>2911</v>
      </c>
      <c r="W32">
        <v>23</v>
      </c>
      <c r="X32">
        <v>75</v>
      </c>
    </row>
    <row r="33" spans="1:24" x14ac:dyDescent="0.25">
      <c r="A33">
        <v>40</v>
      </c>
      <c r="B33" t="s">
        <v>48</v>
      </c>
      <c r="C33" t="s">
        <v>417</v>
      </c>
      <c r="D33" t="s">
        <v>412</v>
      </c>
      <c r="E33">
        <v>3290</v>
      </c>
      <c r="F33">
        <v>55</v>
      </c>
      <c r="G33">
        <v>71</v>
      </c>
      <c r="R33">
        <v>40</v>
      </c>
      <c r="S33" t="s">
        <v>48</v>
      </c>
      <c r="T33" t="s">
        <v>417</v>
      </c>
      <c r="U33" t="s">
        <v>412</v>
      </c>
      <c r="V33">
        <v>2911</v>
      </c>
      <c r="W33">
        <v>23</v>
      </c>
      <c r="X33">
        <v>71</v>
      </c>
    </row>
    <row r="34" spans="1:24" x14ac:dyDescent="0.25">
      <c r="A34">
        <v>41</v>
      </c>
      <c r="B34" t="s">
        <v>249</v>
      </c>
      <c r="C34" t="s">
        <v>417</v>
      </c>
      <c r="D34" t="s">
        <v>412</v>
      </c>
      <c r="E34">
        <v>3346</v>
      </c>
      <c r="F34">
        <v>53</v>
      </c>
      <c r="G34">
        <v>27</v>
      </c>
      <c r="R34">
        <v>41</v>
      </c>
      <c r="S34" t="s">
        <v>249</v>
      </c>
      <c r="T34" t="s">
        <v>417</v>
      </c>
      <c r="U34" t="s">
        <v>412</v>
      </c>
      <c r="V34">
        <v>2961</v>
      </c>
      <c r="W34">
        <v>23</v>
      </c>
      <c r="X34">
        <v>27</v>
      </c>
    </row>
    <row r="35" spans="1:24" x14ac:dyDescent="0.25">
      <c r="A35">
        <v>42</v>
      </c>
      <c r="B35" t="s">
        <v>49</v>
      </c>
      <c r="C35" t="s">
        <v>417</v>
      </c>
      <c r="D35" t="s">
        <v>412</v>
      </c>
      <c r="E35">
        <v>3393</v>
      </c>
      <c r="F35">
        <v>53</v>
      </c>
      <c r="G35">
        <v>32</v>
      </c>
      <c r="R35">
        <v>42</v>
      </c>
      <c r="S35" t="s">
        <v>49</v>
      </c>
      <c r="T35" t="s">
        <v>417</v>
      </c>
      <c r="U35" t="s">
        <v>412</v>
      </c>
      <c r="V35">
        <v>3002</v>
      </c>
      <c r="W35">
        <v>23</v>
      </c>
      <c r="X35">
        <v>32</v>
      </c>
    </row>
    <row r="36" spans="1:24" x14ac:dyDescent="0.25">
      <c r="A36">
        <v>43</v>
      </c>
      <c r="B36" t="s">
        <v>50</v>
      </c>
      <c r="C36" t="s">
        <v>417</v>
      </c>
      <c r="D36" t="s">
        <v>412</v>
      </c>
      <c r="E36">
        <v>3445</v>
      </c>
      <c r="F36">
        <v>53</v>
      </c>
      <c r="G36">
        <v>49</v>
      </c>
      <c r="R36">
        <v>43</v>
      </c>
      <c r="S36" t="s">
        <v>50</v>
      </c>
      <c r="T36" t="s">
        <v>417</v>
      </c>
      <c r="U36" t="s">
        <v>412</v>
      </c>
      <c r="V36">
        <v>3049</v>
      </c>
      <c r="W36">
        <v>23</v>
      </c>
      <c r="X36">
        <v>49</v>
      </c>
    </row>
    <row r="37" spans="1:24" x14ac:dyDescent="0.25">
      <c r="A37">
        <v>44</v>
      </c>
      <c r="B37" t="s">
        <v>51</v>
      </c>
      <c r="C37" t="s">
        <v>417</v>
      </c>
      <c r="D37" t="s">
        <v>413</v>
      </c>
      <c r="E37">
        <v>4565</v>
      </c>
      <c r="F37">
        <v>58</v>
      </c>
      <c r="G37">
        <v>78</v>
      </c>
      <c r="R37">
        <v>44</v>
      </c>
      <c r="S37" t="s">
        <v>51</v>
      </c>
      <c r="T37" t="s">
        <v>417</v>
      </c>
      <c r="U37" t="s">
        <v>413</v>
      </c>
      <c r="V37">
        <v>4076</v>
      </c>
      <c r="W37">
        <v>25</v>
      </c>
      <c r="X37">
        <v>78</v>
      </c>
    </row>
    <row r="38" spans="1:24" x14ac:dyDescent="0.25">
      <c r="A38">
        <v>45</v>
      </c>
      <c r="B38" t="s">
        <v>53</v>
      </c>
      <c r="C38" t="s">
        <v>417</v>
      </c>
      <c r="D38" t="s">
        <v>413</v>
      </c>
      <c r="E38">
        <v>4734</v>
      </c>
      <c r="F38">
        <v>58</v>
      </c>
      <c r="G38">
        <v>23</v>
      </c>
      <c r="R38">
        <v>45</v>
      </c>
      <c r="S38" t="s">
        <v>53</v>
      </c>
      <c r="T38" t="s">
        <v>417</v>
      </c>
      <c r="U38" t="s">
        <v>413</v>
      </c>
      <c r="V38">
        <v>4227</v>
      </c>
      <c r="W38">
        <v>25</v>
      </c>
      <c r="X38">
        <v>23</v>
      </c>
    </row>
    <row r="39" spans="1:24" x14ac:dyDescent="0.25">
      <c r="A39">
        <v>46</v>
      </c>
      <c r="B39" t="s">
        <v>54</v>
      </c>
      <c r="C39" t="s">
        <v>417</v>
      </c>
      <c r="D39" t="s">
        <v>413</v>
      </c>
      <c r="E39">
        <v>3881</v>
      </c>
      <c r="F39">
        <v>57</v>
      </c>
      <c r="G39">
        <v>15</v>
      </c>
      <c r="R39">
        <v>46</v>
      </c>
      <c r="S39" t="s">
        <v>54</v>
      </c>
      <c r="T39" t="s">
        <v>417</v>
      </c>
      <c r="U39" t="s">
        <v>413</v>
      </c>
      <c r="V39">
        <v>3465</v>
      </c>
      <c r="W39">
        <v>24</v>
      </c>
      <c r="X39">
        <v>15</v>
      </c>
    </row>
    <row r="40" spans="1:24" x14ac:dyDescent="0.25">
      <c r="A40">
        <v>47</v>
      </c>
      <c r="B40" t="s">
        <v>55</v>
      </c>
      <c r="C40" t="s">
        <v>417</v>
      </c>
      <c r="D40" t="s">
        <v>413</v>
      </c>
      <c r="E40">
        <v>4015</v>
      </c>
      <c r="F40">
        <v>57</v>
      </c>
      <c r="G40">
        <v>9</v>
      </c>
      <c r="R40">
        <v>47</v>
      </c>
      <c r="S40" t="s">
        <v>55</v>
      </c>
      <c r="T40" t="s">
        <v>417</v>
      </c>
      <c r="U40" t="s">
        <v>413</v>
      </c>
      <c r="V40">
        <v>3585</v>
      </c>
      <c r="W40">
        <v>24</v>
      </c>
      <c r="X40">
        <v>9</v>
      </c>
    </row>
    <row r="41" spans="1:24" x14ac:dyDescent="0.25">
      <c r="A41">
        <v>48</v>
      </c>
      <c r="B41" s="2" t="s">
        <v>56</v>
      </c>
      <c r="C41" t="s">
        <v>417</v>
      </c>
      <c r="D41" t="s">
        <v>413</v>
      </c>
      <c r="E41">
        <v>4015</v>
      </c>
      <c r="F41">
        <v>57</v>
      </c>
      <c r="G41">
        <v>12</v>
      </c>
      <c r="R41">
        <v>48</v>
      </c>
      <c r="S41" t="s">
        <v>56</v>
      </c>
      <c r="T41" t="s">
        <v>417</v>
      </c>
      <c r="U41" t="s">
        <v>413</v>
      </c>
      <c r="V41">
        <v>3585</v>
      </c>
      <c r="W41">
        <v>24</v>
      </c>
      <c r="X41">
        <v>12</v>
      </c>
    </row>
    <row r="42" spans="1:24" x14ac:dyDescent="0.25">
      <c r="A42">
        <v>49</v>
      </c>
      <c r="B42" t="s">
        <v>57</v>
      </c>
      <c r="C42" t="s">
        <v>417</v>
      </c>
      <c r="D42" t="s">
        <v>412</v>
      </c>
      <c r="E42">
        <v>3709</v>
      </c>
      <c r="F42">
        <v>50</v>
      </c>
      <c r="G42">
        <v>70</v>
      </c>
      <c r="R42">
        <v>49</v>
      </c>
      <c r="S42" t="s">
        <v>57</v>
      </c>
      <c r="T42" t="s">
        <v>417</v>
      </c>
      <c r="U42" t="s">
        <v>412</v>
      </c>
      <c r="V42">
        <v>3297</v>
      </c>
      <c r="W42">
        <v>23</v>
      </c>
      <c r="X42">
        <v>70</v>
      </c>
    </row>
    <row r="43" spans="1:24" x14ac:dyDescent="0.25">
      <c r="A43">
        <v>52</v>
      </c>
      <c r="B43" t="s">
        <v>250</v>
      </c>
      <c r="C43" t="s">
        <v>418</v>
      </c>
      <c r="D43" t="s">
        <v>414</v>
      </c>
      <c r="E43">
        <v>6974</v>
      </c>
      <c r="F43">
        <v>26</v>
      </c>
      <c r="G43">
        <v>75</v>
      </c>
      <c r="R43">
        <v>52</v>
      </c>
      <c r="S43" t="s">
        <v>250</v>
      </c>
      <c r="T43" t="s">
        <v>418</v>
      </c>
      <c r="U43" t="s">
        <v>414</v>
      </c>
      <c r="V43">
        <v>5960</v>
      </c>
      <c r="W43">
        <v>11</v>
      </c>
      <c r="X43">
        <v>75</v>
      </c>
    </row>
    <row r="44" spans="1:24" x14ac:dyDescent="0.25">
      <c r="A44">
        <v>53</v>
      </c>
      <c r="B44" t="s">
        <v>251</v>
      </c>
      <c r="C44" t="s">
        <v>418</v>
      </c>
      <c r="D44" t="s">
        <v>414</v>
      </c>
      <c r="E44">
        <v>6956</v>
      </c>
      <c r="F44">
        <v>26</v>
      </c>
      <c r="G44">
        <v>38</v>
      </c>
      <c r="R44">
        <v>53</v>
      </c>
      <c r="S44" t="s">
        <v>251</v>
      </c>
      <c r="T44" t="s">
        <v>418</v>
      </c>
      <c r="U44" t="s">
        <v>414</v>
      </c>
      <c r="V44">
        <v>5960</v>
      </c>
      <c r="W44">
        <v>11</v>
      </c>
      <c r="X44">
        <v>38</v>
      </c>
    </row>
    <row r="45" spans="1:24" x14ac:dyDescent="0.25">
      <c r="A45">
        <v>54</v>
      </c>
      <c r="B45" t="s">
        <v>252</v>
      </c>
      <c r="C45" t="s">
        <v>418</v>
      </c>
      <c r="D45" t="s">
        <v>414</v>
      </c>
      <c r="E45">
        <v>7194</v>
      </c>
      <c r="F45">
        <v>27</v>
      </c>
      <c r="G45">
        <v>72</v>
      </c>
      <c r="R45">
        <v>54</v>
      </c>
      <c r="S45" t="s">
        <v>252</v>
      </c>
      <c r="T45" t="s">
        <v>418</v>
      </c>
      <c r="U45" t="s">
        <v>414</v>
      </c>
      <c r="V45">
        <v>6165</v>
      </c>
      <c r="W45">
        <v>11</v>
      </c>
      <c r="X45">
        <v>72</v>
      </c>
    </row>
    <row r="46" spans="1:24" x14ac:dyDescent="0.25">
      <c r="A46">
        <v>55</v>
      </c>
      <c r="B46" t="s">
        <v>253</v>
      </c>
      <c r="C46" t="s">
        <v>418</v>
      </c>
      <c r="D46" t="s">
        <v>414</v>
      </c>
      <c r="E46">
        <v>7137</v>
      </c>
      <c r="F46">
        <v>27</v>
      </c>
      <c r="G46">
        <v>17</v>
      </c>
      <c r="R46">
        <v>55</v>
      </c>
      <c r="S46" t="s">
        <v>253</v>
      </c>
      <c r="T46" t="s">
        <v>418</v>
      </c>
      <c r="U46" t="s">
        <v>414</v>
      </c>
      <c r="V46">
        <v>6116</v>
      </c>
      <c r="W46">
        <v>11</v>
      </c>
      <c r="X46">
        <v>17</v>
      </c>
    </row>
    <row r="47" spans="1:24" x14ac:dyDescent="0.25">
      <c r="A47">
        <v>58</v>
      </c>
      <c r="B47" t="s">
        <v>254</v>
      </c>
      <c r="C47" t="s">
        <v>418</v>
      </c>
      <c r="D47" t="s">
        <v>414</v>
      </c>
      <c r="E47">
        <v>7385</v>
      </c>
      <c r="F47">
        <v>28</v>
      </c>
      <c r="G47">
        <v>51</v>
      </c>
      <c r="R47">
        <v>58</v>
      </c>
      <c r="S47" t="s">
        <v>254</v>
      </c>
      <c r="T47" t="s">
        <v>418</v>
      </c>
      <c r="U47" t="s">
        <v>414</v>
      </c>
      <c r="V47">
        <v>6339</v>
      </c>
      <c r="W47">
        <v>11</v>
      </c>
      <c r="X47">
        <v>51</v>
      </c>
    </row>
    <row r="48" spans="1:24" x14ac:dyDescent="0.25">
      <c r="A48">
        <v>59</v>
      </c>
      <c r="B48" t="s">
        <v>255</v>
      </c>
      <c r="C48" t="s">
        <v>418</v>
      </c>
      <c r="D48" t="s">
        <v>414</v>
      </c>
      <c r="E48">
        <v>7385</v>
      </c>
      <c r="F48">
        <v>28</v>
      </c>
      <c r="G48">
        <v>36</v>
      </c>
      <c r="R48">
        <v>59</v>
      </c>
      <c r="S48" t="s">
        <v>255</v>
      </c>
      <c r="T48" t="s">
        <v>418</v>
      </c>
      <c r="U48" t="s">
        <v>414</v>
      </c>
      <c r="V48">
        <v>6339</v>
      </c>
      <c r="W48">
        <v>11</v>
      </c>
      <c r="X48">
        <v>36</v>
      </c>
    </row>
    <row r="49" spans="1:24" x14ac:dyDescent="0.25">
      <c r="A49">
        <v>60</v>
      </c>
      <c r="B49" t="s">
        <v>256</v>
      </c>
      <c r="C49" t="s">
        <v>418</v>
      </c>
      <c r="D49" t="s">
        <v>414</v>
      </c>
      <c r="E49">
        <v>7456</v>
      </c>
      <c r="F49">
        <v>30</v>
      </c>
      <c r="G49">
        <v>67</v>
      </c>
      <c r="R49">
        <v>60</v>
      </c>
      <c r="S49" t="s">
        <v>256</v>
      </c>
      <c r="T49" t="s">
        <v>418</v>
      </c>
      <c r="U49" t="s">
        <v>414</v>
      </c>
      <c r="V49">
        <v>6416</v>
      </c>
      <c r="W49">
        <v>11</v>
      </c>
      <c r="X49">
        <v>67</v>
      </c>
    </row>
    <row r="50" spans="1:24" x14ac:dyDescent="0.25">
      <c r="A50">
        <v>61</v>
      </c>
      <c r="B50" t="s">
        <v>257</v>
      </c>
      <c r="C50" t="s">
        <v>418</v>
      </c>
      <c r="D50" t="s">
        <v>414</v>
      </c>
      <c r="E50">
        <v>7514</v>
      </c>
      <c r="F50">
        <v>30</v>
      </c>
      <c r="G50">
        <v>70</v>
      </c>
      <c r="R50">
        <v>61</v>
      </c>
      <c r="S50" t="s">
        <v>257</v>
      </c>
      <c r="T50" t="s">
        <v>418</v>
      </c>
      <c r="U50" t="s">
        <v>414</v>
      </c>
      <c r="V50">
        <v>6466</v>
      </c>
      <c r="W50">
        <v>11</v>
      </c>
      <c r="X50">
        <v>70</v>
      </c>
    </row>
    <row r="51" spans="1:24" x14ac:dyDescent="0.25">
      <c r="A51">
        <v>62</v>
      </c>
      <c r="B51" t="s">
        <v>258</v>
      </c>
      <c r="C51" t="s">
        <v>418</v>
      </c>
      <c r="D51" t="s">
        <v>414</v>
      </c>
      <c r="E51">
        <v>7456</v>
      </c>
      <c r="F51">
        <v>11</v>
      </c>
      <c r="G51">
        <v>61</v>
      </c>
      <c r="R51">
        <v>62</v>
      </c>
      <c r="S51" t="s">
        <v>258</v>
      </c>
      <c r="T51" t="s">
        <v>418</v>
      </c>
      <c r="U51" t="s">
        <v>414</v>
      </c>
      <c r="V51">
        <v>6416</v>
      </c>
      <c r="W51">
        <v>11</v>
      </c>
      <c r="X51">
        <v>61</v>
      </c>
    </row>
    <row r="52" spans="1:24" x14ac:dyDescent="0.25">
      <c r="A52">
        <v>63</v>
      </c>
      <c r="B52" t="s">
        <v>259</v>
      </c>
      <c r="C52" t="s">
        <v>418</v>
      </c>
      <c r="D52" t="s">
        <v>414</v>
      </c>
      <c r="E52">
        <v>7852</v>
      </c>
      <c r="F52">
        <v>33</v>
      </c>
      <c r="G52">
        <v>81</v>
      </c>
      <c r="R52">
        <v>63</v>
      </c>
      <c r="S52" t="s">
        <v>259</v>
      </c>
      <c r="T52" t="s">
        <v>418</v>
      </c>
      <c r="U52" t="s">
        <v>414</v>
      </c>
      <c r="V52">
        <v>6798</v>
      </c>
      <c r="W52">
        <v>18</v>
      </c>
      <c r="X52">
        <v>81</v>
      </c>
    </row>
    <row r="53" spans="1:24" x14ac:dyDescent="0.25">
      <c r="A53">
        <v>64</v>
      </c>
      <c r="B53" t="s">
        <v>260</v>
      </c>
      <c r="C53" t="s">
        <v>418</v>
      </c>
      <c r="D53" t="s">
        <v>414</v>
      </c>
      <c r="E53">
        <v>8080</v>
      </c>
      <c r="F53">
        <v>33</v>
      </c>
      <c r="G53">
        <v>89</v>
      </c>
      <c r="R53">
        <v>64</v>
      </c>
      <c r="S53" t="s">
        <v>260</v>
      </c>
      <c r="T53" t="s">
        <v>418</v>
      </c>
      <c r="U53" t="s">
        <v>414</v>
      </c>
      <c r="V53">
        <v>6996</v>
      </c>
      <c r="W53">
        <v>18</v>
      </c>
      <c r="X53">
        <v>89</v>
      </c>
    </row>
    <row r="54" spans="1:24" x14ac:dyDescent="0.25">
      <c r="A54">
        <v>65</v>
      </c>
      <c r="B54" t="s">
        <v>261</v>
      </c>
      <c r="C54" t="s">
        <v>418</v>
      </c>
      <c r="D54" t="s">
        <v>414</v>
      </c>
      <c r="E54">
        <v>8031</v>
      </c>
      <c r="F54">
        <v>33</v>
      </c>
      <c r="G54">
        <v>76</v>
      </c>
      <c r="R54">
        <v>65</v>
      </c>
      <c r="S54" t="s">
        <v>261</v>
      </c>
      <c r="T54" t="s">
        <v>418</v>
      </c>
      <c r="U54" t="s">
        <v>414</v>
      </c>
      <c r="V54">
        <v>6953</v>
      </c>
      <c r="W54">
        <v>18</v>
      </c>
      <c r="X54">
        <v>76</v>
      </c>
    </row>
    <row r="55" spans="1:24" x14ac:dyDescent="0.25">
      <c r="A55">
        <v>70</v>
      </c>
      <c r="B55" t="s">
        <v>321</v>
      </c>
      <c r="C55" t="s">
        <v>431</v>
      </c>
      <c r="D55" t="s">
        <v>413</v>
      </c>
      <c r="E55">
        <v>4691</v>
      </c>
      <c r="F55">
        <v>66</v>
      </c>
      <c r="G55">
        <v>68</v>
      </c>
      <c r="R55">
        <v>70</v>
      </c>
      <c r="S55" t="s">
        <v>321</v>
      </c>
      <c r="T55" t="s">
        <v>431</v>
      </c>
      <c r="U55" t="s">
        <v>413</v>
      </c>
      <c r="V55">
        <v>4044</v>
      </c>
      <c r="W55">
        <v>39</v>
      </c>
      <c r="X55">
        <v>68</v>
      </c>
    </row>
    <row r="56" spans="1:24" x14ac:dyDescent="0.25">
      <c r="A56">
        <v>71</v>
      </c>
      <c r="B56" s="2" t="s">
        <v>361</v>
      </c>
      <c r="C56" t="s">
        <v>431</v>
      </c>
      <c r="D56" t="s">
        <v>413</v>
      </c>
      <c r="E56">
        <v>3953</v>
      </c>
      <c r="F56">
        <v>67</v>
      </c>
      <c r="G56">
        <v>78</v>
      </c>
      <c r="R56">
        <v>71</v>
      </c>
      <c r="S56" t="s">
        <v>361</v>
      </c>
      <c r="T56" t="s">
        <v>431</v>
      </c>
      <c r="U56" t="s">
        <v>413</v>
      </c>
      <c r="V56">
        <v>3379</v>
      </c>
      <c r="W56">
        <v>39</v>
      </c>
      <c r="X56">
        <v>78</v>
      </c>
    </row>
    <row r="57" spans="1:24" x14ac:dyDescent="0.25">
      <c r="A57">
        <v>72</v>
      </c>
      <c r="B57" t="s">
        <v>316</v>
      </c>
      <c r="C57" t="s">
        <v>431</v>
      </c>
      <c r="D57" t="s">
        <v>413</v>
      </c>
      <c r="E57">
        <v>4460</v>
      </c>
      <c r="F57">
        <v>80</v>
      </c>
      <c r="G57">
        <v>32</v>
      </c>
      <c r="R57">
        <v>72</v>
      </c>
      <c r="S57" t="s">
        <v>316</v>
      </c>
      <c r="T57" t="s">
        <v>431</v>
      </c>
      <c r="U57" t="s">
        <v>413</v>
      </c>
      <c r="V57">
        <v>3845</v>
      </c>
      <c r="W57">
        <v>38</v>
      </c>
      <c r="X57">
        <v>32</v>
      </c>
    </row>
    <row r="58" spans="1:24" x14ac:dyDescent="0.25">
      <c r="A58">
        <v>73</v>
      </c>
      <c r="B58" t="s">
        <v>331</v>
      </c>
      <c r="C58" t="s">
        <v>432</v>
      </c>
      <c r="D58" t="s">
        <v>413</v>
      </c>
      <c r="E58">
        <v>6912</v>
      </c>
      <c r="F58">
        <v>57</v>
      </c>
      <c r="G58">
        <v>35</v>
      </c>
      <c r="R58">
        <v>73</v>
      </c>
      <c r="S58" t="s">
        <v>331</v>
      </c>
      <c r="T58" t="s">
        <v>432</v>
      </c>
      <c r="U58" t="s">
        <v>413</v>
      </c>
      <c r="V58">
        <v>6116</v>
      </c>
      <c r="W58">
        <v>34</v>
      </c>
      <c r="X58">
        <v>35</v>
      </c>
    </row>
    <row r="59" spans="1:24" x14ac:dyDescent="0.25">
      <c r="A59">
        <v>74</v>
      </c>
      <c r="B59" t="s">
        <v>332</v>
      </c>
      <c r="C59" t="s">
        <v>432</v>
      </c>
      <c r="D59" t="s">
        <v>413</v>
      </c>
      <c r="E59">
        <v>6912</v>
      </c>
      <c r="F59">
        <v>57</v>
      </c>
      <c r="G59">
        <v>66</v>
      </c>
      <c r="R59">
        <v>74</v>
      </c>
      <c r="S59" t="s">
        <v>332</v>
      </c>
      <c r="T59" t="s">
        <v>432</v>
      </c>
      <c r="U59" t="s">
        <v>413</v>
      </c>
      <c r="V59">
        <v>6116</v>
      </c>
      <c r="W59">
        <v>34</v>
      </c>
      <c r="X59">
        <v>66</v>
      </c>
    </row>
    <row r="60" spans="1:24" x14ac:dyDescent="0.25">
      <c r="A60">
        <v>75</v>
      </c>
      <c r="B60" t="s">
        <v>319</v>
      </c>
      <c r="C60" t="s">
        <v>431</v>
      </c>
      <c r="D60" t="s">
        <v>413</v>
      </c>
      <c r="E60">
        <v>4779</v>
      </c>
      <c r="F60">
        <v>73</v>
      </c>
      <c r="G60">
        <v>71</v>
      </c>
      <c r="R60">
        <v>75</v>
      </c>
      <c r="S60" t="s">
        <v>319</v>
      </c>
      <c r="T60" t="s">
        <v>431</v>
      </c>
      <c r="U60" t="s">
        <v>413</v>
      </c>
      <c r="V60">
        <v>4120</v>
      </c>
      <c r="W60">
        <v>49</v>
      </c>
      <c r="X60">
        <v>71</v>
      </c>
    </row>
    <row r="61" spans="1:24" x14ac:dyDescent="0.25">
      <c r="A61">
        <v>76</v>
      </c>
      <c r="B61" t="s">
        <v>328</v>
      </c>
      <c r="C61" t="s">
        <v>432</v>
      </c>
      <c r="D61" t="s">
        <v>413</v>
      </c>
      <c r="E61">
        <v>5797</v>
      </c>
      <c r="F61">
        <v>54</v>
      </c>
      <c r="G61">
        <v>39</v>
      </c>
      <c r="R61">
        <v>76</v>
      </c>
      <c r="S61" t="s">
        <v>328</v>
      </c>
      <c r="T61" t="s">
        <v>432</v>
      </c>
      <c r="U61" t="s">
        <v>413</v>
      </c>
      <c r="V61">
        <v>5041</v>
      </c>
      <c r="W61">
        <v>34</v>
      </c>
      <c r="X61">
        <v>39</v>
      </c>
    </row>
    <row r="62" spans="1:24" x14ac:dyDescent="0.25">
      <c r="A62">
        <v>77</v>
      </c>
      <c r="B62" t="s">
        <v>340</v>
      </c>
      <c r="C62" t="s">
        <v>432</v>
      </c>
      <c r="D62" t="s">
        <v>413</v>
      </c>
      <c r="E62">
        <v>6193</v>
      </c>
      <c r="F62">
        <v>62</v>
      </c>
      <c r="G62">
        <v>93</v>
      </c>
      <c r="R62">
        <v>77</v>
      </c>
      <c r="S62" t="s">
        <v>340</v>
      </c>
      <c r="T62" t="s">
        <v>432</v>
      </c>
      <c r="U62" t="s">
        <v>413</v>
      </c>
      <c r="V62">
        <v>5385</v>
      </c>
      <c r="W62">
        <v>49</v>
      </c>
      <c r="X62">
        <v>93</v>
      </c>
    </row>
    <row r="63" spans="1:24" x14ac:dyDescent="0.25">
      <c r="A63">
        <v>78</v>
      </c>
      <c r="B63" t="s">
        <v>336</v>
      </c>
      <c r="C63" t="s">
        <v>432</v>
      </c>
      <c r="D63" t="s">
        <v>413</v>
      </c>
      <c r="E63">
        <v>5823</v>
      </c>
      <c r="F63">
        <v>54</v>
      </c>
      <c r="G63">
        <v>15</v>
      </c>
      <c r="R63">
        <v>78</v>
      </c>
      <c r="S63" t="s">
        <v>336</v>
      </c>
      <c r="T63" t="s">
        <v>432</v>
      </c>
      <c r="U63" t="s">
        <v>413</v>
      </c>
      <c r="V63">
        <v>5063</v>
      </c>
      <c r="W63">
        <v>34</v>
      </c>
      <c r="X63">
        <v>15</v>
      </c>
    </row>
    <row r="64" spans="1:24" x14ac:dyDescent="0.25">
      <c r="A64">
        <v>79</v>
      </c>
      <c r="B64" t="s">
        <v>323</v>
      </c>
      <c r="C64" t="s">
        <v>432</v>
      </c>
      <c r="D64" t="s">
        <v>413</v>
      </c>
      <c r="E64">
        <v>4219</v>
      </c>
      <c r="F64">
        <v>31</v>
      </c>
      <c r="G64">
        <v>20</v>
      </c>
      <c r="R64">
        <v>79</v>
      </c>
      <c r="S64" t="s">
        <v>323</v>
      </c>
      <c r="T64" t="s">
        <v>432</v>
      </c>
      <c r="U64" t="s">
        <v>413</v>
      </c>
      <c r="V64">
        <v>4219</v>
      </c>
      <c r="W64">
        <v>31</v>
      </c>
      <c r="X64">
        <v>20</v>
      </c>
    </row>
    <row r="65" spans="1:27" x14ac:dyDescent="0.25">
      <c r="A65">
        <v>80</v>
      </c>
      <c r="B65" t="s">
        <v>262</v>
      </c>
      <c r="C65" t="s">
        <v>433</v>
      </c>
      <c r="D65" t="s">
        <v>412</v>
      </c>
      <c r="E65">
        <v>4624</v>
      </c>
      <c r="F65">
        <v>43</v>
      </c>
      <c r="G65">
        <v>79</v>
      </c>
      <c r="R65">
        <v>80</v>
      </c>
      <c r="S65" t="s">
        <v>262</v>
      </c>
      <c r="T65" t="s">
        <v>433</v>
      </c>
      <c r="U65" t="s">
        <v>412</v>
      </c>
      <c r="V65">
        <v>3986</v>
      </c>
      <c r="W65">
        <v>16</v>
      </c>
      <c r="X65">
        <v>79</v>
      </c>
    </row>
    <row r="66" spans="1:27" x14ac:dyDescent="0.25">
      <c r="A66">
        <v>81</v>
      </c>
      <c r="B66" t="s">
        <v>58</v>
      </c>
      <c r="C66" t="s">
        <v>405</v>
      </c>
      <c r="D66" t="s">
        <v>412</v>
      </c>
      <c r="E66">
        <v>1370</v>
      </c>
      <c r="F66">
        <v>211</v>
      </c>
      <c r="G66">
        <v>72</v>
      </c>
      <c r="R66">
        <v>81</v>
      </c>
      <c r="S66" t="s">
        <v>58</v>
      </c>
      <c r="T66" t="s">
        <v>405</v>
      </c>
      <c r="U66" t="s">
        <v>412</v>
      </c>
      <c r="V66">
        <v>1142</v>
      </c>
      <c r="W66">
        <v>205</v>
      </c>
      <c r="X66">
        <v>72</v>
      </c>
    </row>
    <row r="67" spans="1:27" x14ac:dyDescent="0.25">
      <c r="A67">
        <v>82</v>
      </c>
      <c r="B67" s="2" t="s">
        <v>59</v>
      </c>
      <c r="C67" t="s">
        <v>405</v>
      </c>
      <c r="D67" t="s">
        <v>412</v>
      </c>
      <c r="E67">
        <v>1370</v>
      </c>
      <c r="F67">
        <v>209</v>
      </c>
      <c r="G67">
        <v>43</v>
      </c>
      <c r="R67">
        <v>82</v>
      </c>
      <c r="S67" t="s">
        <v>59</v>
      </c>
      <c r="T67" t="s">
        <v>405</v>
      </c>
      <c r="U67" t="s">
        <v>412</v>
      </c>
      <c r="V67">
        <v>1142</v>
      </c>
      <c r="W67">
        <v>203</v>
      </c>
      <c r="X67">
        <v>43</v>
      </c>
    </row>
    <row r="68" spans="1:27" x14ac:dyDescent="0.25">
      <c r="A68">
        <v>83</v>
      </c>
      <c r="B68" t="s">
        <v>61</v>
      </c>
      <c r="C68" t="s">
        <v>405</v>
      </c>
      <c r="D68" t="s">
        <v>412</v>
      </c>
      <c r="E68">
        <v>1370</v>
      </c>
      <c r="F68">
        <v>209</v>
      </c>
      <c r="G68">
        <v>35</v>
      </c>
      <c r="R68">
        <v>83</v>
      </c>
      <c r="S68" t="s">
        <v>61</v>
      </c>
      <c r="T68" t="s">
        <v>405</v>
      </c>
      <c r="U68" t="s">
        <v>412</v>
      </c>
      <c r="V68">
        <v>1142</v>
      </c>
      <c r="W68">
        <v>203</v>
      </c>
      <c r="X68">
        <v>35</v>
      </c>
    </row>
    <row r="69" spans="1:27" x14ac:dyDescent="0.25">
      <c r="A69">
        <v>86</v>
      </c>
      <c r="B69" s="2" t="s">
        <v>63</v>
      </c>
      <c r="C69" t="s">
        <v>405</v>
      </c>
      <c r="D69" t="s">
        <v>412</v>
      </c>
      <c r="E69">
        <v>1349</v>
      </c>
      <c r="F69">
        <v>209</v>
      </c>
      <c r="G69">
        <v>71</v>
      </c>
      <c r="J69">
        <v>0.18</v>
      </c>
      <c r="R69">
        <v>86</v>
      </c>
      <c r="S69" t="s">
        <v>63</v>
      </c>
      <c r="T69" t="s">
        <v>405</v>
      </c>
      <c r="U69" t="s">
        <v>412</v>
      </c>
      <c r="V69">
        <v>1124</v>
      </c>
      <c r="W69">
        <v>203</v>
      </c>
      <c r="X69">
        <v>71</v>
      </c>
      <c r="AA69">
        <v>0.18</v>
      </c>
    </row>
    <row r="70" spans="1:27" x14ac:dyDescent="0.25">
      <c r="A70">
        <v>87</v>
      </c>
      <c r="B70" s="2" t="s">
        <v>64</v>
      </c>
      <c r="C70" t="s">
        <v>405</v>
      </c>
      <c r="D70" t="s">
        <v>412</v>
      </c>
      <c r="E70">
        <v>1349</v>
      </c>
      <c r="F70">
        <v>209</v>
      </c>
      <c r="G70">
        <v>65</v>
      </c>
      <c r="J70">
        <v>0.18</v>
      </c>
      <c r="R70">
        <v>87</v>
      </c>
      <c r="S70" t="s">
        <v>64</v>
      </c>
      <c r="T70" t="s">
        <v>405</v>
      </c>
      <c r="U70" t="s">
        <v>412</v>
      </c>
      <c r="V70">
        <v>1124</v>
      </c>
      <c r="W70">
        <v>203</v>
      </c>
      <c r="X70">
        <v>65</v>
      </c>
      <c r="AA70">
        <v>0.18</v>
      </c>
    </row>
    <row r="71" spans="1:27" x14ac:dyDescent="0.25">
      <c r="A71">
        <v>88</v>
      </c>
      <c r="B71" s="2" t="s">
        <v>65</v>
      </c>
      <c r="C71" t="s">
        <v>405</v>
      </c>
      <c r="D71" t="s">
        <v>412</v>
      </c>
      <c r="E71">
        <v>1359</v>
      </c>
      <c r="F71">
        <v>210</v>
      </c>
      <c r="G71">
        <v>54</v>
      </c>
      <c r="R71">
        <v>88</v>
      </c>
      <c r="S71" t="s">
        <v>65</v>
      </c>
      <c r="T71" t="s">
        <v>405</v>
      </c>
      <c r="U71" t="s">
        <v>412</v>
      </c>
      <c r="V71">
        <v>1133</v>
      </c>
      <c r="W71">
        <v>204</v>
      </c>
      <c r="X71">
        <v>54</v>
      </c>
    </row>
    <row r="72" spans="1:27" x14ac:dyDescent="0.25">
      <c r="A72">
        <v>89</v>
      </c>
      <c r="B72" t="s">
        <v>67</v>
      </c>
      <c r="C72" t="s">
        <v>405</v>
      </c>
      <c r="D72" t="s">
        <v>412</v>
      </c>
      <c r="E72">
        <v>1359</v>
      </c>
      <c r="F72">
        <v>210</v>
      </c>
      <c r="G72">
        <v>35</v>
      </c>
      <c r="J72">
        <v>0.18</v>
      </c>
      <c r="R72">
        <v>89</v>
      </c>
      <c r="S72" t="s">
        <v>67</v>
      </c>
      <c r="T72" t="s">
        <v>405</v>
      </c>
      <c r="U72" t="s">
        <v>412</v>
      </c>
      <c r="V72">
        <v>1133</v>
      </c>
      <c r="W72">
        <v>204</v>
      </c>
      <c r="X72">
        <v>35</v>
      </c>
      <c r="AA72">
        <v>0.18</v>
      </c>
    </row>
    <row r="73" spans="1:27" x14ac:dyDescent="0.25">
      <c r="A73">
        <v>90</v>
      </c>
      <c r="B73" s="2" t="s">
        <v>69</v>
      </c>
      <c r="C73" t="s">
        <v>405</v>
      </c>
      <c r="D73" t="s">
        <v>412</v>
      </c>
      <c r="E73">
        <v>1359</v>
      </c>
      <c r="F73">
        <v>210</v>
      </c>
      <c r="G73">
        <v>72</v>
      </c>
      <c r="J73">
        <v>0.18</v>
      </c>
      <c r="R73">
        <v>90</v>
      </c>
      <c r="S73" t="s">
        <v>69</v>
      </c>
      <c r="T73" t="s">
        <v>405</v>
      </c>
      <c r="U73" t="s">
        <v>412</v>
      </c>
      <c r="V73">
        <v>1133</v>
      </c>
      <c r="W73">
        <v>204</v>
      </c>
      <c r="X73">
        <v>72</v>
      </c>
      <c r="AA73">
        <v>0.18</v>
      </c>
    </row>
    <row r="74" spans="1:27" x14ac:dyDescent="0.25">
      <c r="A74">
        <v>91</v>
      </c>
      <c r="B74" t="s">
        <v>71</v>
      </c>
      <c r="C74" t="s">
        <v>405</v>
      </c>
      <c r="D74" t="s">
        <v>412</v>
      </c>
      <c r="E74">
        <v>1373</v>
      </c>
      <c r="F74">
        <v>209</v>
      </c>
      <c r="G74">
        <v>68</v>
      </c>
      <c r="R74">
        <v>91</v>
      </c>
      <c r="S74" t="s">
        <v>71</v>
      </c>
      <c r="T74" t="s">
        <v>405</v>
      </c>
      <c r="U74" t="s">
        <v>412</v>
      </c>
      <c r="V74">
        <v>1144</v>
      </c>
      <c r="W74">
        <v>203</v>
      </c>
      <c r="X74">
        <v>68</v>
      </c>
    </row>
    <row r="75" spans="1:27" x14ac:dyDescent="0.25">
      <c r="A75">
        <v>92</v>
      </c>
      <c r="B75" t="s">
        <v>73</v>
      </c>
      <c r="C75" t="s">
        <v>405</v>
      </c>
      <c r="D75" t="s">
        <v>412</v>
      </c>
      <c r="E75">
        <v>1402</v>
      </c>
      <c r="F75">
        <v>209</v>
      </c>
      <c r="G75">
        <v>68</v>
      </c>
      <c r="J75">
        <v>0.18</v>
      </c>
      <c r="R75">
        <v>92</v>
      </c>
      <c r="S75" t="s">
        <v>73</v>
      </c>
      <c r="T75" t="s">
        <v>405</v>
      </c>
      <c r="U75" t="s">
        <v>412</v>
      </c>
      <c r="V75">
        <v>1168</v>
      </c>
      <c r="W75">
        <v>203</v>
      </c>
      <c r="X75">
        <v>68</v>
      </c>
      <c r="AA75">
        <v>0.18</v>
      </c>
    </row>
    <row r="76" spans="1:27" x14ac:dyDescent="0.25">
      <c r="A76">
        <v>94</v>
      </c>
      <c r="B76" s="2" t="s">
        <v>75</v>
      </c>
      <c r="C76" t="s">
        <v>405</v>
      </c>
      <c r="D76" t="s">
        <v>412</v>
      </c>
      <c r="E76">
        <v>1518</v>
      </c>
      <c r="F76">
        <v>210</v>
      </c>
      <c r="G76">
        <v>32</v>
      </c>
      <c r="J76">
        <v>0.18</v>
      </c>
      <c r="R76">
        <v>93</v>
      </c>
      <c r="S76" t="s">
        <v>75</v>
      </c>
      <c r="T76" t="s">
        <v>405</v>
      </c>
      <c r="U76" t="s">
        <v>412</v>
      </c>
      <c r="V76">
        <v>1265</v>
      </c>
      <c r="W76">
        <v>204</v>
      </c>
      <c r="X76">
        <v>32</v>
      </c>
      <c r="AA76">
        <v>0.18</v>
      </c>
    </row>
    <row r="77" spans="1:27" x14ac:dyDescent="0.25">
      <c r="A77">
        <v>94</v>
      </c>
      <c r="B77" s="2" t="s">
        <v>76</v>
      </c>
      <c r="C77" t="s">
        <v>405</v>
      </c>
      <c r="D77" t="s">
        <v>412</v>
      </c>
      <c r="E77">
        <v>1412</v>
      </c>
      <c r="F77">
        <v>210</v>
      </c>
      <c r="G77">
        <v>36</v>
      </c>
      <c r="J77">
        <v>0.18</v>
      </c>
      <c r="R77">
        <v>94</v>
      </c>
      <c r="S77" t="s">
        <v>76</v>
      </c>
      <c r="T77" t="s">
        <v>405</v>
      </c>
      <c r="U77" t="s">
        <v>412</v>
      </c>
      <c r="V77">
        <v>1177</v>
      </c>
      <c r="W77">
        <v>204</v>
      </c>
      <c r="X77">
        <v>36</v>
      </c>
      <c r="AA77">
        <v>0.18</v>
      </c>
    </row>
    <row r="78" spans="1:27" x14ac:dyDescent="0.25">
      <c r="A78">
        <v>96</v>
      </c>
      <c r="B78" t="s">
        <v>438</v>
      </c>
      <c r="C78" t="s">
        <v>405</v>
      </c>
      <c r="D78" t="s">
        <v>412</v>
      </c>
      <c r="E78">
        <v>1518</v>
      </c>
      <c r="F78">
        <v>210</v>
      </c>
      <c r="G78">
        <v>40</v>
      </c>
      <c r="R78">
        <v>96</v>
      </c>
      <c r="S78" t="s">
        <v>438</v>
      </c>
      <c r="T78" t="s">
        <v>405</v>
      </c>
      <c r="U78" t="s">
        <v>412</v>
      </c>
      <c r="V78">
        <v>1265</v>
      </c>
      <c r="W78">
        <v>204</v>
      </c>
      <c r="X78">
        <v>40</v>
      </c>
    </row>
    <row r="79" spans="1:27" x14ac:dyDescent="0.25">
      <c r="A79">
        <v>100</v>
      </c>
      <c r="B79" t="s">
        <v>441</v>
      </c>
      <c r="C79" t="s">
        <v>405</v>
      </c>
      <c r="D79" t="s">
        <v>412</v>
      </c>
      <c r="E79">
        <v>1370</v>
      </c>
      <c r="F79">
        <v>210</v>
      </c>
      <c r="G79">
        <v>24</v>
      </c>
      <c r="R79">
        <v>100</v>
      </c>
      <c r="S79" t="s">
        <v>441</v>
      </c>
      <c r="T79" t="s">
        <v>405</v>
      </c>
      <c r="U79" t="s">
        <v>412</v>
      </c>
      <c r="V79">
        <v>1142</v>
      </c>
      <c r="W79">
        <v>204</v>
      </c>
      <c r="X79">
        <v>24</v>
      </c>
    </row>
    <row r="80" spans="1:27" x14ac:dyDescent="0.25">
      <c r="A80">
        <v>101</v>
      </c>
      <c r="B80" t="s">
        <v>77</v>
      </c>
      <c r="C80" t="s">
        <v>405</v>
      </c>
      <c r="D80" t="s">
        <v>412</v>
      </c>
      <c r="E80">
        <v>1581</v>
      </c>
      <c r="F80">
        <v>210</v>
      </c>
      <c r="G80">
        <v>65</v>
      </c>
      <c r="R80">
        <v>101</v>
      </c>
      <c r="S80" t="s">
        <v>77</v>
      </c>
      <c r="T80" t="s">
        <v>405</v>
      </c>
      <c r="U80" t="s">
        <v>412</v>
      </c>
      <c r="V80">
        <v>1317</v>
      </c>
      <c r="W80">
        <v>204</v>
      </c>
      <c r="X80">
        <v>65</v>
      </c>
    </row>
    <row r="81" spans="1:24" x14ac:dyDescent="0.25">
      <c r="A81">
        <v>102</v>
      </c>
      <c r="B81" s="2" t="s">
        <v>79</v>
      </c>
      <c r="C81" t="s">
        <v>405</v>
      </c>
      <c r="D81" t="s">
        <v>412</v>
      </c>
      <c r="E81">
        <v>1536</v>
      </c>
      <c r="F81">
        <v>210</v>
      </c>
      <c r="G81">
        <v>40</v>
      </c>
      <c r="R81">
        <v>102</v>
      </c>
      <c r="S81" t="s">
        <v>79</v>
      </c>
      <c r="T81" t="s">
        <v>405</v>
      </c>
      <c r="U81" t="s">
        <v>412</v>
      </c>
      <c r="V81">
        <v>1280</v>
      </c>
      <c r="W81">
        <v>204</v>
      </c>
      <c r="X81">
        <v>40</v>
      </c>
    </row>
    <row r="82" spans="1:24" x14ac:dyDescent="0.25">
      <c r="A82">
        <v>103</v>
      </c>
      <c r="B82" t="s">
        <v>80</v>
      </c>
      <c r="C82" t="s">
        <v>405</v>
      </c>
      <c r="D82" t="s">
        <v>412</v>
      </c>
      <c r="E82">
        <v>1314</v>
      </c>
      <c r="F82">
        <v>195</v>
      </c>
      <c r="G82">
        <v>42</v>
      </c>
      <c r="R82">
        <v>103</v>
      </c>
      <c r="S82" t="s">
        <v>80</v>
      </c>
      <c r="T82" t="s">
        <v>405</v>
      </c>
      <c r="U82" t="s">
        <v>412</v>
      </c>
      <c r="V82">
        <v>1095</v>
      </c>
      <c r="W82">
        <v>190</v>
      </c>
      <c r="X82">
        <v>42</v>
      </c>
    </row>
    <row r="83" spans="1:24" x14ac:dyDescent="0.25">
      <c r="A83">
        <v>104</v>
      </c>
      <c r="B83" t="s">
        <v>81</v>
      </c>
      <c r="C83" t="s">
        <v>404</v>
      </c>
      <c r="D83" t="s">
        <v>412</v>
      </c>
      <c r="E83">
        <v>3246</v>
      </c>
      <c r="F83">
        <v>102</v>
      </c>
      <c r="G83">
        <v>44</v>
      </c>
      <c r="R83">
        <v>104</v>
      </c>
      <c r="S83" t="s">
        <v>81</v>
      </c>
      <c r="T83" t="s">
        <v>404</v>
      </c>
      <c r="U83" t="s">
        <v>412</v>
      </c>
      <c r="V83">
        <v>2886</v>
      </c>
      <c r="W83">
        <v>77</v>
      </c>
      <c r="X83">
        <v>44</v>
      </c>
    </row>
    <row r="84" spans="1:24" x14ac:dyDescent="0.25">
      <c r="A84">
        <v>105</v>
      </c>
      <c r="B84" s="2" t="s">
        <v>83</v>
      </c>
      <c r="C84" t="s">
        <v>404</v>
      </c>
      <c r="D84" t="s">
        <v>412</v>
      </c>
      <c r="E84">
        <v>2974</v>
      </c>
      <c r="F84">
        <v>97</v>
      </c>
      <c r="G84">
        <v>54</v>
      </c>
      <c r="R84">
        <v>105</v>
      </c>
      <c r="S84" t="s">
        <v>83</v>
      </c>
      <c r="T84" t="s">
        <v>404</v>
      </c>
      <c r="U84" t="s">
        <v>412</v>
      </c>
      <c r="V84">
        <v>2632</v>
      </c>
      <c r="W84">
        <v>73</v>
      </c>
      <c r="X84">
        <v>54</v>
      </c>
    </row>
    <row r="85" spans="1:24" x14ac:dyDescent="0.25">
      <c r="A85">
        <v>106</v>
      </c>
      <c r="B85" t="s">
        <v>85</v>
      </c>
      <c r="C85" t="s">
        <v>404</v>
      </c>
      <c r="D85" t="s">
        <v>412</v>
      </c>
      <c r="E85">
        <v>2974</v>
      </c>
      <c r="F85">
        <v>97</v>
      </c>
      <c r="G85">
        <v>74</v>
      </c>
      <c r="R85">
        <v>106</v>
      </c>
      <c r="S85" t="s">
        <v>85</v>
      </c>
      <c r="T85" t="s">
        <v>404</v>
      </c>
      <c r="U85" t="s">
        <v>412</v>
      </c>
      <c r="V85">
        <v>2632</v>
      </c>
      <c r="W85">
        <v>73</v>
      </c>
      <c r="X85">
        <v>74</v>
      </c>
    </row>
    <row r="86" spans="1:24" x14ac:dyDescent="0.25">
      <c r="A86">
        <v>110</v>
      </c>
      <c r="B86" t="s">
        <v>502</v>
      </c>
      <c r="C86" t="s">
        <v>404</v>
      </c>
      <c r="D86" t="s">
        <v>412</v>
      </c>
      <c r="E86">
        <v>3688</v>
      </c>
      <c r="F86">
        <v>100</v>
      </c>
      <c r="G86">
        <v>32</v>
      </c>
      <c r="R86">
        <v>110</v>
      </c>
      <c r="S86" t="s">
        <v>502</v>
      </c>
      <c r="T86" t="s">
        <v>404</v>
      </c>
      <c r="U86" t="s">
        <v>412</v>
      </c>
      <c r="V86">
        <v>3293</v>
      </c>
      <c r="W86">
        <v>76</v>
      </c>
      <c r="X86">
        <v>32</v>
      </c>
    </row>
    <row r="87" spans="1:24" x14ac:dyDescent="0.25">
      <c r="A87">
        <v>111</v>
      </c>
      <c r="B87" t="s">
        <v>87</v>
      </c>
      <c r="C87" t="s">
        <v>404</v>
      </c>
      <c r="D87" t="s">
        <v>412</v>
      </c>
      <c r="E87">
        <v>3796</v>
      </c>
      <c r="F87">
        <v>100</v>
      </c>
      <c r="G87">
        <v>78</v>
      </c>
      <c r="R87">
        <v>111</v>
      </c>
      <c r="S87" t="s">
        <v>87</v>
      </c>
      <c r="T87" t="s">
        <v>404</v>
      </c>
      <c r="U87" t="s">
        <v>412</v>
      </c>
      <c r="V87">
        <v>3389</v>
      </c>
      <c r="W87">
        <v>76</v>
      </c>
      <c r="X87">
        <v>78</v>
      </c>
    </row>
    <row r="88" spans="1:24" x14ac:dyDescent="0.25">
      <c r="A88">
        <v>114</v>
      </c>
      <c r="B88" t="s">
        <v>88</v>
      </c>
      <c r="C88" t="s">
        <v>404</v>
      </c>
      <c r="D88" t="s">
        <v>412</v>
      </c>
      <c r="E88">
        <v>4486</v>
      </c>
      <c r="F88">
        <v>100</v>
      </c>
      <c r="G88">
        <v>37</v>
      </c>
      <c r="R88">
        <v>114</v>
      </c>
      <c r="S88" t="s">
        <v>88</v>
      </c>
      <c r="T88" t="s">
        <v>404</v>
      </c>
      <c r="U88" t="s">
        <v>412</v>
      </c>
      <c r="V88">
        <v>4078</v>
      </c>
      <c r="W88">
        <v>76</v>
      </c>
      <c r="X88">
        <v>37</v>
      </c>
    </row>
    <row r="89" spans="1:24" x14ac:dyDescent="0.25">
      <c r="A89">
        <v>115</v>
      </c>
      <c r="B89" t="s">
        <v>89</v>
      </c>
      <c r="C89" t="s">
        <v>404</v>
      </c>
      <c r="D89" t="s">
        <v>412</v>
      </c>
      <c r="E89">
        <v>3970</v>
      </c>
      <c r="F89">
        <v>96</v>
      </c>
      <c r="G89">
        <v>88</v>
      </c>
      <c r="R89">
        <v>115</v>
      </c>
      <c r="S89" t="s">
        <v>89</v>
      </c>
      <c r="T89" t="s">
        <v>404</v>
      </c>
      <c r="U89" t="s">
        <v>412</v>
      </c>
      <c r="V89">
        <v>3544</v>
      </c>
      <c r="W89">
        <v>72</v>
      </c>
      <c r="X89">
        <v>88</v>
      </c>
    </row>
    <row r="90" spans="1:24" x14ac:dyDescent="0.25">
      <c r="A90">
        <v>116</v>
      </c>
      <c r="B90" s="2" t="s">
        <v>90</v>
      </c>
      <c r="C90" t="s">
        <v>404</v>
      </c>
      <c r="D90" t="s">
        <v>412</v>
      </c>
      <c r="E90">
        <v>2830</v>
      </c>
      <c r="F90">
        <v>100</v>
      </c>
      <c r="G90">
        <v>69</v>
      </c>
      <c r="R90">
        <v>116</v>
      </c>
      <c r="S90" t="s">
        <v>90</v>
      </c>
      <c r="T90" t="s">
        <v>404</v>
      </c>
      <c r="U90" t="s">
        <v>412</v>
      </c>
      <c r="V90">
        <v>2493</v>
      </c>
      <c r="W90">
        <v>76</v>
      </c>
      <c r="X90">
        <v>69</v>
      </c>
    </row>
    <row r="91" spans="1:24" x14ac:dyDescent="0.25">
      <c r="A91">
        <v>117</v>
      </c>
      <c r="B91" s="2" t="s">
        <v>91</v>
      </c>
      <c r="C91" t="s">
        <v>404</v>
      </c>
      <c r="D91" t="s">
        <v>412</v>
      </c>
      <c r="E91">
        <v>2830</v>
      </c>
      <c r="F91">
        <v>100</v>
      </c>
      <c r="G91">
        <v>26</v>
      </c>
      <c r="R91">
        <v>117</v>
      </c>
      <c r="S91" t="s">
        <v>91</v>
      </c>
      <c r="T91" t="s">
        <v>404</v>
      </c>
      <c r="U91" t="s">
        <v>412</v>
      </c>
      <c r="V91">
        <v>2493</v>
      </c>
      <c r="W91">
        <v>76</v>
      </c>
      <c r="X91">
        <v>26</v>
      </c>
    </row>
    <row r="92" spans="1:24" x14ac:dyDescent="0.25">
      <c r="A92">
        <v>118</v>
      </c>
      <c r="B92" t="s">
        <v>92</v>
      </c>
      <c r="C92" t="s">
        <v>404</v>
      </c>
      <c r="D92" t="s">
        <v>412</v>
      </c>
      <c r="E92">
        <v>2914</v>
      </c>
      <c r="F92">
        <v>100</v>
      </c>
      <c r="G92">
        <v>84</v>
      </c>
      <c r="R92">
        <v>118</v>
      </c>
      <c r="S92" t="s">
        <v>92</v>
      </c>
      <c r="T92" t="s">
        <v>404</v>
      </c>
      <c r="U92" t="s">
        <v>412</v>
      </c>
      <c r="V92">
        <v>2568</v>
      </c>
      <c r="W92">
        <v>76</v>
      </c>
      <c r="X92">
        <v>84</v>
      </c>
    </row>
    <row r="93" spans="1:24" x14ac:dyDescent="0.25">
      <c r="A93">
        <v>119</v>
      </c>
      <c r="B93" t="s">
        <v>93</v>
      </c>
      <c r="C93" t="s">
        <v>417</v>
      </c>
      <c r="D93" t="s">
        <v>412</v>
      </c>
      <c r="E93">
        <v>3561</v>
      </c>
      <c r="F93">
        <v>67</v>
      </c>
      <c r="G93">
        <v>62</v>
      </c>
      <c r="R93">
        <v>119</v>
      </c>
      <c r="S93" t="s">
        <v>93</v>
      </c>
      <c r="T93" t="s">
        <v>417</v>
      </c>
      <c r="U93" t="s">
        <v>412</v>
      </c>
      <c r="V93">
        <v>3137</v>
      </c>
      <c r="W93">
        <v>22</v>
      </c>
      <c r="X93">
        <v>62</v>
      </c>
    </row>
    <row r="94" spans="1:24" x14ac:dyDescent="0.25">
      <c r="A94">
        <v>120</v>
      </c>
      <c r="B94" t="s">
        <v>94</v>
      </c>
      <c r="C94" t="s">
        <v>417</v>
      </c>
      <c r="D94" t="s">
        <v>412</v>
      </c>
      <c r="E94">
        <v>3461</v>
      </c>
      <c r="F94">
        <v>67</v>
      </c>
      <c r="G94">
        <v>75</v>
      </c>
      <c r="R94">
        <v>120</v>
      </c>
      <c r="S94" t="s">
        <v>94</v>
      </c>
      <c r="T94" t="s">
        <v>417</v>
      </c>
      <c r="U94" t="s">
        <v>412</v>
      </c>
      <c r="V94">
        <v>3049</v>
      </c>
      <c r="W94">
        <v>22</v>
      </c>
      <c r="X94">
        <v>75</v>
      </c>
    </row>
    <row r="95" spans="1:24" x14ac:dyDescent="0.25">
      <c r="A95">
        <v>121</v>
      </c>
      <c r="B95" t="s">
        <v>95</v>
      </c>
      <c r="C95" t="s">
        <v>417</v>
      </c>
      <c r="D95" t="s">
        <v>412</v>
      </c>
      <c r="E95">
        <v>3508</v>
      </c>
      <c r="F95">
        <v>65</v>
      </c>
      <c r="G95">
        <v>71</v>
      </c>
      <c r="R95">
        <v>121</v>
      </c>
      <c r="S95" t="s">
        <v>95</v>
      </c>
      <c r="T95" t="s">
        <v>417</v>
      </c>
      <c r="U95" t="s">
        <v>412</v>
      </c>
      <c r="V95">
        <v>3090</v>
      </c>
      <c r="W95">
        <v>21</v>
      </c>
      <c r="X95">
        <v>71</v>
      </c>
    </row>
    <row r="96" spans="1:24" x14ac:dyDescent="0.25">
      <c r="A96">
        <v>122</v>
      </c>
      <c r="B96" t="s">
        <v>96</v>
      </c>
      <c r="C96" t="s">
        <v>417</v>
      </c>
      <c r="D96" t="s">
        <v>412</v>
      </c>
      <c r="E96">
        <v>3474</v>
      </c>
      <c r="F96">
        <v>65</v>
      </c>
      <c r="G96">
        <v>72</v>
      </c>
      <c r="R96">
        <v>122</v>
      </c>
      <c r="S96" t="s">
        <v>96</v>
      </c>
      <c r="T96" t="s">
        <v>417</v>
      </c>
      <c r="U96" t="s">
        <v>412</v>
      </c>
      <c r="V96">
        <v>3074</v>
      </c>
      <c r="W96">
        <v>21</v>
      </c>
      <c r="X96">
        <v>72</v>
      </c>
    </row>
    <row r="97" spans="1:24" x14ac:dyDescent="0.25">
      <c r="A97">
        <v>123</v>
      </c>
      <c r="B97" t="s">
        <v>98</v>
      </c>
      <c r="C97" t="s">
        <v>417</v>
      </c>
      <c r="D97" t="s">
        <v>413</v>
      </c>
      <c r="E97">
        <v>4621</v>
      </c>
      <c r="F97">
        <v>68</v>
      </c>
      <c r="G97">
        <v>69</v>
      </c>
      <c r="R97">
        <v>123</v>
      </c>
      <c r="S97" t="s">
        <v>98</v>
      </c>
      <c r="T97" t="s">
        <v>417</v>
      </c>
      <c r="U97" t="s">
        <v>413</v>
      </c>
      <c r="V97">
        <v>4126</v>
      </c>
      <c r="W97">
        <v>24</v>
      </c>
      <c r="X97">
        <v>69</v>
      </c>
    </row>
    <row r="98" spans="1:24" x14ac:dyDescent="0.25">
      <c r="A98">
        <v>124</v>
      </c>
      <c r="B98" s="2" t="s">
        <v>99</v>
      </c>
      <c r="C98" t="s">
        <v>417</v>
      </c>
      <c r="D98" t="s">
        <v>413</v>
      </c>
      <c r="E98">
        <v>4755</v>
      </c>
      <c r="F98">
        <v>68</v>
      </c>
      <c r="G98">
        <v>33</v>
      </c>
      <c r="R98">
        <v>124</v>
      </c>
      <c r="S98" t="s">
        <v>99</v>
      </c>
      <c r="T98" t="s">
        <v>417</v>
      </c>
      <c r="U98" t="s">
        <v>413</v>
      </c>
      <c r="V98">
        <v>4246</v>
      </c>
      <c r="W98">
        <v>24</v>
      </c>
      <c r="X98">
        <v>33</v>
      </c>
    </row>
    <row r="99" spans="1:24" x14ac:dyDescent="0.25">
      <c r="A99">
        <v>125</v>
      </c>
      <c r="B99" s="2" t="s">
        <v>100</v>
      </c>
      <c r="C99" t="s">
        <v>417</v>
      </c>
      <c r="D99" t="s">
        <v>413</v>
      </c>
      <c r="E99">
        <v>3676</v>
      </c>
      <c r="F99">
        <v>72</v>
      </c>
      <c r="G99">
        <v>15</v>
      </c>
      <c r="R99">
        <v>125</v>
      </c>
      <c r="S99" t="s">
        <v>100</v>
      </c>
      <c r="T99" t="s">
        <v>417</v>
      </c>
      <c r="U99" t="s">
        <v>413</v>
      </c>
      <c r="V99">
        <v>3253</v>
      </c>
      <c r="W99">
        <v>23</v>
      </c>
      <c r="X99">
        <v>15</v>
      </c>
    </row>
    <row r="100" spans="1:24" x14ac:dyDescent="0.25">
      <c r="A100">
        <v>126</v>
      </c>
      <c r="B100" t="s">
        <v>102</v>
      </c>
      <c r="C100" t="s">
        <v>417</v>
      </c>
      <c r="D100" t="s">
        <v>413</v>
      </c>
      <c r="E100">
        <v>3705</v>
      </c>
      <c r="F100">
        <v>72</v>
      </c>
      <c r="G100">
        <v>49</v>
      </c>
      <c r="R100">
        <v>126</v>
      </c>
      <c r="S100" t="s">
        <v>102</v>
      </c>
      <c r="T100" t="s">
        <v>417</v>
      </c>
      <c r="U100" t="s">
        <v>413</v>
      </c>
      <c r="V100">
        <v>3279</v>
      </c>
      <c r="W100">
        <v>23</v>
      </c>
      <c r="X100">
        <v>49</v>
      </c>
    </row>
    <row r="101" spans="1:24" x14ac:dyDescent="0.25">
      <c r="A101">
        <v>127</v>
      </c>
      <c r="B101" t="s">
        <v>263</v>
      </c>
      <c r="C101" t="s">
        <v>434</v>
      </c>
      <c r="D101" t="s">
        <v>413</v>
      </c>
      <c r="E101">
        <v>6207</v>
      </c>
      <c r="F101">
        <v>37</v>
      </c>
      <c r="G101">
        <v>85</v>
      </c>
      <c r="R101">
        <v>127</v>
      </c>
      <c r="S101" t="s">
        <v>263</v>
      </c>
      <c r="T101" t="s">
        <v>434</v>
      </c>
      <c r="U101" t="s">
        <v>413</v>
      </c>
      <c r="V101">
        <v>5283</v>
      </c>
      <c r="W101">
        <v>22</v>
      </c>
      <c r="X101">
        <v>85</v>
      </c>
    </row>
    <row r="102" spans="1:24" x14ac:dyDescent="0.25">
      <c r="A102">
        <v>128</v>
      </c>
      <c r="B102" t="s">
        <v>264</v>
      </c>
      <c r="C102" t="s">
        <v>434</v>
      </c>
      <c r="D102" t="s">
        <v>413</v>
      </c>
      <c r="E102">
        <v>6032</v>
      </c>
      <c r="F102">
        <v>35</v>
      </c>
      <c r="G102">
        <v>28</v>
      </c>
      <c r="R102">
        <v>128</v>
      </c>
      <c r="S102" t="s">
        <v>264</v>
      </c>
      <c r="T102" t="s">
        <v>434</v>
      </c>
      <c r="U102" t="s">
        <v>413</v>
      </c>
      <c r="V102">
        <v>5133</v>
      </c>
      <c r="W102">
        <v>21</v>
      </c>
      <c r="X102">
        <v>28</v>
      </c>
    </row>
    <row r="103" spans="1:24" x14ac:dyDescent="0.25">
      <c r="A103">
        <v>129</v>
      </c>
      <c r="B103" t="s">
        <v>265</v>
      </c>
      <c r="C103" t="s">
        <v>434</v>
      </c>
      <c r="D103" t="s">
        <v>413</v>
      </c>
      <c r="E103">
        <v>8445</v>
      </c>
      <c r="F103">
        <v>37</v>
      </c>
      <c r="G103">
        <v>38</v>
      </c>
      <c r="R103">
        <v>129</v>
      </c>
      <c r="S103" t="s">
        <v>265</v>
      </c>
      <c r="T103" t="s">
        <v>434</v>
      </c>
      <c r="U103" t="s">
        <v>413</v>
      </c>
      <c r="V103">
        <v>7677</v>
      </c>
      <c r="W103">
        <v>22</v>
      </c>
      <c r="X103">
        <v>38</v>
      </c>
    </row>
    <row r="104" spans="1:24" x14ac:dyDescent="0.25">
      <c r="A104">
        <v>130</v>
      </c>
      <c r="B104" t="s">
        <v>266</v>
      </c>
      <c r="C104" t="s">
        <v>418</v>
      </c>
      <c r="D104" t="s">
        <v>414</v>
      </c>
      <c r="E104">
        <v>7512</v>
      </c>
      <c r="F104">
        <v>33</v>
      </c>
      <c r="G104">
        <v>25</v>
      </c>
      <c r="R104">
        <v>130</v>
      </c>
      <c r="S104" t="s">
        <v>266</v>
      </c>
      <c r="T104" t="s">
        <v>418</v>
      </c>
      <c r="U104" t="s">
        <v>414</v>
      </c>
      <c r="V104">
        <v>6464</v>
      </c>
      <c r="W104">
        <v>15</v>
      </c>
      <c r="X104">
        <v>25</v>
      </c>
    </row>
    <row r="105" spans="1:24" x14ac:dyDescent="0.25">
      <c r="A105">
        <v>131</v>
      </c>
      <c r="B105" s="2" t="s">
        <v>342</v>
      </c>
      <c r="C105" t="s">
        <v>418</v>
      </c>
      <c r="D105" t="s">
        <v>414</v>
      </c>
      <c r="E105">
        <v>7783</v>
      </c>
      <c r="F105">
        <v>33</v>
      </c>
      <c r="G105">
        <v>90</v>
      </c>
      <c r="R105">
        <v>131</v>
      </c>
      <c r="S105" t="s">
        <v>342</v>
      </c>
      <c r="T105" t="s">
        <v>418</v>
      </c>
      <c r="U105" t="s">
        <v>414</v>
      </c>
      <c r="V105">
        <v>6710</v>
      </c>
      <c r="W105">
        <v>15</v>
      </c>
      <c r="X105">
        <v>90</v>
      </c>
    </row>
    <row r="106" spans="1:24" x14ac:dyDescent="0.25">
      <c r="A106">
        <v>132</v>
      </c>
      <c r="B106" t="s">
        <v>267</v>
      </c>
      <c r="C106" t="s">
        <v>418</v>
      </c>
      <c r="D106" t="s">
        <v>414</v>
      </c>
      <c r="E106">
        <v>7654</v>
      </c>
      <c r="F106">
        <v>33</v>
      </c>
      <c r="G106">
        <v>66</v>
      </c>
      <c r="R106">
        <v>132</v>
      </c>
      <c r="S106" t="s">
        <v>267</v>
      </c>
      <c r="T106" t="s">
        <v>418</v>
      </c>
      <c r="U106" t="s">
        <v>414</v>
      </c>
      <c r="V106">
        <v>6598</v>
      </c>
      <c r="W106">
        <v>15</v>
      </c>
      <c r="X106">
        <v>66</v>
      </c>
    </row>
    <row r="107" spans="1:24" x14ac:dyDescent="0.25">
      <c r="A107">
        <v>133</v>
      </c>
      <c r="B107" t="s">
        <v>268</v>
      </c>
      <c r="C107" t="s">
        <v>418</v>
      </c>
      <c r="D107" t="s">
        <v>414</v>
      </c>
      <c r="E107">
        <v>7630</v>
      </c>
      <c r="F107">
        <v>31</v>
      </c>
      <c r="G107">
        <v>81</v>
      </c>
      <c r="R107">
        <v>133</v>
      </c>
      <c r="S107" t="s">
        <v>268</v>
      </c>
      <c r="T107" t="s">
        <v>418</v>
      </c>
      <c r="U107" t="s">
        <v>414</v>
      </c>
      <c r="V107">
        <v>6577</v>
      </c>
      <c r="W107">
        <v>13</v>
      </c>
      <c r="X107">
        <v>81</v>
      </c>
    </row>
    <row r="108" spans="1:24" x14ac:dyDescent="0.25">
      <c r="A108">
        <v>134</v>
      </c>
      <c r="B108" t="s">
        <v>497</v>
      </c>
      <c r="C108" t="s">
        <v>418</v>
      </c>
      <c r="D108" t="s">
        <v>414</v>
      </c>
      <c r="E108">
        <v>7970</v>
      </c>
      <c r="F108">
        <v>35</v>
      </c>
      <c r="G108">
        <v>77</v>
      </c>
      <c r="R108">
        <v>134</v>
      </c>
      <c r="S108" t="s">
        <v>497</v>
      </c>
      <c r="T108" t="s">
        <v>418</v>
      </c>
      <c r="U108" t="s">
        <v>414</v>
      </c>
      <c r="V108">
        <v>6897</v>
      </c>
      <c r="W108">
        <v>18</v>
      </c>
      <c r="X108">
        <v>77</v>
      </c>
    </row>
    <row r="109" spans="1:24" x14ac:dyDescent="0.25">
      <c r="A109">
        <v>135</v>
      </c>
      <c r="B109" t="s">
        <v>269</v>
      </c>
      <c r="C109" t="s">
        <v>418</v>
      </c>
      <c r="D109" t="s">
        <v>414</v>
      </c>
      <c r="E109">
        <v>7967</v>
      </c>
      <c r="F109">
        <v>35</v>
      </c>
      <c r="G109">
        <v>19</v>
      </c>
      <c r="R109">
        <v>135</v>
      </c>
      <c r="S109" t="s">
        <v>269</v>
      </c>
      <c r="T109" t="s">
        <v>418</v>
      </c>
      <c r="U109" t="s">
        <v>414</v>
      </c>
      <c r="V109">
        <v>6897</v>
      </c>
      <c r="W109">
        <v>18</v>
      </c>
      <c r="X109">
        <v>19</v>
      </c>
    </row>
    <row r="110" spans="1:24" x14ac:dyDescent="0.25">
      <c r="A110">
        <v>136</v>
      </c>
      <c r="B110" t="s">
        <v>270</v>
      </c>
      <c r="C110" t="s">
        <v>418</v>
      </c>
      <c r="D110" t="s">
        <v>414</v>
      </c>
      <c r="E110">
        <v>7967</v>
      </c>
      <c r="F110">
        <v>35</v>
      </c>
      <c r="G110">
        <v>73</v>
      </c>
      <c r="R110">
        <v>136</v>
      </c>
      <c r="S110" t="s">
        <v>270</v>
      </c>
      <c r="T110" t="s">
        <v>418</v>
      </c>
      <c r="U110" t="s">
        <v>414</v>
      </c>
      <c r="V110">
        <v>6897</v>
      </c>
      <c r="W110">
        <v>18</v>
      </c>
      <c r="X110">
        <v>73</v>
      </c>
    </row>
    <row r="111" spans="1:24" x14ac:dyDescent="0.25">
      <c r="A111">
        <v>140</v>
      </c>
      <c r="B111" t="s">
        <v>322</v>
      </c>
      <c r="C111" t="s">
        <v>431</v>
      </c>
      <c r="D111" t="s">
        <v>413</v>
      </c>
      <c r="E111">
        <v>4157</v>
      </c>
      <c r="F111">
        <v>66</v>
      </c>
      <c r="G111">
        <v>41</v>
      </c>
      <c r="R111">
        <v>140</v>
      </c>
      <c r="S111" t="s">
        <v>322</v>
      </c>
      <c r="T111" t="s">
        <v>431</v>
      </c>
      <c r="U111" t="s">
        <v>413</v>
      </c>
      <c r="V111">
        <v>3553</v>
      </c>
      <c r="W111">
        <v>47</v>
      </c>
      <c r="X111">
        <v>41</v>
      </c>
    </row>
    <row r="112" spans="1:24" x14ac:dyDescent="0.25">
      <c r="A112">
        <v>142</v>
      </c>
      <c r="B112" s="2" t="s">
        <v>396</v>
      </c>
      <c r="C112" t="s">
        <v>431</v>
      </c>
      <c r="D112" t="s">
        <v>413</v>
      </c>
      <c r="E112">
        <v>5337</v>
      </c>
      <c r="F112">
        <v>66</v>
      </c>
      <c r="G112">
        <v>78</v>
      </c>
      <c r="R112">
        <v>142</v>
      </c>
      <c r="S112" t="s">
        <v>396</v>
      </c>
      <c r="T112" t="s">
        <v>431</v>
      </c>
      <c r="U112" t="s">
        <v>413</v>
      </c>
      <c r="V112">
        <v>4601</v>
      </c>
      <c r="W112">
        <v>46</v>
      </c>
      <c r="X112">
        <v>78</v>
      </c>
    </row>
    <row r="113" spans="1:26" x14ac:dyDescent="0.25">
      <c r="A113">
        <v>144</v>
      </c>
      <c r="B113" t="s">
        <v>333</v>
      </c>
      <c r="C113" t="s">
        <v>432</v>
      </c>
      <c r="D113" t="s">
        <v>413</v>
      </c>
      <c r="E113">
        <v>6107</v>
      </c>
      <c r="F113">
        <v>53</v>
      </c>
      <c r="G113">
        <v>87</v>
      </c>
      <c r="R113">
        <v>144</v>
      </c>
      <c r="S113" t="s">
        <v>333</v>
      </c>
      <c r="T113" t="s">
        <v>432</v>
      </c>
      <c r="U113" t="s">
        <v>413</v>
      </c>
      <c r="V113">
        <v>5311</v>
      </c>
      <c r="W113">
        <v>33</v>
      </c>
      <c r="X113">
        <v>87</v>
      </c>
    </row>
    <row r="114" spans="1:26" x14ac:dyDescent="0.25">
      <c r="A114">
        <v>145</v>
      </c>
      <c r="B114" t="s">
        <v>334</v>
      </c>
      <c r="C114" t="s">
        <v>432</v>
      </c>
      <c r="D114" t="s">
        <v>414</v>
      </c>
      <c r="E114">
        <v>6561</v>
      </c>
      <c r="F114">
        <v>53</v>
      </c>
      <c r="G114">
        <v>44</v>
      </c>
      <c r="R114">
        <v>145</v>
      </c>
      <c r="S114" t="s">
        <v>334</v>
      </c>
      <c r="T114" t="s">
        <v>432</v>
      </c>
      <c r="U114" t="s">
        <v>414</v>
      </c>
      <c r="V114">
        <v>5806</v>
      </c>
      <c r="W114">
        <v>33</v>
      </c>
      <c r="X114">
        <v>44</v>
      </c>
    </row>
    <row r="115" spans="1:26" x14ac:dyDescent="0.25">
      <c r="A115">
        <v>146</v>
      </c>
      <c r="B115" t="s">
        <v>338</v>
      </c>
      <c r="C115" t="s">
        <v>432</v>
      </c>
      <c r="D115" t="s">
        <v>414</v>
      </c>
      <c r="E115">
        <v>6262</v>
      </c>
      <c r="F115">
        <v>53</v>
      </c>
      <c r="G115">
        <v>82</v>
      </c>
      <c r="R115">
        <v>146</v>
      </c>
      <c r="S115" t="s">
        <v>398</v>
      </c>
      <c r="T115" t="s">
        <v>432</v>
      </c>
      <c r="U115" t="s">
        <v>414</v>
      </c>
      <c r="V115">
        <v>5445</v>
      </c>
      <c r="W115">
        <v>33</v>
      </c>
      <c r="X115">
        <v>82</v>
      </c>
    </row>
    <row r="116" spans="1:26" x14ac:dyDescent="0.25">
      <c r="A116">
        <v>148</v>
      </c>
      <c r="B116" t="s">
        <v>326</v>
      </c>
      <c r="C116" t="s">
        <v>432</v>
      </c>
      <c r="D116" t="s">
        <v>413</v>
      </c>
      <c r="E116">
        <v>6313</v>
      </c>
      <c r="F116">
        <v>51</v>
      </c>
      <c r="G116">
        <v>32</v>
      </c>
      <c r="R116">
        <v>148</v>
      </c>
      <c r="S116" t="s">
        <v>326</v>
      </c>
      <c r="T116" t="s">
        <v>432</v>
      </c>
      <c r="U116" t="s">
        <v>413</v>
      </c>
      <c r="V116">
        <v>5490</v>
      </c>
      <c r="W116">
        <v>31</v>
      </c>
      <c r="X116">
        <v>32</v>
      </c>
    </row>
    <row r="117" spans="1:26" x14ac:dyDescent="0.25">
      <c r="A117">
        <v>149</v>
      </c>
      <c r="B117" t="s">
        <v>104</v>
      </c>
      <c r="C117" t="s">
        <v>435</v>
      </c>
      <c r="D117" t="s">
        <v>412</v>
      </c>
      <c r="E117">
        <v>3642</v>
      </c>
      <c r="F117">
        <v>61</v>
      </c>
      <c r="G117">
        <v>91</v>
      </c>
      <c r="R117">
        <v>149</v>
      </c>
      <c r="S117" t="s">
        <v>104</v>
      </c>
      <c r="T117" t="s">
        <v>435</v>
      </c>
      <c r="U117" t="s">
        <v>412</v>
      </c>
      <c r="V117">
        <v>3035</v>
      </c>
      <c r="W117">
        <v>28</v>
      </c>
      <c r="X117">
        <v>91</v>
      </c>
    </row>
    <row r="118" spans="1:26" x14ac:dyDescent="0.25">
      <c r="A118">
        <v>150</v>
      </c>
      <c r="B118" s="2" t="s">
        <v>105</v>
      </c>
      <c r="C118" t="s">
        <v>435</v>
      </c>
      <c r="D118" t="s">
        <v>412</v>
      </c>
      <c r="E118">
        <v>3642</v>
      </c>
      <c r="F118">
        <v>61</v>
      </c>
      <c r="G118">
        <v>19</v>
      </c>
      <c r="R118">
        <v>150</v>
      </c>
      <c r="S118" t="s">
        <v>105</v>
      </c>
      <c r="T118" t="s">
        <v>435</v>
      </c>
      <c r="U118" t="s">
        <v>412</v>
      </c>
      <c r="V118">
        <v>3035</v>
      </c>
      <c r="W118">
        <v>28</v>
      </c>
      <c r="X118">
        <v>19</v>
      </c>
    </row>
    <row r="119" spans="1:26" x14ac:dyDescent="0.25">
      <c r="A119">
        <v>151</v>
      </c>
      <c r="B119" s="2" t="s">
        <v>106</v>
      </c>
      <c r="C119" t="s">
        <v>405</v>
      </c>
      <c r="D119" t="s">
        <v>412</v>
      </c>
      <c r="E119">
        <v>1798</v>
      </c>
      <c r="F119">
        <v>191</v>
      </c>
      <c r="G119">
        <v>34</v>
      </c>
      <c r="I119">
        <v>0.3</v>
      </c>
      <c r="R119">
        <v>151</v>
      </c>
      <c r="S119" t="s">
        <v>106</v>
      </c>
      <c r="T119" t="s">
        <v>405</v>
      </c>
      <c r="U119" t="s">
        <v>412</v>
      </c>
      <c r="V119">
        <v>1498</v>
      </c>
      <c r="W119">
        <v>185</v>
      </c>
      <c r="X119">
        <v>34</v>
      </c>
      <c r="Z119">
        <v>0.3</v>
      </c>
    </row>
    <row r="120" spans="1:26" x14ac:dyDescent="0.25">
      <c r="A120">
        <v>155</v>
      </c>
      <c r="B120" t="s">
        <v>107</v>
      </c>
      <c r="C120" t="s">
        <v>405</v>
      </c>
      <c r="D120" t="s">
        <v>412</v>
      </c>
      <c r="E120">
        <v>1798</v>
      </c>
      <c r="F120">
        <v>194</v>
      </c>
      <c r="G120">
        <v>36</v>
      </c>
      <c r="R120">
        <v>155</v>
      </c>
      <c r="S120" t="s">
        <v>107</v>
      </c>
      <c r="T120" t="s">
        <v>405</v>
      </c>
      <c r="U120" t="s">
        <v>412</v>
      </c>
      <c r="V120">
        <v>1498</v>
      </c>
      <c r="W120">
        <v>188</v>
      </c>
      <c r="X120">
        <v>36</v>
      </c>
    </row>
    <row r="121" spans="1:26" x14ac:dyDescent="0.25">
      <c r="A121">
        <v>159</v>
      </c>
      <c r="B121" s="2" t="s">
        <v>109</v>
      </c>
      <c r="C121" t="s">
        <v>405</v>
      </c>
      <c r="D121" t="s">
        <v>412</v>
      </c>
      <c r="E121">
        <v>1747</v>
      </c>
      <c r="F121">
        <v>194</v>
      </c>
      <c r="G121">
        <v>45</v>
      </c>
      <c r="R121">
        <v>159</v>
      </c>
      <c r="S121" t="s">
        <v>109</v>
      </c>
      <c r="T121" t="s">
        <v>405</v>
      </c>
      <c r="U121" t="s">
        <v>412</v>
      </c>
      <c r="V121">
        <v>1456</v>
      </c>
      <c r="W121">
        <v>188</v>
      </c>
      <c r="X121">
        <v>45</v>
      </c>
    </row>
    <row r="122" spans="1:26" x14ac:dyDescent="0.25">
      <c r="A122">
        <v>161</v>
      </c>
      <c r="B122" s="2" t="s">
        <v>110</v>
      </c>
      <c r="C122" t="s">
        <v>405</v>
      </c>
      <c r="D122" t="s">
        <v>412</v>
      </c>
      <c r="E122">
        <v>1747</v>
      </c>
      <c r="F122">
        <v>194</v>
      </c>
      <c r="G122">
        <v>52</v>
      </c>
      <c r="R122">
        <v>161</v>
      </c>
      <c r="S122" t="s">
        <v>110</v>
      </c>
      <c r="T122" t="s">
        <v>405</v>
      </c>
      <c r="U122" t="s">
        <v>412</v>
      </c>
      <c r="V122">
        <v>1456</v>
      </c>
      <c r="W122">
        <v>188</v>
      </c>
      <c r="X122">
        <v>52</v>
      </c>
    </row>
    <row r="123" spans="1:26" x14ac:dyDescent="0.25">
      <c r="A123">
        <v>162</v>
      </c>
      <c r="B123" s="2" t="s">
        <v>111</v>
      </c>
      <c r="C123" t="s">
        <v>405</v>
      </c>
      <c r="D123" t="s">
        <v>412</v>
      </c>
      <c r="E123">
        <v>1747</v>
      </c>
      <c r="F123">
        <v>194</v>
      </c>
      <c r="G123">
        <v>57</v>
      </c>
      <c r="R123">
        <v>162</v>
      </c>
      <c r="S123" t="s">
        <v>111</v>
      </c>
      <c r="T123" t="s">
        <v>405</v>
      </c>
      <c r="U123" t="s">
        <v>412</v>
      </c>
      <c r="V123">
        <v>1456</v>
      </c>
      <c r="W123">
        <v>188</v>
      </c>
      <c r="X123">
        <v>57</v>
      </c>
    </row>
    <row r="124" spans="1:26" x14ac:dyDescent="0.25">
      <c r="A124">
        <v>163</v>
      </c>
      <c r="B124" s="2" t="s">
        <v>112</v>
      </c>
      <c r="C124" t="s">
        <v>405</v>
      </c>
      <c r="D124" t="s">
        <v>412</v>
      </c>
      <c r="E124">
        <v>1712</v>
      </c>
      <c r="F124">
        <v>190</v>
      </c>
      <c r="G124">
        <v>41</v>
      </c>
      <c r="R124">
        <v>163</v>
      </c>
      <c r="S124" t="s">
        <v>112</v>
      </c>
      <c r="T124" t="s">
        <v>405</v>
      </c>
      <c r="U124" t="s">
        <v>412</v>
      </c>
      <c r="V124">
        <v>1427</v>
      </c>
      <c r="W124">
        <v>184</v>
      </c>
      <c r="X124">
        <v>41</v>
      </c>
    </row>
    <row r="125" spans="1:26" x14ac:dyDescent="0.25">
      <c r="A125">
        <v>164</v>
      </c>
      <c r="B125" s="2" t="s">
        <v>113</v>
      </c>
      <c r="C125" t="s">
        <v>405</v>
      </c>
      <c r="D125" t="s">
        <v>412</v>
      </c>
      <c r="E125">
        <v>1828</v>
      </c>
      <c r="F125">
        <v>190</v>
      </c>
      <c r="G125">
        <v>32</v>
      </c>
      <c r="R125">
        <v>164</v>
      </c>
      <c r="S125" t="s">
        <v>113</v>
      </c>
      <c r="T125" t="s">
        <v>405</v>
      </c>
      <c r="U125" t="s">
        <v>412</v>
      </c>
      <c r="V125">
        <v>1524</v>
      </c>
      <c r="W125">
        <v>184</v>
      </c>
      <c r="X125">
        <v>32</v>
      </c>
    </row>
    <row r="126" spans="1:26" x14ac:dyDescent="0.25">
      <c r="A126">
        <v>165</v>
      </c>
      <c r="B126" s="2" t="s">
        <v>114</v>
      </c>
      <c r="C126" t="s">
        <v>405</v>
      </c>
      <c r="D126" t="s">
        <v>412</v>
      </c>
      <c r="E126">
        <v>1763</v>
      </c>
      <c r="F126">
        <v>190</v>
      </c>
      <c r="G126">
        <v>84</v>
      </c>
      <c r="R126">
        <v>165</v>
      </c>
      <c r="S126" t="s">
        <v>114</v>
      </c>
      <c r="T126" t="s">
        <v>405</v>
      </c>
      <c r="U126" t="s">
        <v>412</v>
      </c>
      <c r="V126">
        <v>1469</v>
      </c>
      <c r="W126">
        <v>184</v>
      </c>
      <c r="X126">
        <v>84</v>
      </c>
    </row>
    <row r="127" spans="1:26" x14ac:dyDescent="0.25">
      <c r="A127">
        <v>166</v>
      </c>
      <c r="B127" t="s">
        <v>115</v>
      </c>
      <c r="C127" t="s">
        <v>405</v>
      </c>
      <c r="D127" t="s">
        <v>412</v>
      </c>
      <c r="E127">
        <v>2226</v>
      </c>
      <c r="F127">
        <v>192</v>
      </c>
      <c r="G127">
        <v>98</v>
      </c>
      <c r="R127">
        <v>166</v>
      </c>
      <c r="S127" t="s">
        <v>115</v>
      </c>
      <c r="T127" t="s">
        <v>405</v>
      </c>
      <c r="U127" t="s">
        <v>412</v>
      </c>
      <c r="V127">
        <v>1855</v>
      </c>
      <c r="W127">
        <v>186</v>
      </c>
      <c r="X127">
        <v>98</v>
      </c>
    </row>
    <row r="128" spans="1:26" x14ac:dyDescent="0.25">
      <c r="A128">
        <v>167</v>
      </c>
      <c r="B128" s="2" t="s">
        <v>116</v>
      </c>
      <c r="C128" t="s">
        <v>405</v>
      </c>
      <c r="D128" t="s">
        <v>412</v>
      </c>
      <c r="E128">
        <v>1885</v>
      </c>
      <c r="F128">
        <v>192</v>
      </c>
      <c r="G128">
        <v>25</v>
      </c>
      <c r="R128">
        <v>167</v>
      </c>
      <c r="S128" t="s">
        <v>116</v>
      </c>
      <c r="T128" t="s">
        <v>405</v>
      </c>
      <c r="U128" t="s">
        <v>412</v>
      </c>
      <c r="V128">
        <v>1571</v>
      </c>
      <c r="W128">
        <v>186</v>
      </c>
      <c r="X128">
        <v>25</v>
      </c>
    </row>
    <row r="129" spans="1:24" x14ac:dyDescent="0.25">
      <c r="A129">
        <v>168</v>
      </c>
      <c r="B129" t="s">
        <v>118</v>
      </c>
      <c r="C129" t="s">
        <v>405</v>
      </c>
      <c r="D129" t="s">
        <v>412</v>
      </c>
      <c r="E129">
        <v>1848</v>
      </c>
      <c r="F129">
        <v>192</v>
      </c>
      <c r="G129">
        <v>25</v>
      </c>
      <c r="R129">
        <v>168</v>
      </c>
      <c r="S129" t="s">
        <v>118</v>
      </c>
      <c r="T129" t="s">
        <v>405</v>
      </c>
      <c r="U129" t="s">
        <v>412</v>
      </c>
      <c r="V129">
        <v>1540</v>
      </c>
      <c r="W129">
        <v>186</v>
      </c>
      <c r="X129">
        <v>25</v>
      </c>
    </row>
    <row r="130" spans="1:24" x14ac:dyDescent="0.25">
      <c r="A130">
        <v>170</v>
      </c>
      <c r="B130" s="2" t="s">
        <v>120</v>
      </c>
      <c r="C130" t="s">
        <v>405</v>
      </c>
      <c r="D130" t="s">
        <v>412</v>
      </c>
      <c r="E130">
        <v>2145</v>
      </c>
      <c r="F130">
        <v>191</v>
      </c>
      <c r="G130">
        <v>72</v>
      </c>
      <c r="R130">
        <v>170</v>
      </c>
      <c r="S130" t="s">
        <v>120</v>
      </c>
      <c r="T130" t="s">
        <v>405</v>
      </c>
      <c r="U130" t="s">
        <v>412</v>
      </c>
      <c r="V130">
        <v>1787</v>
      </c>
      <c r="W130">
        <v>185</v>
      </c>
      <c r="X130">
        <v>72</v>
      </c>
    </row>
    <row r="131" spans="1:24" x14ac:dyDescent="0.25">
      <c r="A131">
        <v>171</v>
      </c>
      <c r="B131" s="2" t="s">
        <v>121</v>
      </c>
      <c r="C131" t="s">
        <v>405</v>
      </c>
      <c r="D131" t="s">
        <v>412</v>
      </c>
      <c r="E131">
        <v>1773</v>
      </c>
      <c r="F131">
        <v>192</v>
      </c>
      <c r="G131">
        <v>45</v>
      </c>
      <c r="R131">
        <v>171</v>
      </c>
      <c r="S131" t="s">
        <v>121</v>
      </c>
      <c r="T131" t="s">
        <v>405</v>
      </c>
      <c r="U131" t="s">
        <v>412</v>
      </c>
      <c r="V131">
        <v>1477</v>
      </c>
      <c r="W131">
        <v>186</v>
      </c>
      <c r="X131">
        <v>45</v>
      </c>
    </row>
    <row r="132" spans="1:24" x14ac:dyDescent="0.25">
      <c r="A132">
        <v>173</v>
      </c>
      <c r="B132" s="2" t="s">
        <v>122</v>
      </c>
      <c r="C132" t="s">
        <v>405</v>
      </c>
      <c r="D132" t="s">
        <v>412</v>
      </c>
      <c r="E132">
        <v>1770</v>
      </c>
      <c r="F132">
        <v>192</v>
      </c>
      <c r="G132">
        <v>36</v>
      </c>
      <c r="R132">
        <v>173</v>
      </c>
      <c r="S132" t="s">
        <v>122</v>
      </c>
      <c r="T132" t="s">
        <v>405</v>
      </c>
      <c r="U132" t="s">
        <v>412</v>
      </c>
      <c r="V132">
        <v>1477</v>
      </c>
      <c r="W132">
        <v>186</v>
      </c>
      <c r="X132">
        <v>36</v>
      </c>
    </row>
    <row r="133" spans="1:24" x14ac:dyDescent="0.25">
      <c r="A133">
        <v>174</v>
      </c>
      <c r="B133" s="2" t="s">
        <v>123</v>
      </c>
      <c r="C133" t="s">
        <v>405</v>
      </c>
      <c r="D133" t="s">
        <v>412</v>
      </c>
      <c r="E133">
        <v>1773</v>
      </c>
      <c r="F133">
        <v>192</v>
      </c>
      <c r="G133">
        <v>51</v>
      </c>
      <c r="R133">
        <v>174</v>
      </c>
      <c r="S133" t="s">
        <v>123</v>
      </c>
      <c r="T133" t="s">
        <v>405</v>
      </c>
      <c r="U133" t="s">
        <v>412</v>
      </c>
      <c r="V133">
        <v>1477</v>
      </c>
      <c r="W133">
        <v>186</v>
      </c>
      <c r="X133">
        <v>51</v>
      </c>
    </row>
    <row r="134" spans="1:24" x14ac:dyDescent="0.25">
      <c r="A134">
        <v>175</v>
      </c>
      <c r="B134" t="s">
        <v>124</v>
      </c>
      <c r="C134" t="s">
        <v>405</v>
      </c>
      <c r="D134" t="s">
        <v>412</v>
      </c>
      <c r="E134">
        <v>1773</v>
      </c>
      <c r="F134">
        <v>192</v>
      </c>
      <c r="G134">
        <v>34</v>
      </c>
      <c r="R134">
        <v>175</v>
      </c>
      <c r="S134" t="s">
        <v>124</v>
      </c>
      <c r="T134" t="s">
        <v>405</v>
      </c>
      <c r="U134" t="s">
        <v>412</v>
      </c>
      <c r="V134">
        <v>1477</v>
      </c>
      <c r="W134">
        <v>186</v>
      </c>
      <c r="X134">
        <v>34</v>
      </c>
    </row>
    <row r="135" spans="1:24" x14ac:dyDescent="0.25">
      <c r="A135">
        <v>176</v>
      </c>
      <c r="B135" s="2" t="s">
        <v>125</v>
      </c>
      <c r="C135" t="s">
        <v>405</v>
      </c>
      <c r="D135" t="s">
        <v>412</v>
      </c>
      <c r="E135">
        <v>1619</v>
      </c>
      <c r="F135">
        <v>193</v>
      </c>
      <c r="G135">
        <v>32</v>
      </c>
      <c r="R135">
        <v>176</v>
      </c>
      <c r="S135" t="s">
        <v>125</v>
      </c>
      <c r="T135" t="s">
        <v>405</v>
      </c>
      <c r="U135" t="s">
        <v>412</v>
      </c>
      <c r="V135">
        <v>1350</v>
      </c>
      <c r="W135">
        <v>187</v>
      </c>
      <c r="X135">
        <v>32</v>
      </c>
    </row>
    <row r="136" spans="1:24" x14ac:dyDescent="0.25">
      <c r="A136">
        <v>177</v>
      </c>
      <c r="B136" s="2" t="s">
        <v>271</v>
      </c>
      <c r="C136" t="s">
        <v>405</v>
      </c>
      <c r="D136" t="s">
        <v>412</v>
      </c>
      <c r="E136">
        <v>2083</v>
      </c>
      <c r="F136">
        <v>191</v>
      </c>
      <c r="G136">
        <v>34</v>
      </c>
      <c r="R136">
        <v>177</v>
      </c>
      <c r="S136" t="s">
        <v>271</v>
      </c>
      <c r="T136" t="s">
        <v>405</v>
      </c>
      <c r="U136" t="s">
        <v>412</v>
      </c>
      <c r="V136">
        <v>1736</v>
      </c>
      <c r="W136">
        <v>185</v>
      </c>
      <c r="X136">
        <v>34</v>
      </c>
    </row>
    <row r="137" spans="1:24" x14ac:dyDescent="0.25">
      <c r="A137">
        <v>178</v>
      </c>
      <c r="B137" t="s">
        <v>126</v>
      </c>
      <c r="C137" t="s">
        <v>405</v>
      </c>
      <c r="D137" t="s">
        <v>412</v>
      </c>
      <c r="E137">
        <v>2083</v>
      </c>
      <c r="F137">
        <v>191</v>
      </c>
      <c r="G137">
        <v>34</v>
      </c>
      <c r="R137">
        <v>178</v>
      </c>
      <c r="S137" t="s">
        <v>126</v>
      </c>
      <c r="T137" t="s">
        <v>405</v>
      </c>
      <c r="U137" t="s">
        <v>412</v>
      </c>
      <c r="V137">
        <v>1736</v>
      </c>
      <c r="W137">
        <v>185</v>
      </c>
      <c r="X137">
        <v>34</v>
      </c>
    </row>
    <row r="138" spans="1:24" x14ac:dyDescent="0.25">
      <c r="A138">
        <v>179</v>
      </c>
      <c r="B138" s="2" t="s">
        <v>127</v>
      </c>
      <c r="C138" t="s">
        <v>404</v>
      </c>
      <c r="D138" t="s">
        <v>412</v>
      </c>
      <c r="E138">
        <v>2177</v>
      </c>
      <c r="F138">
        <v>105</v>
      </c>
      <c r="G138">
        <v>53</v>
      </c>
      <c r="R138">
        <v>179</v>
      </c>
      <c r="S138" t="s">
        <v>127</v>
      </c>
      <c r="T138" t="s">
        <v>404</v>
      </c>
      <c r="U138" t="s">
        <v>412</v>
      </c>
      <c r="V138">
        <v>1910</v>
      </c>
      <c r="W138">
        <v>80</v>
      </c>
      <c r="X138">
        <v>53</v>
      </c>
    </row>
    <row r="139" spans="1:24" x14ac:dyDescent="0.25">
      <c r="A139">
        <v>182</v>
      </c>
      <c r="B139" t="s">
        <v>128</v>
      </c>
      <c r="C139" t="s">
        <v>404</v>
      </c>
      <c r="D139" t="s">
        <v>412</v>
      </c>
      <c r="E139">
        <v>2891</v>
      </c>
      <c r="F139">
        <v>105</v>
      </c>
      <c r="G139">
        <v>36</v>
      </c>
      <c r="R139">
        <v>182</v>
      </c>
      <c r="S139" t="s">
        <v>128</v>
      </c>
      <c r="T139" t="s">
        <v>404</v>
      </c>
      <c r="U139" t="s">
        <v>412</v>
      </c>
      <c r="V139">
        <v>2547</v>
      </c>
      <c r="W139">
        <v>80</v>
      </c>
      <c r="X139">
        <v>36</v>
      </c>
    </row>
    <row r="140" spans="1:24" x14ac:dyDescent="0.25">
      <c r="A140">
        <v>183</v>
      </c>
      <c r="B140" t="s">
        <v>129</v>
      </c>
      <c r="C140" t="s">
        <v>404</v>
      </c>
      <c r="D140" t="s">
        <v>412</v>
      </c>
      <c r="E140">
        <v>3214</v>
      </c>
      <c r="F140">
        <v>100</v>
      </c>
      <c r="G140">
        <v>33</v>
      </c>
      <c r="R140">
        <v>183</v>
      </c>
      <c r="S140" t="s">
        <v>129</v>
      </c>
      <c r="T140" t="s">
        <v>404</v>
      </c>
      <c r="U140" t="s">
        <v>412</v>
      </c>
      <c r="V140">
        <v>2844</v>
      </c>
      <c r="W140">
        <v>76</v>
      </c>
      <c r="X140">
        <v>33</v>
      </c>
    </row>
    <row r="141" spans="1:24" x14ac:dyDescent="0.25">
      <c r="A141">
        <v>187</v>
      </c>
      <c r="B141" t="s">
        <v>272</v>
      </c>
      <c r="C141" t="s">
        <v>404</v>
      </c>
      <c r="D141" t="s">
        <v>412</v>
      </c>
      <c r="E141">
        <v>2891</v>
      </c>
      <c r="F141">
        <v>105</v>
      </c>
      <c r="G141">
        <v>43</v>
      </c>
      <c r="R141">
        <v>187</v>
      </c>
      <c r="S141" t="s">
        <v>272</v>
      </c>
      <c r="T141" t="s">
        <v>404</v>
      </c>
      <c r="U141" t="s">
        <v>412</v>
      </c>
      <c r="V141">
        <v>2547</v>
      </c>
      <c r="W141">
        <v>80</v>
      </c>
      <c r="X141">
        <v>43</v>
      </c>
    </row>
    <row r="142" spans="1:24" x14ac:dyDescent="0.25">
      <c r="A142">
        <v>188</v>
      </c>
      <c r="B142" s="2" t="s">
        <v>130</v>
      </c>
      <c r="C142" t="s">
        <v>404</v>
      </c>
      <c r="D142" t="s">
        <v>413</v>
      </c>
      <c r="E142">
        <v>4015</v>
      </c>
      <c r="F142">
        <v>82</v>
      </c>
      <c r="G142">
        <v>14</v>
      </c>
      <c r="R142">
        <v>188</v>
      </c>
      <c r="S142" t="s">
        <v>130</v>
      </c>
      <c r="T142" t="s">
        <v>404</v>
      </c>
      <c r="U142" t="s">
        <v>413</v>
      </c>
      <c r="V142">
        <v>3547</v>
      </c>
      <c r="W142">
        <v>36</v>
      </c>
      <c r="X142">
        <v>14</v>
      </c>
    </row>
    <row r="143" spans="1:24" x14ac:dyDescent="0.25">
      <c r="A143">
        <v>189</v>
      </c>
      <c r="B143" s="2" t="s">
        <v>132</v>
      </c>
      <c r="C143" t="s">
        <v>404</v>
      </c>
      <c r="D143" t="s">
        <v>413</v>
      </c>
      <c r="E143">
        <v>4015</v>
      </c>
      <c r="F143">
        <v>82</v>
      </c>
      <c r="G143">
        <v>13</v>
      </c>
      <c r="R143">
        <v>189</v>
      </c>
      <c r="S143" t="s">
        <v>132</v>
      </c>
      <c r="T143" t="s">
        <v>404</v>
      </c>
      <c r="U143" t="s">
        <v>413</v>
      </c>
      <c r="V143">
        <v>3547</v>
      </c>
      <c r="W143">
        <v>36</v>
      </c>
      <c r="X143">
        <v>13</v>
      </c>
    </row>
    <row r="144" spans="1:24" x14ac:dyDescent="0.25">
      <c r="A144">
        <v>190</v>
      </c>
      <c r="B144" s="2" t="s">
        <v>133</v>
      </c>
      <c r="C144" t="s">
        <v>417</v>
      </c>
      <c r="D144" t="s">
        <v>413</v>
      </c>
      <c r="E144">
        <v>3439</v>
      </c>
      <c r="F144">
        <v>75</v>
      </c>
      <c r="G144">
        <v>34</v>
      </c>
      <c r="R144">
        <v>190</v>
      </c>
      <c r="S144" t="s">
        <v>133</v>
      </c>
      <c r="T144" t="s">
        <v>417</v>
      </c>
      <c r="U144" t="s">
        <v>413</v>
      </c>
      <c r="V144">
        <v>3043</v>
      </c>
      <c r="W144">
        <v>33</v>
      </c>
      <c r="X144">
        <v>34</v>
      </c>
    </row>
    <row r="145" spans="1:24" x14ac:dyDescent="0.25">
      <c r="A145">
        <v>191</v>
      </c>
      <c r="B145" t="s">
        <v>135</v>
      </c>
      <c r="C145" t="s">
        <v>417</v>
      </c>
      <c r="D145" t="s">
        <v>413</v>
      </c>
      <c r="E145">
        <v>3439</v>
      </c>
      <c r="F145">
        <v>75</v>
      </c>
      <c r="G145">
        <v>34</v>
      </c>
      <c r="R145">
        <v>191</v>
      </c>
      <c r="S145" t="s">
        <v>135</v>
      </c>
      <c r="T145" t="s">
        <v>417</v>
      </c>
      <c r="U145" t="s">
        <v>413</v>
      </c>
      <c r="V145">
        <v>3043</v>
      </c>
      <c r="W145">
        <v>33</v>
      </c>
      <c r="X145">
        <v>34</v>
      </c>
    </row>
    <row r="146" spans="1:24" x14ac:dyDescent="0.25">
      <c r="A146">
        <v>192</v>
      </c>
      <c r="B146" s="2" t="s">
        <v>137</v>
      </c>
      <c r="C146" t="s">
        <v>417</v>
      </c>
      <c r="D146" t="s">
        <v>413</v>
      </c>
      <c r="E146">
        <v>3527</v>
      </c>
      <c r="F146">
        <v>76</v>
      </c>
      <c r="G146">
        <v>52</v>
      </c>
      <c r="R146">
        <v>192</v>
      </c>
      <c r="S146" t="s">
        <v>137</v>
      </c>
      <c r="T146" t="s">
        <v>417</v>
      </c>
      <c r="U146" t="s">
        <v>413</v>
      </c>
      <c r="V146">
        <v>3108</v>
      </c>
      <c r="W146">
        <v>34</v>
      </c>
      <c r="X146">
        <v>52</v>
      </c>
    </row>
    <row r="147" spans="1:24" x14ac:dyDescent="0.25">
      <c r="A147">
        <v>193</v>
      </c>
      <c r="B147" t="s">
        <v>138</v>
      </c>
      <c r="C147" t="s">
        <v>417</v>
      </c>
      <c r="D147" t="s">
        <v>413</v>
      </c>
      <c r="E147">
        <v>3527</v>
      </c>
      <c r="F147">
        <v>76</v>
      </c>
      <c r="G147">
        <v>65</v>
      </c>
      <c r="R147">
        <v>193</v>
      </c>
      <c r="S147" t="s">
        <v>138</v>
      </c>
      <c r="T147" t="s">
        <v>417</v>
      </c>
      <c r="U147" t="s">
        <v>413</v>
      </c>
      <c r="V147">
        <v>3108</v>
      </c>
      <c r="W147">
        <v>34</v>
      </c>
      <c r="X147">
        <v>65</v>
      </c>
    </row>
    <row r="148" spans="1:24" x14ac:dyDescent="0.25">
      <c r="A148">
        <v>196</v>
      </c>
      <c r="B148" s="2" t="s">
        <v>139</v>
      </c>
      <c r="C148" t="s">
        <v>417</v>
      </c>
      <c r="D148" t="s">
        <v>413</v>
      </c>
      <c r="E148">
        <v>5220</v>
      </c>
      <c r="F148">
        <v>78</v>
      </c>
      <c r="G148">
        <v>62</v>
      </c>
      <c r="R148">
        <v>196</v>
      </c>
      <c r="S148" t="s">
        <v>139</v>
      </c>
      <c r="T148" t="s">
        <v>417</v>
      </c>
      <c r="U148" t="s">
        <v>413</v>
      </c>
      <c r="V148">
        <v>4746</v>
      </c>
      <c r="W148">
        <v>36</v>
      </c>
      <c r="X148">
        <v>62</v>
      </c>
    </row>
    <row r="149" spans="1:24" x14ac:dyDescent="0.25">
      <c r="A149">
        <v>197</v>
      </c>
      <c r="B149" t="s">
        <v>140</v>
      </c>
      <c r="C149" t="s">
        <v>417</v>
      </c>
      <c r="D149" t="s">
        <v>413</v>
      </c>
      <c r="E149">
        <v>5220</v>
      </c>
      <c r="F149">
        <v>78</v>
      </c>
      <c r="G149">
        <v>58</v>
      </c>
      <c r="R149">
        <v>197</v>
      </c>
      <c r="S149" t="s">
        <v>140</v>
      </c>
      <c r="T149" t="s">
        <v>417</v>
      </c>
      <c r="U149" t="s">
        <v>413</v>
      </c>
      <c r="V149">
        <v>4746</v>
      </c>
      <c r="W149">
        <v>36</v>
      </c>
      <c r="X149">
        <v>58</v>
      </c>
    </row>
    <row r="150" spans="1:24" x14ac:dyDescent="0.25">
      <c r="A150">
        <v>198</v>
      </c>
      <c r="B150" t="s">
        <v>141</v>
      </c>
      <c r="C150" t="s">
        <v>417</v>
      </c>
      <c r="D150" t="s">
        <v>413</v>
      </c>
      <c r="E150">
        <v>4162</v>
      </c>
      <c r="F150">
        <v>75</v>
      </c>
      <c r="G150">
        <v>60</v>
      </c>
      <c r="R150">
        <v>198</v>
      </c>
      <c r="S150" t="s">
        <v>141</v>
      </c>
      <c r="T150" t="s">
        <v>417</v>
      </c>
      <c r="U150" t="s">
        <v>413</v>
      </c>
      <c r="V150">
        <v>3783</v>
      </c>
      <c r="W150">
        <v>33</v>
      </c>
      <c r="X150">
        <v>60</v>
      </c>
    </row>
    <row r="151" spans="1:24" x14ac:dyDescent="0.25">
      <c r="A151">
        <v>200</v>
      </c>
      <c r="B151" t="s">
        <v>142</v>
      </c>
      <c r="C151" t="s">
        <v>417</v>
      </c>
      <c r="D151" t="s">
        <v>413</v>
      </c>
      <c r="E151">
        <v>4295</v>
      </c>
      <c r="F151">
        <v>79</v>
      </c>
      <c r="G151">
        <v>65</v>
      </c>
      <c r="R151">
        <v>200</v>
      </c>
      <c r="S151" t="s">
        <v>142</v>
      </c>
      <c r="T151" t="s">
        <v>417</v>
      </c>
      <c r="U151" t="s">
        <v>413</v>
      </c>
      <c r="V151">
        <v>3818</v>
      </c>
      <c r="W151">
        <v>33</v>
      </c>
      <c r="X151">
        <v>65</v>
      </c>
    </row>
    <row r="152" spans="1:24" x14ac:dyDescent="0.25">
      <c r="A152">
        <v>201</v>
      </c>
      <c r="B152" t="s">
        <v>143</v>
      </c>
      <c r="C152" t="s">
        <v>417</v>
      </c>
      <c r="D152" t="s">
        <v>413</v>
      </c>
      <c r="E152">
        <v>4295</v>
      </c>
      <c r="F152">
        <v>79</v>
      </c>
      <c r="G152">
        <v>48</v>
      </c>
      <c r="R152">
        <v>201</v>
      </c>
      <c r="S152" t="s">
        <v>143</v>
      </c>
      <c r="T152" t="s">
        <v>417</v>
      </c>
      <c r="U152" t="s">
        <v>413</v>
      </c>
      <c r="V152">
        <v>3818</v>
      </c>
      <c r="W152">
        <v>33</v>
      </c>
      <c r="X152">
        <v>48</v>
      </c>
    </row>
    <row r="153" spans="1:24" x14ac:dyDescent="0.25">
      <c r="A153">
        <v>202</v>
      </c>
      <c r="B153" t="s">
        <v>144</v>
      </c>
      <c r="C153" t="s">
        <v>417</v>
      </c>
      <c r="D153" t="s">
        <v>413</v>
      </c>
      <c r="E153">
        <v>4295</v>
      </c>
      <c r="F153">
        <v>79</v>
      </c>
      <c r="G153">
        <v>48</v>
      </c>
      <c r="R153">
        <v>202</v>
      </c>
      <c r="S153" t="s">
        <v>144</v>
      </c>
      <c r="T153" t="s">
        <v>417</v>
      </c>
      <c r="U153" t="s">
        <v>413</v>
      </c>
      <c r="V153">
        <v>3818</v>
      </c>
      <c r="W153">
        <v>33</v>
      </c>
      <c r="X153">
        <v>48</v>
      </c>
    </row>
    <row r="154" spans="1:24" x14ac:dyDescent="0.25">
      <c r="A154">
        <v>203</v>
      </c>
      <c r="B154" s="2" t="s">
        <v>145</v>
      </c>
      <c r="C154" t="s">
        <v>417</v>
      </c>
      <c r="D154" t="s">
        <v>413</v>
      </c>
      <c r="E154">
        <v>4295</v>
      </c>
      <c r="F154">
        <v>79</v>
      </c>
      <c r="G154">
        <v>50</v>
      </c>
      <c r="R154">
        <v>203</v>
      </c>
      <c r="S154" t="s">
        <v>145</v>
      </c>
      <c r="T154" t="s">
        <v>417</v>
      </c>
      <c r="U154" t="s">
        <v>413</v>
      </c>
      <c r="V154">
        <v>3818</v>
      </c>
      <c r="W154">
        <v>33</v>
      </c>
      <c r="X154">
        <v>50</v>
      </c>
    </row>
    <row r="155" spans="1:24" x14ac:dyDescent="0.25">
      <c r="A155">
        <v>204</v>
      </c>
      <c r="B155" s="2" t="s">
        <v>343</v>
      </c>
      <c r="C155" t="s">
        <v>434</v>
      </c>
      <c r="D155" t="s">
        <v>413</v>
      </c>
      <c r="E155">
        <v>6604</v>
      </c>
      <c r="F155">
        <v>37</v>
      </c>
      <c r="G155">
        <v>43</v>
      </c>
      <c r="R155">
        <v>204</v>
      </c>
      <c r="S155" t="s">
        <v>343</v>
      </c>
      <c r="T155" t="s">
        <v>434</v>
      </c>
      <c r="U155" t="s">
        <v>413</v>
      </c>
      <c r="V155">
        <v>5620</v>
      </c>
      <c r="W155">
        <v>20</v>
      </c>
      <c r="X155">
        <v>43</v>
      </c>
    </row>
    <row r="156" spans="1:24" x14ac:dyDescent="0.25">
      <c r="A156">
        <v>205</v>
      </c>
      <c r="B156" t="s">
        <v>273</v>
      </c>
      <c r="C156" t="s">
        <v>434</v>
      </c>
      <c r="D156" t="s">
        <v>413</v>
      </c>
      <c r="E156">
        <v>6604</v>
      </c>
      <c r="F156">
        <v>37</v>
      </c>
      <c r="G156">
        <v>37</v>
      </c>
      <c r="R156">
        <v>205</v>
      </c>
      <c r="S156" t="s">
        <v>273</v>
      </c>
      <c r="T156" t="s">
        <v>434</v>
      </c>
      <c r="U156" t="s">
        <v>413</v>
      </c>
      <c r="V156">
        <v>5620</v>
      </c>
      <c r="W156">
        <v>20</v>
      </c>
      <c r="X156">
        <v>37</v>
      </c>
    </row>
    <row r="157" spans="1:24" x14ac:dyDescent="0.25">
      <c r="A157">
        <v>206</v>
      </c>
      <c r="B157" t="s">
        <v>274</v>
      </c>
      <c r="C157" t="s">
        <v>434</v>
      </c>
      <c r="D157" t="s">
        <v>413</v>
      </c>
      <c r="E157">
        <v>6604</v>
      </c>
      <c r="F157">
        <v>37</v>
      </c>
      <c r="G157">
        <v>47</v>
      </c>
      <c r="R157">
        <v>206</v>
      </c>
      <c r="S157" t="s">
        <v>274</v>
      </c>
      <c r="T157" t="s">
        <v>434</v>
      </c>
      <c r="U157" t="s">
        <v>413</v>
      </c>
      <c r="V157">
        <v>5620</v>
      </c>
      <c r="W157">
        <v>20</v>
      </c>
      <c r="X157">
        <v>47</v>
      </c>
    </row>
    <row r="158" spans="1:24" x14ac:dyDescent="0.25">
      <c r="A158">
        <v>207</v>
      </c>
      <c r="B158" t="s">
        <v>275</v>
      </c>
      <c r="C158" t="s">
        <v>434</v>
      </c>
      <c r="D158" t="s">
        <v>413</v>
      </c>
      <c r="E158">
        <v>6604</v>
      </c>
      <c r="F158">
        <v>37</v>
      </c>
      <c r="G158">
        <v>37</v>
      </c>
      <c r="R158">
        <v>207</v>
      </c>
      <c r="S158" t="s">
        <v>275</v>
      </c>
      <c r="T158" t="s">
        <v>434</v>
      </c>
      <c r="U158" t="s">
        <v>413</v>
      </c>
      <c r="V158">
        <v>5620</v>
      </c>
      <c r="W158">
        <v>20</v>
      </c>
      <c r="X158">
        <v>37</v>
      </c>
    </row>
    <row r="159" spans="1:24" x14ac:dyDescent="0.25">
      <c r="A159">
        <v>208</v>
      </c>
      <c r="B159" s="2" t="s">
        <v>344</v>
      </c>
      <c r="C159" t="s">
        <v>418</v>
      </c>
      <c r="D159" t="s">
        <v>414</v>
      </c>
      <c r="E159">
        <v>6916</v>
      </c>
      <c r="F159">
        <v>31</v>
      </c>
      <c r="G159">
        <v>13</v>
      </c>
      <c r="R159">
        <v>208</v>
      </c>
      <c r="S159" t="s">
        <v>344</v>
      </c>
      <c r="T159" t="s">
        <v>418</v>
      </c>
      <c r="U159" t="s">
        <v>414</v>
      </c>
      <c r="V159">
        <v>5911</v>
      </c>
      <c r="W159">
        <v>13</v>
      </c>
      <c r="X159">
        <v>13</v>
      </c>
    </row>
    <row r="160" spans="1:24" x14ac:dyDescent="0.25">
      <c r="A160">
        <v>209</v>
      </c>
      <c r="B160" s="2" t="s">
        <v>345</v>
      </c>
      <c r="C160" t="s">
        <v>418</v>
      </c>
      <c r="D160" t="s">
        <v>414</v>
      </c>
      <c r="E160">
        <v>7307</v>
      </c>
      <c r="F160">
        <v>31</v>
      </c>
      <c r="G160">
        <v>14</v>
      </c>
      <c r="R160">
        <v>209</v>
      </c>
      <c r="S160" t="s">
        <v>345</v>
      </c>
      <c r="T160" t="s">
        <v>418</v>
      </c>
      <c r="U160" t="s">
        <v>414</v>
      </c>
      <c r="V160">
        <v>6246</v>
      </c>
      <c r="W160">
        <v>13</v>
      </c>
      <c r="X160">
        <v>14</v>
      </c>
    </row>
    <row r="161" spans="1:24" x14ac:dyDescent="0.25">
      <c r="A161">
        <v>210</v>
      </c>
      <c r="B161" t="s">
        <v>276</v>
      </c>
      <c r="C161" t="s">
        <v>418</v>
      </c>
      <c r="D161" t="s">
        <v>414</v>
      </c>
      <c r="E161">
        <v>7124</v>
      </c>
      <c r="F161">
        <v>31</v>
      </c>
      <c r="G161">
        <v>60</v>
      </c>
      <c r="R161">
        <v>210</v>
      </c>
      <c r="S161" t="s">
        <v>276</v>
      </c>
      <c r="T161" t="s">
        <v>418</v>
      </c>
      <c r="U161" t="s">
        <v>414</v>
      </c>
      <c r="V161">
        <v>6105</v>
      </c>
      <c r="W161">
        <v>13</v>
      </c>
      <c r="X161">
        <v>60</v>
      </c>
    </row>
    <row r="162" spans="1:24" x14ac:dyDescent="0.25">
      <c r="A162">
        <v>211</v>
      </c>
      <c r="B162" s="2" t="s">
        <v>346</v>
      </c>
      <c r="C162" t="s">
        <v>418</v>
      </c>
      <c r="D162" t="s">
        <v>414</v>
      </c>
      <c r="E162">
        <v>7124</v>
      </c>
      <c r="F162">
        <v>31</v>
      </c>
      <c r="G162">
        <v>60</v>
      </c>
      <c r="R162">
        <v>211</v>
      </c>
      <c r="S162" t="s">
        <v>346</v>
      </c>
      <c r="T162" t="s">
        <v>418</v>
      </c>
      <c r="U162" t="s">
        <v>414</v>
      </c>
      <c r="V162">
        <v>6105</v>
      </c>
      <c r="W162">
        <v>13</v>
      </c>
      <c r="X162">
        <v>60</v>
      </c>
    </row>
    <row r="163" spans="1:24" x14ac:dyDescent="0.25">
      <c r="A163">
        <v>212</v>
      </c>
      <c r="B163" t="s">
        <v>277</v>
      </c>
      <c r="C163" t="s">
        <v>418</v>
      </c>
      <c r="D163" t="s">
        <v>414</v>
      </c>
      <c r="E163">
        <v>8117</v>
      </c>
      <c r="F163">
        <v>37</v>
      </c>
      <c r="G163">
        <v>71</v>
      </c>
      <c r="R163">
        <v>212</v>
      </c>
      <c r="S163" t="s">
        <v>277</v>
      </c>
      <c r="T163" t="s">
        <v>418</v>
      </c>
      <c r="U163" t="s">
        <v>414</v>
      </c>
      <c r="V163">
        <v>6955</v>
      </c>
      <c r="W163">
        <v>18</v>
      </c>
      <c r="X163">
        <v>71</v>
      </c>
    </row>
    <row r="164" spans="1:24" x14ac:dyDescent="0.25">
      <c r="A164">
        <v>213</v>
      </c>
      <c r="B164" t="s">
        <v>278</v>
      </c>
      <c r="C164" t="s">
        <v>418</v>
      </c>
      <c r="D164" t="s">
        <v>414</v>
      </c>
      <c r="E164">
        <v>7896</v>
      </c>
      <c r="F164">
        <v>34</v>
      </c>
      <c r="G164">
        <v>34</v>
      </c>
      <c r="R164">
        <v>213</v>
      </c>
      <c r="S164" t="s">
        <v>278</v>
      </c>
      <c r="T164" t="s">
        <v>418</v>
      </c>
      <c r="U164" t="s">
        <v>414</v>
      </c>
      <c r="V164">
        <v>6766</v>
      </c>
      <c r="W164">
        <v>16</v>
      </c>
      <c r="X164">
        <v>34</v>
      </c>
    </row>
    <row r="165" spans="1:24" x14ac:dyDescent="0.25">
      <c r="A165">
        <v>218</v>
      </c>
      <c r="B165" s="2" t="s">
        <v>362</v>
      </c>
      <c r="C165" t="s">
        <v>431</v>
      </c>
      <c r="D165" t="s">
        <v>413</v>
      </c>
      <c r="E165">
        <v>5204</v>
      </c>
      <c r="F165">
        <v>68</v>
      </c>
      <c r="G165">
        <v>43</v>
      </c>
      <c r="R165">
        <v>218</v>
      </c>
      <c r="S165" t="s">
        <v>362</v>
      </c>
      <c r="T165" t="s">
        <v>431</v>
      </c>
      <c r="U165" t="s">
        <v>413</v>
      </c>
      <c r="V165">
        <v>4448</v>
      </c>
      <c r="W165">
        <v>49</v>
      </c>
      <c r="X165">
        <v>43</v>
      </c>
    </row>
    <row r="166" spans="1:24" x14ac:dyDescent="0.25">
      <c r="A166">
        <v>219</v>
      </c>
      <c r="B166" s="2" t="s">
        <v>363</v>
      </c>
      <c r="C166" t="s">
        <v>431</v>
      </c>
      <c r="D166" t="s">
        <v>413</v>
      </c>
      <c r="E166">
        <v>5204</v>
      </c>
      <c r="F166">
        <v>68</v>
      </c>
      <c r="G166">
        <v>80</v>
      </c>
      <c r="R166">
        <v>219</v>
      </c>
      <c r="S166" t="s">
        <v>363</v>
      </c>
      <c r="T166" t="s">
        <v>431</v>
      </c>
      <c r="U166" t="s">
        <v>413</v>
      </c>
      <c r="V166">
        <v>4448</v>
      </c>
      <c r="W166">
        <v>49</v>
      </c>
      <c r="X166">
        <v>80</v>
      </c>
    </row>
    <row r="167" spans="1:24" x14ac:dyDescent="0.25">
      <c r="A167">
        <v>220</v>
      </c>
      <c r="B167" s="2" t="s">
        <v>364</v>
      </c>
      <c r="C167" t="s">
        <v>431</v>
      </c>
      <c r="D167" t="s">
        <v>413</v>
      </c>
      <c r="E167">
        <v>3621</v>
      </c>
      <c r="F167">
        <v>66</v>
      </c>
      <c r="G167">
        <v>79</v>
      </c>
      <c r="R167">
        <v>220</v>
      </c>
      <c r="S167" t="s">
        <v>364</v>
      </c>
      <c r="T167" t="s">
        <v>431</v>
      </c>
      <c r="U167" t="s">
        <v>413</v>
      </c>
      <c r="V167">
        <v>3095</v>
      </c>
      <c r="W167">
        <v>47</v>
      </c>
      <c r="X167">
        <v>79</v>
      </c>
    </row>
    <row r="168" spans="1:24" x14ac:dyDescent="0.25">
      <c r="A168">
        <v>222</v>
      </c>
      <c r="B168" s="2" t="s">
        <v>365</v>
      </c>
      <c r="C168" t="s">
        <v>431</v>
      </c>
      <c r="D168" t="s">
        <v>413</v>
      </c>
      <c r="E168">
        <v>4283</v>
      </c>
      <c r="F168">
        <v>70</v>
      </c>
      <c r="G168">
        <v>24</v>
      </c>
      <c r="R168">
        <v>222</v>
      </c>
      <c r="S168" t="s">
        <v>365</v>
      </c>
      <c r="T168" t="s">
        <v>431</v>
      </c>
      <c r="U168" t="s">
        <v>413</v>
      </c>
      <c r="V168">
        <v>3692</v>
      </c>
      <c r="W168">
        <v>50</v>
      </c>
      <c r="X168">
        <v>24</v>
      </c>
    </row>
    <row r="169" spans="1:24" x14ac:dyDescent="0.25">
      <c r="A169">
        <v>223</v>
      </c>
      <c r="B169" s="2" t="s">
        <v>366</v>
      </c>
      <c r="C169" t="s">
        <v>431</v>
      </c>
      <c r="D169" t="s">
        <v>413</v>
      </c>
      <c r="E169">
        <v>4278</v>
      </c>
      <c r="F169">
        <v>82</v>
      </c>
      <c r="G169">
        <v>42</v>
      </c>
      <c r="R169">
        <v>223</v>
      </c>
      <c r="S169" t="s">
        <v>366</v>
      </c>
      <c r="T169" t="s">
        <v>431</v>
      </c>
      <c r="U169" t="s">
        <v>413</v>
      </c>
      <c r="V169">
        <v>3657</v>
      </c>
      <c r="W169">
        <v>61</v>
      </c>
      <c r="X169">
        <v>42</v>
      </c>
    </row>
    <row r="170" spans="1:24" x14ac:dyDescent="0.25">
      <c r="A170">
        <v>224</v>
      </c>
      <c r="B170" t="s">
        <v>337</v>
      </c>
      <c r="C170" t="s">
        <v>432</v>
      </c>
      <c r="D170" t="s">
        <v>413</v>
      </c>
      <c r="E170">
        <v>6588</v>
      </c>
      <c r="F170">
        <v>54</v>
      </c>
      <c r="G170">
        <v>42</v>
      </c>
      <c r="R170">
        <v>224</v>
      </c>
      <c r="S170" t="s">
        <v>337</v>
      </c>
      <c r="T170" t="s">
        <v>432</v>
      </c>
      <c r="U170" t="s">
        <v>413</v>
      </c>
      <c r="V170">
        <v>5830</v>
      </c>
      <c r="W170">
        <v>33</v>
      </c>
      <c r="X170">
        <v>42</v>
      </c>
    </row>
    <row r="171" spans="1:24" x14ac:dyDescent="0.25">
      <c r="A171">
        <v>225</v>
      </c>
      <c r="B171" s="2" t="s">
        <v>367</v>
      </c>
      <c r="C171" t="s">
        <v>432</v>
      </c>
      <c r="D171" t="s">
        <v>413</v>
      </c>
      <c r="E171">
        <v>6771</v>
      </c>
      <c r="F171">
        <v>49</v>
      </c>
      <c r="G171">
        <v>42</v>
      </c>
      <c r="R171">
        <v>225</v>
      </c>
      <c r="S171" t="s">
        <v>367</v>
      </c>
      <c r="T171" t="s">
        <v>432</v>
      </c>
      <c r="U171" t="s">
        <v>413</v>
      </c>
      <c r="V171">
        <v>5992</v>
      </c>
      <c r="W171">
        <v>29</v>
      </c>
      <c r="X171">
        <v>42</v>
      </c>
    </row>
    <row r="172" spans="1:24" x14ac:dyDescent="0.25">
      <c r="A172">
        <v>226</v>
      </c>
      <c r="B172" s="2" t="s">
        <v>368</v>
      </c>
      <c r="C172" t="s">
        <v>432</v>
      </c>
      <c r="D172" t="s">
        <v>413</v>
      </c>
      <c r="E172">
        <v>5246</v>
      </c>
      <c r="F172">
        <v>56</v>
      </c>
      <c r="G172">
        <v>36</v>
      </c>
      <c r="R172">
        <v>226</v>
      </c>
      <c r="S172" t="s">
        <v>368</v>
      </c>
      <c r="T172" t="s">
        <v>432</v>
      </c>
      <c r="U172" t="s">
        <v>413</v>
      </c>
      <c r="V172">
        <v>4522</v>
      </c>
      <c r="W172">
        <v>36</v>
      </c>
      <c r="X172">
        <v>36</v>
      </c>
    </row>
    <row r="173" spans="1:24" x14ac:dyDescent="0.25">
      <c r="A173">
        <v>227</v>
      </c>
      <c r="B173" s="2" t="s">
        <v>369</v>
      </c>
      <c r="C173" t="s">
        <v>432</v>
      </c>
      <c r="D173" t="s">
        <v>413</v>
      </c>
      <c r="E173">
        <v>5468</v>
      </c>
      <c r="F173">
        <v>56</v>
      </c>
      <c r="G173">
        <v>36</v>
      </c>
      <c r="R173">
        <v>227</v>
      </c>
      <c r="S173" t="s">
        <v>369</v>
      </c>
      <c r="T173" t="s">
        <v>432</v>
      </c>
      <c r="U173" t="s">
        <v>413</v>
      </c>
      <c r="V173">
        <v>4714</v>
      </c>
      <c r="W173">
        <v>36</v>
      </c>
      <c r="X173">
        <v>36</v>
      </c>
    </row>
    <row r="174" spans="1:24" x14ac:dyDescent="0.25">
      <c r="A174">
        <v>228</v>
      </c>
      <c r="B174" s="2" t="s">
        <v>370</v>
      </c>
      <c r="C174" t="s">
        <v>432</v>
      </c>
      <c r="D174" t="s">
        <v>413</v>
      </c>
      <c r="E174">
        <v>6729</v>
      </c>
      <c r="F174">
        <v>56</v>
      </c>
      <c r="G174">
        <v>49</v>
      </c>
      <c r="R174">
        <v>228</v>
      </c>
      <c r="S174" t="s">
        <v>370</v>
      </c>
      <c r="T174" t="s">
        <v>432</v>
      </c>
      <c r="U174" t="s">
        <v>413</v>
      </c>
      <c r="V174">
        <v>5954</v>
      </c>
      <c r="W174">
        <v>36</v>
      </c>
      <c r="X174">
        <v>49</v>
      </c>
    </row>
    <row r="175" spans="1:24" x14ac:dyDescent="0.25">
      <c r="A175">
        <v>229</v>
      </c>
      <c r="B175" t="s">
        <v>339</v>
      </c>
      <c r="C175" t="s">
        <v>432</v>
      </c>
      <c r="D175" t="s">
        <v>413</v>
      </c>
      <c r="E175">
        <v>7193</v>
      </c>
      <c r="F175">
        <v>57</v>
      </c>
      <c r="G175">
        <v>73</v>
      </c>
      <c r="R175">
        <v>229</v>
      </c>
      <c r="S175" t="s">
        <v>339</v>
      </c>
      <c r="T175" t="s">
        <v>432</v>
      </c>
      <c r="U175" t="s">
        <v>413</v>
      </c>
      <c r="V175">
        <v>6365</v>
      </c>
      <c r="W175">
        <v>36</v>
      </c>
      <c r="X175">
        <v>73</v>
      </c>
    </row>
    <row r="176" spans="1:24" x14ac:dyDescent="0.25">
      <c r="A176">
        <v>230</v>
      </c>
      <c r="B176" s="2" t="s">
        <v>371</v>
      </c>
      <c r="C176" t="s">
        <v>432</v>
      </c>
      <c r="D176" t="s">
        <v>414</v>
      </c>
      <c r="E176">
        <v>7310</v>
      </c>
      <c r="F176">
        <v>54</v>
      </c>
      <c r="G176">
        <v>36</v>
      </c>
      <c r="R176">
        <v>230</v>
      </c>
      <c r="S176" t="s">
        <v>371</v>
      </c>
      <c r="T176" t="s">
        <v>432</v>
      </c>
      <c r="U176" t="s">
        <v>414</v>
      </c>
      <c r="V176">
        <v>6412</v>
      </c>
      <c r="W176">
        <v>34</v>
      </c>
      <c r="X176">
        <v>36</v>
      </c>
    </row>
    <row r="177" spans="1:26" x14ac:dyDescent="0.25">
      <c r="A177">
        <v>232</v>
      </c>
      <c r="B177" t="s">
        <v>279</v>
      </c>
      <c r="C177" t="s">
        <v>433</v>
      </c>
      <c r="D177" t="s">
        <v>412</v>
      </c>
      <c r="E177">
        <v>4125</v>
      </c>
      <c r="F177">
        <v>45</v>
      </c>
      <c r="G177">
        <v>58</v>
      </c>
      <c r="R177">
        <v>232</v>
      </c>
      <c r="S177" t="s">
        <v>279</v>
      </c>
      <c r="T177" t="s">
        <v>433</v>
      </c>
      <c r="U177" t="s">
        <v>412</v>
      </c>
      <c r="V177">
        <v>3525</v>
      </c>
      <c r="W177">
        <v>20</v>
      </c>
      <c r="X177">
        <v>58</v>
      </c>
    </row>
    <row r="178" spans="1:26" x14ac:dyDescent="0.25">
      <c r="A178">
        <v>233</v>
      </c>
      <c r="B178" t="s">
        <v>146</v>
      </c>
      <c r="C178" t="s">
        <v>405</v>
      </c>
      <c r="D178" t="s">
        <v>412</v>
      </c>
      <c r="E178">
        <v>2053</v>
      </c>
      <c r="F178">
        <v>148</v>
      </c>
      <c r="G178">
        <v>40</v>
      </c>
      <c r="I178">
        <v>0.4</v>
      </c>
      <c r="R178">
        <v>233</v>
      </c>
      <c r="S178" t="s">
        <v>146</v>
      </c>
      <c r="T178" t="s">
        <v>405</v>
      </c>
      <c r="U178" t="s">
        <v>412</v>
      </c>
      <c r="V178">
        <v>1725</v>
      </c>
      <c r="W178">
        <v>143</v>
      </c>
      <c r="X178">
        <v>40</v>
      </c>
      <c r="Z178">
        <v>0.4</v>
      </c>
    </row>
    <row r="179" spans="1:26" x14ac:dyDescent="0.25">
      <c r="A179">
        <v>236</v>
      </c>
      <c r="B179" t="s">
        <v>147</v>
      </c>
      <c r="C179" t="s">
        <v>405</v>
      </c>
      <c r="D179" t="s">
        <v>412</v>
      </c>
      <c r="E179">
        <v>2125</v>
      </c>
      <c r="F179">
        <v>157</v>
      </c>
      <c r="G179">
        <v>65</v>
      </c>
      <c r="R179">
        <v>236</v>
      </c>
      <c r="S179" t="s">
        <v>147</v>
      </c>
      <c r="T179" t="s">
        <v>405</v>
      </c>
      <c r="U179" t="s">
        <v>412</v>
      </c>
      <c r="V179">
        <v>1786</v>
      </c>
      <c r="W179">
        <v>152</v>
      </c>
      <c r="X179">
        <v>65</v>
      </c>
    </row>
    <row r="180" spans="1:26" x14ac:dyDescent="0.25">
      <c r="A180">
        <v>237</v>
      </c>
      <c r="B180" t="s">
        <v>149</v>
      </c>
      <c r="C180" t="s">
        <v>405</v>
      </c>
      <c r="D180" t="s">
        <v>412</v>
      </c>
      <c r="E180">
        <v>2116</v>
      </c>
      <c r="F180">
        <v>156</v>
      </c>
      <c r="G180">
        <v>72</v>
      </c>
      <c r="R180">
        <v>237</v>
      </c>
      <c r="S180" t="s">
        <v>149</v>
      </c>
      <c r="T180" t="s">
        <v>405</v>
      </c>
      <c r="U180" t="s">
        <v>412</v>
      </c>
      <c r="V180">
        <v>1778</v>
      </c>
      <c r="W180">
        <v>150</v>
      </c>
      <c r="X180">
        <v>72</v>
      </c>
    </row>
    <row r="181" spans="1:26" x14ac:dyDescent="0.25">
      <c r="A181">
        <v>238</v>
      </c>
      <c r="B181" t="s">
        <v>280</v>
      </c>
      <c r="C181" t="s">
        <v>404</v>
      </c>
      <c r="D181" t="s">
        <v>412</v>
      </c>
      <c r="E181">
        <v>3372</v>
      </c>
      <c r="F181">
        <v>100</v>
      </c>
      <c r="G181">
        <v>42</v>
      </c>
      <c r="R181">
        <v>238</v>
      </c>
      <c r="S181" t="s">
        <v>150</v>
      </c>
      <c r="T181" t="s">
        <v>404</v>
      </c>
      <c r="U181" t="s">
        <v>412</v>
      </c>
      <c r="V181">
        <v>2989</v>
      </c>
      <c r="W181">
        <v>76</v>
      </c>
      <c r="X181">
        <v>42</v>
      </c>
    </row>
    <row r="182" spans="1:26" x14ac:dyDescent="0.25">
      <c r="A182">
        <v>239</v>
      </c>
      <c r="B182" t="s">
        <v>151</v>
      </c>
      <c r="C182" t="s">
        <v>404</v>
      </c>
      <c r="D182" t="s">
        <v>412</v>
      </c>
      <c r="E182">
        <v>3372</v>
      </c>
      <c r="F182">
        <v>100</v>
      </c>
      <c r="G182">
        <v>39</v>
      </c>
      <c r="R182">
        <v>239</v>
      </c>
      <c r="S182" t="s">
        <v>151</v>
      </c>
      <c r="T182" t="s">
        <v>404</v>
      </c>
      <c r="U182" t="s">
        <v>412</v>
      </c>
      <c r="V182">
        <v>2989</v>
      </c>
      <c r="W182">
        <v>76</v>
      </c>
      <c r="X182">
        <v>39</v>
      </c>
    </row>
    <row r="183" spans="1:26" x14ac:dyDescent="0.25">
      <c r="A183">
        <v>240</v>
      </c>
      <c r="B183" s="2" t="s">
        <v>372</v>
      </c>
      <c r="C183" t="s">
        <v>404</v>
      </c>
      <c r="D183" t="s">
        <v>412</v>
      </c>
      <c r="E183">
        <v>3372</v>
      </c>
      <c r="F183">
        <v>100</v>
      </c>
      <c r="G183">
        <v>62</v>
      </c>
      <c r="R183">
        <v>240</v>
      </c>
      <c r="S183" t="s">
        <v>153</v>
      </c>
      <c r="T183" t="s">
        <v>404</v>
      </c>
      <c r="U183" t="s">
        <v>412</v>
      </c>
      <c r="V183">
        <v>2989</v>
      </c>
      <c r="W183">
        <v>76</v>
      </c>
      <c r="X183">
        <v>62</v>
      </c>
    </row>
    <row r="184" spans="1:26" x14ac:dyDescent="0.25">
      <c r="A184">
        <v>241</v>
      </c>
      <c r="B184" t="s">
        <v>154</v>
      </c>
      <c r="C184" t="s">
        <v>404</v>
      </c>
      <c r="D184" t="s">
        <v>412</v>
      </c>
      <c r="E184">
        <v>3494</v>
      </c>
      <c r="F184">
        <v>102</v>
      </c>
      <c r="G184">
        <v>67</v>
      </c>
      <c r="R184">
        <v>241</v>
      </c>
      <c r="S184" t="s">
        <v>154</v>
      </c>
      <c r="T184" t="s">
        <v>404</v>
      </c>
      <c r="U184" t="s">
        <v>412</v>
      </c>
      <c r="V184">
        <v>3106</v>
      </c>
      <c r="W184">
        <v>76</v>
      </c>
      <c r="X184">
        <v>67</v>
      </c>
    </row>
    <row r="185" spans="1:26" x14ac:dyDescent="0.25">
      <c r="A185">
        <v>242</v>
      </c>
      <c r="B185" t="s">
        <v>155</v>
      </c>
      <c r="C185" t="s">
        <v>417</v>
      </c>
      <c r="D185" t="s">
        <v>413</v>
      </c>
      <c r="E185">
        <v>4970</v>
      </c>
      <c r="F185">
        <v>61</v>
      </c>
      <c r="G185">
        <v>66</v>
      </c>
      <c r="R185">
        <v>242</v>
      </c>
      <c r="S185" t="s">
        <v>155</v>
      </c>
      <c r="T185" t="s">
        <v>417</v>
      </c>
      <c r="U185" t="s">
        <v>413</v>
      </c>
      <c r="V185">
        <v>4518</v>
      </c>
      <c r="W185">
        <v>23</v>
      </c>
      <c r="X185">
        <v>66</v>
      </c>
    </row>
    <row r="186" spans="1:26" x14ac:dyDescent="0.25">
      <c r="A186">
        <v>244</v>
      </c>
      <c r="B186" t="s">
        <v>156</v>
      </c>
      <c r="C186" t="s">
        <v>417</v>
      </c>
      <c r="D186" t="s">
        <v>413</v>
      </c>
      <c r="E186">
        <v>6252</v>
      </c>
      <c r="F186">
        <v>62</v>
      </c>
      <c r="G186">
        <v>78</v>
      </c>
      <c r="R186">
        <v>244</v>
      </c>
      <c r="S186" t="s">
        <v>156</v>
      </c>
      <c r="T186" t="s">
        <v>417</v>
      </c>
      <c r="U186" t="s">
        <v>413</v>
      </c>
      <c r="V186">
        <v>5683</v>
      </c>
      <c r="W186">
        <v>24</v>
      </c>
      <c r="X186">
        <v>78</v>
      </c>
    </row>
    <row r="187" spans="1:26" x14ac:dyDescent="0.25">
      <c r="A187">
        <v>245</v>
      </c>
      <c r="B187" t="s">
        <v>157</v>
      </c>
      <c r="C187" t="s">
        <v>417</v>
      </c>
      <c r="D187" t="s">
        <v>413</v>
      </c>
      <c r="E187">
        <v>4018</v>
      </c>
      <c r="F187">
        <v>53</v>
      </c>
      <c r="G187">
        <v>72</v>
      </c>
      <c r="R187">
        <v>245</v>
      </c>
      <c r="S187" t="s">
        <v>157</v>
      </c>
      <c r="T187" t="s">
        <v>417</v>
      </c>
      <c r="U187" t="s">
        <v>413</v>
      </c>
      <c r="V187">
        <v>3571</v>
      </c>
      <c r="W187">
        <v>18</v>
      </c>
      <c r="X187">
        <v>72</v>
      </c>
    </row>
    <row r="188" spans="1:26" x14ac:dyDescent="0.25">
      <c r="A188">
        <v>246</v>
      </c>
      <c r="B188" s="2" t="s">
        <v>158</v>
      </c>
      <c r="C188" t="s">
        <v>417</v>
      </c>
      <c r="D188" t="s">
        <v>413</v>
      </c>
      <c r="E188">
        <v>4361</v>
      </c>
      <c r="F188">
        <v>54</v>
      </c>
      <c r="G188">
        <v>36</v>
      </c>
      <c r="R188">
        <v>246</v>
      </c>
      <c r="S188" t="s">
        <v>158</v>
      </c>
      <c r="T188" t="s">
        <v>417</v>
      </c>
      <c r="U188" t="s">
        <v>413</v>
      </c>
      <c r="V188">
        <v>3877</v>
      </c>
      <c r="W188">
        <v>18</v>
      </c>
      <c r="X188">
        <v>36</v>
      </c>
    </row>
    <row r="189" spans="1:26" x14ac:dyDescent="0.25">
      <c r="A189">
        <v>248</v>
      </c>
      <c r="B189" s="2" t="s">
        <v>373</v>
      </c>
      <c r="C189" t="s">
        <v>434</v>
      </c>
      <c r="D189" t="s">
        <v>413</v>
      </c>
      <c r="E189">
        <v>7455</v>
      </c>
      <c r="F189">
        <v>38</v>
      </c>
      <c r="G189">
        <v>43</v>
      </c>
      <c r="R189">
        <v>248</v>
      </c>
      <c r="S189" t="s">
        <v>373</v>
      </c>
      <c r="T189" t="s">
        <v>434</v>
      </c>
      <c r="U189" t="s">
        <v>413</v>
      </c>
      <c r="V189">
        <v>6415</v>
      </c>
      <c r="W189">
        <v>22</v>
      </c>
      <c r="X189">
        <v>43</v>
      </c>
    </row>
    <row r="190" spans="1:26" x14ac:dyDescent="0.25">
      <c r="A190">
        <v>249</v>
      </c>
      <c r="B190" s="2" t="s">
        <v>374</v>
      </c>
      <c r="C190" t="s">
        <v>434</v>
      </c>
      <c r="D190" t="s">
        <v>413</v>
      </c>
      <c r="E190">
        <v>7455</v>
      </c>
      <c r="F190">
        <v>38</v>
      </c>
      <c r="G190">
        <v>64</v>
      </c>
      <c r="R190">
        <v>249</v>
      </c>
      <c r="S190" t="s">
        <v>374</v>
      </c>
      <c r="T190" t="s">
        <v>434</v>
      </c>
      <c r="U190" t="s">
        <v>413</v>
      </c>
      <c r="V190">
        <v>6415</v>
      </c>
      <c r="W190">
        <v>22</v>
      </c>
      <c r="X190">
        <v>64</v>
      </c>
    </row>
    <row r="191" spans="1:26" x14ac:dyDescent="0.25">
      <c r="A191">
        <v>250</v>
      </c>
      <c r="B191" s="2" t="s">
        <v>496</v>
      </c>
      <c r="C191" t="s">
        <v>418</v>
      </c>
      <c r="D191" t="s">
        <v>414</v>
      </c>
      <c r="E191">
        <v>8762</v>
      </c>
      <c r="F191">
        <v>33</v>
      </c>
      <c r="G191">
        <v>32</v>
      </c>
      <c r="R191">
        <v>250</v>
      </c>
      <c r="S191" t="s">
        <v>496</v>
      </c>
      <c r="T191" t="s">
        <v>418</v>
      </c>
      <c r="U191" t="s">
        <v>414</v>
      </c>
      <c r="V191">
        <v>7529</v>
      </c>
      <c r="W191">
        <v>21</v>
      </c>
      <c r="X191">
        <v>32</v>
      </c>
    </row>
    <row r="192" spans="1:26" x14ac:dyDescent="0.25">
      <c r="A192">
        <v>251</v>
      </c>
      <c r="B192" s="2" t="s">
        <v>375</v>
      </c>
      <c r="C192" t="s">
        <v>418</v>
      </c>
      <c r="D192" t="s">
        <v>414</v>
      </c>
      <c r="E192">
        <v>8401</v>
      </c>
      <c r="F192">
        <v>33</v>
      </c>
      <c r="G192">
        <v>45</v>
      </c>
      <c r="R192">
        <v>251</v>
      </c>
      <c r="S192" t="s">
        <v>375</v>
      </c>
      <c r="T192" t="s">
        <v>418</v>
      </c>
      <c r="U192" t="s">
        <v>414</v>
      </c>
      <c r="V192">
        <v>7637</v>
      </c>
      <c r="W192">
        <v>21</v>
      </c>
      <c r="X192">
        <v>45</v>
      </c>
    </row>
    <row r="193" spans="1:26" x14ac:dyDescent="0.25">
      <c r="A193">
        <v>252</v>
      </c>
      <c r="B193" t="s">
        <v>335</v>
      </c>
      <c r="C193" t="s">
        <v>432</v>
      </c>
      <c r="D193" t="s">
        <v>413</v>
      </c>
      <c r="E193">
        <v>7488</v>
      </c>
      <c r="F193">
        <v>50</v>
      </c>
      <c r="G193">
        <v>45</v>
      </c>
      <c r="R193">
        <v>252</v>
      </c>
      <c r="S193" t="s">
        <v>335</v>
      </c>
      <c r="T193" t="s">
        <v>432</v>
      </c>
      <c r="U193" t="s">
        <v>413</v>
      </c>
      <c r="V193">
        <v>6808</v>
      </c>
      <c r="W193">
        <v>36</v>
      </c>
      <c r="X193">
        <v>45</v>
      </c>
    </row>
    <row r="194" spans="1:26" x14ac:dyDescent="0.25">
      <c r="A194">
        <v>253</v>
      </c>
      <c r="B194" s="2" t="s">
        <v>159</v>
      </c>
      <c r="C194" t="s">
        <v>405</v>
      </c>
      <c r="D194" t="s">
        <v>412</v>
      </c>
      <c r="E194">
        <v>2277</v>
      </c>
      <c r="F194">
        <v>165</v>
      </c>
      <c r="G194">
        <v>81</v>
      </c>
      <c r="I194">
        <v>0.1</v>
      </c>
      <c r="R194">
        <v>253</v>
      </c>
      <c r="S194" t="s">
        <v>159</v>
      </c>
      <c r="T194" t="s">
        <v>405</v>
      </c>
      <c r="U194" t="s">
        <v>412</v>
      </c>
      <c r="V194">
        <v>1897</v>
      </c>
      <c r="W194">
        <v>159</v>
      </c>
      <c r="X194">
        <v>81</v>
      </c>
      <c r="Z194">
        <v>0.1</v>
      </c>
    </row>
    <row r="195" spans="1:26" x14ac:dyDescent="0.25">
      <c r="A195">
        <v>254</v>
      </c>
      <c r="B195" s="2" t="s">
        <v>160</v>
      </c>
      <c r="C195" t="s">
        <v>405</v>
      </c>
      <c r="D195" t="s">
        <v>412</v>
      </c>
      <c r="E195">
        <v>2277</v>
      </c>
      <c r="F195">
        <v>165</v>
      </c>
      <c r="G195">
        <v>51</v>
      </c>
      <c r="R195">
        <v>254</v>
      </c>
      <c r="S195" t="s">
        <v>160</v>
      </c>
      <c r="T195" t="s">
        <v>405</v>
      </c>
      <c r="U195" t="s">
        <v>412</v>
      </c>
      <c r="V195">
        <v>1897</v>
      </c>
      <c r="W195">
        <v>159</v>
      </c>
      <c r="X195">
        <v>51</v>
      </c>
    </row>
    <row r="196" spans="1:26" x14ac:dyDescent="0.25">
      <c r="A196">
        <v>255</v>
      </c>
      <c r="B196" s="2" t="s">
        <v>161</v>
      </c>
      <c r="C196" t="s">
        <v>405</v>
      </c>
      <c r="D196" t="s">
        <v>412</v>
      </c>
      <c r="E196">
        <v>2277</v>
      </c>
      <c r="F196">
        <v>165</v>
      </c>
      <c r="G196">
        <v>61</v>
      </c>
      <c r="R196">
        <v>255</v>
      </c>
      <c r="S196" t="s">
        <v>161</v>
      </c>
      <c r="T196" t="s">
        <v>405</v>
      </c>
      <c r="U196" t="s">
        <v>412</v>
      </c>
      <c r="V196">
        <v>1897</v>
      </c>
      <c r="W196">
        <v>159</v>
      </c>
      <c r="X196">
        <v>61</v>
      </c>
    </row>
    <row r="197" spans="1:26" x14ac:dyDescent="0.25">
      <c r="A197">
        <v>256</v>
      </c>
      <c r="B197" s="2" t="s">
        <v>162</v>
      </c>
      <c r="C197" t="s">
        <v>405</v>
      </c>
      <c r="D197" t="s">
        <v>412</v>
      </c>
      <c r="E197">
        <v>2277</v>
      </c>
      <c r="F197">
        <v>165</v>
      </c>
      <c r="G197">
        <v>71</v>
      </c>
      <c r="R197">
        <v>256</v>
      </c>
      <c r="S197" t="s">
        <v>162</v>
      </c>
      <c r="T197" t="s">
        <v>405</v>
      </c>
      <c r="U197" t="s">
        <v>412</v>
      </c>
      <c r="V197">
        <v>1897</v>
      </c>
      <c r="W197">
        <v>159</v>
      </c>
      <c r="X197">
        <v>71</v>
      </c>
    </row>
    <row r="198" spans="1:26" x14ac:dyDescent="0.25">
      <c r="A198">
        <v>257</v>
      </c>
      <c r="B198" s="2" t="s">
        <v>163</v>
      </c>
      <c r="C198" t="s">
        <v>404</v>
      </c>
      <c r="D198" t="s">
        <v>412</v>
      </c>
      <c r="E198">
        <v>1884</v>
      </c>
      <c r="F198">
        <v>79</v>
      </c>
      <c r="G198">
        <v>64</v>
      </c>
      <c r="R198">
        <v>257</v>
      </c>
      <c r="S198" t="s">
        <v>163</v>
      </c>
      <c r="T198" t="s">
        <v>404</v>
      </c>
      <c r="U198" t="s">
        <v>412</v>
      </c>
      <c r="V198">
        <v>1698</v>
      </c>
      <c r="W198">
        <v>62</v>
      </c>
      <c r="X198">
        <v>64</v>
      </c>
    </row>
    <row r="199" spans="1:26" x14ac:dyDescent="0.25">
      <c r="A199">
        <v>258</v>
      </c>
      <c r="B199" s="2" t="s">
        <v>164</v>
      </c>
      <c r="C199" t="s">
        <v>404</v>
      </c>
      <c r="D199" t="s">
        <v>412</v>
      </c>
      <c r="E199">
        <v>1982</v>
      </c>
      <c r="F199">
        <v>75</v>
      </c>
      <c r="G199">
        <v>51</v>
      </c>
      <c r="R199">
        <v>258</v>
      </c>
      <c r="S199" t="s">
        <v>164</v>
      </c>
      <c r="T199" t="s">
        <v>404</v>
      </c>
      <c r="U199" t="s">
        <v>412</v>
      </c>
      <c r="V199">
        <v>1786</v>
      </c>
      <c r="W199">
        <v>67</v>
      </c>
      <c r="X199">
        <v>51</v>
      </c>
    </row>
    <row r="200" spans="1:26" x14ac:dyDescent="0.25">
      <c r="A200">
        <v>259</v>
      </c>
      <c r="B200" s="2" t="s">
        <v>166</v>
      </c>
      <c r="C200" t="s">
        <v>404</v>
      </c>
      <c r="D200" t="s">
        <v>412</v>
      </c>
      <c r="E200">
        <v>1950</v>
      </c>
      <c r="F200">
        <v>72</v>
      </c>
      <c r="G200">
        <v>47</v>
      </c>
      <c r="R200">
        <v>259</v>
      </c>
      <c r="S200" t="s">
        <v>166</v>
      </c>
      <c r="T200" t="s">
        <v>404</v>
      </c>
      <c r="U200" t="s">
        <v>412</v>
      </c>
      <c r="V200">
        <v>1757</v>
      </c>
      <c r="W200">
        <v>64</v>
      </c>
      <c r="X200">
        <v>47</v>
      </c>
    </row>
    <row r="201" spans="1:26" x14ac:dyDescent="0.25">
      <c r="A201">
        <v>262</v>
      </c>
      <c r="B201" s="2" t="s">
        <v>168</v>
      </c>
      <c r="C201" t="s">
        <v>404</v>
      </c>
      <c r="D201" t="s">
        <v>413</v>
      </c>
      <c r="E201">
        <v>3372</v>
      </c>
      <c r="F201">
        <v>79</v>
      </c>
      <c r="G201">
        <v>55</v>
      </c>
      <c r="R201">
        <v>262</v>
      </c>
      <c r="S201" t="s">
        <v>168</v>
      </c>
      <c r="T201" t="s">
        <v>404</v>
      </c>
      <c r="U201" t="s">
        <v>413</v>
      </c>
      <c r="V201">
        <v>3024</v>
      </c>
      <c r="W201">
        <v>62</v>
      </c>
      <c r="X201">
        <v>55</v>
      </c>
    </row>
    <row r="202" spans="1:26" x14ac:dyDescent="0.25">
      <c r="A202">
        <v>263</v>
      </c>
      <c r="B202" t="s">
        <v>169</v>
      </c>
      <c r="C202" t="s">
        <v>405</v>
      </c>
      <c r="D202" t="s">
        <v>412</v>
      </c>
      <c r="E202">
        <v>1826</v>
      </c>
      <c r="F202">
        <v>162</v>
      </c>
      <c r="G202">
        <v>70</v>
      </c>
      <c r="R202">
        <v>263</v>
      </c>
      <c r="S202" t="s">
        <v>169</v>
      </c>
      <c r="T202" t="s">
        <v>405</v>
      </c>
      <c r="U202" t="s">
        <v>412</v>
      </c>
      <c r="V202">
        <v>1521</v>
      </c>
      <c r="W202">
        <v>156</v>
      </c>
      <c r="X202">
        <v>70</v>
      </c>
    </row>
    <row r="203" spans="1:26" x14ac:dyDescent="0.25">
      <c r="A203">
        <v>264</v>
      </c>
      <c r="B203" t="s">
        <v>171</v>
      </c>
      <c r="C203" t="s">
        <v>405</v>
      </c>
      <c r="D203" t="s">
        <v>412</v>
      </c>
      <c r="E203">
        <v>2033</v>
      </c>
      <c r="F203">
        <v>148</v>
      </c>
      <c r="G203">
        <v>39</v>
      </c>
      <c r="R203">
        <v>264</v>
      </c>
      <c r="S203" t="s">
        <v>171</v>
      </c>
      <c r="T203" t="s">
        <v>405</v>
      </c>
      <c r="U203" t="s">
        <v>412</v>
      </c>
      <c r="V203">
        <v>1708</v>
      </c>
      <c r="W203">
        <v>143</v>
      </c>
      <c r="X203">
        <v>39</v>
      </c>
    </row>
    <row r="204" spans="1:26" x14ac:dyDescent="0.25">
      <c r="A204">
        <v>265</v>
      </c>
      <c r="B204" s="2" t="s">
        <v>172</v>
      </c>
      <c r="C204" t="s">
        <v>405</v>
      </c>
      <c r="D204" t="s">
        <v>412</v>
      </c>
      <c r="E204">
        <v>1993</v>
      </c>
      <c r="F204">
        <v>148</v>
      </c>
      <c r="G204">
        <v>71</v>
      </c>
      <c r="R204">
        <v>265</v>
      </c>
      <c r="S204" t="s">
        <v>172</v>
      </c>
      <c r="T204" t="s">
        <v>405</v>
      </c>
      <c r="U204" t="s">
        <v>412</v>
      </c>
      <c r="V204">
        <v>1675</v>
      </c>
      <c r="W204">
        <v>143</v>
      </c>
      <c r="X204">
        <v>71</v>
      </c>
    </row>
    <row r="205" spans="1:26" x14ac:dyDescent="0.25">
      <c r="A205">
        <v>266</v>
      </c>
      <c r="B205" t="s">
        <v>173</v>
      </c>
      <c r="C205" t="s">
        <v>405</v>
      </c>
      <c r="D205" t="s">
        <v>412</v>
      </c>
      <c r="E205">
        <v>1993</v>
      </c>
      <c r="F205">
        <v>148</v>
      </c>
      <c r="G205">
        <v>42</v>
      </c>
      <c r="R205">
        <v>266</v>
      </c>
      <c r="S205" t="s">
        <v>173</v>
      </c>
      <c r="T205" t="s">
        <v>405</v>
      </c>
      <c r="U205" t="s">
        <v>412</v>
      </c>
      <c r="V205">
        <v>1675</v>
      </c>
      <c r="W205">
        <v>143</v>
      </c>
      <c r="X205">
        <v>42</v>
      </c>
    </row>
    <row r="206" spans="1:26" x14ac:dyDescent="0.25">
      <c r="A206">
        <v>267</v>
      </c>
      <c r="B206" s="2" t="s">
        <v>174</v>
      </c>
      <c r="C206" t="s">
        <v>405</v>
      </c>
      <c r="D206" t="s">
        <v>412</v>
      </c>
      <c r="E206">
        <v>2595</v>
      </c>
      <c r="F206">
        <v>151</v>
      </c>
      <c r="G206">
        <v>63</v>
      </c>
      <c r="R206">
        <v>267</v>
      </c>
      <c r="S206" t="s">
        <v>174</v>
      </c>
      <c r="T206" t="s">
        <v>405</v>
      </c>
      <c r="U206" t="s">
        <v>412</v>
      </c>
      <c r="V206">
        <v>2237</v>
      </c>
      <c r="W206">
        <v>146</v>
      </c>
      <c r="X206">
        <v>63</v>
      </c>
    </row>
    <row r="207" spans="1:26" x14ac:dyDescent="0.25">
      <c r="A207">
        <v>269</v>
      </c>
      <c r="B207" t="s">
        <v>175</v>
      </c>
      <c r="C207" t="s">
        <v>405</v>
      </c>
      <c r="D207" t="s">
        <v>412</v>
      </c>
      <c r="E207">
        <v>1561</v>
      </c>
      <c r="F207">
        <v>193</v>
      </c>
      <c r="G207">
        <v>86</v>
      </c>
      <c r="R207">
        <v>269</v>
      </c>
      <c r="S207" t="s">
        <v>175</v>
      </c>
      <c r="T207" t="s">
        <v>405</v>
      </c>
      <c r="U207" t="s">
        <v>412</v>
      </c>
      <c r="V207">
        <v>1301</v>
      </c>
      <c r="W207">
        <v>187</v>
      </c>
      <c r="X207">
        <v>86</v>
      </c>
    </row>
    <row r="208" spans="1:26" x14ac:dyDescent="0.25">
      <c r="A208">
        <v>270</v>
      </c>
      <c r="B208" t="s">
        <v>177</v>
      </c>
      <c r="C208" t="s">
        <v>405</v>
      </c>
      <c r="D208" t="s">
        <v>412</v>
      </c>
      <c r="E208">
        <v>1561</v>
      </c>
      <c r="F208">
        <v>190</v>
      </c>
      <c r="G208">
        <v>45</v>
      </c>
      <c r="R208">
        <v>270</v>
      </c>
      <c r="S208" t="s">
        <v>177</v>
      </c>
      <c r="T208" t="s">
        <v>405</v>
      </c>
      <c r="U208" t="s">
        <v>412</v>
      </c>
      <c r="V208">
        <v>1301</v>
      </c>
      <c r="W208">
        <v>184</v>
      </c>
      <c r="X208">
        <v>45</v>
      </c>
    </row>
    <row r="209" spans="1:24" x14ac:dyDescent="0.25">
      <c r="A209">
        <v>271</v>
      </c>
      <c r="B209" t="s">
        <v>179</v>
      </c>
      <c r="C209" t="s">
        <v>405</v>
      </c>
      <c r="D209" t="s">
        <v>412</v>
      </c>
      <c r="E209">
        <v>1487</v>
      </c>
      <c r="F209">
        <v>193</v>
      </c>
      <c r="G209">
        <v>35</v>
      </c>
      <c r="R209">
        <v>271</v>
      </c>
      <c r="S209" t="s">
        <v>179</v>
      </c>
      <c r="T209" t="s">
        <v>405</v>
      </c>
      <c r="U209" t="s">
        <v>412</v>
      </c>
      <c r="V209">
        <v>1239</v>
      </c>
      <c r="W209">
        <v>187</v>
      </c>
      <c r="X209">
        <v>35</v>
      </c>
    </row>
    <row r="210" spans="1:24" x14ac:dyDescent="0.25">
      <c r="A210">
        <v>272</v>
      </c>
      <c r="B210" t="s">
        <v>181</v>
      </c>
      <c r="C210" t="s">
        <v>405</v>
      </c>
      <c r="D210" t="s">
        <v>412</v>
      </c>
      <c r="E210">
        <v>1487</v>
      </c>
      <c r="F210">
        <v>193</v>
      </c>
      <c r="G210">
        <v>15</v>
      </c>
      <c r="R210">
        <v>272</v>
      </c>
      <c r="S210" t="s">
        <v>181</v>
      </c>
      <c r="T210" t="s">
        <v>405</v>
      </c>
      <c r="U210" t="s">
        <v>412</v>
      </c>
      <c r="V210">
        <v>1239</v>
      </c>
      <c r="W210">
        <v>187</v>
      </c>
      <c r="X210">
        <v>15</v>
      </c>
    </row>
    <row r="211" spans="1:24" x14ac:dyDescent="0.25">
      <c r="A211">
        <v>274</v>
      </c>
      <c r="B211" t="s">
        <v>182</v>
      </c>
      <c r="C211" t="s">
        <v>405</v>
      </c>
      <c r="D211" t="s">
        <v>412</v>
      </c>
      <c r="E211">
        <v>1487</v>
      </c>
      <c r="F211">
        <v>193</v>
      </c>
      <c r="G211">
        <v>37</v>
      </c>
      <c r="R211">
        <v>274</v>
      </c>
      <c r="S211" t="s">
        <v>182</v>
      </c>
      <c r="T211" t="s">
        <v>405</v>
      </c>
      <c r="U211" t="s">
        <v>412</v>
      </c>
      <c r="V211">
        <v>1239</v>
      </c>
      <c r="W211">
        <v>187</v>
      </c>
      <c r="X211">
        <v>37</v>
      </c>
    </row>
    <row r="212" spans="1:24" x14ac:dyDescent="0.25">
      <c r="A212">
        <v>276</v>
      </c>
      <c r="B212" s="2" t="s">
        <v>183</v>
      </c>
      <c r="C212" t="s">
        <v>405</v>
      </c>
      <c r="D212" t="s">
        <v>412</v>
      </c>
      <c r="E212">
        <v>1487</v>
      </c>
      <c r="F212">
        <v>193</v>
      </c>
      <c r="G212">
        <v>45</v>
      </c>
      <c r="R212">
        <v>276</v>
      </c>
      <c r="S212" t="s">
        <v>183</v>
      </c>
      <c r="T212" t="s">
        <v>405</v>
      </c>
      <c r="U212" t="s">
        <v>412</v>
      </c>
      <c r="V212">
        <v>1239</v>
      </c>
      <c r="W212">
        <v>187</v>
      </c>
      <c r="X212">
        <v>45</v>
      </c>
    </row>
    <row r="213" spans="1:24" x14ac:dyDescent="0.25">
      <c r="A213">
        <v>277</v>
      </c>
      <c r="B213" s="2" t="s">
        <v>184</v>
      </c>
      <c r="C213" t="s">
        <v>405</v>
      </c>
      <c r="D213" t="s">
        <v>412</v>
      </c>
      <c r="E213">
        <v>1516</v>
      </c>
      <c r="F213">
        <v>193</v>
      </c>
      <c r="G213">
        <v>27</v>
      </c>
      <c r="R213">
        <v>277</v>
      </c>
      <c r="S213" t="s">
        <v>184</v>
      </c>
      <c r="T213" t="s">
        <v>405</v>
      </c>
      <c r="U213" t="s">
        <v>412</v>
      </c>
      <c r="V213">
        <v>1263</v>
      </c>
      <c r="W213">
        <v>187</v>
      </c>
      <c r="X213">
        <v>27</v>
      </c>
    </row>
    <row r="214" spans="1:24" x14ac:dyDescent="0.25">
      <c r="A214">
        <v>278</v>
      </c>
      <c r="B214" s="2" t="s">
        <v>185</v>
      </c>
      <c r="C214" t="s">
        <v>405</v>
      </c>
      <c r="D214" t="s">
        <v>412</v>
      </c>
      <c r="E214">
        <v>1516</v>
      </c>
      <c r="F214">
        <v>193</v>
      </c>
      <c r="G214">
        <v>35</v>
      </c>
      <c r="R214">
        <v>278</v>
      </c>
      <c r="S214" t="s">
        <v>185</v>
      </c>
      <c r="T214" t="s">
        <v>405</v>
      </c>
      <c r="U214" t="s">
        <v>412</v>
      </c>
      <c r="X214">
        <v>35</v>
      </c>
    </row>
    <row r="215" spans="1:24" x14ac:dyDescent="0.25">
      <c r="A215">
        <v>280</v>
      </c>
      <c r="B215" s="2" t="s">
        <v>186</v>
      </c>
      <c r="C215" t="s">
        <v>405</v>
      </c>
      <c r="D215" t="s">
        <v>412</v>
      </c>
      <c r="E215">
        <v>1487</v>
      </c>
      <c r="F215">
        <v>193</v>
      </c>
      <c r="G215">
        <v>40</v>
      </c>
      <c r="R215">
        <v>280</v>
      </c>
      <c r="S215" t="s">
        <v>186</v>
      </c>
      <c r="T215" t="s">
        <v>405</v>
      </c>
      <c r="U215" t="s">
        <v>412</v>
      </c>
      <c r="V215">
        <v>1239</v>
      </c>
      <c r="W215">
        <v>187</v>
      </c>
      <c r="X215">
        <v>40</v>
      </c>
    </row>
    <row r="216" spans="1:24" x14ac:dyDescent="0.25">
      <c r="A216">
        <v>288</v>
      </c>
      <c r="B216" s="2" t="s">
        <v>187</v>
      </c>
      <c r="C216" t="s">
        <v>405</v>
      </c>
      <c r="D216" t="s">
        <v>412</v>
      </c>
      <c r="E216">
        <v>1830</v>
      </c>
      <c r="F216">
        <v>190</v>
      </c>
      <c r="G216">
        <v>38</v>
      </c>
      <c r="R216">
        <v>288</v>
      </c>
      <c r="S216" t="s">
        <v>187</v>
      </c>
      <c r="T216" t="s">
        <v>405</v>
      </c>
      <c r="U216" t="s">
        <v>412</v>
      </c>
      <c r="V216">
        <v>1525</v>
      </c>
      <c r="W216">
        <v>184</v>
      </c>
      <c r="X216">
        <v>38</v>
      </c>
    </row>
    <row r="217" spans="1:24" x14ac:dyDescent="0.25">
      <c r="A217">
        <v>295</v>
      </c>
      <c r="B217" s="2" t="s">
        <v>188</v>
      </c>
      <c r="C217" t="s">
        <v>405</v>
      </c>
      <c r="D217" t="s">
        <v>412</v>
      </c>
      <c r="E217">
        <v>2445</v>
      </c>
      <c r="F217">
        <v>179</v>
      </c>
      <c r="G217">
        <v>32</v>
      </c>
      <c r="R217">
        <v>295</v>
      </c>
      <c r="S217" t="s">
        <v>188</v>
      </c>
      <c r="T217" t="s">
        <v>405</v>
      </c>
      <c r="U217" t="s">
        <v>412</v>
      </c>
      <c r="V217">
        <v>2037</v>
      </c>
      <c r="W217">
        <v>174</v>
      </c>
      <c r="X217">
        <v>32</v>
      </c>
    </row>
    <row r="218" spans="1:24" x14ac:dyDescent="0.25">
      <c r="A218">
        <v>296</v>
      </c>
      <c r="B218" s="2" t="s">
        <v>189</v>
      </c>
      <c r="C218" t="s">
        <v>405</v>
      </c>
      <c r="D218" t="s">
        <v>412</v>
      </c>
      <c r="E218">
        <v>2445</v>
      </c>
      <c r="F218">
        <v>179</v>
      </c>
      <c r="G218">
        <v>61</v>
      </c>
      <c r="R218">
        <v>296</v>
      </c>
      <c r="S218" t="s">
        <v>189</v>
      </c>
      <c r="T218" t="s">
        <v>405</v>
      </c>
      <c r="U218" t="s">
        <v>412</v>
      </c>
      <c r="V218">
        <v>2037</v>
      </c>
      <c r="W218">
        <v>174</v>
      </c>
      <c r="X218">
        <v>61</v>
      </c>
    </row>
    <row r="219" spans="1:24" x14ac:dyDescent="0.25">
      <c r="A219">
        <v>297</v>
      </c>
      <c r="B219" s="2" t="s">
        <v>190</v>
      </c>
      <c r="C219" t="s">
        <v>405</v>
      </c>
      <c r="D219" t="s">
        <v>412</v>
      </c>
      <c r="E219">
        <v>2445</v>
      </c>
      <c r="F219">
        <v>179</v>
      </c>
      <c r="G219">
        <v>61</v>
      </c>
      <c r="R219">
        <v>297</v>
      </c>
      <c r="S219" t="s">
        <v>190</v>
      </c>
      <c r="T219" t="s">
        <v>405</v>
      </c>
      <c r="U219" t="s">
        <v>412</v>
      </c>
      <c r="V219">
        <v>2037</v>
      </c>
      <c r="W219">
        <v>174</v>
      </c>
      <c r="X219">
        <v>61</v>
      </c>
    </row>
    <row r="220" spans="1:24" x14ac:dyDescent="0.25">
      <c r="A220">
        <v>299</v>
      </c>
      <c r="B220" t="s">
        <v>191</v>
      </c>
      <c r="C220" t="s">
        <v>405</v>
      </c>
      <c r="D220" t="s">
        <v>412</v>
      </c>
      <c r="E220">
        <v>2054</v>
      </c>
      <c r="F220">
        <v>163</v>
      </c>
      <c r="G220">
        <v>80</v>
      </c>
      <c r="R220">
        <v>299</v>
      </c>
      <c r="S220" t="s">
        <v>191</v>
      </c>
      <c r="T220" t="s">
        <v>405</v>
      </c>
      <c r="U220" t="s">
        <v>412</v>
      </c>
      <c r="V220">
        <v>1712</v>
      </c>
      <c r="W220">
        <v>157</v>
      </c>
      <c r="X220">
        <v>80</v>
      </c>
    </row>
    <row r="221" spans="1:24" x14ac:dyDescent="0.25">
      <c r="A221">
        <v>300</v>
      </c>
      <c r="B221" t="s">
        <v>192</v>
      </c>
      <c r="C221" t="s">
        <v>405</v>
      </c>
      <c r="D221" t="s">
        <v>412</v>
      </c>
      <c r="E221">
        <v>2080</v>
      </c>
      <c r="F221">
        <v>161</v>
      </c>
      <c r="G221">
        <v>81</v>
      </c>
      <c r="R221">
        <v>300</v>
      </c>
      <c r="S221" t="s">
        <v>192</v>
      </c>
      <c r="T221" t="s">
        <v>405</v>
      </c>
      <c r="U221" t="s">
        <v>412</v>
      </c>
      <c r="V221">
        <v>1733</v>
      </c>
      <c r="W221">
        <v>156</v>
      </c>
      <c r="X221">
        <v>81</v>
      </c>
    </row>
    <row r="222" spans="1:24" x14ac:dyDescent="0.25">
      <c r="A222">
        <v>301</v>
      </c>
      <c r="B222" t="s">
        <v>193</v>
      </c>
      <c r="C222" t="s">
        <v>405</v>
      </c>
      <c r="D222" t="s">
        <v>412</v>
      </c>
      <c r="E222">
        <v>2115</v>
      </c>
      <c r="F222">
        <v>160</v>
      </c>
      <c r="G222">
        <v>80</v>
      </c>
      <c r="R222">
        <v>301</v>
      </c>
      <c r="S222" t="s">
        <v>193</v>
      </c>
      <c r="T222" t="s">
        <v>405</v>
      </c>
      <c r="U222" t="s">
        <v>412</v>
      </c>
      <c r="V222">
        <v>1762</v>
      </c>
      <c r="W222">
        <v>154</v>
      </c>
      <c r="X222">
        <v>80</v>
      </c>
    </row>
    <row r="223" spans="1:24" x14ac:dyDescent="0.25">
      <c r="A223">
        <v>303</v>
      </c>
      <c r="B223" t="s">
        <v>195</v>
      </c>
      <c r="C223" t="s">
        <v>404</v>
      </c>
      <c r="D223" t="s">
        <v>412</v>
      </c>
      <c r="E223">
        <v>3237</v>
      </c>
      <c r="F223">
        <v>101</v>
      </c>
      <c r="G223">
        <v>69</v>
      </c>
      <c r="R223">
        <v>303</v>
      </c>
      <c r="S223" t="s">
        <v>195</v>
      </c>
      <c r="T223" t="s">
        <v>404</v>
      </c>
      <c r="U223" t="s">
        <v>412</v>
      </c>
      <c r="V223">
        <v>2865</v>
      </c>
      <c r="W223">
        <v>79</v>
      </c>
      <c r="X223">
        <v>69</v>
      </c>
    </row>
    <row r="224" spans="1:24" x14ac:dyDescent="0.25">
      <c r="A224">
        <v>304</v>
      </c>
      <c r="B224" t="s">
        <v>196</v>
      </c>
      <c r="C224" t="s">
        <v>404</v>
      </c>
      <c r="D224" t="s">
        <v>412</v>
      </c>
      <c r="E224">
        <v>3470</v>
      </c>
      <c r="F224">
        <v>90</v>
      </c>
      <c r="G224">
        <v>50</v>
      </c>
      <c r="R224">
        <v>304</v>
      </c>
      <c r="S224" t="s">
        <v>196</v>
      </c>
      <c r="T224" t="s">
        <v>404</v>
      </c>
      <c r="U224" t="s">
        <v>412</v>
      </c>
      <c r="V224">
        <v>3076</v>
      </c>
      <c r="W224">
        <v>73</v>
      </c>
      <c r="X224">
        <v>50</v>
      </c>
    </row>
    <row r="225" spans="1:27" x14ac:dyDescent="0.25">
      <c r="A225">
        <v>305</v>
      </c>
      <c r="B225" s="2" t="s">
        <v>197</v>
      </c>
      <c r="C225" t="s">
        <v>404</v>
      </c>
      <c r="D225" t="s">
        <v>412</v>
      </c>
      <c r="E225">
        <v>3604</v>
      </c>
      <c r="F225">
        <v>90</v>
      </c>
      <c r="G225">
        <v>65</v>
      </c>
      <c r="I225">
        <v>0.18</v>
      </c>
      <c r="R225">
        <v>305</v>
      </c>
      <c r="S225" t="s">
        <v>197</v>
      </c>
      <c r="T225" t="s">
        <v>404</v>
      </c>
      <c r="U225" t="s">
        <v>412</v>
      </c>
      <c r="V225">
        <v>3204</v>
      </c>
      <c r="W225">
        <v>73</v>
      </c>
      <c r="X225">
        <v>65</v>
      </c>
      <c r="Z225">
        <v>0.18</v>
      </c>
    </row>
    <row r="226" spans="1:27" x14ac:dyDescent="0.25">
      <c r="A226">
        <v>306</v>
      </c>
      <c r="B226" t="s">
        <v>198</v>
      </c>
      <c r="C226" t="s">
        <v>405</v>
      </c>
      <c r="D226" t="s">
        <v>412</v>
      </c>
      <c r="E226">
        <v>1536</v>
      </c>
      <c r="F226">
        <v>210</v>
      </c>
      <c r="G226">
        <v>52</v>
      </c>
      <c r="R226">
        <v>306</v>
      </c>
      <c r="S226" t="s">
        <v>198</v>
      </c>
      <c r="T226" t="s">
        <v>405</v>
      </c>
      <c r="U226" t="s">
        <v>412</v>
      </c>
      <c r="V226">
        <v>1280</v>
      </c>
      <c r="W226">
        <v>204</v>
      </c>
      <c r="X226">
        <v>52</v>
      </c>
    </row>
    <row r="227" spans="1:27" x14ac:dyDescent="0.25">
      <c r="A227">
        <v>307</v>
      </c>
      <c r="B227" t="s">
        <v>199</v>
      </c>
      <c r="C227" t="s">
        <v>405</v>
      </c>
      <c r="D227" t="s">
        <v>412</v>
      </c>
      <c r="E227">
        <v>1536</v>
      </c>
      <c r="F227">
        <v>210</v>
      </c>
      <c r="G227">
        <v>20</v>
      </c>
      <c r="R227">
        <v>307</v>
      </c>
      <c r="S227" t="s">
        <v>199</v>
      </c>
      <c r="T227" t="s">
        <v>405</v>
      </c>
      <c r="U227" t="s">
        <v>412</v>
      </c>
      <c r="V227">
        <v>1280</v>
      </c>
      <c r="W227">
        <v>204</v>
      </c>
      <c r="X227">
        <v>20</v>
      </c>
    </row>
    <row r="228" spans="1:27" x14ac:dyDescent="0.25">
      <c r="A228">
        <v>308</v>
      </c>
      <c r="B228" s="2" t="s">
        <v>200</v>
      </c>
      <c r="C228" t="s">
        <v>404</v>
      </c>
      <c r="D228" t="s">
        <v>412</v>
      </c>
      <c r="E228">
        <v>2540</v>
      </c>
      <c r="F228">
        <v>108</v>
      </c>
      <c r="G228">
        <v>42</v>
      </c>
      <c r="R228">
        <v>308</v>
      </c>
      <c r="S228" t="s">
        <v>200</v>
      </c>
      <c r="T228" t="s">
        <v>404</v>
      </c>
      <c r="U228" t="s">
        <v>412</v>
      </c>
      <c r="V228">
        <v>2243</v>
      </c>
      <c r="W228">
        <v>75</v>
      </c>
      <c r="X228">
        <v>42</v>
      </c>
    </row>
    <row r="229" spans="1:27" x14ac:dyDescent="0.25">
      <c r="A229">
        <v>309</v>
      </c>
      <c r="B229" s="2" t="s">
        <v>202</v>
      </c>
      <c r="C229" t="s">
        <v>404</v>
      </c>
      <c r="D229" t="s">
        <v>412</v>
      </c>
      <c r="E229">
        <v>2615</v>
      </c>
      <c r="F229">
        <v>108</v>
      </c>
      <c r="G229">
        <v>38</v>
      </c>
      <c r="R229">
        <v>309</v>
      </c>
      <c r="S229" t="s">
        <v>202</v>
      </c>
      <c r="T229" t="s">
        <v>404</v>
      </c>
      <c r="U229" t="s">
        <v>412</v>
      </c>
      <c r="V229">
        <v>2310</v>
      </c>
      <c r="W229">
        <v>75</v>
      </c>
      <c r="X229">
        <v>38</v>
      </c>
    </row>
    <row r="230" spans="1:27" x14ac:dyDescent="0.25">
      <c r="A230">
        <v>310</v>
      </c>
      <c r="B230" t="s">
        <v>204</v>
      </c>
      <c r="C230" t="s">
        <v>404</v>
      </c>
      <c r="D230" t="s">
        <v>412</v>
      </c>
      <c r="E230">
        <v>2540</v>
      </c>
      <c r="F230">
        <v>108</v>
      </c>
      <c r="G230">
        <v>53</v>
      </c>
      <c r="R230">
        <v>310</v>
      </c>
      <c r="S230" t="s">
        <v>204</v>
      </c>
      <c r="T230" t="s">
        <v>404</v>
      </c>
      <c r="U230" t="s">
        <v>412</v>
      </c>
      <c r="V230">
        <v>2243</v>
      </c>
      <c r="W230">
        <v>75</v>
      </c>
      <c r="X230">
        <v>53</v>
      </c>
    </row>
    <row r="231" spans="1:27" x14ac:dyDescent="0.25">
      <c r="A231">
        <v>316</v>
      </c>
      <c r="B231" s="2" t="s">
        <v>205</v>
      </c>
      <c r="C231" t="s">
        <v>405</v>
      </c>
      <c r="D231" t="s">
        <v>412</v>
      </c>
      <c r="E231">
        <v>2083</v>
      </c>
      <c r="F231">
        <v>191</v>
      </c>
      <c r="G231">
        <v>27</v>
      </c>
      <c r="R231">
        <v>316</v>
      </c>
      <c r="S231" t="s">
        <v>205</v>
      </c>
      <c r="T231" t="s">
        <v>405</v>
      </c>
      <c r="U231" t="s">
        <v>412</v>
      </c>
      <c r="V231">
        <v>1736</v>
      </c>
      <c r="W231">
        <v>185</v>
      </c>
      <c r="X231">
        <v>27</v>
      </c>
    </row>
    <row r="232" spans="1:27" x14ac:dyDescent="0.25">
      <c r="A232">
        <v>317</v>
      </c>
      <c r="B232" s="2" t="s">
        <v>206</v>
      </c>
      <c r="C232" t="s">
        <v>405</v>
      </c>
      <c r="D232" t="s">
        <v>412</v>
      </c>
      <c r="E232">
        <v>2083</v>
      </c>
      <c r="F232">
        <v>191</v>
      </c>
      <c r="G232">
        <v>18</v>
      </c>
      <c r="R232">
        <v>317</v>
      </c>
      <c r="S232" t="s">
        <v>206</v>
      </c>
      <c r="T232" t="s">
        <v>405</v>
      </c>
      <c r="U232" t="s">
        <v>412</v>
      </c>
      <c r="V232">
        <v>1736</v>
      </c>
      <c r="W232">
        <v>185</v>
      </c>
      <c r="X232">
        <v>18</v>
      </c>
    </row>
    <row r="233" spans="1:27" x14ac:dyDescent="0.25">
      <c r="A233">
        <v>318</v>
      </c>
      <c r="B233" s="2" t="s">
        <v>207</v>
      </c>
      <c r="C233" t="s">
        <v>405</v>
      </c>
      <c r="D233" t="s">
        <v>412</v>
      </c>
      <c r="E233">
        <v>2083</v>
      </c>
      <c r="F233">
        <v>191</v>
      </c>
      <c r="G233">
        <v>58</v>
      </c>
      <c r="R233">
        <v>318</v>
      </c>
      <c r="S233" t="s">
        <v>207</v>
      </c>
      <c r="T233" t="s">
        <v>405</v>
      </c>
      <c r="U233" t="s">
        <v>412</v>
      </c>
      <c r="V233">
        <v>1736</v>
      </c>
      <c r="W233">
        <v>185</v>
      </c>
      <c r="X233">
        <v>58</v>
      </c>
    </row>
    <row r="234" spans="1:27" x14ac:dyDescent="0.25">
      <c r="A234">
        <v>319</v>
      </c>
      <c r="B234" s="2" t="s">
        <v>209</v>
      </c>
      <c r="C234" t="s">
        <v>405</v>
      </c>
      <c r="D234" t="s">
        <v>412</v>
      </c>
      <c r="E234">
        <v>2083</v>
      </c>
      <c r="F234">
        <v>191</v>
      </c>
      <c r="G234">
        <v>52</v>
      </c>
      <c r="R234">
        <v>319</v>
      </c>
      <c r="S234" t="s">
        <v>209</v>
      </c>
      <c r="T234" t="s">
        <v>405</v>
      </c>
      <c r="U234" t="s">
        <v>412</v>
      </c>
      <c r="V234">
        <v>1736</v>
      </c>
      <c r="W234">
        <v>185</v>
      </c>
      <c r="X234">
        <v>52</v>
      </c>
    </row>
    <row r="235" spans="1:27" x14ac:dyDescent="0.25">
      <c r="A235">
        <v>320</v>
      </c>
      <c r="B235" t="s">
        <v>282</v>
      </c>
      <c r="C235" t="s">
        <v>418</v>
      </c>
      <c r="D235" t="s">
        <v>414</v>
      </c>
      <c r="E235">
        <v>5372</v>
      </c>
      <c r="F235">
        <v>25</v>
      </c>
      <c r="G235">
        <v>95</v>
      </c>
      <c r="R235">
        <v>320</v>
      </c>
      <c r="S235" t="s">
        <v>282</v>
      </c>
      <c r="T235" t="s">
        <v>418</v>
      </c>
      <c r="U235" t="s">
        <v>414</v>
      </c>
      <c r="V235">
        <v>4572</v>
      </c>
      <c r="W235">
        <v>8</v>
      </c>
      <c r="X235">
        <v>95</v>
      </c>
    </row>
    <row r="236" spans="1:27" x14ac:dyDescent="0.25">
      <c r="A236">
        <v>321</v>
      </c>
      <c r="B236" t="s">
        <v>211</v>
      </c>
      <c r="C236" t="s">
        <v>404</v>
      </c>
      <c r="D236" t="s">
        <v>412</v>
      </c>
      <c r="E236">
        <v>3159</v>
      </c>
      <c r="F236">
        <v>104</v>
      </c>
      <c r="G236">
        <v>21</v>
      </c>
      <c r="R236">
        <v>321</v>
      </c>
      <c r="S236" t="s">
        <v>211</v>
      </c>
      <c r="T236" t="s">
        <v>404</v>
      </c>
      <c r="U236" t="s">
        <v>412</v>
      </c>
      <c r="V236">
        <v>2791</v>
      </c>
      <c r="W236">
        <v>76</v>
      </c>
      <c r="X236">
        <v>21</v>
      </c>
    </row>
    <row r="237" spans="1:27" x14ac:dyDescent="0.25">
      <c r="A237">
        <v>325</v>
      </c>
      <c r="B237" t="s">
        <v>212</v>
      </c>
      <c r="C237" t="s">
        <v>405</v>
      </c>
      <c r="D237" t="s">
        <v>412</v>
      </c>
      <c r="E237">
        <v>1683</v>
      </c>
      <c r="F237">
        <v>210</v>
      </c>
      <c r="G237">
        <v>76</v>
      </c>
      <c r="R237">
        <v>325</v>
      </c>
      <c r="S237" t="s">
        <v>212</v>
      </c>
      <c r="T237" t="s">
        <v>405</v>
      </c>
      <c r="U237" t="s">
        <v>412</v>
      </c>
      <c r="V237">
        <v>1402</v>
      </c>
      <c r="W237">
        <v>204</v>
      </c>
      <c r="X237">
        <v>76</v>
      </c>
    </row>
    <row r="238" spans="1:27" x14ac:dyDescent="0.25">
      <c r="A238">
        <v>326</v>
      </c>
      <c r="B238" s="2" t="s">
        <v>213</v>
      </c>
      <c r="C238" t="s">
        <v>405</v>
      </c>
      <c r="D238" t="s">
        <v>412</v>
      </c>
      <c r="E238">
        <v>1683</v>
      </c>
      <c r="F238">
        <v>210</v>
      </c>
      <c r="G238">
        <v>67</v>
      </c>
      <c r="R238">
        <v>326</v>
      </c>
      <c r="S238" t="s">
        <v>213</v>
      </c>
      <c r="T238" t="s">
        <v>405</v>
      </c>
      <c r="U238" t="s">
        <v>412</v>
      </c>
      <c r="V238">
        <v>1402</v>
      </c>
      <c r="W238">
        <v>204</v>
      </c>
      <c r="X238">
        <v>67</v>
      </c>
    </row>
    <row r="239" spans="1:27" x14ac:dyDescent="0.25">
      <c r="A239">
        <v>327</v>
      </c>
      <c r="B239" t="s">
        <v>214</v>
      </c>
      <c r="C239" t="s">
        <v>404</v>
      </c>
      <c r="D239" t="s">
        <v>412</v>
      </c>
      <c r="E239">
        <v>3586</v>
      </c>
      <c r="F239">
        <v>100</v>
      </c>
      <c r="G239">
        <v>11</v>
      </c>
      <c r="J239">
        <v>2.1000000000000001E-2</v>
      </c>
      <c r="R239">
        <v>327</v>
      </c>
      <c r="S239" t="s">
        <v>214</v>
      </c>
      <c r="T239" t="s">
        <v>404</v>
      </c>
      <c r="U239" t="s">
        <v>412</v>
      </c>
      <c r="V239">
        <v>3188</v>
      </c>
      <c r="W239">
        <v>76</v>
      </c>
      <c r="X239">
        <v>11</v>
      </c>
      <c r="AA239">
        <v>2.1000000000000001E-2</v>
      </c>
    </row>
    <row r="240" spans="1:27" x14ac:dyDescent="0.25">
      <c r="A240">
        <v>328</v>
      </c>
      <c r="B240" t="s">
        <v>215</v>
      </c>
      <c r="C240" t="s">
        <v>404</v>
      </c>
      <c r="D240" t="s">
        <v>412</v>
      </c>
      <c r="E240">
        <v>3636</v>
      </c>
      <c r="F240">
        <v>100</v>
      </c>
      <c r="G240">
        <v>67</v>
      </c>
      <c r="R240">
        <v>328</v>
      </c>
      <c r="S240" t="s">
        <v>215</v>
      </c>
      <c r="T240" t="s">
        <v>404</v>
      </c>
      <c r="U240" t="s">
        <v>412</v>
      </c>
      <c r="V240">
        <v>3232</v>
      </c>
      <c r="W240">
        <v>76</v>
      </c>
      <c r="X240">
        <v>67</v>
      </c>
    </row>
    <row r="241" spans="1:26" x14ac:dyDescent="0.25">
      <c r="A241">
        <v>329</v>
      </c>
      <c r="B241" t="s">
        <v>216</v>
      </c>
      <c r="C241" t="s">
        <v>404</v>
      </c>
      <c r="D241" t="s">
        <v>412</v>
      </c>
      <c r="E241">
        <v>4361</v>
      </c>
      <c r="F241">
        <v>92</v>
      </c>
      <c r="G241">
        <v>72</v>
      </c>
      <c r="R241">
        <v>329</v>
      </c>
      <c r="S241" t="s">
        <v>216</v>
      </c>
      <c r="T241" t="s">
        <v>404</v>
      </c>
      <c r="U241" t="s">
        <v>412</v>
      </c>
      <c r="V241">
        <v>3929</v>
      </c>
      <c r="W241">
        <v>77</v>
      </c>
      <c r="X241">
        <v>72</v>
      </c>
    </row>
    <row r="242" spans="1:26" x14ac:dyDescent="0.25">
      <c r="A242">
        <v>330</v>
      </c>
      <c r="B242" t="s">
        <v>217</v>
      </c>
      <c r="C242" t="s">
        <v>404</v>
      </c>
      <c r="D242" t="s">
        <v>412</v>
      </c>
      <c r="E242">
        <v>4307</v>
      </c>
      <c r="F242">
        <v>92</v>
      </c>
      <c r="G242">
        <v>69</v>
      </c>
      <c r="R242">
        <v>330</v>
      </c>
      <c r="S242" t="s">
        <v>217</v>
      </c>
      <c r="T242" t="s">
        <v>404</v>
      </c>
      <c r="U242" t="s">
        <v>412</v>
      </c>
      <c r="V242">
        <v>3880</v>
      </c>
      <c r="W242">
        <v>77</v>
      </c>
      <c r="X242">
        <v>69</v>
      </c>
    </row>
    <row r="243" spans="1:26" x14ac:dyDescent="0.25">
      <c r="A243">
        <v>331</v>
      </c>
      <c r="B243" s="2" t="s">
        <v>218</v>
      </c>
      <c r="C243" t="s">
        <v>405</v>
      </c>
      <c r="D243" t="s">
        <v>412</v>
      </c>
      <c r="E243">
        <v>1937</v>
      </c>
      <c r="F243">
        <v>191</v>
      </c>
      <c r="G243">
        <v>32</v>
      </c>
      <c r="R243">
        <v>331</v>
      </c>
      <c r="S243" t="s">
        <v>218</v>
      </c>
      <c r="T243" t="s">
        <v>405</v>
      </c>
      <c r="U243" t="s">
        <v>412</v>
      </c>
      <c r="V243">
        <v>1614</v>
      </c>
      <c r="W243">
        <v>185</v>
      </c>
      <c r="X243">
        <v>32</v>
      </c>
    </row>
    <row r="244" spans="1:26" x14ac:dyDescent="0.25">
      <c r="A244">
        <v>332</v>
      </c>
      <c r="B244" s="2" t="s">
        <v>219</v>
      </c>
      <c r="C244" t="s">
        <v>405</v>
      </c>
      <c r="D244" t="s">
        <v>412</v>
      </c>
      <c r="E244">
        <v>1937</v>
      </c>
      <c r="F244">
        <v>191</v>
      </c>
      <c r="G244">
        <v>40</v>
      </c>
      <c r="R244">
        <v>332</v>
      </c>
      <c r="S244" t="s">
        <v>219</v>
      </c>
      <c r="T244" t="s">
        <v>405</v>
      </c>
      <c r="U244" t="s">
        <v>412</v>
      </c>
      <c r="V244">
        <v>1614</v>
      </c>
      <c r="W244">
        <v>185</v>
      </c>
      <c r="X244">
        <v>40</v>
      </c>
    </row>
    <row r="245" spans="1:26" x14ac:dyDescent="0.25">
      <c r="A245">
        <v>333</v>
      </c>
      <c r="B245" s="2" t="s">
        <v>220</v>
      </c>
      <c r="C245" t="s">
        <v>405</v>
      </c>
      <c r="D245" t="s">
        <v>412</v>
      </c>
      <c r="E245">
        <v>1964</v>
      </c>
      <c r="F245">
        <v>191</v>
      </c>
      <c r="G245">
        <v>48</v>
      </c>
      <c r="R245">
        <v>333</v>
      </c>
      <c r="S245" t="s">
        <v>220</v>
      </c>
      <c r="T245" t="s">
        <v>405</v>
      </c>
      <c r="U245" t="s">
        <v>412</v>
      </c>
      <c r="V245">
        <v>1636</v>
      </c>
      <c r="W245">
        <v>185</v>
      </c>
      <c r="X245">
        <v>48</v>
      </c>
    </row>
    <row r="246" spans="1:26" x14ac:dyDescent="0.25">
      <c r="A246">
        <v>334</v>
      </c>
      <c r="B246" s="2" t="s">
        <v>221</v>
      </c>
      <c r="C246" t="s">
        <v>405</v>
      </c>
      <c r="D246" t="s">
        <v>412</v>
      </c>
      <c r="E246">
        <v>1937</v>
      </c>
      <c r="F246">
        <v>191</v>
      </c>
      <c r="G246">
        <v>32</v>
      </c>
      <c r="R246">
        <v>334</v>
      </c>
      <c r="S246" t="s">
        <v>221</v>
      </c>
      <c r="T246" t="s">
        <v>405</v>
      </c>
      <c r="U246" t="s">
        <v>412</v>
      </c>
      <c r="X246">
        <v>32</v>
      </c>
    </row>
    <row r="247" spans="1:26" x14ac:dyDescent="0.25">
      <c r="A247">
        <v>335</v>
      </c>
      <c r="B247" s="2" t="s">
        <v>472</v>
      </c>
      <c r="C247" t="s">
        <v>404</v>
      </c>
      <c r="D247" t="s">
        <v>412</v>
      </c>
      <c r="E247">
        <v>3231</v>
      </c>
      <c r="F247">
        <v>96</v>
      </c>
      <c r="G247">
        <v>89</v>
      </c>
      <c r="R247">
        <v>335</v>
      </c>
      <c r="S247" t="s">
        <v>472</v>
      </c>
      <c r="T247" t="s">
        <v>404</v>
      </c>
      <c r="U247" t="s">
        <v>412</v>
      </c>
      <c r="V247">
        <v>2885</v>
      </c>
      <c r="W247">
        <v>72</v>
      </c>
      <c r="X247">
        <v>89</v>
      </c>
    </row>
    <row r="248" spans="1:26" x14ac:dyDescent="0.25">
      <c r="A248">
        <v>336</v>
      </c>
      <c r="B248" t="s">
        <v>222</v>
      </c>
      <c r="C248" t="s">
        <v>435</v>
      </c>
      <c r="D248" t="s">
        <v>412</v>
      </c>
      <c r="E248">
        <v>3777</v>
      </c>
      <c r="F248">
        <v>61</v>
      </c>
      <c r="G248">
        <v>38</v>
      </c>
      <c r="R248">
        <v>336</v>
      </c>
      <c r="S248" t="s">
        <v>222</v>
      </c>
      <c r="T248" t="s">
        <v>435</v>
      </c>
      <c r="U248" t="s">
        <v>412</v>
      </c>
      <c r="V248">
        <v>3148</v>
      </c>
      <c r="W248">
        <v>29</v>
      </c>
      <c r="X248">
        <v>38</v>
      </c>
    </row>
    <row r="249" spans="1:26" x14ac:dyDescent="0.25">
      <c r="A249">
        <v>337</v>
      </c>
      <c r="B249" t="s">
        <v>223</v>
      </c>
      <c r="C249" t="s">
        <v>404</v>
      </c>
      <c r="D249" t="s">
        <v>412</v>
      </c>
      <c r="E249">
        <v>3461</v>
      </c>
      <c r="F249">
        <v>71</v>
      </c>
      <c r="G249">
        <v>68</v>
      </c>
      <c r="R249">
        <v>337</v>
      </c>
      <c r="S249" t="s">
        <v>223</v>
      </c>
      <c r="T249" t="s">
        <v>404</v>
      </c>
      <c r="U249" t="s">
        <v>412</v>
      </c>
      <c r="V249">
        <v>3049</v>
      </c>
      <c r="W249">
        <v>22</v>
      </c>
      <c r="X249">
        <v>68</v>
      </c>
    </row>
    <row r="250" spans="1:26" x14ac:dyDescent="0.25">
      <c r="A250">
        <v>338</v>
      </c>
      <c r="B250" s="2" t="s">
        <v>376</v>
      </c>
      <c r="C250" t="s">
        <v>436</v>
      </c>
      <c r="D250" t="s">
        <v>412</v>
      </c>
      <c r="E250">
        <v>2165</v>
      </c>
      <c r="F250">
        <v>45</v>
      </c>
      <c r="G250">
        <v>19</v>
      </c>
      <c r="R250">
        <v>338</v>
      </c>
      <c r="S250" s="2" t="s">
        <v>376</v>
      </c>
      <c r="T250" t="s">
        <v>436</v>
      </c>
      <c r="U250" t="s">
        <v>412</v>
      </c>
      <c r="V250">
        <v>1805</v>
      </c>
      <c r="W250">
        <v>25</v>
      </c>
      <c r="X250">
        <v>19</v>
      </c>
    </row>
    <row r="251" spans="1:26" x14ac:dyDescent="0.25">
      <c r="A251">
        <v>339</v>
      </c>
      <c r="B251" s="2" t="s">
        <v>377</v>
      </c>
      <c r="C251" t="s">
        <v>436</v>
      </c>
      <c r="D251" t="s">
        <v>412</v>
      </c>
      <c r="E251">
        <v>2067</v>
      </c>
      <c r="F251">
        <v>45</v>
      </c>
      <c r="G251">
        <v>26</v>
      </c>
      <c r="R251">
        <v>338</v>
      </c>
      <c r="S251" s="2" t="s">
        <v>377</v>
      </c>
      <c r="T251" t="s">
        <v>436</v>
      </c>
      <c r="U251" t="s">
        <v>412</v>
      </c>
      <c r="V251">
        <v>1723</v>
      </c>
      <c r="W251">
        <v>25</v>
      </c>
      <c r="X251">
        <v>26</v>
      </c>
    </row>
    <row r="252" spans="1:26" x14ac:dyDescent="0.25">
      <c r="A252">
        <v>340</v>
      </c>
      <c r="B252" s="2" t="s">
        <v>283</v>
      </c>
      <c r="C252" t="s">
        <v>436</v>
      </c>
      <c r="D252" t="s">
        <v>412</v>
      </c>
      <c r="E252">
        <v>2080</v>
      </c>
      <c r="F252">
        <v>37</v>
      </c>
      <c r="G252">
        <v>58</v>
      </c>
      <c r="R252">
        <v>340</v>
      </c>
      <c r="S252" s="2" t="s">
        <v>283</v>
      </c>
      <c r="T252" t="s">
        <v>436</v>
      </c>
      <c r="U252" t="s">
        <v>412</v>
      </c>
      <c r="V252">
        <v>1733</v>
      </c>
      <c r="W252">
        <v>18</v>
      </c>
      <c r="X252">
        <v>58</v>
      </c>
    </row>
    <row r="253" spans="1:26" x14ac:dyDescent="0.25">
      <c r="A253">
        <v>341</v>
      </c>
      <c r="B253" t="s">
        <v>284</v>
      </c>
      <c r="C253" t="s">
        <v>436</v>
      </c>
      <c r="D253" t="s">
        <v>412</v>
      </c>
      <c r="E253">
        <v>1309</v>
      </c>
      <c r="F253">
        <v>37</v>
      </c>
      <c r="G253">
        <v>23</v>
      </c>
      <c r="I253">
        <v>0.4</v>
      </c>
      <c r="R253">
        <v>341</v>
      </c>
      <c r="S253" s="2" t="s">
        <v>284</v>
      </c>
      <c r="T253" t="s">
        <v>436</v>
      </c>
      <c r="U253" t="s">
        <v>412</v>
      </c>
      <c r="V253">
        <v>1091</v>
      </c>
      <c r="W253">
        <v>18</v>
      </c>
      <c r="X253">
        <v>23</v>
      </c>
      <c r="Z253">
        <v>0.4</v>
      </c>
    </row>
    <row r="254" spans="1:26" x14ac:dyDescent="0.25">
      <c r="A254">
        <v>342</v>
      </c>
      <c r="B254" s="2" t="s">
        <v>378</v>
      </c>
      <c r="C254" t="s">
        <v>436</v>
      </c>
      <c r="D254" t="s">
        <v>412</v>
      </c>
      <c r="E254">
        <v>1692</v>
      </c>
      <c r="F254">
        <v>41</v>
      </c>
      <c r="G254">
        <v>68</v>
      </c>
      <c r="R254">
        <v>342</v>
      </c>
      <c r="S254" s="2" t="s">
        <v>378</v>
      </c>
      <c r="T254" t="s">
        <v>436</v>
      </c>
      <c r="U254" t="s">
        <v>412</v>
      </c>
      <c r="V254">
        <v>1410</v>
      </c>
      <c r="W254">
        <v>22</v>
      </c>
      <c r="X254">
        <v>68</v>
      </c>
    </row>
    <row r="255" spans="1:26" x14ac:dyDescent="0.25">
      <c r="A255">
        <v>343</v>
      </c>
      <c r="B255" t="s">
        <v>285</v>
      </c>
      <c r="C255" t="s">
        <v>436</v>
      </c>
      <c r="D255" t="s">
        <v>412</v>
      </c>
      <c r="E255">
        <v>1297</v>
      </c>
      <c r="F255">
        <v>37</v>
      </c>
      <c r="G255">
        <v>32</v>
      </c>
      <c r="R255">
        <v>343</v>
      </c>
      <c r="S255" s="2" t="s">
        <v>285</v>
      </c>
      <c r="T255" t="s">
        <v>436</v>
      </c>
      <c r="U255" t="s">
        <v>412</v>
      </c>
      <c r="V255">
        <v>1081</v>
      </c>
      <c r="W255">
        <v>18</v>
      </c>
      <c r="X255">
        <v>32</v>
      </c>
    </row>
    <row r="256" spans="1:26" x14ac:dyDescent="0.25">
      <c r="A256">
        <v>344</v>
      </c>
      <c r="B256" t="s">
        <v>286</v>
      </c>
      <c r="C256" t="s">
        <v>436</v>
      </c>
      <c r="D256" t="s">
        <v>412</v>
      </c>
      <c r="E256">
        <v>1261</v>
      </c>
      <c r="F256">
        <v>37</v>
      </c>
      <c r="G256">
        <v>18</v>
      </c>
      <c r="R256">
        <v>344</v>
      </c>
      <c r="S256" s="2" t="s">
        <v>286</v>
      </c>
      <c r="T256" t="s">
        <v>436</v>
      </c>
      <c r="U256" t="s">
        <v>412</v>
      </c>
      <c r="V256">
        <v>1051</v>
      </c>
      <c r="W256">
        <v>18</v>
      </c>
      <c r="X256">
        <v>18</v>
      </c>
    </row>
    <row r="257" spans="1:24" x14ac:dyDescent="0.25">
      <c r="A257">
        <v>345</v>
      </c>
      <c r="B257" t="s">
        <v>224</v>
      </c>
      <c r="C257" t="s">
        <v>405</v>
      </c>
      <c r="D257" t="s">
        <v>412</v>
      </c>
      <c r="E257">
        <v>2092</v>
      </c>
      <c r="F257">
        <v>159</v>
      </c>
      <c r="G257">
        <v>35</v>
      </c>
      <c r="R257">
        <v>345</v>
      </c>
      <c r="S257" t="s">
        <v>224</v>
      </c>
      <c r="T257" t="s">
        <v>405</v>
      </c>
      <c r="U257" t="s">
        <v>412</v>
      </c>
      <c r="V257">
        <v>1758</v>
      </c>
      <c r="W257">
        <v>153</v>
      </c>
      <c r="X257">
        <v>35</v>
      </c>
    </row>
    <row r="258" spans="1:24" x14ac:dyDescent="0.25">
      <c r="A258">
        <v>346</v>
      </c>
      <c r="B258" t="s">
        <v>225</v>
      </c>
      <c r="C258" t="s">
        <v>405</v>
      </c>
      <c r="D258" t="s">
        <v>412</v>
      </c>
      <c r="E258">
        <v>2033</v>
      </c>
      <c r="F258">
        <v>148</v>
      </c>
      <c r="G258">
        <v>38</v>
      </c>
      <c r="R258">
        <v>346</v>
      </c>
      <c r="S258" t="s">
        <v>225</v>
      </c>
      <c r="T258" t="s">
        <v>405</v>
      </c>
      <c r="U258" t="s">
        <v>412</v>
      </c>
      <c r="V258">
        <v>1708</v>
      </c>
      <c r="W258">
        <v>143</v>
      </c>
      <c r="X258">
        <v>38</v>
      </c>
    </row>
    <row r="259" spans="1:24" x14ac:dyDescent="0.25">
      <c r="A259">
        <v>347</v>
      </c>
      <c r="B259" s="2" t="s">
        <v>226</v>
      </c>
      <c r="C259" t="s">
        <v>405</v>
      </c>
      <c r="D259" t="s">
        <v>412</v>
      </c>
      <c r="E259">
        <v>2021</v>
      </c>
      <c r="F259">
        <v>213</v>
      </c>
      <c r="G259">
        <v>77</v>
      </c>
      <c r="R259">
        <v>347</v>
      </c>
      <c r="S259" t="s">
        <v>226</v>
      </c>
      <c r="T259" t="s">
        <v>405</v>
      </c>
      <c r="U259" t="s">
        <v>412</v>
      </c>
      <c r="V259">
        <v>1684</v>
      </c>
      <c r="W259">
        <v>206</v>
      </c>
      <c r="X259">
        <v>77</v>
      </c>
    </row>
    <row r="260" spans="1:24" x14ac:dyDescent="0.25">
      <c r="A260">
        <v>348</v>
      </c>
      <c r="B260" s="2" t="s">
        <v>227</v>
      </c>
      <c r="C260" t="s">
        <v>405</v>
      </c>
      <c r="D260" t="s">
        <v>412</v>
      </c>
      <c r="E260">
        <v>1376</v>
      </c>
      <c r="F260">
        <v>200</v>
      </c>
      <c r="G260">
        <v>69</v>
      </c>
      <c r="R260">
        <v>348</v>
      </c>
      <c r="S260" t="s">
        <v>227</v>
      </c>
      <c r="T260" t="s">
        <v>405</v>
      </c>
      <c r="U260" t="s">
        <v>412</v>
      </c>
      <c r="V260">
        <v>1147</v>
      </c>
      <c r="W260">
        <v>193</v>
      </c>
      <c r="X260">
        <v>69</v>
      </c>
    </row>
    <row r="261" spans="1:24" x14ac:dyDescent="0.25">
      <c r="A261">
        <v>349</v>
      </c>
      <c r="B261" s="2" t="s">
        <v>229</v>
      </c>
      <c r="C261" t="s">
        <v>404</v>
      </c>
      <c r="D261" t="s">
        <v>412</v>
      </c>
      <c r="E261">
        <v>3185</v>
      </c>
      <c r="F261">
        <v>117</v>
      </c>
      <c r="G261">
        <v>67</v>
      </c>
      <c r="R261">
        <v>349</v>
      </c>
      <c r="S261" t="s">
        <v>229</v>
      </c>
      <c r="T261" t="s">
        <v>404</v>
      </c>
      <c r="U261" t="s">
        <v>412</v>
      </c>
      <c r="V261">
        <v>2831</v>
      </c>
      <c r="W261">
        <v>78</v>
      </c>
      <c r="X261">
        <v>67</v>
      </c>
    </row>
    <row r="262" spans="1:24" x14ac:dyDescent="0.25">
      <c r="A262">
        <v>350</v>
      </c>
      <c r="B262" t="s">
        <v>287</v>
      </c>
      <c r="C262" t="s">
        <v>436</v>
      </c>
      <c r="D262" t="s">
        <v>412</v>
      </c>
      <c r="E262">
        <v>2819</v>
      </c>
      <c r="F262">
        <v>22</v>
      </c>
      <c r="G262">
        <v>60</v>
      </c>
      <c r="R262">
        <v>350</v>
      </c>
      <c r="S262" t="s">
        <v>287</v>
      </c>
      <c r="T262" t="s">
        <v>436</v>
      </c>
      <c r="U262" t="s">
        <v>412</v>
      </c>
      <c r="V262">
        <v>2349</v>
      </c>
      <c r="W262">
        <v>20</v>
      </c>
      <c r="X262">
        <v>60</v>
      </c>
    </row>
    <row r="263" spans="1:24" x14ac:dyDescent="0.25">
      <c r="A263">
        <v>351</v>
      </c>
      <c r="B263" s="2" t="s">
        <v>230</v>
      </c>
      <c r="C263" t="s">
        <v>405</v>
      </c>
      <c r="D263" t="s">
        <v>412</v>
      </c>
      <c r="E263">
        <v>1376</v>
      </c>
      <c r="F263">
        <v>200</v>
      </c>
      <c r="G263">
        <v>24</v>
      </c>
      <c r="R263">
        <v>351</v>
      </c>
      <c r="S263" t="s">
        <v>230</v>
      </c>
      <c r="T263" t="s">
        <v>405</v>
      </c>
      <c r="U263" t="s">
        <v>412</v>
      </c>
      <c r="V263">
        <v>1147</v>
      </c>
      <c r="W263">
        <v>193</v>
      </c>
      <c r="X263">
        <v>24</v>
      </c>
    </row>
    <row r="264" spans="1:24" x14ac:dyDescent="0.25">
      <c r="A264">
        <v>352</v>
      </c>
      <c r="B264" s="2" t="s">
        <v>379</v>
      </c>
      <c r="C264" t="s">
        <v>434</v>
      </c>
      <c r="D264" t="s">
        <v>413</v>
      </c>
      <c r="E264">
        <v>6788</v>
      </c>
      <c r="F264">
        <v>41</v>
      </c>
      <c r="G264">
        <v>35</v>
      </c>
      <c r="R264">
        <v>352</v>
      </c>
      <c r="S264" t="s">
        <v>379</v>
      </c>
      <c r="T264" t="s">
        <v>434</v>
      </c>
      <c r="U264" t="s">
        <v>413</v>
      </c>
      <c r="V264">
        <v>5827</v>
      </c>
      <c r="W264">
        <v>22</v>
      </c>
      <c r="X264">
        <v>35</v>
      </c>
    </row>
    <row r="265" spans="1:24" x14ac:dyDescent="0.25">
      <c r="A265">
        <v>353</v>
      </c>
      <c r="B265" s="2" t="s">
        <v>380</v>
      </c>
      <c r="C265" t="s">
        <v>418</v>
      </c>
      <c r="D265" t="s">
        <v>414</v>
      </c>
      <c r="E265">
        <v>8036</v>
      </c>
      <c r="F265">
        <v>42</v>
      </c>
      <c r="G265">
        <v>17</v>
      </c>
      <c r="R265">
        <v>353</v>
      </c>
      <c r="S265" t="s">
        <v>380</v>
      </c>
      <c r="T265" t="s">
        <v>418</v>
      </c>
      <c r="U265" t="s">
        <v>414</v>
      </c>
      <c r="V265">
        <v>6897</v>
      </c>
      <c r="W265">
        <v>23</v>
      </c>
      <c r="X265">
        <v>17</v>
      </c>
    </row>
    <row r="266" spans="1:24" x14ac:dyDescent="0.25">
      <c r="A266">
        <v>354</v>
      </c>
      <c r="B266" t="s">
        <v>288</v>
      </c>
      <c r="C266" t="s">
        <v>418</v>
      </c>
      <c r="D266" t="s">
        <v>414</v>
      </c>
      <c r="E266">
        <v>7783</v>
      </c>
      <c r="F266">
        <v>33</v>
      </c>
      <c r="G266">
        <v>82</v>
      </c>
      <c r="R266">
        <v>354</v>
      </c>
      <c r="S266" t="s">
        <v>288</v>
      </c>
      <c r="T266" t="s">
        <v>418</v>
      </c>
      <c r="U266" t="s">
        <v>414</v>
      </c>
      <c r="V266">
        <v>6738</v>
      </c>
      <c r="W266">
        <v>18</v>
      </c>
      <c r="X266">
        <v>82</v>
      </c>
    </row>
    <row r="267" spans="1:24" x14ac:dyDescent="0.25">
      <c r="A267">
        <v>355</v>
      </c>
      <c r="B267" s="2" t="s">
        <v>232</v>
      </c>
      <c r="C267" t="s">
        <v>405</v>
      </c>
      <c r="D267" t="s">
        <v>412</v>
      </c>
      <c r="E267">
        <v>2054</v>
      </c>
      <c r="F267">
        <v>160</v>
      </c>
      <c r="G267">
        <v>34</v>
      </c>
      <c r="R267">
        <v>355</v>
      </c>
      <c r="S267" t="s">
        <v>232</v>
      </c>
      <c r="T267" t="s">
        <v>405</v>
      </c>
      <c r="U267" t="s">
        <v>412</v>
      </c>
      <c r="V267">
        <v>1712</v>
      </c>
      <c r="W267">
        <v>154</v>
      </c>
      <c r="X267">
        <v>34</v>
      </c>
    </row>
    <row r="268" spans="1:24" x14ac:dyDescent="0.25">
      <c r="A268">
        <v>356</v>
      </c>
      <c r="B268" s="2" t="s">
        <v>381</v>
      </c>
      <c r="C268" t="s">
        <v>431</v>
      </c>
      <c r="D268" t="s">
        <v>413</v>
      </c>
      <c r="E268">
        <v>6626</v>
      </c>
      <c r="F268">
        <v>70</v>
      </c>
      <c r="G268">
        <v>73</v>
      </c>
      <c r="R268">
        <v>356</v>
      </c>
      <c r="S268" t="s">
        <v>381</v>
      </c>
      <c r="T268" t="s">
        <v>431</v>
      </c>
      <c r="U268" t="s">
        <v>413</v>
      </c>
      <c r="V268">
        <v>5712</v>
      </c>
      <c r="W268">
        <v>50</v>
      </c>
      <c r="X268">
        <v>73</v>
      </c>
    </row>
    <row r="269" spans="1:24" x14ac:dyDescent="0.25">
      <c r="A269">
        <v>357</v>
      </c>
      <c r="B269" t="s">
        <v>341</v>
      </c>
      <c r="C269" t="s">
        <v>432</v>
      </c>
      <c r="D269" t="s">
        <v>413</v>
      </c>
      <c r="E269">
        <v>6647</v>
      </c>
      <c r="F269">
        <v>54</v>
      </c>
      <c r="G269">
        <v>90</v>
      </c>
      <c r="R269">
        <v>357</v>
      </c>
      <c r="S269" t="s">
        <v>341</v>
      </c>
      <c r="T269" t="s">
        <v>432</v>
      </c>
      <c r="U269" t="s">
        <v>413</v>
      </c>
      <c r="V269">
        <v>5730</v>
      </c>
      <c r="W269">
        <v>34</v>
      </c>
      <c r="X269">
        <v>90</v>
      </c>
    </row>
    <row r="270" spans="1:24" x14ac:dyDescent="0.25">
      <c r="A270">
        <v>358</v>
      </c>
      <c r="B270" t="s">
        <v>289</v>
      </c>
      <c r="C270" t="s">
        <v>436</v>
      </c>
      <c r="D270" t="s">
        <v>412</v>
      </c>
      <c r="E270">
        <v>1924</v>
      </c>
      <c r="F270">
        <v>41</v>
      </c>
      <c r="G270">
        <v>79</v>
      </c>
      <c r="R270">
        <v>358</v>
      </c>
      <c r="S270" t="s">
        <v>289</v>
      </c>
      <c r="T270" t="s">
        <v>436</v>
      </c>
      <c r="U270" t="s">
        <v>412</v>
      </c>
      <c r="V270">
        <v>1603</v>
      </c>
      <c r="W270">
        <v>22</v>
      </c>
      <c r="X270">
        <v>79</v>
      </c>
    </row>
    <row r="271" spans="1:24" x14ac:dyDescent="0.25">
      <c r="A271">
        <v>359</v>
      </c>
      <c r="B271" s="2" t="s">
        <v>233</v>
      </c>
      <c r="C271" t="s">
        <v>405</v>
      </c>
      <c r="D271" t="s">
        <v>412</v>
      </c>
      <c r="E271">
        <v>1571</v>
      </c>
      <c r="F271">
        <v>189</v>
      </c>
      <c r="G271">
        <v>41</v>
      </c>
      <c r="R271">
        <v>359</v>
      </c>
      <c r="S271" t="s">
        <v>233</v>
      </c>
      <c r="T271" t="s">
        <v>405</v>
      </c>
      <c r="U271" t="s">
        <v>412</v>
      </c>
      <c r="V271">
        <v>1309</v>
      </c>
      <c r="W271">
        <v>182</v>
      </c>
      <c r="X271">
        <v>41</v>
      </c>
    </row>
    <row r="272" spans="1:24" x14ac:dyDescent="0.25">
      <c r="A272">
        <v>360</v>
      </c>
      <c r="B272" t="s">
        <v>234</v>
      </c>
      <c r="C272" t="s">
        <v>404</v>
      </c>
      <c r="D272" t="s">
        <v>412</v>
      </c>
      <c r="E272">
        <v>3301</v>
      </c>
      <c r="F272">
        <v>101</v>
      </c>
      <c r="G272">
        <v>67</v>
      </c>
      <c r="R272">
        <v>360</v>
      </c>
      <c r="S272" t="s">
        <v>234</v>
      </c>
      <c r="T272" t="s">
        <v>404</v>
      </c>
      <c r="U272" t="s">
        <v>412</v>
      </c>
      <c r="X272">
        <v>67</v>
      </c>
    </row>
    <row r="273" spans="1:25" x14ac:dyDescent="0.25">
      <c r="A273">
        <v>361</v>
      </c>
      <c r="B273" t="s">
        <v>235</v>
      </c>
      <c r="C273" t="s">
        <v>404</v>
      </c>
      <c r="D273" t="s">
        <v>412</v>
      </c>
      <c r="E273">
        <v>3688</v>
      </c>
      <c r="F273">
        <v>100</v>
      </c>
      <c r="G273">
        <v>78</v>
      </c>
      <c r="R273">
        <v>361</v>
      </c>
      <c r="S273" t="s">
        <v>235</v>
      </c>
      <c r="T273" t="s">
        <v>404</v>
      </c>
      <c r="U273" t="s">
        <v>412</v>
      </c>
      <c r="V273" s="1">
        <v>3293</v>
      </c>
      <c r="W273" s="1">
        <v>76</v>
      </c>
      <c r="X273">
        <v>78</v>
      </c>
    </row>
    <row r="274" spans="1:25" x14ac:dyDescent="0.25">
      <c r="A274">
        <v>362</v>
      </c>
      <c r="B274" t="s">
        <v>237</v>
      </c>
      <c r="C274" t="s">
        <v>405</v>
      </c>
      <c r="D274" t="s">
        <v>412</v>
      </c>
      <c r="E274">
        <v>1826</v>
      </c>
      <c r="F274">
        <v>163</v>
      </c>
      <c r="G274">
        <v>68</v>
      </c>
      <c r="R274">
        <v>362</v>
      </c>
      <c r="S274" t="s">
        <v>237</v>
      </c>
      <c r="T274" t="s">
        <v>405</v>
      </c>
      <c r="U274" t="s">
        <v>412</v>
      </c>
      <c r="V274">
        <v>1521</v>
      </c>
      <c r="W274">
        <v>157</v>
      </c>
      <c r="X274">
        <v>68</v>
      </c>
    </row>
    <row r="275" spans="1:25" x14ac:dyDescent="0.25">
      <c r="A275">
        <v>363</v>
      </c>
      <c r="B275" s="2" t="s">
        <v>238</v>
      </c>
      <c r="C275" t="s">
        <v>405</v>
      </c>
      <c r="D275" t="s">
        <v>412</v>
      </c>
      <c r="E275">
        <v>1826</v>
      </c>
      <c r="F275">
        <v>163</v>
      </c>
      <c r="G275">
        <v>75</v>
      </c>
      <c r="R275">
        <v>363</v>
      </c>
      <c r="S275" t="s">
        <v>238</v>
      </c>
      <c r="T275" t="s">
        <v>405</v>
      </c>
      <c r="U275" t="s">
        <v>412</v>
      </c>
      <c r="V275">
        <v>1521</v>
      </c>
      <c r="W275">
        <v>157</v>
      </c>
      <c r="X275">
        <v>75</v>
      </c>
    </row>
    <row r="276" spans="1:25" x14ac:dyDescent="0.25">
      <c r="A276">
        <v>364</v>
      </c>
      <c r="B276" t="s">
        <v>239</v>
      </c>
      <c r="C276" t="s">
        <v>417</v>
      </c>
      <c r="D276" t="s">
        <v>413</v>
      </c>
      <c r="E276">
        <v>4152</v>
      </c>
      <c r="F276">
        <v>57</v>
      </c>
      <c r="G276">
        <v>76</v>
      </c>
      <c r="R276">
        <v>364</v>
      </c>
      <c r="S276" t="s">
        <v>239</v>
      </c>
      <c r="T276" t="s">
        <v>417</v>
      </c>
      <c r="U276" t="s">
        <v>413</v>
      </c>
      <c r="V276">
        <v>3707</v>
      </c>
      <c r="W276">
        <v>24</v>
      </c>
      <c r="X276">
        <v>76</v>
      </c>
    </row>
    <row r="277" spans="1:25" x14ac:dyDescent="0.25">
      <c r="A277">
        <v>365</v>
      </c>
      <c r="B277" t="s">
        <v>240</v>
      </c>
      <c r="C277" t="s">
        <v>405</v>
      </c>
      <c r="D277" t="s">
        <v>412</v>
      </c>
      <c r="E277">
        <v>2054</v>
      </c>
      <c r="F277">
        <v>160</v>
      </c>
      <c r="G277">
        <v>75</v>
      </c>
      <c r="R277">
        <v>365</v>
      </c>
      <c r="S277" t="s">
        <v>240</v>
      </c>
      <c r="T277" t="s">
        <v>405</v>
      </c>
      <c r="U277" t="s">
        <v>412</v>
      </c>
      <c r="V277">
        <v>1712</v>
      </c>
      <c r="W277">
        <v>154</v>
      </c>
      <c r="X277">
        <v>75</v>
      </c>
    </row>
    <row r="278" spans="1:25" x14ac:dyDescent="0.25">
      <c r="A278">
        <v>366</v>
      </c>
      <c r="B278" t="s">
        <v>241</v>
      </c>
      <c r="C278" t="s">
        <v>404</v>
      </c>
      <c r="D278" t="s">
        <v>412</v>
      </c>
      <c r="E278">
        <v>3301</v>
      </c>
      <c r="F278">
        <v>101</v>
      </c>
      <c r="G278">
        <v>67</v>
      </c>
      <c r="R278">
        <v>366</v>
      </c>
      <c r="S278" t="s">
        <v>241</v>
      </c>
      <c r="T278" t="s">
        <v>404</v>
      </c>
      <c r="U278" t="s">
        <v>412</v>
      </c>
      <c r="X278">
        <v>67</v>
      </c>
    </row>
    <row r="279" spans="1:25" x14ac:dyDescent="0.25">
      <c r="A279">
        <v>367</v>
      </c>
      <c r="B279" t="s">
        <v>290</v>
      </c>
      <c r="C279" t="s">
        <v>434</v>
      </c>
      <c r="D279" t="s">
        <v>413</v>
      </c>
      <c r="E279">
        <v>7654</v>
      </c>
      <c r="F279">
        <v>41</v>
      </c>
      <c r="G279">
        <v>23</v>
      </c>
      <c r="H279">
        <v>0.1</v>
      </c>
      <c r="R279">
        <v>367</v>
      </c>
      <c r="S279" t="s">
        <v>290</v>
      </c>
      <c r="T279" t="s">
        <v>434</v>
      </c>
      <c r="U279" t="s">
        <v>413</v>
      </c>
      <c r="V279">
        <v>6514</v>
      </c>
      <c r="W279">
        <v>24</v>
      </c>
      <c r="X279">
        <v>23</v>
      </c>
      <c r="Y279">
        <v>0.1</v>
      </c>
    </row>
    <row r="280" spans="1:25" x14ac:dyDescent="0.25">
      <c r="A280">
        <v>368</v>
      </c>
      <c r="B280" s="2" t="s">
        <v>382</v>
      </c>
      <c r="C280" t="s">
        <v>418</v>
      </c>
      <c r="D280" t="s">
        <v>414</v>
      </c>
      <c r="E280">
        <v>8303</v>
      </c>
      <c r="F280">
        <v>39</v>
      </c>
      <c r="G280">
        <v>42</v>
      </c>
      <c r="R280">
        <v>368</v>
      </c>
      <c r="S280" t="s">
        <v>397</v>
      </c>
      <c r="T280" t="s">
        <v>418</v>
      </c>
      <c r="U280" t="s">
        <v>414</v>
      </c>
      <c r="V280">
        <v>7115</v>
      </c>
      <c r="W280">
        <v>20</v>
      </c>
      <c r="X280">
        <v>42</v>
      </c>
    </row>
    <row r="281" spans="1:25" x14ac:dyDescent="0.25">
      <c r="A281">
        <v>369</v>
      </c>
      <c r="B281" s="2" t="s">
        <v>242</v>
      </c>
      <c r="C281" t="s">
        <v>405</v>
      </c>
      <c r="D281" t="s">
        <v>412</v>
      </c>
      <c r="E281">
        <v>1561</v>
      </c>
      <c r="F281">
        <v>193</v>
      </c>
      <c r="G281">
        <v>87</v>
      </c>
      <c r="R281">
        <v>369</v>
      </c>
      <c r="S281" t="s">
        <v>242</v>
      </c>
      <c r="T281" t="s">
        <v>405</v>
      </c>
      <c r="U281" t="s">
        <v>412</v>
      </c>
      <c r="V281">
        <v>1301</v>
      </c>
      <c r="W281">
        <v>187</v>
      </c>
      <c r="X281">
        <v>87</v>
      </c>
    </row>
    <row r="282" spans="1:25" x14ac:dyDescent="0.25">
      <c r="A282">
        <v>370</v>
      </c>
      <c r="B282" s="2" t="s">
        <v>243</v>
      </c>
      <c r="C282" t="s">
        <v>405</v>
      </c>
      <c r="D282" t="s">
        <v>412</v>
      </c>
      <c r="E282">
        <v>2157</v>
      </c>
      <c r="F282">
        <v>191</v>
      </c>
      <c r="G282">
        <v>40</v>
      </c>
      <c r="R282">
        <v>370</v>
      </c>
      <c r="S282" t="s">
        <v>243</v>
      </c>
      <c r="T282" t="s">
        <v>405</v>
      </c>
      <c r="U282" t="s">
        <v>412</v>
      </c>
      <c r="V282">
        <v>1798</v>
      </c>
      <c r="W282">
        <v>185</v>
      </c>
      <c r="X282">
        <v>40</v>
      </c>
    </row>
    <row r="283" spans="1:25" x14ac:dyDescent="0.25">
      <c r="A283">
        <v>371</v>
      </c>
      <c r="B283" s="2" t="s">
        <v>9</v>
      </c>
      <c r="C283" t="s">
        <v>404</v>
      </c>
      <c r="D283" t="s">
        <v>412</v>
      </c>
      <c r="E283">
        <v>3744</v>
      </c>
      <c r="F283">
        <v>97</v>
      </c>
      <c r="G283">
        <v>70</v>
      </c>
      <c r="R283">
        <v>371</v>
      </c>
      <c r="S283" t="s">
        <v>9</v>
      </c>
      <c r="T283" t="s">
        <v>404</v>
      </c>
      <c r="U283" t="s">
        <v>412</v>
      </c>
      <c r="V283">
        <v>3343</v>
      </c>
      <c r="W283">
        <v>73</v>
      </c>
      <c r="X283">
        <v>70</v>
      </c>
    </row>
    <row r="284" spans="1:25" x14ac:dyDescent="0.25">
      <c r="A284">
        <v>372</v>
      </c>
      <c r="B284" t="s">
        <v>291</v>
      </c>
      <c r="C284" t="s">
        <v>404</v>
      </c>
      <c r="D284" t="s">
        <v>412</v>
      </c>
      <c r="E284">
        <v>2981</v>
      </c>
      <c r="F284">
        <v>92</v>
      </c>
      <c r="G284">
        <v>24</v>
      </c>
      <c r="R284">
        <v>372</v>
      </c>
      <c r="S284" t="s">
        <v>244</v>
      </c>
      <c r="T284" t="s">
        <v>404</v>
      </c>
      <c r="U284" t="s">
        <v>412</v>
      </c>
      <c r="V284">
        <v>2638</v>
      </c>
      <c r="W284">
        <v>68</v>
      </c>
      <c r="X284">
        <v>24</v>
      </c>
    </row>
    <row r="285" spans="1:25" x14ac:dyDescent="0.25">
      <c r="A285">
        <v>373</v>
      </c>
      <c r="B285" s="2" t="s">
        <v>245</v>
      </c>
      <c r="C285" t="s">
        <v>404</v>
      </c>
      <c r="D285" t="s">
        <v>412</v>
      </c>
      <c r="E285">
        <v>2789</v>
      </c>
      <c r="F285">
        <v>92</v>
      </c>
      <c r="G285">
        <v>45</v>
      </c>
      <c r="R285">
        <v>373</v>
      </c>
      <c r="S285" t="s">
        <v>245</v>
      </c>
      <c r="T285" t="s">
        <v>404</v>
      </c>
      <c r="U285" t="s">
        <v>412</v>
      </c>
      <c r="V285">
        <v>2468</v>
      </c>
      <c r="W285">
        <v>68</v>
      </c>
      <c r="X285">
        <v>45</v>
      </c>
    </row>
    <row r="286" spans="1:25" x14ac:dyDescent="0.25">
      <c r="A286">
        <v>374</v>
      </c>
      <c r="B286" t="s">
        <v>246</v>
      </c>
      <c r="C286" t="s">
        <v>405</v>
      </c>
      <c r="D286" t="s">
        <v>412</v>
      </c>
      <c r="E286">
        <v>2054</v>
      </c>
      <c r="F286">
        <v>160</v>
      </c>
      <c r="G286">
        <v>77</v>
      </c>
      <c r="R286">
        <v>374</v>
      </c>
      <c r="S286" t="s">
        <v>246</v>
      </c>
      <c r="T286" t="s">
        <v>405</v>
      </c>
      <c r="U286" t="s">
        <v>412</v>
      </c>
      <c r="V286">
        <v>1712</v>
      </c>
      <c r="W286">
        <v>154</v>
      </c>
      <c r="X286">
        <v>77</v>
      </c>
    </row>
    <row r="287" spans="1:25" x14ac:dyDescent="0.25">
      <c r="A287">
        <v>375</v>
      </c>
      <c r="B287" s="2" t="s">
        <v>247</v>
      </c>
      <c r="C287" t="s">
        <v>405</v>
      </c>
      <c r="D287" t="s">
        <v>412</v>
      </c>
      <c r="E287">
        <v>2115</v>
      </c>
      <c r="F287">
        <v>160</v>
      </c>
      <c r="G287">
        <v>89</v>
      </c>
      <c r="R287">
        <v>375</v>
      </c>
      <c r="S287" t="s">
        <v>247</v>
      </c>
      <c r="T287" t="s">
        <v>405</v>
      </c>
      <c r="U287" t="s">
        <v>412</v>
      </c>
      <c r="V287">
        <v>1762</v>
      </c>
      <c r="W287">
        <v>154</v>
      </c>
      <c r="X287">
        <v>89</v>
      </c>
    </row>
    <row r="288" spans="1:25" x14ac:dyDescent="0.25">
      <c r="A288">
        <v>376</v>
      </c>
      <c r="B288" t="s">
        <v>324</v>
      </c>
      <c r="C288" t="s">
        <v>431</v>
      </c>
      <c r="D288" t="s">
        <v>413</v>
      </c>
      <c r="E288">
        <v>4707</v>
      </c>
      <c r="F288">
        <v>62</v>
      </c>
      <c r="G288">
        <v>82</v>
      </c>
      <c r="R288">
        <v>376</v>
      </c>
      <c r="S288" t="s">
        <v>324</v>
      </c>
      <c r="T288" t="s">
        <v>431</v>
      </c>
      <c r="U288" t="s">
        <v>413</v>
      </c>
      <c r="V288">
        <v>4023</v>
      </c>
      <c r="W288">
        <v>39</v>
      </c>
      <c r="X288">
        <v>82</v>
      </c>
    </row>
    <row r="289" spans="1:24" x14ac:dyDescent="0.25">
      <c r="A289">
        <v>377</v>
      </c>
      <c r="B289" t="s">
        <v>292</v>
      </c>
      <c r="C289" t="s">
        <v>431</v>
      </c>
      <c r="D289" t="s">
        <v>413</v>
      </c>
      <c r="E289">
        <v>4796</v>
      </c>
      <c r="F289">
        <v>83</v>
      </c>
      <c r="G289">
        <v>78</v>
      </c>
      <c r="R289">
        <v>377</v>
      </c>
      <c r="S289" t="s">
        <v>292</v>
      </c>
      <c r="T289" t="s">
        <v>431</v>
      </c>
      <c r="U289" t="s">
        <v>413</v>
      </c>
      <c r="V289">
        <v>4135</v>
      </c>
      <c r="W289">
        <v>54</v>
      </c>
      <c r="X289">
        <v>78</v>
      </c>
    </row>
    <row r="290" spans="1:24" x14ac:dyDescent="0.25">
      <c r="A290">
        <v>378</v>
      </c>
      <c r="B290" t="s">
        <v>293</v>
      </c>
      <c r="C290" t="s">
        <v>432</v>
      </c>
      <c r="D290" t="s">
        <v>413</v>
      </c>
      <c r="E290">
        <v>6647</v>
      </c>
      <c r="F290">
        <v>54</v>
      </c>
      <c r="G290">
        <v>83</v>
      </c>
      <c r="R290">
        <v>378</v>
      </c>
      <c r="S290" t="s">
        <v>293</v>
      </c>
      <c r="T290" t="s">
        <v>432</v>
      </c>
      <c r="U290" t="s">
        <v>413</v>
      </c>
      <c r="V290">
        <v>5730</v>
      </c>
      <c r="W290">
        <v>34</v>
      </c>
      <c r="X290">
        <v>83</v>
      </c>
    </row>
    <row r="291" spans="1:24" x14ac:dyDescent="0.25">
      <c r="A291">
        <v>379</v>
      </c>
      <c r="B291" t="s">
        <v>442</v>
      </c>
      <c r="C291" t="s">
        <v>405</v>
      </c>
      <c r="D291" t="s">
        <v>412</v>
      </c>
      <c r="E291">
        <v>2053</v>
      </c>
      <c r="F291">
        <v>148</v>
      </c>
      <c r="G291">
        <v>44</v>
      </c>
      <c r="R291">
        <v>379</v>
      </c>
      <c r="S291" t="s">
        <v>442</v>
      </c>
      <c r="T291" t="s">
        <v>405</v>
      </c>
      <c r="U291" t="s">
        <v>412</v>
      </c>
      <c r="V291">
        <v>1725</v>
      </c>
      <c r="W291">
        <v>143</v>
      </c>
      <c r="X291">
        <v>44</v>
      </c>
    </row>
    <row r="292" spans="1:24" x14ac:dyDescent="0.25">
      <c r="A292">
        <v>380</v>
      </c>
      <c r="B292" s="2" t="s">
        <v>449</v>
      </c>
      <c r="C292" s="2" t="s">
        <v>432</v>
      </c>
      <c r="D292" s="2" t="s">
        <v>413</v>
      </c>
      <c r="E292">
        <v>6610</v>
      </c>
      <c r="F292">
        <v>54</v>
      </c>
      <c r="G292">
        <v>35</v>
      </c>
      <c r="R292">
        <v>380</v>
      </c>
      <c r="S292" s="2" t="s">
        <v>449</v>
      </c>
      <c r="T292" s="2" t="s">
        <v>432</v>
      </c>
      <c r="U292" s="2" t="s">
        <v>413</v>
      </c>
      <c r="V292">
        <v>5698</v>
      </c>
      <c r="W292">
        <v>34</v>
      </c>
      <c r="X292">
        <v>35</v>
      </c>
    </row>
    <row r="293" spans="1:24" x14ac:dyDescent="0.25">
      <c r="A293">
        <v>381</v>
      </c>
      <c r="B293" s="2" t="s">
        <v>450</v>
      </c>
      <c r="C293" s="2" t="s">
        <v>452</v>
      </c>
      <c r="D293" s="2" t="s">
        <v>412</v>
      </c>
      <c r="E293">
        <v>2657</v>
      </c>
      <c r="F293">
        <v>36</v>
      </c>
      <c r="G293">
        <v>20</v>
      </c>
      <c r="R293">
        <v>381</v>
      </c>
      <c r="S293" s="2" t="s">
        <v>450</v>
      </c>
      <c r="T293" s="2" t="s">
        <v>452</v>
      </c>
      <c r="U293" s="2" t="s">
        <v>412</v>
      </c>
      <c r="V293">
        <v>2214</v>
      </c>
      <c r="W293">
        <v>18</v>
      </c>
      <c r="X293">
        <v>20</v>
      </c>
    </row>
    <row r="294" spans="1:24" x14ac:dyDescent="0.25">
      <c r="A294">
        <v>382</v>
      </c>
      <c r="B294" s="2" t="s">
        <v>451</v>
      </c>
      <c r="C294" s="2" t="s">
        <v>417</v>
      </c>
      <c r="D294" s="2" t="s">
        <v>413</v>
      </c>
      <c r="E294">
        <v>4176</v>
      </c>
      <c r="F294">
        <v>80</v>
      </c>
      <c r="G294">
        <v>15</v>
      </c>
      <c r="R294">
        <v>382</v>
      </c>
      <c r="S294" s="2" t="s">
        <v>451</v>
      </c>
      <c r="T294" s="2" t="s">
        <v>417</v>
      </c>
      <c r="U294" s="2" t="s">
        <v>413</v>
      </c>
      <c r="V294">
        <v>3712</v>
      </c>
      <c r="W294">
        <v>34</v>
      </c>
      <c r="X294">
        <v>15</v>
      </c>
    </row>
    <row r="295" spans="1:24" x14ac:dyDescent="0.25">
      <c r="A295">
        <v>383</v>
      </c>
      <c r="B295" s="2" t="s">
        <v>486</v>
      </c>
      <c r="C295" s="2" t="s">
        <v>418</v>
      </c>
      <c r="D295" s="2" t="s">
        <v>414</v>
      </c>
      <c r="E295">
        <v>6454</v>
      </c>
      <c r="F295">
        <v>40</v>
      </c>
      <c r="G295">
        <v>37</v>
      </c>
      <c r="R295">
        <v>383</v>
      </c>
      <c r="S295" s="2" t="s">
        <v>486</v>
      </c>
      <c r="T295" s="2" t="s">
        <v>418</v>
      </c>
      <c r="U295" s="2" t="s">
        <v>414</v>
      </c>
      <c r="V295">
        <v>5493</v>
      </c>
      <c r="W295">
        <v>23</v>
      </c>
      <c r="X295">
        <v>37</v>
      </c>
    </row>
    <row r="296" spans="1:24" x14ac:dyDescent="0.25">
      <c r="A296">
        <v>384</v>
      </c>
      <c r="B296" s="2" t="s">
        <v>487</v>
      </c>
      <c r="C296" s="2" t="s">
        <v>432</v>
      </c>
      <c r="D296" s="2" t="s">
        <v>413</v>
      </c>
      <c r="E296">
        <v>6250</v>
      </c>
      <c r="F296">
        <v>54</v>
      </c>
      <c r="G296">
        <v>42</v>
      </c>
      <c r="R296">
        <v>384</v>
      </c>
      <c r="S296" s="2" t="s">
        <v>487</v>
      </c>
      <c r="T296" s="2" t="s">
        <v>432</v>
      </c>
      <c r="U296" s="2" t="s">
        <v>413</v>
      </c>
      <c r="V296">
        <v>5571</v>
      </c>
      <c r="W296">
        <v>33</v>
      </c>
      <c r="X296">
        <v>42</v>
      </c>
    </row>
    <row r="297" spans="1:24" x14ac:dyDescent="0.25">
      <c r="A297">
        <v>385</v>
      </c>
      <c r="B297" s="2" t="s">
        <v>488</v>
      </c>
      <c r="C297" s="2" t="s">
        <v>432</v>
      </c>
      <c r="D297" s="2" t="s">
        <v>413</v>
      </c>
      <c r="E297">
        <v>6983</v>
      </c>
      <c r="F297">
        <v>56</v>
      </c>
      <c r="G297">
        <v>45</v>
      </c>
      <c r="R297">
        <v>385</v>
      </c>
      <c r="S297" s="2" t="s">
        <v>488</v>
      </c>
      <c r="T297" s="2" t="s">
        <v>432</v>
      </c>
      <c r="U297" s="2" t="s">
        <v>413</v>
      </c>
      <c r="V297">
        <v>6348</v>
      </c>
      <c r="W297">
        <v>41</v>
      </c>
      <c r="X297">
        <v>45</v>
      </c>
    </row>
    <row r="298" spans="1:24" x14ac:dyDescent="0.25">
      <c r="A298">
        <v>386</v>
      </c>
      <c r="B298" s="2" t="s">
        <v>498</v>
      </c>
      <c r="C298" s="2" t="s">
        <v>436</v>
      </c>
      <c r="D298" s="2" t="s">
        <v>412</v>
      </c>
      <c r="E298">
        <v>1261</v>
      </c>
      <c r="F298">
        <v>37</v>
      </c>
      <c r="G298">
        <v>45</v>
      </c>
      <c r="R298">
        <v>386</v>
      </c>
      <c r="S298" s="2" t="s">
        <v>498</v>
      </c>
      <c r="T298" t="s">
        <v>436</v>
      </c>
      <c r="U298" s="2" t="s">
        <v>412</v>
      </c>
      <c r="V298">
        <v>1051</v>
      </c>
      <c r="W298">
        <v>18</v>
      </c>
      <c r="X298">
        <v>45</v>
      </c>
    </row>
    <row r="299" spans="1:24" x14ac:dyDescent="0.25">
      <c r="A299">
        <v>387</v>
      </c>
      <c r="B299" s="2" t="s">
        <v>499</v>
      </c>
      <c r="C299" s="2" t="s">
        <v>436</v>
      </c>
      <c r="D299" s="2" t="s">
        <v>412</v>
      </c>
      <c r="E299">
        <v>1250</v>
      </c>
      <c r="F299">
        <v>37</v>
      </c>
      <c r="G299">
        <v>45</v>
      </c>
      <c r="R299">
        <v>387</v>
      </c>
      <c r="S299" s="2" t="s">
        <v>499</v>
      </c>
      <c r="T299" t="s">
        <v>436</v>
      </c>
      <c r="U299" s="2" t="s">
        <v>412</v>
      </c>
      <c r="V299">
        <v>1042</v>
      </c>
      <c r="W299">
        <v>18</v>
      </c>
      <c r="X299">
        <v>35</v>
      </c>
    </row>
    <row r="300" spans="1:24" x14ac:dyDescent="0.25">
      <c r="A300">
        <v>388</v>
      </c>
      <c r="B300" s="2" t="s">
        <v>500</v>
      </c>
      <c r="C300" s="2" t="s">
        <v>405</v>
      </c>
      <c r="D300" s="2" t="s">
        <v>412</v>
      </c>
      <c r="E300">
        <v>2092</v>
      </c>
      <c r="F300">
        <v>159</v>
      </c>
      <c r="G300">
        <v>36</v>
      </c>
      <c r="R300">
        <v>388</v>
      </c>
      <c r="S300" s="2" t="s">
        <v>500</v>
      </c>
      <c r="T300" t="s">
        <v>405</v>
      </c>
      <c r="U300" s="2" t="s">
        <v>412</v>
      </c>
      <c r="V300">
        <v>1758</v>
      </c>
      <c r="W300">
        <v>153</v>
      </c>
      <c r="X300">
        <v>36</v>
      </c>
    </row>
    <row r="301" spans="1:24" x14ac:dyDescent="0.25">
      <c r="A301">
        <v>389</v>
      </c>
      <c r="B301" s="2" t="s">
        <v>501</v>
      </c>
      <c r="C301" s="2" t="s">
        <v>405</v>
      </c>
      <c r="D301" s="2" t="s">
        <v>412</v>
      </c>
      <c r="E301">
        <v>1400</v>
      </c>
      <c r="F301">
        <v>209</v>
      </c>
      <c r="G301">
        <v>65</v>
      </c>
      <c r="R301">
        <v>389</v>
      </c>
      <c r="S301" s="2" t="s">
        <v>501</v>
      </c>
      <c r="T301" t="s">
        <v>405</v>
      </c>
      <c r="U301" s="2" t="s">
        <v>412</v>
      </c>
      <c r="V301">
        <v>1167</v>
      </c>
      <c r="W301">
        <v>203</v>
      </c>
      <c r="X301">
        <v>65</v>
      </c>
    </row>
    <row r="302" spans="1:24" x14ac:dyDescent="0.25">
      <c r="A302">
        <v>390</v>
      </c>
      <c r="B302" s="2" t="s">
        <v>503</v>
      </c>
      <c r="C302" s="2" t="s">
        <v>404</v>
      </c>
      <c r="D302" s="2" t="s">
        <v>412</v>
      </c>
      <c r="E302">
        <v>3246</v>
      </c>
      <c r="F302">
        <v>91</v>
      </c>
      <c r="G302">
        <v>33</v>
      </c>
      <c r="R302">
        <v>390</v>
      </c>
      <c r="S302" s="2" t="s">
        <v>503</v>
      </c>
      <c r="T302" t="s">
        <v>404</v>
      </c>
      <c r="U302" s="2" t="s">
        <v>412</v>
      </c>
      <c r="V302">
        <v>2885</v>
      </c>
      <c r="W302">
        <v>73</v>
      </c>
      <c r="X302">
        <v>33</v>
      </c>
    </row>
    <row r="303" spans="1:24" x14ac:dyDescent="0.25">
      <c r="A303">
        <v>391</v>
      </c>
      <c r="B303" s="2" t="s">
        <v>504</v>
      </c>
      <c r="C303" s="2" t="s">
        <v>404</v>
      </c>
      <c r="D303" s="2" t="s">
        <v>412</v>
      </c>
      <c r="E303">
        <v>3601</v>
      </c>
      <c r="F303">
        <v>94</v>
      </c>
      <c r="G303">
        <v>71</v>
      </c>
      <c r="R303">
        <v>391</v>
      </c>
      <c r="S303" s="2" t="s">
        <v>504</v>
      </c>
      <c r="T303" t="s">
        <v>404</v>
      </c>
      <c r="U303" s="2" t="s">
        <v>412</v>
      </c>
      <c r="V303">
        <v>3244</v>
      </c>
      <c r="W303">
        <v>79</v>
      </c>
      <c r="X303">
        <v>71</v>
      </c>
    </row>
    <row r="304" spans="1:24" x14ac:dyDescent="0.25">
      <c r="A304">
        <v>392</v>
      </c>
      <c r="B304" s="2" t="s">
        <v>505</v>
      </c>
      <c r="C304" s="2" t="s">
        <v>404</v>
      </c>
      <c r="D304" s="2" t="s">
        <v>412</v>
      </c>
      <c r="E304">
        <v>3226</v>
      </c>
      <c r="F304">
        <v>95</v>
      </c>
      <c r="G304">
        <v>85</v>
      </c>
      <c r="R304">
        <v>392</v>
      </c>
      <c r="S304" s="2" t="s">
        <v>505</v>
      </c>
      <c r="T304" t="s">
        <v>404</v>
      </c>
      <c r="U304" s="2" t="s">
        <v>412</v>
      </c>
      <c r="V304">
        <v>2868</v>
      </c>
      <c r="W304">
        <v>73</v>
      </c>
      <c r="X304">
        <v>85</v>
      </c>
    </row>
    <row r="305" spans="1:24" x14ac:dyDescent="0.25">
      <c r="A305">
        <v>393</v>
      </c>
      <c r="B305" s="2" t="s">
        <v>511</v>
      </c>
      <c r="C305" s="2" t="s">
        <v>404</v>
      </c>
      <c r="D305" s="2" t="s">
        <v>412</v>
      </c>
      <c r="E305">
        <v>3796</v>
      </c>
      <c r="F305">
        <v>96</v>
      </c>
      <c r="G305">
        <v>44</v>
      </c>
      <c r="R305">
        <v>393</v>
      </c>
      <c r="S305" s="2" t="s">
        <v>511</v>
      </c>
      <c r="T305" t="s">
        <v>404</v>
      </c>
      <c r="U305" s="2" t="s">
        <v>412</v>
      </c>
      <c r="V305">
        <v>3359</v>
      </c>
      <c r="W305">
        <v>72</v>
      </c>
      <c r="X305">
        <v>44</v>
      </c>
    </row>
    <row r="306" spans="1:24" x14ac:dyDescent="0.25">
      <c r="A306" s="49">
        <v>394</v>
      </c>
      <c r="B306" s="2" t="s">
        <v>542</v>
      </c>
      <c r="C306" s="2" t="s">
        <v>405</v>
      </c>
      <c r="D306" s="2" t="s">
        <v>412</v>
      </c>
      <c r="E306">
        <v>2021</v>
      </c>
      <c r="F306">
        <v>213</v>
      </c>
      <c r="G306">
        <v>51</v>
      </c>
      <c r="R306">
        <v>394</v>
      </c>
      <c r="S306" s="2" t="s">
        <v>542</v>
      </c>
      <c r="T306" t="s">
        <v>405</v>
      </c>
      <c r="U306" s="2" t="s">
        <v>412</v>
      </c>
      <c r="V306">
        <v>1684</v>
      </c>
      <c r="W306">
        <v>206</v>
      </c>
      <c r="X306">
        <v>51</v>
      </c>
    </row>
    <row r="307" spans="1:24" x14ac:dyDescent="0.25">
      <c r="A307" s="49">
        <v>395</v>
      </c>
      <c r="B307" s="2" t="s">
        <v>543</v>
      </c>
      <c r="C307" s="2" t="s">
        <v>405</v>
      </c>
      <c r="D307" s="2" t="s">
        <v>412</v>
      </c>
      <c r="E307">
        <v>1772</v>
      </c>
      <c r="F307">
        <v>178</v>
      </c>
      <c r="G307">
        <v>45</v>
      </c>
      <c r="R307" s="49">
        <v>395</v>
      </c>
      <c r="S307" s="2" t="s">
        <v>543</v>
      </c>
      <c r="T307" s="2" t="s">
        <v>405</v>
      </c>
      <c r="U307" s="2" t="s">
        <v>412</v>
      </c>
      <c r="V307">
        <v>1477</v>
      </c>
      <c r="W307">
        <v>171</v>
      </c>
      <c r="X307">
        <v>45</v>
      </c>
    </row>
    <row r="308" spans="1:24" x14ac:dyDescent="0.25">
      <c r="A308">
        <v>3005</v>
      </c>
      <c r="B308" t="s">
        <v>10</v>
      </c>
      <c r="C308" t="s">
        <v>405</v>
      </c>
      <c r="D308" t="s">
        <v>412</v>
      </c>
      <c r="E308">
        <v>1900</v>
      </c>
      <c r="F308">
        <v>187</v>
      </c>
      <c r="G308">
        <v>66</v>
      </c>
      <c r="R308">
        <v>3005</v>
      </c>
      <c r="S308" t="s">
        <v>10</v>
      </c>
      <c r="T308" t="s">
        <v>405</v>
      </c>
      <c r="U308" t="s">
        <v>412</v>
      </c>
      <c r="V308">
        <v>1611</v>
      </c>
      <c r="W308">
        <v>181</v>
      </c>
      <c r="X308">
        <v>66</v>
      </c>
    </row>
    <row r="309" spans="1:24" x14ac:dyDescent="0.25">
      <c r="A309">
        <v>3006</v>
      </c>
      <c r="B309" s="2" t="s">
        <v>18</v>
      </c>
      <c r="C309" t="s">
        <v>405</v>
      </c>
      <c r="D309" t="s">
        <v>412</v>
      </c>
      <c r="E309">
        <v>1900</v>
      </c>
      <c r="F309">
        <v>187</v>
      </c>
      <c r="G309">
        <v>63</v>
      </c>
      <c r="R309">
        <v>3006</v>
      </c>
      <c r="S309" s="2" t="s">
        <v>18</v>
      </c>
      <c r="T309" t="s">
        <v>405</v>
      </c>
      <c r="U309" t="s">
        <v>412</v>
      </c>
      <c r="V309">
        <v>1611</v>
      </c>
      <c r="W309">
        <v>181</v>
      </c>
      <c r="X309">
        <v>63</v>
      </c>
    </row>
    <row r="310" spans="1:24" x14ac:dyDescent="0.25">
      <c r="A310">
        <v>3019</v>
      </c>
      <c r="B310" s="2" t="s">
        <v>31</v>
      </c>
      <c r="C310" t="s">
        <v>405</v>
      </c>
      <c r="D310" t="s">
        <v>412</v>
      </c>
      <c r="E310">
        <v>2145</v>
      </c>
      <c r="F310">
        <v>203</v>
      </c>
      <c r="G310">
        <v>18</v>
      </c>
      <c r="R310">
        <v>3019</v>
      </c>
      <c r="S310" s="2" t="s">
        <v>31</v>
      </c>
      <c r="T310" t="s">
        <v>405</v>
      </c>
      <c r="U310" t="s">
        <v>412</v>
      </c>
      <c r="V310">
        <v>1815</v>
      </c>
      <c r="W310">
        <v>197</v>
      </c>
      <c r="X310">
        <v>18</v>
      </c>
    </row>
    <row r="311" spans="1:24" x14ac:dyDescent="0.25">
      <c r="A311">
        <v>3026</v>
      </c>
      <c r="B311" s="2" t="s">
        <v>347</v>
      </c>
      <c r="C311" t="s">
        <v>405</v>
      </c>
      <c r="D311" t="s">
        <v>412</v>
      </c>
      <c r="E311">
        <v>2025</v>
      </c>
      <c r="F311">
        <v>160</v>
      </c>
      <c r="G311">
        <v>45</v>
      </c>
      <c r="R311">
        <v>3026</v>
      </c>
      <c r="S311" s="2" t="s">
        <v>347</v>
      </c>
      <c r="T311" t="s">
        <v>405</v>
      </c>
      <c r="U311" t="s">
        <v>412</v>
      </c>
      <c r="V311">
        <v>1723</v>
      </c>
      <c r="W311">
        <v>154</v>
      </c>
      <c r="X311">
        <v>45</v>
      </c>
    </row>
    <row r="312" spans="1:24" x14ac:dyDescent="0.25">
      <c r="A312">
        <v>3027</v>
      </c>
      <c r="B312" s="2" t="s">
        <v>34</v>
      </c>
      <c r="C312" t="s">
        <v>405</v>
      </c>
      <c r="D312" t="s">
        <v>412</v>
      </c>
      <c r="E312">
        <v>2025</v>
      </c>
      <c r="F312">
        <v>160</v>
      </c>
      <c r="G312">
        <v>47</v>
      </c>
      <c r="R312">
        <v>3027</v>
      </c>
      <c r="S312" s="2" t="s">
        <v>34</v>
      </c>
      <c r="T312" t="s">
        <v>405</v>
      </c>
      <c r="U312" t="s">
        <v>412</v>
      </c>
      <c r="V312">
        <v>1723</v>
      </c>
      <c r="W312">
        <v>154</v>
      </c>
      <c r="X312">
        <v>47</v>
      </c>
    </row>
    <row r="313" spans="1:24" x14ac:dyDescent="0.25">
      <c r="A313">
        <v>3036</v>
      </c>
      <c r="B313" t="s">
        <v>44</v>
      </c>
      <c r="C313" t="s">
        <v>404</v>
      </c>
      <c r="D313" t="s">
        <v>412</v>
      </c>
      <c r="E313">
        <v>3995</v>
      </c>
      <c r="F313">
        <v>95</v>
      </c>
      <c r="G313">
        <v>85</v>
      </c>
      <c r="R313">
        <v>3036</v>
      </c>
      <c r="S313" t="s">
        <v>44</v>
      </c>
      <c r="T313" t="s">
        <v>404</v>
      </c>
      <c r="U313" t="s">
        <v>412</v>
      </c>
      <c r="V313">
        <v>3578</v>
      </c>
      <c r="W313">
        <v>73</v>
      </c>
      <c r="X313">
        <v>85</v>
      </c>
    </row>
    <row r="314" spans="1:24" x14ac:dyDescent="0.25">
      <c r="A314">
        <v>3044</v>
      </c>
      <c r="B314" s="2" t="s">
        <v>52</v>
      </c>
      <c r="C314" t="s">
        <v>417</v>
      </c>
      <c r="D314" t="s">
        <v>413</v>
      </c>
      <c r="E314">
        <v>5355</v>
      </c>
      <c r="F314">
        <v>78</v>
      </c>
      <c r="G314">
        <v>78</v>
      </c>
      <c r="R314">
        <v>3044</v>
      </c>
      <c r="S314" s="2" t="s">
        <v>52</v>
      </c>
      <c r="T314" t="s">
        <v>417</v>
      </c>
      <c r="U314" t="s">
        <v>413</v>
      </c>
      <c r="V314">
        <v>4866</v>
      </c>
      <c r="W314">
        <v>45</v>
      </c>
      <c r="X314">
        <v>78</v>
      </c>
    </row>
    <row r="315" spans="1:24" x14ac:dyDescent="0.25">
      <c r="A315">
        <v>3052</v>
      </c>
      <c r="B315" s="2" t="s">
        <v>348</v>
      </c>
      <c r="C315" t="s">
        <v>418</v>
      </c>
      <c r="D315" t="s">
        <v>414</v>
      </c>
      <c r="E315">
        <v>7214</v>
      </c>
      <c r="F315">
        <v>26</v>
      </c>
      <c r="G315">
        <v>75</v>
      </c>
      <c r="R315">
        <v>3052</v>
      </c>
      <c r="S315" s="2" t="s">
        <v>348</v>
      </c>
      <c r="T315" t="s">
        <v>418</v>
      </c>
      <c r="U315" t="s">
        <v>414</v>
      </c>
      <c r="V315">
        <v>6200</v>
      </c>
      <c r="W315">
        <v>11</v>
      </c>
      <c r="X315">
        <v>75</v>
      </c>
    </row>
    <row r="316" spans="1:24" x14ac:dyDescent="0.25">
      <c r="A316">
        <v>3053</v>
      </c>
      <c r="B316" s="2" t="s">
        <v>349</v>
      </c>
      <c r="C316" t="s">
        <v>418</v>
      </c>
      <c r="D316" t="s">
        <v>414</v>
      </c>
      <c r="E316">
        <v>7196</v>
      </c>
      <c r="F316">
        <v>26</v>
      </c>
      <c r="G316">
        <v>38</v>
      </c>
      <c r="R316">
        <v>3053</v>
      </c>
      <c r="S316" s="2" t="s">
        <v>349</v>
      </c>
      <c r="T316" t="s">
        <v>418</v>
      </c>
      <c r="U316" t="s">
        <v>414</v>
      </c>
      <c r="V316">
        <v>6200</v>
      </c>
      <c r="W316">
        <v>11</v>
      </c>
      <c r="X316">
        <v>38</v>
      </c>
    </row>
    <row r="317" spans="1:24" x14ac:dyDescent="0.25">
      <c r="A317">
        <v>3070</v>
      </c>
      <c r="B317" s="2" t="s">
        <v>360</v>
      </c>
      <c r="C317" t="s">
        <v>431</v>
      </c>
      <c r="D317" t="s">
        <v>413</v>
      </c>
      <c r="E317">
        <v>4901</v>
      </c>
      <c r="F317">
        <v>66</v>
      </c>
      <c r="G317">
        <v>68</v>
      </c>
      <c r="R317">
        <v>3070</v>
      </c>
      <c r="S317" s="2" t="s">
        <v>360</v>
      </c>
      <c r="T317" t="s">
        <v>431</v>
      </c>
      <c r="U317" t="s">
        <v>413</v>
      </c>
      <c r="V317">
        <v>4254</v>
      </c>
      <c r="W317">
        <v>39</v>
      </c>
      <c r="X317">
        <v>68</v>
      </c>
    </row>
    <row r="318" spans="1:24" x14ac:dyDescent="0.25">
      <c r="A318">
        <v>3071</v>
      </c>
      <c r="B318" s="2" t="s">
        <v>359</v>
      </c>
      <c r="C318" t="s">
        <v>431</v>
      </c>
      <c r="D318" t="s">
        <v>413</v>
      </c>
      <c r="E318">
        <v>4163</v>
      </c>
      <c r="F318">
        <v>67</v>
      </c>
      <c r="G318">
        <v>78</v>
      </c>
      <c r="R318">
        <v>3071</v>
      </c>
      <c r="S318" s="2" t="s">
        <v>359</v>
      </c>
      <c r="T318" t="s">
        <v>431</v>
      </c>
      <c r="U318" t="s">
        <v>413</v>
      </c>
      <c r="V318">
        <v>3589</v>
      </c>
      <c r="W318">
        <v>39</v>
      </c>
      <c r="X318">
        <v>78</v>
      </c>
    </row>
    <row r="319" spans="1:24" x14ac:dyDescent="0.25">
      <c r="A319">
        <v>3072</v>
      </c>
      <c r="B319" s="2" t="s">
        <v>357</v>
      </c>
      <c r="C319" t="s">
        <v>431</v>
      </c>
      <c r="D319" t="s">
        <v>413</v>
      </c>
      <c r="E319">
        <v>4700</v>
      </c>
      <c r="F319">
        <v>80</v>
      </c>
      <c r="G319">
        <v>32</v>
      </c>
      <c r="R319">
        <v>3072</v>
      </c>
      <c r="S319" s="2" t="s">
        <v>357</v>
      </c>
      <c r="T319" t="s">
        <v>431</v>
      </c>
      <c r="U319" t="s">
        <v>413</v>
      </c>
      <c r="V319">
        <v>4085</v>
      </c>
      <c r="W319">
        <v>38</v>
      </c>
      <c r="X319">
        <v>32</v>
      </c>
    </row>
    <row r="320" spans="1:24" x14ac:dyDescent="0.25">
      <c r="A320">
        <v>3074</v>
      </c>
      <c r="B320" s="2" t="s">
        <v>356</v>
      </c>
      <c r="C320" t="s">
        <v>432</v>
      </c>
      <c r="D320" t="s">
        <v>413</v>
      </c>
      <c r="E320">
        <v>7122</v>
      </c>
      <c r="F320">
        <v>57</v>
      </c>
      <c r="G320">
        <v>66</v>
      </c>
      <c r="R320">
        <v>3074</v>
      </c>
      <c r="S320" s="2" t="s">
        <v>356</v>
      </c>
      <c r="T320" t="s">
        <v>432</v>
      </c>
      <c r="U320" t="s">
        <v>413</v>
      </c>
      <c r="V320">
        <v>6326</v>
      </c>
      <c r="W320">
        <v>34</v>
      </c>
      <c r="X320">
        <v>66</v>
      </c>
    </row>
    <row r="321" spans="1:24" x14ac:dyDescent="0.25">
      <c r="A321">
        <v>3075</v>
      </c>
      <c r="B321" s="2" t="s">
        <v>358</v>
      </c>
      <c r="C321" t="s">
        <v>431</v>
      </c>
      <c r="D321" t="s">
        <v>413</v>
      </c>
      <c r="E321">
        <v>5019</v>
      </c>
      <c r="F321">
        <v>73</v>
      </c>
      <c r="G321">
        <v>71</v>
      </c>
      <c r="R321">
        <v>3075</v>
      </c>
      <c r="S321" s="2" t="s">
        <v>358</v>
      </c>
      <c r="T321" t="s">
        <v>431</v>
      </c>
      <c r="U321" t="s">
        <v>413</v>
      </c>
      <c r="V321">
        <v>4360</v>
      </c>
      <c r="W321">
        <v>49</v>
      </c>
      <c r="X321">
        <v>71</v>
      </c>
    </row>
    <row r="322" spans="1:24" x14ac:dyDescent="0.25">
      <c r="A322">
        <v>3082</v>
      </c>
      <c r="B322" s="2" t="s">
        <v>60</v>
      </c>
      <c r="C322" t="s">
        <v>405</v>
      </c>
      <c r="D322" t="s">
        <v>412</v>
      </c>
      <c r="E322">
        <v>1535</v>
      </c>
      <c r="F322">
        <v>244</v>
      </c>
      <c r="G322">
        <v>43</v>
      </c>
      <c r="R322">
        <v>3082</v>
      </c>
      <c r="S322" s="2" t="s">
        <v>60</v>
      </c>
      <c r="T322" t="s">
        <v>405</v>
      </c>
      <c r="U322" t="s">
        <v>412</v>
      </c>
      <c r="V322">
        <v>1307</v>
      </c>
      <c r="W322">
        <v>238</v>
      </c>
      <c r="X322">
        <v>43</v>
      </c>
    </row>
    <row r="323" spans="1:24" x14ac:dyDescent="0.25">
      <c r="A323">
        <v>3083</v>
      </c>
      <c r="B323" s="2" t="s">
        <v>62</v>
      </c>
      <c r="C323" t="s">
        <v>405</v>
      </c>
      <c r="D323" t="s">
        <v>412</v>
      </c>
      <c r="E323">
        <v>1535</v>
      </c>
      <c r="F323">
        <v>244</v>
      </c>
      <c r="G323">
        <v>35</v>
      </c>
      <c r="R323">
        <v>3083</v>
      </c>
      <c r="S323" s="2" t="s">
        <v>62</v>
      </c>
      <c r="T323" t="s">
        <v>405</v>
      </c>
      <c r="U323" t="s">
        <v>412</v>
      </c>
      <c r="V323">
        <v>1307</v>
      </c>
      <c r="W323">
        <v>238</v>
      </c>
      <c r="X323">
        <v>35</v>
      </c>
    </row>
    <row r="324" spans="1:24" x14ac:dyDescent="0.25">
      <c r="A324">
        <v>3088</v>
      </c>
      <c r="B324" s="2" t="s">
        <v>66</v>
      </c>
      <c r="C324" t="s">
        <v>405</v>
      </c>
      <c r="D324" t="s">
        <v>412</v>
      </c>
      <c r="E324">
        <v>1524</v>
      </c>
      <c r="F324">
        <v>245</v>
      </c>
      <c r="G324">
        <v>54</v>
      </c>
      <c r="R324">
        <v>3088</v>
      </c>
      <c r="S324" s="2" t="s">
        <v>66</v>
      </c>
      <c r="T324" t="s">
        <v>405</v>
      </c>
      <c r="U324" t="s">
        <v>412</v>
      </c>
      <c r="V324">
        <v>1298</v>
      </c>
      <c r="W324">
        <v>239</v>
      </c>
      <c r="X324">
        <v>54</v>
      </c>
    </row>
    <row r="325" spans="1:24" x14ac:dyDescent="0.25">
      <c r="A325">
        <v>3089</v>
      </c>
      <c r="B325" s="2" t="s">
        <v>68</v>
      </c>
      <c r="C325" t="s">
        <v>405</v>
      </c>
      <c r="D325" t="s">
        <v>412</v>
      </c>
      <c r="E325">
        <v>1524</v>
      </c>
      <c r="F325">
        <v>240</v>
      </c>
      <c r="G325">
        <v>35</v>
      </c>
      <c r="R325">
        <v>3089</v>
      </c>
      <c r="S325" s="2" t="s">
        <v>68</v>
      </c>
      <c r="T325" t="s">
        <v>405</v>
      </c>
      <c r="U325" t="s">
        <v>412</v>
      </c>
      <c r="V325">
        <v>1298</v>
      </c>
      <c r="W325">
        <v>234</v>
      </c>
      <c r="X325">
        <v>35</v>
      </c>
    </row>
    <row r="326" spans="1:24" x14ac:dyDescent="0.25">
      <c r="A326">
        <v>3090</v>
      </c>
      <c r="B326" s="2" t="s">
        <v>70</v>
      </c>
      <c r="C326" t="s">
        <v>405</v>
      </c>
      <c r="D326" t="s">
        <v>412</v>
      </c>
      <c r="E326">
        <v>1524</v>
      </c>
      <c r="F326">
        <v>255</v>
      </c>
      <c r="G326">
        <v>72</v>
      </c>
      <c r="R326">
        <v>3090</v>
      </c>
      <c r="S326" s="2" t="s">
        <v>70</v>
      </c>
      <c r="T326" t="s">
        <v>405</v>
      </c>
      <c r="U326" t="s">
        <v>412</v>
      </c>
      <c r="V326">
        <v>1298</v>
      </c>
      <c r="W326">
        <v>249</v>
      </c>
      <c r="X326">
        <v>72</v>
      </c>
    </row>
    <row r="327" spans="1:24" x14ac:dyDescent="0.25">
      <c r="A327">
        <v>3091</v>
      </c>
      <c r="B327" s="2" t="s">
        <v>72</v>
      </c>
      <c r="C327" t="s">
        <v>405</v>
      </c>
      <c r="D327" t="s">
        <v>412</v>
      </c>
      <c r="E327">
        <v>1538</v>
      </c>
      <c r="F327">
        <v>249</v>
      </c>
      <c r="G327">
        <v>68</v>
      </c>
      <c r="R327">
        <v>3091</v>
      </c>
      <c r="S327" s="2" t="s">
        <v>72</v>
      </c>
      <c r="T327" t="s">
        <v>405</v>
      </c>
      <c r="U327" t="s">
        <v>412</v>
      </c>
      <c r="V327">
        <v>1309</v>
      </c>
      <c r="W327">
        <v>243</v>
      </c>
      <c r="X327">
        <v>68</v>
      </c>
    </row>
    <row r="328" spans="1:24" x14ac:dyDescent="0.25">
      <c r="A328">
        <v>3092</v>
      </c>
      <c r="B328" t="s">
        <v>74</v>
      </c>
      <c r="C328" t="s">
        <v>405</v>
      </c>
      <c r="D328" t="s">
        <v>412</v>
      </c>
      <c r="E328">
        <v>1567</v>
      </c>
      <c r="F328">
        <v>249</v>
      </c>
      <c r="G328">
        <v>68</v>
      </c>
      <c r="R328">
        <v>3092</v>
      </c>
      <c r="S328" t="s">
        <v>74</v>
      </c>
      <c r="T328" t="s">
        <v>405</v>
      </c>
      <c r="U328" t="s">
        <v>412</v>
      </c>
      <c r="V328">
        <v>1333</v>
      </c>
      <c r="W328">
        <v>243</v>
      </c>
      <c r="X328">
        <v>68</v>
      </c>
    </row>
    <row r="329" spans="1:24" x14ac:dyDescent="0.25">
      <c r="A329">
        <v>3101</v>
      </c>
      <c r="B329" s="2" t="s">
        <v>78</v>
      </c>
      <c r="C329" t="s">
        <v>405</v>
      </c>
      <c r="D329" t="s">
        <v>412</v>
      </c>
      <c r="E329">
        <v>1746</v>
      </c>
      <c r="F329">
        <v>250</v>
      </c>
      <c r="G329">
        <v>65</v>
      </c>
      <c r="R329">
        <v>3101</v>
      </c>
      <c r="S329" s="2" t="s">
        <v>78</v>
      </c>
      <c r="T329" t="s">
        <v>405</v>
      </c>
      <c r="U329" t="s">
        <v>412</v>
      </c>
      <c r="V329">
        <v>1482</v>
      </c>
      <c r="W329">
        <v>244</v>
      </c>
      <c r="X329">
        <v>65</v>
      </c>
    </row>
    <row r="330" spans="1:24" x14ac:dyDescent="0.25">
      <c r="A330">
        <v>3104</v>
      </c>
      <c r="B330" s="2" t="s">
        <v>82</v>
      </c>
      <c r="C330" t="s">
        <v>404</v>
      </c>
      <c r="D330" t="s">
        <v>412</v>
      </c>
      <c r="E330">
        <v>3486</v>
      </c>
      <c r="F330">
        <v>102</v>
      </c>
      <c r="G330">
        <v>44</v>
      </c>
      <c r="R330">
        <v>3104</v>
      </c>
      <c r="S330" s="2" t="s">
        <v>82</v>
      </c>
      <c r="T330" t="s">
        <v>404</v>
      </c>
      <c r="U330" t="s">
        <v>412</v>
      </c>
      <c r="V330">
        <v>3126</v>
      </c>
      <c r="W330">
        <v>77</v>
      </c>
      <c r="X330">
        <v>44</v>
      </c>
    </row>
    <row r="331" spans="1:24" x14ac:dyDescent="0.25">
      <c r="A331">
        <v>3105</v>
      </c>
      <c r="B331" s="2" t="s">
        <v>84</v>
      </c>
      <c r="C331" t="s">
        <v>404</v>
      </c>
      <c r="D331" t="s">
        <v>412</v>
      </c>
      <c r="E331">
        <v>3214</v>
      </c>
      <c r="F331">
        <v>97</v>
      </c>
      <c r="G331">
        <v>54</v>
      </c>
      <c r="R331">
        <v>3105</v>
      </c>
      <c r="S331" s="2" t="s">
        <v>84</v>
      </c>
      <c r="T331" t="s">
        <v>404</v>
      </c>
      <c r="U331" t="s">
        <v>412</v>
      </c>
      <c r="V331">
        <v>2872</v>
      </c>
      <c r="W331">
        <v>73</v>
      </c>
      <c r="X331">
        <v>54</v>
      </c>
    </row>
    <row r="332" spans="1:24" x14ac:dyDescent="0.25">
      <c r="A332">
        <v>3106</v>
      </c>
      <c r="B332" s="2" t="s">
        <v>86</v>
      </c>
      <c r="C332" t="s">
        <v>404</v>
      </c>
      <c r="D332" t="s">
        <v>412</v>
      </c>
      <c r="E332">
        <v>3214</v>
      </c>
      <c r="F332">
        <v>97</v>
      </c>
      <c r="G332">
        <v>74</v>
      </c>
      <c r="R332">
        <v>3106</v>
      </c>
      <c r="S332" s="2" t="s">
        <v>86</v>
      </c>
      <c r="T332" t="s">
        <v>404</v>
      </c>
      <c r="U332" t="s">
        <v>412</v>
      </c>
      <c r="V332">
        <v>2872</v>
      </c>
      <c r="W332">
        <v>73</v>
      </c>
      <c r="X332">
        <v>74</v>
      </c>
    </row>
    <row r="333" spans="1:24" x14ac:dyDescent="0.25">
      <c r="A333" s="49">
        <v>3119</v>
      </c>
      <c r="B333" s="2" t="s">
        <v>544</v>
      </c>
      <c r="C333" s="2" t="s">
        <v>417</v>
      </c>
      <c r="D333" s="2" t="s">
        <v>412</v>
      </c>
      <c r="E333">
        <v>3841</v>
      </c>
      <c r="F333">
        <v>82</v>
      </c>
      <c r="G333">
        <v>62</v>
      </c>
      <c r="R333">
        <v>3119</v>
      </c>
      <c r="S333" s="2" t="s">
        <v>544</v>
      </c>
      <c r="T333" s="2" t="s">
        <v>417</v>
      </c>
      <c r="U333" s="2" t="s">
        <v>412</v>
      </c>
      <c r="V333">
        <v>3417</v>
      </c>
      <c r="W333">
        <v>37</v>
      </c>
      <c r="X333">
        <v>62</v>
      </c>
    </row>
    <row r="334" spans="1:24" x14ac:dyDescent="0.25">
      <c r="A334">
        <v>3122</v>
      </c>
      <c r="B334" s="2" t="s">
        <v>97</v>
      </c>
      <c r="C334" t="s">
        <v>417</v>
      </c>
      <c r="D334" t="s">
        <v>412</v>
      </c>
      <c r="E334">
        <v>3754</v>
      </c>
      <c r="F334">
        <v>65</v>
      </c>
      <c r="G334">
        <v>72</v>
      </c>
      <c r="R334">
        <v>3122</v>
      </c>
      <c r="S334" s="2" t="s">
        <v>97</v>
      </c>
      <c r="T334" t="s">
        <v>417</v>
      </c>
      <c r="U334" t="s">
        <v>412</v>
      </c>
      <c r="V334">
        <v>3354</v>
      </c>
      <c r="W334">
        <v>21</v>
      </c>
      <c r="X334">
        <v>72</v>
      </c>
    </row>
    <row r="335" spans="1:24" x14ac:dyDescent="0.25">
      <c r="A335">
        <v>3125</v>
      </c>
      <c r="B335" s="2" t="s">
        <v>101</v>
      </c>
      <c r="C335" t="s">
        <v>417</v>
      </c>
      <c r="D335" t="s">
        <v>413</v>
      </c>
      <c r="E335">
        <v>3916</v>
      </c>
      <c r="F335">
        <v>92</v>
      </c>
      <c r="G335">
        <v>15</v>
      </c>
      <c r="R335">
        <v>3125</v>
      </c>
      <c r="S335" s="2" t="s">
        <v>101</v>
      </c>
      <c r="T335" t="s">
        <v>417</v>
      </c>
      <c r="U335" t="s">
        <v>413</v>
      </c>
      <c r="V335">
        <v>3493</v>
      </c>
      <c r="W335">
        <v>43</v>
      </c>
      <c r="X335">
        <v>15</v>
      </c>
    </row>
    <row r="336" spans="1:24" x14ac:dyDescent="0.25">
      <c r="A336">
        <v>3126</v>
      </c>
      <c r="B336" s="2" t="s">
        <v>103</v>
      </c>
      <c r="C336" t="s">
        <v>417</v>
      </c>
      <c r="D336" t="s">
        <v>413</v>
      </c>
      <c r="E336">
        <v>3945</v>
      </c>
      <c r="F336">
        <v>72</v>
      </c>
      <c r="G336">
        <v>49</v>
      </c>
      <c r="R336">
        <v>3126</v>
      </c>
      <c r="S336" s="2" t="s">
        <v>103</v>
      </c>
      <c r="T336" t="s">
        <v>417</v>
      </c>
      <c r="U336" t="s">
        <v>413</v>
      </c>
      <c r="V336">
        <v>3519</v>
      </c>
      <c r="W336">
        <v>23</v>
      </c>
      <c r="X336">
        <v>49</v>
      </c>
    </row>
    <row r="337" spans="1:24" x14ac:dyDescent="0.25">
      <c r="A337">
        <v>3131</v>
      </c>
      <c r="B337" s="2" t="s">
        <v>350</v>
      </c>
      <c r="C337" t="s">
        <v>418</v>
      </c>
      <c r="D337" t="s">
        <v>414</v>
      </c>
      <c r="E337">
        <v>8023</v>
      </c>
      <c r="F337">
        <v>33</v>
      </c>
      <c r="G337">
        <v>90</v>
      </c>
      <c r="R337">
        <v>3131</v>
      </c>
      <c r="S337" s="2" t="s">
        <v>350</v>
      </c>
      <c r="T337" t="s">
        <v>418</v>
      </c>
      <c r="U337" t="s">
        <v>414</v>
      </c>
      <c r="V337">
        <v>6950</v>
      </c>
      <c r="W337">
        <v>15</v>
      </c>
      <c r="X337">
        <v>90</v>
      </c>
    </row>
    <row r="338" spans="1:24" x14ac:dyDescent="0.25">
      <c r="A338">
        <v>3140</v>
      </c>
      <c r="B338" s="2" t="s">
        <v>485</v>
      </c>
      <c r="C338" t="s">
        <v>431</v>
      </c>
      <c r="D338" s="2" t="s">
        <v>413</v>
      </c>
      <c r="E338">
        <v>4367</v>
      </c>
      <c r="F338">
        <v>66</v>
      </c>
      <c r="G338">
        <v>41</v>
      </c>
      <c r="R338">
        <v>3140</v>
      </c>
      <c r="S338" s="2" t="s">
        <v>485</v>
      </c>
      <c r="T338" s="2" t="s">
        <v>431</v>
      </c>
      <c r="U338" s="2" t="s">
        <v>413</v>
      </c>
      <c r="X338">
        <v>41</v>
      </c>
    </row>
    <row r="339" spans="1:24" x14ac:dyDescent="0.25">
      <c r="A339">
        <v>3155</v>
      </c>
      <c r="B339" s="2" t="s">
        <v>108</v>
      </c>
      <c r="C339" t="s">
        <v>405</v>
      </c>
      <c r="D339" t="s">
        <v>412</v>
      </c>
      <c r="E339">
        <v>1963</v>
      </c>
      <c r="F339">
        <v>214</v>
      </c>
      <c r="G339">
        <v>36</v>
      </c>
      <c r="R339">
        <v>3155</v>
      </c>
      <c r="S339" s="2" t="s">
        <v>108</v>
      </c>
      <c r="T339" t="s">
        <v>405</v>
      </c>
      <c r="U339" t="s">
        <v>412</v>
      </c>
      <c r="V339">
        <v>1663</v>
      </c>
      <c r="W339">
        <v>208</v>
      </c>
      <c r="X339">
        <v>36</v>
      </c>
    </row>
    <row r="340" spans="1:24" x14ac:dyDescent="0.25">
      <c r="A340">
        <v>3167</v>
      </c>
      <c r="B340" s="2" t="s">
        <v>117</v>
      </c>
      <c r="C340" t="s">
        <v>405</v>
      </c>
      <c r="D340" t="s">
        <v>412</v>
      </c>
      <c r="E340">
        <v>2050</v>
      </c>
      <c r="F340">
        <v>192</v>
      </c>
      <c r="G340">
        <v>25</v>
      </c>
      <c r="R340">
        <v>3167</v>
      </c>
      <c r="S340" s="2" t="s">
        <v>117</v>
      </c>
      <c r="T340" t="s">
        <v>405</v>
      </c>
      <c r="U340" t="s">
        <v>412</v>
      </c>
      <c r="V340">
        <v>1736</v>
      </c>
      <c r="W340">
        <v>186</v>
      </c>
      <c r="X340">
        <v>25</v>
      </c>
    </row>
    <row r="341" spans="1:24" x14ac:dyDescent="0.25">
      <c r="A341">
        <v>3168</v>
      </c>
      <c r="B341" t="s">
        <v>119</v>
      </c>
      <c r="C341" t="s">
        <v>405</v>
      </c>
      <c r="D341" t="s">
        <v>412</v>
      </c>
      <c r="E341">
        <v>1908</v>
      </c>
      <c r="F341">
        <v>212</v>
      </c>
      <c r="G341">
        <v>25</v>
      </c>
      <c r="R341">
        <v>3168</v>
      </c>
      <c r="S341" t="s">
        <v>119</v>
      </c>
      <c r="T341" t="s">
        <v>405</v>
      </c>
      <c r="U341" t="s">
        <v>412</v>
      </c>
      <c r="V341">
        <v>1600</v>
      </c>
      <c r="W341">
        <v>206</v>
      </c>
      <c r="X341">
        <v>25</v>
      </c>
    </row>
    <row r="342" spans="1:24" x14ac:dyDescent="0.25">
      <c r="A342">
        <v>3179</v>
      </c>
      <c r="B342" s="2" t="s">
        <v>454</v>
      </c>
      <c r="C342" s="2" t="s">
        <v>404</v>
      </c>
      <c r="D342" t="s">
        <v>412</v>
      </c>
      <c r="E342">
        <v>2342</v>
      </c>
      <c r="F342">
        <v>105</v>
      </c>
      <c r="G342">
        <v>53</v>
      </c>
      <c r="R342">
        <v>3179</v>
      </c>
      <c r="S342" s="2" t="s">
        <v>454</v>
      </c>
      <c r="T342" s="2" t="s">
        <v>404</v>
      </c>
      <c r="U342" s="2" t="s">
        <v>412</v>
      </c>
      <c r="V342">
        <v>2177</v>
      </c>
      <c r="W342">
        <v>105</v>
      </c>
      <c r="X342">
        <v>53</v>
      </c>
    </row>
    <row r="343" spans="1:24" x14ac:dyDescent="0.25">
      <c r="A343">
        <v>3187</v>
      </c>
      <c r="B343" t="s">
        <v>294</v>
      </c>
      <c r="C343" t="s">
        <v>405</v>
      </c>
      <c r="D343" t="s">
        <v>412</v>
      </c>
      <c r="E343">
        <v>3131</v>
      </c>
      <c r="F343">
        <v>105</v>
      </c>
      <c r="G343">
        <v>43</v>
      </c>
      <c r="R343">
        <v>3187</v>
      </c>
      <c r="S343" t="s">
        <v>294</v>
      </c>
      <c r="T343" t="s">
        <v>405</v>
      </c>
      <c r="U343" t="s">
        <v>412</v>
      </c>
      <c r="V343">
        <v>2787</v>
      </c>
      <c r="W343">
        <v>80</v>
      </c>
      <c r="X343">
        <v>43</v>
      </c>
    </row>
    <row r="344" spans="1:24" x14ac:dyDescent="0.25">
      <c r="A344">
        <v>3188</v>
      </c>
      <c r="B344" s="2" t="s">
        <v>131</v>
      </c>
      <c r="C344" t="s">
        <v>417</v>
      </c>
      <c r="D344" t="s">
        <v>413</v>
      </c>
      <c r="E344">
        <v>4623</v>
      </c>
      <c r="F344">
        <v>80</v>
      </c>
      <c r="G344">
        <v>14</v>
      </c>
      <c r="R344">
        <v>3188</v>
      </c>
      <c r="S344" s="2" t="s">
        <v>131</v>
      </c>
      <c r="T344" t="s">
        <v>417</v>
      </c>
      <c r="U344" t="s">
        <v>413</v>
      </c>
      <c r="V344">
        <v>4141</v>
      </c>
      <c r="W344">
        <v>34</v>
      </c>
      <c r="X344">
        <v>14</v>
      </c>
    </row>
    <row r="345" spans="1:24" x14ac:dyDescent="0.25">
      <c r="A345">
        <v>3190</v>
      </c>
      <c r="B345" s="2" t="s">
        <v>134</v>
      </c>
      <c r="C345" t="s">
        <v>417</v>
      </c>
      <c r="D345" t="s">
        <v>413</v>
      </c>
      <c r="E345">
        <v>3719</v>
      </c>
      <c r="F345">
        <v>75</v>
      </c>
      <c r="G345">
        <v>34</v>
      </c>
      <c r="R345">
        <v>3190</v>
      </c>
      <c r="S345" s="2" t="s">
        <v>134</v>
      </c>
      <c r="T345" t="s">
        <v>417</v>
      </c>
      <c r="U345" t="s">
        <v>413</v>
      </c>
      <c r="V345">
        <v>3323</v>
      </c>
      <c r="W345">
        <v>33</v>
      </c>
      <c r="X345">
        <v>34</v>
      </c>
    </row>
    <row r="346" spans="1:24" x14ac:dyDescent="0.25">
      <c r="A346">
        <v>3191</v>
      </c>
      <c r="B346" s="2" t="s">
        <v>136</v>
      </c>
      <c r="C346" t="s">
        <v>417</v>
      </c>
      <c r="D346" t="s">
        <v>413</v>
      </c>
      <c r="E346">
        <v>3719</v>
      </c>
      <c r="F346">
        <v>75</v>
      </c>
      <c r="G346">
        <v>34</v>
      </c>
      <c r="R346">
        <v>3191</v>
      </c>
      <c r="S346" s="2" t="s">
        <v>136</v>
      </c>
      <c r="T346" t="s">
        <v>417</v>
      </c>
      <c r="U346" t="s">
        <v>413</v>
      </c>
      <c r="V346">
        <v>3323</v>
      </c>
      <c r="W346">
        <v>33</v>
      </c>
      <c r="X346">
        <v>34</v>
      </c>
    </row>
    <row r="347" spans="1:24" x14ac:dyDescent="0.25">
      <c r="A347">
        <v>3208</v>
      </c>
      <c r="B347" s="2" t="s">
        <v>351</v>
      </c>
      <c r="C347" t="s">
        <v>418</v>
      </c>
      <c r="D347" t="s">
        <v>414</v>
      </c>
      <c r="E347">
        <v>7266</v>
      </c>
      <c r="F347">
        <v>31</v>
      </c>
      <c r="G347">
        <v>13</v>
      </c>
      <c r="R347">
        <v>3208</v>
      </c>
      <c r="S347" s="2" t="s">
        <v>351</v>
      </c>
      <c r="T347" t="s">
        <v>418</v>
      </c>
      <c r="U347" t="s">
        <v>414</v>
      </c>
      <c r="V347">
        <v>6261</v>
      </c>
      <c r="W347">
        <v>13</v>
      </c>
      <c r="X347">
        <v>13</v>
      </c>
    </row>
    <row r="348" spans="1:24" x14ac:dyDescent="0.25">
      <c r="A348">
        <v>3209</v>
      </c>
      <c r="B348" t="s">
        <v>315</v>
      </c>
      <c r="C348" t="s">
        <v>418</v>
      </c>
      <c r="D348" t="s">
        <v>414</v>
      </c>
      <c r="E348">
        <v>7657</v>
      </c>
      <c r="F348">
        <v>31</v>
      </c>
      <c r="G348">
        <v>14</v>
      </c>
      <c r="R348">
        <v>3209</v>
      </c>
      <c r="S348" t="s">
        <v>315</v>
      </c>
      <c r="T348" t="s">
        <v>418</v>
      </c>
      <c r="U348" t="s">
        <v>414</v>
      </c>
      <c r="V348">
        <v>6596</v>
      </c>
      <c r="W348">
        <v>13</v>
      </c>
      <c r="X348">
        <v>14</v>
      </c>
    </row>
    <row r="349" spans="1:24" x14ac:dyDescent="0.25">
      <c r="A349">
        <v>3210</v>
      </c>
      <c r="B349" t="s">
        <v>320</v>
      </c>
      <c r="C349" t="s">
        <v>418</v>
      </c>
      <c r="D349" t="s">
        <v>414</v>
      </c>
      <c r="E349">
        <v>7243</v>
      </c>
      <c r="F349">
        <v>31</v>
      </c>
      <c r="G349">
        <v>60</v>
      </c>
      <c r="R349">
        <v>3210</v>
      </c>
      <c r="S349" t="s">
        <v>320</v>
      </c>
      <c r="T349" t="s">
        <v>418</v>
      </c>
      <c r="U349" t="s">
        <v>414</v>
      </c>
      <c r="V349">
        <v>6205</v>
      </c>
      <c r="W349">
        <v>13</v>
      </c>
      <c r="X349">
        <v>60</v>
      </c>
    </row>
    <row r="350" spans="1:24" x14ac:dyDescent="0.25">
      <c r="A350">
        <v>3211</v>
      </c>
      <c r="B350" s="2" t="s">
        <v>355</v>
      </c>
      <c r="C350" t="s">
        <v>418</v>
      </c>
      <c r="D350" t="s">
        <v>414</v>
      </c>
      <c r="E350">
        <v>7243</v>
      </c>
      <c r="F350">
        <v>31</v>
      </c>
      <c r="G350">
        <v>60</v>
      </c>
      <c r="R350">
        <v>3211</v>
      </c>
      <c r="S350" s="2" t="s">
        <v>355</v>
      </c>
      <c r="T350" t="s">
        <v>418</v>
      </c>
      <c r="U350" t="s">
        <v>414</v>
      </c>
      <c r="V350">
        <v>6205</v>
      </c>
      <c r="W350">
        <v>13</v>
      </c>
      <c r="X350">
        <v>60</v>
      </c>
    </row>
    <row r="351" spans="1:24" x14ac:dyDescent="0.25">
      <c r="A351">
        <v>3222</v>
      </c>
      <c r="B351" s="2" t="s">
        <v>354</v>
      </c>
      <c r="C351" t="s">
        <v>431</v>
      </c>
      <c r="D351" t="s">
        <v>413</v>
      </c>
      <c r="E351">
        <v>4523</v>
      </c>
      <c r="F351">
        <v>70</v>
      </c>
      <c r="G351">
        <v>24</v>
      </c>
      <c r="R351">
        <v>3222</v>
      </c>
      <c r="S351" s="2" t="s">
        <v>354</v>
      </c>
      <c r="T351" t="s">
        <v>431</v>
      </c>
      <c r="U351" t="s">
        <v>413</v>
      </c>
      <c r="V351">
        <v>3932</v>
      </c>
      <c r="W351">
        <v>50</v>
      </c>
      <c r="X351">
        <v>24</v>
      </c>
    </row>
    <row r="352" spans="1:24" x14ac:dyDescent="0.25">
      <c r="A352">
        <v>3226</v>
      </c>
      <c r="B352" s="2" t="s">
        <v>352</v>
      </c>
      <c r="C352" t="s">
        <v>432</v>
      </c>
      <c r="D352" t="s">
        <v>413</v>
      </c>
      <c r="E352">
        <v>5456</v>
      </c>
      <c r="F352">
        <v>66</v>
      </c>
      <c r="G352">
        <v>36</v>
      </c>
      <c r="R352">
        <v>3226</v>
      </c>
      <c r="S352" s="2" t="s">
        <v>352</v>
      </c>
      <c r="T352" t="s">
        <v>432</v>
      </c>
      <c r="U352" t="s">
        <v>413</v>
      </c>
      <c r="V352">
        <v>5246</v>
      </c>
      <c r="W352">
        <v>56</v>
      </c>
      <c r="X352">
        <v>36</v>
      </c>
    </row>
    <row r="353" spans="1:27" x14ac:dyDescent="0.25">
      <c r="A353">
        <v>3227</v>
      </c>
      <c r="B353" s="2" t="s">
        <v>353</v>
      </c>
      <c r="C353" t="s">
        <v>432</v>
      </c>
      <c r="D353" t="s">
        <v>413</v>
      </c>
      <c r="E353">
        <v>5678</v>
      </c>
      <c r="F353">
        <v>66</v>
      </c>
      <c r="G353">
        <v>36</v>
      </c>
      <c r="R353">
        <v>3227</v>
      </c>
      <c r="S353" s="2" t="s">
        <v>353</v>
      </c>
      <c r="T353" t="s">
        <v>432</v>
      </c>
      <c r="U353" t="s">
        <v>413</v>
      </c>
      <c r="V353">
        <v>5468</v>
      </c>
      <c r="W353">
        <v>56</v>
      </c>
      <c r="X353">
        <v>36</v>
      </c>
    </row>
    <row r="354" spans="1:27" x14ac:dyDescent="0.25">
      <c r="A354">
        <v>3233</v>
      </c>
      <c r="B354" s="2" t="s">
        <v>506</v>
      </c>
      <c r="C354" t="s">
        <v>405</v>
      </c>
      <c r="D354" t="s">
        <v>412</v>
      </c>
      <c r="E354">
        <v>2218</v>
      </c>
      <c r="F354">
        <v>153</v>
      </c>
      <c r="G354">
        <v>40</v>
      </c>
      <c r="R354">
        <v>3233</v>
      </c>
      <c r="S354" s="2" t="s">
        <v>506</v>
      </c>
      <c r="T354" t="s">
        <v>405</v>
      </c>
      <c r="U354" t="s">
        <v>412</v>
      </c>
      <c r="V354">
        <v>1890</v>
      </c>
      <c r="W354">
        <v>148</v>
      </c>
      <c r="X354">
        <v>40</v>
      </c>
    </row>
    <row r="355" spans="1:27" x14ac:dyDescent="0.25">
      <c r="A355">
        <v>3236</v>
      </c>
      <c r="B355" s="2" t="s">
        <v>148</v>
      </c>
      <c r="C355" t="s">
        <v>405</v>
      </c>
      <c r="D355" t="s">
        <v>412</v>
      </c>
      <c r="E355">
        <v>2290</v>
      </c>
      <c r="F355">
        <v>162</v>
      </c>
      <c r="G355">
        <v>65</v>
      </c>
      <c r="R355">
        <v>3236</v>
      </c>
      <c r="S355" s="2" t="s">
        <v>148</v>
      </c>
      <c r="T355" t="s">
        <v>405</v>
      </c>
      <c r="U355" t="s">
        <v>412</v>
      </c>
      <c r="V355">
        <v>1951</v>
      </c>
      <c r="W355">
        <v>157</v>
      </c>
      <c r="X355">
        <v>65</v>
      </c>
    </row>
    <row r="356" spans="1:27" x14ac:dyDescent="0.25">
      <c r="A356">
        <v>3239</v>
      </c>
      <c r="B356" s="2" t="s">
        <v>152</v>
      </c>
      <c r="C356" t="s">
        <v>404</v>
      </c>
      <c r="D356" t="s">
        <v>412</v>
      </c>
      <c r="E356">
        <v>3612</v>
      </c>
      <c r="F356">
        <v>100</v>
      </c>
      <c r="G356">
        <v>39</v>
      </c>
      <c r="R356">
        <v>3239</v>
      </c>
      <c r="S356" s="2" t="s">
        <v>152</v>
      </c>
      <c r="T356" t="s">
        <v>404</v>
      </c>
      <c r="U356" t="s">
        <v>412</v>
      </c>
      <c r="V356">
        <v>3229</v>
      </c>
      <c r="W356">
        <v>76</v>
      </c>
      <c r="X356">
        <v>39</v>
      </c>
    </row>
    <row r="357" spans="1:27" x14ac:dyDescent="0.25">
      <c r="A357">
        <v>3240</v>
      </c>
      <c r="B357" s="2" t="s">
        <v>495</v>
      </c>
      <c r="C357" t="s">
        <v>404</v>
      </c>
      <c r="D357" t="s">
        <v>412</v>
      </c>
      <c r="E357">
        <v>3612</v>
      </c>
      <c r="F357">
        <v>100</v>
      </c>
      <c r="G357">
        <v>62</v>
      </c>
      <c r="R357">
        <v>3240</v>
      </c>
      <c r="S357" s="2" t="s">
        <v>495</v>
      </c>
      <c r="T357" t="s">
        <v>404</v>
      </c>
      <c r="U357" t="s">
        <v>412</v>
      </c>
      <c r="V357">
        <v>3229</v>
      </c>
      <c r="W357">
        <v>76</v>
      </c>
      <c r="X357">
        <v>62</v>
      </c>
    </row>
    <row r="358" spans="1:27" x14ac:dyDescent="0.25">
      <c r="A358">
        <v>3241</v>
      </c>
      <c r="B358" s="2" t="s">
        <v>507</v>
      </c>
      <c r="C358" t="s">
        <v>404</v>
      </c>
      <c r="D358" t="s">
        <v>412</v>
      </c>
      <c r="E358">
        <v>3734</v>
      </c>
      <c r="F358">
        <v>102</v>
      </c>
      <c r="G358">
        <v>67</v>
      </c>
      <c r="R358">
        <v>3241</v>
      </c>
      <c r="S358" s="2" t="s">
        <v>507</v>
      </c>
      <c r="T358" t="s">
        <v>404</v>
      </c>
      <c r="U358" t="s">
        <v>412</v>
      </c>
      <c r="V358">
        <v>3346</v>
      </c>
      <c r="W358">
        <v>76</v>
      </c>
      <c r="X358">
        <v>67</v>
      </c>
    </row>
    <row r="359" spans="1:27" x14ac:dyDescent="0.25">
      <c r="A359">
        <v>3258</v>
      </c>
      <c r="B359" s="2" t="s">
        <v>165</v>
      </c>
      <c r="C359" t="s">
        <v>404</v>
      </c>
      <c r="D359" t="s">
        <v>412</v>
      </c>
      <c r="E359">
        <v>2192</v>
      </c>
      <c r="F359">
        <v>110</v>
      </c>
      <c r="G359">
        <v>51</v>
      </c>
      <c r="R359">
        <v>3258</v>
      </c>
      <c r="S359" s="2" t="s">
        <v>165</v>
      </c>
      <c r="T359" t="s">
        <v>404</v>
      </c>
      <c r="U359" t="s">
        <v>412</v>
      </c>
      <c r="V359">
        <v>1996</v>
      </c>
      <c r="W359">
        <v>102</v>
      </c>
      <c r="X359">
        <v>51</v>
      </c>
    </row>
    <row r="360" spans="1:27" x14ac:dyDescent="0.25">
      <c r="A360">
        <v>3259</v>
      </c>
      <c r="B360" s="2" t="s">
        <v>167</v>
      </c>
      <c r="C360" t="s">
        <v>404</v>
      </c>
      <c r="D360" t="s">
        <v>412</v>
      </c>
      <c r="E360">
        <v>2160</v>
      </c>
      <c r="F360">
        <v>107</v>
      </c>
      <c r="G360">
        <v>47</v>
      </c>
      <c r="R360">
        <v>3259</v>
      </c>
      <c r="S360" s="2" t="s">
        <v>167</v>
      </c>
      <c r="T360" t="s">
        <v>404</v>
      </c>
      <c r="U360" t="s">
        <v>412</v>
      </c>
      <c r="V360">
        <v>1967</v>
      </c>
      <c r="W360">
        <v>99</v>
      </c>
      <c r="X360">
        <v>47</v>
      </c>
    </row>
    <row r="361" spans="1:27" x14ac:dyDescent="0.25">
      <c r="A361">
        <v>3263</v>
      </c>
      <c r="B361" s="2" t="s">
        <v>170</v>
      </c>
      <c r="C361" t="s">
        <v>405</v>
      </c>
      <c r="D361" t="s">
        <v>412</v>
      </c>
      <c r="E361">
        <v>2036</v>
      </c>
      <c r="F361">
        <v>162</v>
      </c>
      <c r="G361">
        <v>70</v>
      </c>
      <c r="R361">
        <v>3263</v>
      </c>
      <c r="S361" s="2" t="s">
        <v>170</v>
      </c>
      <c r="T361" t="s">
        <v>405</v>
      </c>
      <c r="U361" t="s">
        <v>412</v>
      </c>
      <c r="V361">
        <v>1731</v>
      </c>
      <c r="W361">
        <v>156</v>
      </c>
      <c r="X361">
        <v>70</v>
      </c>
    </row>
    <row r="362" spans="1:27" x14ac:dyDescent="0.25">
      <c r="A362">
        <v>3269</v>
      </c>
      <c r="B362" s="2" t="s">
        <v>176</v>
      </c>
      <c r="C362" t="s">
        <v>405</v>
      </c>
      <c r="D362" t="s">
        <v>412</v>
      </c>
      <c r="E362">
        <v>1726</v>
      </c>
      <c r="F362">
        <v>193</v>
      </c>
      <c r="G362">
        <v>86</v>
      </c>
      <c r="R362">
        <v>3269</v>
      </c>
      <c r="S362" s="2" t="s">
        <v>176</v>
      </c>
      <c r="T362" t="s">
        <v>405</v>
      </c>
      <c r="U362" t="s">
        <v>412</v>
      </c>
      <c r="V362">
        <v>1466</v>
      </c>
      <c r="W362">
        <v>187</v>
      </c>
      <c r="X362">
        <v>86</v>
      </c>
    </row>
    <row r="363" spans="1:27" x14ac:dyDescent="0.25">
      <c r="A363">
        <v>3270</v>
      </c>
      <c r="B363" s="2" t="s">
        <v>178</v>
      </c>
      <c r="C363" t="s">
        <v>405</v>
      </c>
      <c r="D363" t="s">
        <v>412</v>
      </c>
      <c r="E363">
        <v>1726</v>
      </c>
      <c r="F363">
        <v>190</v>
      </c>
      <c r="G363">
        <v>45</v>
      </c>
      <c r="J363">
        <v>0.18</v>
      </c>
      <c r="R363">
        <v>3270</v>
      </c>
      <c r="S363" s="2" t="s">
        <v>178</v>
      </c>
      <c r="T363" t="s">
        <v>405</v>
      </c>
      <c r="U363" t="s">
        <v>412</v>
      </c>
      <c r="V363">
        <v>1466</v>
      </c>
      <c r="W363">
        <v>184</v>
      </c>
      <c r="X363">
        <v>45</v>
      </c>
      <c r="AA363">
        <v>0.18</v>
      </c>
    </row>
    <row r="364" spans="1:27" x14ac:dyDescent="0.25">
      <c r="A364">
        <v>3271</v>
      </c>
      <c r="B364" s="2" t="s">
        <v>180</v>
      </c>
      <c r="C364" t="s">
        <v>405</v>
      </c>
      <c r="D364" t="s">
        <v>412</v>
      </c>
      <c r="E364">
        <v>1652</v>
      </c>
      <c r="F364">
        <v>193</v>
      </c>
      <c r="G364">
        <v>35</v>
      </c>
      <c r="R364">
        <v>3271</v>
      </c>
      <c r="S364" s="2" t="s">
        <v>180</v>
      </c>
      <c r="T364" t="s">
        <v>405</v>
      </c>
      <c r="U364" t="s">
        <v>412</v>
      </c>
      <c r="V364">
        <v>1404</v>
      </c>
      <c r="W364">
        <v>187</v>
      </c>
      <c r="X364">
        <v>35</v>
      </c>
    </row>
    <row r="365" spans="1:27" x14ac:dyDescent="0.25">
      <c r="A365">
        <v>3301</v>
      </c>
      <c r="B365" s="2" t="s">
        <v>194</v>
      </c>
      <c r="C365" t="s">
        <v>405</v>
      </c>
      <c r="D365" t="s">
        <v>412</v>
      </c>
      <c r="E365">
        <v>2280</v>
      </c>
      <c r="F365">
        <v>160</v>
      </c>
      <c r="G365">
        <v>80</v>
      </c>
      <c r="R365">
        <v>3301</v>
      </c>
      <c r="S365" s="2" t="s">
        <v>194</v>
      </c>
      <c r="T365" t="s">
        <v>405</v>
      </c>
      <c r="U365" t="s">
        <v>412</v>
      </c>
      <c r="V365">
        <v>1927</v>
      </c>
      <c r="W365">
        <v>154</v>
      </c>
      <c r="X365">
        <v>80</v>
      </c>
    </row>
    <row r="366" spans="1:27" x14ac:dyDescent="0.25">
      <c r="A366">
        <v>3308</v>
      </c>
      <c r="B366" s="2" t="s">
        <v>201</v>
      </c>
      <c r="C366" t="s">
        <v>404</v>
      </c>
      <c r="D366" t="s">
        <v>412</v>
      </c>
      <c r="E366">
        <v>2780</v>
      </c>
      <c r="F366">
        <v>108</v>
      </c>
      <c r="G366">
        <v>42</v>
      </c>
      <c r="R366">
        <v>3308</v>
      </c>
      <c r="S366" s="2" t="s">
        <v>201</v>
      </c>
      <c r="T366" t="s">
        <v>404</v>
      </c>
      <c r="U366" t="s">
        <v>412</v>
      </c>
      <c r="V366">
        <v>2483</v>
      </c>
      <c r="W366">
        <v>75</v>
      </c>
      <c r="X366">
        <v>42</v>
      </c>
    </row>
    <row r="367" spans="1:27" x14ac:dyDescent="0.25">
      <c r="A367">
        <v>3309</v>
      </c>
      <c r="B367" s="2" t="s">
        <v>203</v>
      </c>
      <c r="C367" t="s">
        <v>404</v>
      </c>
      <c r="D367" t="s">
        <v>412</v>
      </c>
      <c r="E367">
        <v>2855</v>
      </c>
      <c r="F367">
        <v>108</v>
      </c>
      <c r="G367">
        <v>38</v>
      </c>
      <c r="J367">
        <v>0.2</v>
      </c>
      <c r="R367">
        <v>3309</v>
      </c>
      <c r="S367" s="2" t="s">
        <v>203</v>
      </c>
      <c r="T367" t="s">
        <v>404</v>
      </c>
      <c r="U367" t="s">
        <v>412</v>
      </c>
      <c r="V367">
        <v>2550</v>
      </c>
      <c r="W367">
        <v>75</v>
      </c>
      <c r="X367">
        <v>38</v>
      </c>
      <c r="AA367">
        <v>0.2</v>
      </c>
    </row>
    <row r="368" spans="1:27" x14ac:dyDescent="0.25">
      <c r="A368">
        <v>3318</v>
      </c>
      <c r="B368" s="2" t="s">
        <v>208</v>
      </c>
      <c r="C368" t="s">
        <v>405</v>
      </c>
      <c r="D368" t="s">
        <v>412</v>
      </c>
      <c r="E368">
        <v>2143</v>
      </c>
      <c r="F368">
        <v>211</v>
      </c>
      <c r="G368">
        <v>58</v>
      </c>
      <c r="J368">
        <v>0.18</v>
      </c>
      <c r="R368">
        <v>3318</v>
      </c>
      <c r="S368" s="2" t="s">
        <v>208</v>
      </c>
      <c r="T368" t="s">
        <v>405</v>
      </c>
      <c r="U368" t="s">
        <v>412</v>
      </c>
      <c r="V368">
        <v>1796</v>
      </c>
      <c r="W368">
        <v>205</v>
      </c>
      <c r="X368">
        <v>58</v>
      </c>
      <c r="AA368">
        <v>0.18</v>
      </c>
    </row>
    <row r="369" spans="1:27" x14ac:dyDescent="0.25">
      <c r="A369">
        <v>3319</v>
      </c>
      <c r="B369" s="2" t="s">
        <v>210</v>
      </c>
      <c r="C369" t="s">
        <v>405</v>
      </c>
      <c r="D369" t="s">
        <v>412</v>
      </c>
      <c r="E369">
        <v>2143</v>
      </c>
      <c r="F369">
        <v>211</v>
      </c>
      <c r="G369">
        <v>52</v>
      </c>
      <c r="R369">
        <v>3319</v>
      </c>
      <c r="S369" s="2" t="s">
        <v>210</v>
      </c>
      <c r="T369" t="s">
        <v>405</v>
      </c>
      <c r="U369" t="s">
        <v>412</v>
      </c>
      <c r="V369">
        <v>1796</v>
      </c>
      <c r="W369">
        <v>205</v>
      </c>
      <c r="X369">
        <v>52</v>
      </c>
    </row>
    <row r="370" spans="1:27" x14ac:dyDescent="0.25">
      <c r="A370">
        <v>3348</v>
      </c>
      <c r="B370" s="2" t="s">
        <v>228</v>
      </c>
      <c r="C370" t="s">
        <v>405</v>
      </c>
      <c r="D370" t="s">
        <v>412</v>
      </c>
      <c r="E370">
        <v>1436</v>
      </c>
      <c r="F370">
        <v>200</v>
      </c>
      <c r="G370">
        <v>69</v>
      </c>
      <c r="J370">
        <v>0.18</v>
      </c>
      <c r="R370">
        <v>3348</v>
      </c>
      <c r="S370" s="2" t="s">
        <v>228</v>
      </c>
      <c r="T370" t="s">
        <v>405</v>
      </c>
      <c r="U370" t="s">
        <v>412</v>
      </c>
      <c r="V370">
        <v>1207</v>
      </c>
      <c r="W370">
        <v>193</v>
      </c>
      <c r="X370">
        <v>69</v>
      </c>
      <c r="AA370">
        <v>0.18</v>
      </c>
    </row>
    <row r="371" spans="1:27" x14ac:dyDescent="0.25">
      <c r="A371">
        <v>3349</v>
      </c>
      <c r="B371" s="2" t="s">
        <v>540</v>
      </c>
      <c r="C371" t="s">
        <v>404</v>
      </c>
      <c r="D371" t="s">
        <v>412</v>
      </c>
      <c r="E371">
        <v>3425</v>
      </c>
      <c r="F371">
        <v>117</v>
      </c>
      <c r="G371">
        <v>67</v>
      </c>
      <c r="R371" s="49">
        <v>3349</v>
      </c>
      <c r="S371" s="2" t="s">
        <v>540</v>
      </c>
      <c r="T371" s="49" t="s">
        <v>404</v>
      </c>
      <c r="U371" s="49" t="s">
        <v>412</v>
      </c>
      <c r="V371">
        <v>3071</v>
      </c>
      <c r="W371">
        <v>78</v>
      </c>
      <c r="X371">
        <v>67</v>
      </c>
    </row>
    <row r="372" spans="1:27" x14ac:dyDescent="0.25">
      <c r="A372">
        <v>3351</v>
      </c>
      <c r="B372" s="2" t="s">
        <v>231</v>
      </c>
      <c r="C372" t="s">
        <v>405</v>
      </c>
      <c r="D372" t="s">
        <v>412</v>
      </c>
      <c r="E372">
        <v>1436</v>
      </c>
      <c r="F372">
        <v>200</v>
      </c>
      <c r="G372">
        <v>24</v>
      </c>
      <c r="J372">
        <v>0.18</v>
      </c>
      <c r="R372">
        <v>3351</v>
      </c>
      <c r="S372" s="2" t="s">
        <v>231</v>
      </c>
      <c r="T372" t="s">
        <v>405</v>
      </c>
      <c r="U372" t="s">
        <v>412</v>
      </c>
      <c r="V372">
        <v>1207</v>
      </c>
      <c r="W372">
        <v>193</v>
      </c>
      <c r="X372">
        <v>24</v>
      </c>
      <c r="AA372">
        <v>0.18</v>
      </c>
    </row>
    <row r="373" spans="1:27" x14ac:dyDescent="0.25">
      <c r="A373">
        <v>3361</v>
      </c>
      <c r="B373" s="2" t="s">
        <v>236</v>
      </c>
      <c r="C373" t="s">
        <v>404</v>
      </c>
      <c r="D373" t="s">
        <v>412</v>
      </c>
      <c r="E373">
        <v>3928</v>
      </c>
      <c r="F373">
        <v>100</v>
      </c>
      <c r="G373">
        <v>78</v>
      </c>
      <c r="R373">
        <v>3361</v>
      </c>
      <c r="S373" s="2" t="s">
        <v>236</v>
      </c>
      <c r="T373" t="s">
        <v>404</v>
      </c>
      <c r="U373" t="s">
        <v>412</v>
      </c>
      <c r="V373">
        <v>3533</v>
      </c>
      <c r="W373">
        <v>76</v>
      </c>
      <c r="X373">
        <v>78</v>
      </c>
    </row>
    <row r="374" spans="1:27" x14ac:dyDescent="0.25">
      <c r="A374">
        <v>3372</v>
      </c>
      <c r="B374" s="2" t="s">
        <v>509</v>
      </c>
      <c r="C374" t="s">
        <v>404</v>
      </c>
      <c r="D374" t="s">
        <v>412</v>
      </c>
      <c r="E374">
        <v>3221</v>
      </c>
      <c r="F374">
        <v>92</v>
      </c>
      <c r="G374">
        <v>24</v>
      </c>
      <c r="R374">
        <v>3372</v>
      </c>
      <c r="S374" s="2" t="s">
        <v>508</v>
      </c>
      <c r="T374" t="s">
        <v>404</v>
      </c>
      <c r="U374" t="s">
        <v>412</v>
      </c>
      <c r="V374">
        <v>2878</v>
      </c>
      <c r="W374">
        <v>68</v>
      </c>
      <c r="X374">
        <v>24</v>
      </c>
    </row>
    <row r="375" spans="1:27" x14ac:dyDescent="0.25">
      <c r="A375">
        <v>3373</v>
      </c>
      <c r="B375" s="2" t="s">
        <v>510</v>
      </c>
      <c r="C375" t="s">
        <v>404</v>
      </c>
      <c r="D375" t="s">
        <v>412</v>
      </c>
      <c r="E375">
        <v>3029</v>
      </c>
      <c r="F375">
        <v>92</v>
      </c>
      <c r="G375">
        <v>45</v>
      </c>
      <c r="R375">
        <v>3371</v>
      </c>
      <c r="S375" s="2" t="s">
        <v>510</v>
      </c>
      <c r="T375" t="s">
        <v>404</v>
      </c>
      <c r="U375" t="s">
        <v>412</v>
      </c>
      <c r="V375">
        <v>2708</v>
      </c>
      <c r="W375">
        <v>68</v>
      </c>
      <c r="X375">
        <v>45</v>
      </c>
    </row>
    <row r="376" spans="1:27" x14ac:dyDescent="0.25">
      <c r="A376" t="s">
        <v>295</v>
      </c>
      <c r="B376" s="2" t="s">
        <v>383</v>
      </c>
      <c r="C376" t="s">
        <v>404</v>
      </c>
      <c r="D376" t="s">
        <v>412</v>
      </c>
      <c r="E376">
        <v>3430</v>
      </c>
      <c r="F376">
        <v>100</v>
      </c>
      <c r="G376">
        <v>73</v>
      </c>
      <c r="R376" s="2" t="s">
        <v>295</v>
      </c>
      <c r="S376" t="s">
        <v>384</v>
      </c>
      <c r="T376" t="s">
        <v>404</v>
      </c>
      <c r="U376" t="s">
        <v>412</v>
      </c>
      <c r="V376">
        <v>3387</v>
      </c>
      <c r="W376">
        <v>30</v>
      </c>
      <c r="X376">
        <v>73</v>
      </c>
    </row>
    <row r="377" spans="1:27" x14ac:dyDescent="0.25">
      <c r="A377" t="s">
        <v>296</v>
      </c>
      <c r="B377" s="2" t="s">
        <v>384</v>
      </c>
      <c r="C377" t="s">
        <v>417</v>
      </c>
      <c r="D377" t="s">
        <v>413</v>
      </c>
      <c r="E377">
        <v>3828</v>
      </c>
      <c r="F377">
        <v>65</v>
      </c>
      <c r="G377">
        <v>83</v>
      </c>
      <c r="R377" s="2" t="s">
        <v>295</v>
      </c>
      <c r="S377" t="s">
        <v>383</v>
      </c>
      <c r="T377" t="s">
        <v>417</v>
      </c>
      <c r="U377" t="s">
        <v>413</v>
      </c>
      <c r="V377">
        <v>3041</v>
      </c>
      <c r="W377">
        <v>73</v>
      </c>
      <c r="X377">
        <v>83</v>
      </c>
    </row>
    <row r="378" spans="1:27" x14ac:dyDescent="0.25">
      <c r="A378" t="s">
        <v>297</v>
      </c>
      <c r="B378" t="s">
        <v>298</v>
      </c>
      <c r="C378" t="s">
        <v>405</v>
      </c>
      <c r="D378" t="s">
        <v>412</v>
      </c>
      <c r="E378">
        <v>1800</v>
      </c>
      <c r="F378">
        <v>175</v>
      </c>
      <c r="G378">
        <v>71</v>
      </c>
      <c r="R378" s="2" t="s">
        <v>297</v>
      </c>
      <c r="S378" t="s">
        <v>298</v>
      </c>
      <c r="T378" t="s">
        <v>405</v>
      </c>
      <c r="U378" t="s">
        <v>412</v>
      </c>
      <c r="V378">
        <v>1513</v>
      </c>
      <c r="W378">
        <v>169</v>
      </c>
      <c r="X378">
        <v>71</v>
      </c>
    </row>
    <row r="379" spans="1:27" x14ac:dyDescent="0.25">
      <c r="A379" t="s">
        <v>327</v>
      </c>
      <c r="B379" s="2" t="s">
        <v>385</v>
      </c>
      <c r="C379" t="s">
        <v>432</v>
      </c>
      <c r="D379" t="s">
        <v>413</v>
      </c>
      <c r="E379">
        <v>5523</v>
      </c>
      <c r="F379">
        <v>48</v>
      </c>
      <c r="G379">
        <v>93</v>
      </c>
      <c r="R379" s="2" t="s">
        <v>327</v>
      </c>
      <c r="S379" t="s">
        <v>385</v>
      </c>
      <c r="T379" t="s">
        <v>432</v>
      </c>
      <c r="U379" t="s">
        <v>413</v>
      </c>
      <c r="V379">
        <v>4802</v>
      </c>
      <c r="W379">
        <v>34</v>
      </c>
      <c r="X379">
        <v>93</v>
      </c>
    </row>
    <row r="380" spans="1:27" x14ac:dyDescent="0.25">
      <c r="A380" t="s">
        <v>299</v>
      </c>
      <c r="B380" s="2" t="s">
        <v>386</v>
      </c>
      <c r="C380" t="s">
        <v>404</v>
      </c>
      <c r="D380" t="s">
        <v>412</v>
      </c>
      <c r="E380">
        <v>3695</v>
      </c>
      <c r="F380">
        <v>102</v>
      </c>
      <c r="G380">
        <v>87</v>
      </c>
      <c r="R380" s="2" t="s">
        <v>299</v>
      </c>
      <c r="S380" t="s">
        <v>386</v>
      </c>
      <c r="T380" t="s">
        <v>404</v>
      </c>
      <c r="U380" t="s">
        <v>412</v>
      </c>
      <c r="V380">
        <v>3293</v>
      </c>
      <c r="W380">
        <v>76</v>
      </c>
      <c r="X380">
        <v>87</v>
      </c>
    </row>
    <row r="381" spans="1:27" x14ac:dyDescent="0.25">
      <c r="A381" t="s">
        <v>300</v>
      </c>
      <c r="B381" s="2" t="s">
        <v>387</v>
      </c>
      <c r="C381" t="s">
        <v>417</v>
      </c>
      <c r="D381" t="s">
        <v>413</v>
      </c>
      <c r="E381">
        <v>4062</v>
      </c>
      <c r="F381">
        <v>68</v>
      </c>
      <c r="G381">
        <v>83</v>
      </c>
      <c r="R381" s="2" t="s">
        <v>300</v>
      </c>
      <c r="S381" t="s">
        <v>387</v>
      </c>
      <c r="T381" t="s">
        <v>417</v>
      </c>
      <c r="U381" t="s">
        <v>413</v>
      </c>
      <c r="V381">
        <v>3610</v>
      </c>
      <c r="W381">
        <v>33</v>
      </c>
      <c r="X381">
        <v>83</v>
      </c>
    </row>
    <row r="382" spans="1:27" x14ac:dyDescent="0.25">
      <c r="A382" t="s">
        <v>301</v>
      </c>
      <c r="B382" t="s">
        <v>302</v>
      </c>
      <c r="C382" t="s">
        <v>405</v>
      </c>
      <c r="D382" t="s">
        <v>412</v>
      </c>
      <c r="E382">
        <v>1947</v>
      </c>
      <c r="F382">
        <v>178</v>
      </c>
      <c r="G382">
        <v>73</v>
      </c>
      <c r="R382" s="2" t="s">
        <v>301</v>
      </c>
      <c r="S382" t="s">
        <v>302</v>
      </c>
      <c r="T382" t="s">
        <v>405</v>
      </c>
      <c r="U382" t="s">
        <v>412</v>
      </c>
      <c r="V382">
        <v>1622</v>
      </c>
      <c r="W382">
        <v>171</v>
      </c>
      <c r="X382">
        <v>73</v>
      </c>
    </row>
    <row r="383" spans="1:27" x14ac:dyDescent="0.25">
      <c r="A383" t="s">
        <v>329</v>
      </c>
      <c r="B383" t="s">
        <v>330</v>
      </c>
      <c r="C383" t="s">
        <v>432</v>
      </c>
      <c r="D383" t="s">
        <v>413</v>
      </c>
      <c r="E383">
        <v>5781</v>
      </c>
      <c r="F383">
        <v>55</v>
      </c>
      <c r="G383">
        <v>95</v>
      </c>
      <c r="R383" s="2" t="s">
        <v>329</v>
      </c>
      <c r="S383" t="s">
        <v>330</v>
      </c>
      <c r="T383" t="s">
        <v>432</v>
      </c>
      <c r="U383" t="s">
        <v>413</v>
      </c>
      <c r="V383">
        <v>5027</v>
      </c>
      <c r="W383">
        <v>36</v>
      </c>
      <c r="X383">
        <v>95</v>
      </c>
    </row>
    <row r="384" spans="1:27" x14ac:dyDescent="0.25">
      <c r="A384" t="s">
        <v>303</v>
      </c>
      <c r="B384" s="2" t="s">
        <v>388</v>
      </c>
      <c r="C384" t="s">
        <v>417</v>
      </c>
      <c r="D384" t="s">
        <v>413</v>
      </c>
      <c r="E384">
        <v>4138</v>
      </c>
      <c r="F384">
        <v>54</v>
      </c>
      <c r="G384">
        <v>90</v>
      </c>
      <c r="R384" s="2" t="s">
        <v>303</v>
      </c>
      <c r="S384" t="s">
        <v>388</v>
      </c>
      <c r="T384" t="s">
        <v>417</v>
      </c>
      <c r="U384" t="s">
        <v>413</v>
      </c>
      <c r="V384">
        <v>3662</v>
      </c>
      <c r="W384">
        <v>28</v>
      </c>
      <c r="X384">
        <v>90</v>
      </c>
    </row>
    <row r="385" spans="1:24" x14ac:dyDescent="0.25">
      <c r="A385" t="s">
        <v>304</v>
      </c>
      <c r="B385" s="2" t="s">
        <v>389</v>
      </c>
      <c r="C385" t="s">
        <v>405</v>
      </c>
      <c r="D385" t="s">
        <v>412</v>
      </c>
      <c r="E385">
        <v>1941</v>
      </c>
      <c r="F385">
        <v>189</v>
      </c>
      <c r="G385">
        <v>52</v>
      </c>
      <c r="R385" s="2" t="s">
        <v>304</v>
      </c>
      <c r="S385" t="s">
        <v>389</v>
      </c>
      <c r="T385" t="s">
        <v>405</v>
      </c>
      <c r="U385" t="s">
        <v>412</v>
      </c>
      <c r="V385">
        <v>1617</v>
      </c>
      <c r="W385">
        <v>183</v>
      </c>
      <c r="X385">
        <v>52</v>
      </c>
    </row>
    <row r="386" spans="1:24" x14ac:dyDescent="0.25">
      <c r="A386" t="s">
        <v>305</v>
      </c>
      <c r="B386" s="2" t="s">
        <v>390</v>
      </c>
      <c r="C386" t="s">
        <v>404</v>
      </c>
      <c r="D386" t="s">
        <v>412</v>
      </c>
      <c r="E386">
        <v>4106</v>
      </c>
      <c r="F386">
        <v>88</v>
      </c>
      <c r="G386">
        <v>66</v>
      </c>
      <c r="R386" s="2" t="s">
        <v>305</v>
      </c>
      <c r="S386" t="s">
        <v>390</v>
      </c>
      <c r="T386" t="s">
        <v>404</v>
      </c>
      <c r="U386" t="s">
        <v>412</v>
      </c>
      <c r="V386">
        <v>3618</v>
      </c>
      <c r="W386">
        <v>80</v>
      </c>
      <c r="X386">
        <v>66</v>
      </c>
    </row>
    <row r="387" spans="1:24" x14ac:dyDescent="0.25">
      <c r="A387" t="s">
        <v>317</v>
      </c>
      <c r="B387" s="2" t="s">
        <v>391</v>
      </c>
      <c r="C387" t="s">
        <v>431</v>
      </c>
      <c r="D387" t="s">
        <v>412</v>
      </c>
      <c r="E387">
        <v>4472</v>
      </c>
      <c r="F387">
        <v>53</v>
      </c>
      <c r="G387">
        <v>77</v>
      </c>
      <c r="R387" s="2" t="s">
        <v>317</v>
      </c>
      <c r="S387" t="s">
        <v>391</v>
      </c>
      <c r="T387" t="s">
        <v>431</v>
      </c>
      <c r="U387" t="s">
        <v>412</v>
      </c>
      <c r="V387">
        <v>3727</v>
      </c>
      <c r="W387">
        <v>49</v>
      </c>
      <c r="X387">
        <v>77</v>
      </c>
    </row>
    <row r="388" spans="1:24" x14ac:dyDescent="0.25">
      <c r="A388" t="s">
        <v>318</v>
      </c>
      <c r="B388" s="2" t="s">
        <v>392</v>
      </c>
      <c r="C388" t="s">
        <v>431</v>
      </c>
      <c r="D388" t="s">
        <v>412</v>
      </c>
      <c r="E388">
        <v>4472</v>
      </c>
      <c r="F388">
        <v>53</v>
      </c>
      <c r="G388">
        <v>77</v>
      </c>
      <c r="R388" s="2" t="s">
        <v>318</v>
      </c>
      <c r="S388" t="s">
        <v>392</v>
      </c>
      <c r="T388" t="s">
        <v>431</v>
      </c>
      <c r="U388" t="s">
        <v>412</v>
      </c>
      <c r="V388">
        <v>3727</v>
      </c>
      <c r="W388">
        <v>49</v>
      </c>
      <c r="X388">
        <v>77</v>
      </c>
    </row>
    <row r="389" spans="1:24" x14ac:dyDescent="0.25">
      <c r="A389" t="s">
        <v>325</v>
      </c>
      <c r="B389" s="2" t="s">
        <v>393</v>
      </c>
      <c r="C389" t="s">
        <v>432</v>
      </c>
      <c r="D389" t="s">
        <v>413</v>
      </c>
      <c r="E389">
        <v>5126</v>
      </c>
      <c r="F389">
        <v>54</v>
      </c>
      <c r="G389">
        <v>82</v>
      </c>
      <c r="R389" s="2" t="s">
        <v>325</v>
      </c>
      <c r="S389" t="s">
        <v>393</v>
      </c>
      <c r="T389" t="s">
        <v>432</v>
      </c>
      <c r="U389" t="s">
        <v>413</v>
      </c>
      <c r="V389">
        <v>4458</v>
      </c>
      <c r="W389">
        <v>33</v>
      </c>
      <c r="X389">
        <v>82</v>
      </c>
    </row>
    <row r="390" spans="1:24" x14ac:dyDescent="0.25">
      <c r="A390" t="s">
        <v>477</v>
      </c>
      <c r="B390" s="2" t="s">
        <v>481</v>
      </c>
      <c r="C390" t="s">
        <v>405</v>
      </c>
      <c r="D390" t="s">
        <v>412</v>
      </c>
      <c r="E390">
        <v>1768</v>
      </c>
      <c r="F390">
        <v>194</v>
      </c>
      <c r="G390">
        <v>66</v>
      </c>
      <c r="R390" t="s">
        <v>477</v>
      </c>
      <c r="S390" s="2" t="s">
        <v>481</v>
      </c>
      <c r="T390" t="s">
        <v>405</v>
      </c>
      <c r="U390" t="s">
        <v>412</v>
      </c>
      <c r="V390">
        <v>1473</v>
      </c>
      <c r="W390">
        <v>185</v>
      </c>
      <c r="X390">
        <v>66</v>
      </c>
    </row>
    <row r="391" spans="1:24" x14ac:dyDescent="0.25">
      <c r="A391" t="s">
        <v>478</v>
      </c>
      <c r="B391" s="2" t="s">
        <v>483</v>
      </c>
      <c r="C391" t="s">
        <v>417</v>
      </c>
      <c r="D391" t="s">
        <v>413</v>
      </c>
      <c r="E391">
        <v>5020</v>
      </c>
      <c r="F391">
        <v>53</v>
      </c>
      <c r="G391">
        <v>66</v>
      </c>
      <c r="R391" t="s">
        <v>478</v>
      </c>
      <c r="S391" s="2" t="s">
        <v>483</v>
      </c>
      <c r="T391" t="s">
        <v>417</v>
      </c>
      <c r="U391" t="s">
        <v>413</v>
      </c>
      <c r="V391">
        <v>4183</v>
      </c>
      <c r="W391">
        <v>49</v>
      </c>
      <c r="X391">
        <v>66</v>
      </c>
    </row>
    <row r="392" spans="1:24" x14ac:dyDescent="0.25">
      <c r="A392" t="s">
        <v>479</v>
      </c>
      <c r="B392" s="2" t="s">
        <v>484</v>
      </c>
      <c r="C392" t="s">
        <v>432</v>
      </c>
      <c r="D392" t="s">
        <v>413</v>
      </c>
      <c r="E392">
        <v>6626</v>
      </c>
      <c r="F392">
        <v>37</v>
      </c>
      <c r="G392">
        <v>66</v>
      </c>
      <c r="R392" t="s">
        <v>479</v>
      </c>
      <c r="S392" s="2" t="s">
        <v>484</v>
      </c>
      <c r="T392" t="s">
        <v>432</v>
      </c>
      <c r="U392" t="s">
        <v>413</v>
      </c>
      <c r="V392">
        <v>5522</v>
      </c>
      <c r="W392">
        <v>34</v>
      </c>
      <c r="X392">
        <v>66</v>
      </c>
    </row>
    <row r="393" spans="1:24" x14ac:dyDescent="0.25">
      <c r="A393" t="s">
        <v>480</v>
      </c>
      <c r="B393" s="2" t="s">
        <v>482</v>
      </c>
      <c r="C393" t="s">
        <v>418</v>
      </c>
      <c r="D393" t="s">
        <v>414</v>
      </c>
      <c r="E393">
        <v>7648</v>
      </c>
      <c r="F393">
        <v>30</v>
      </c>
      <c r="G393">
        <v>66</v>
      </c>
      <c r="R393" t="s">
        <v>480</v>
      </c>
      <c r="S393" s="2" t="s">
        <v>482</v>
      </c>
      <c r="T393" t="s">
        <v>418</v>
      </c>
      <c r="U393" t="s">
        <v>414</v>
      </c>
      <c r="V393">
        <v>6374</v>
      </c>
      <c r="W393">
        <v>28</v>
      </c>
      <c r="X393">
        <v>66</v>
      </c>
    </row>
    <row r="394" spans="1:24" x14ac:dyDescent="0.25">
      <c r="A394" t="s">
        <v>306</v>
      </c>
      <c r="B394" s="2" t="s">
        <v>394</v>
      </c>
      <c r="C394" t="s">
        <v>404</v>
      </c>
      <c r="D394" t="s">
        <v>412</v>
      </c>
      <c r="E394">
        <v>4637</v>
      </c>
      <c r="F394">
        <v>98</v>
      </c>
      <c r="G394">
        <v>0</v>
      </c>
      <c r="R394" s="2" t="s">
        <v>306</v>
      </c>
      <c r="S394" t="s">
        <v>394</v>
      </c>
      <c r="T394" t="s">
        <v>404</v>
      </c>
      <c r="U394" t="s">
        <v>412</v>
      </c>
      <c r="V394">
        <v>4215</v>
      </c>
      <c r="W394">
        <v>73</v>
      </c>
      <c r="X394">
        <v>0</v>
      </c>
    </row>
    <row r="395" spans="1:24" x14ac:dyDescent="0.25">
      <c r="A395" t="s">
        <v>307</v>
      </c>
      <c r="B395" t="s">
        <v>308</v>
      </c>
      <c r="C395" t="s">
        <v>418</v>
      </c>
      <c r="D395" t="s">
        <v>414</v>
      </c>
      <c r="E395">
        <v>7967</v>
      </c>
      <c r="F395">
        <v>35</v>
      </c>
      <c r="G395">
        <v>0</v>
      </c>
      <c r="R395" s="2" t="s">
        <v>307</v>
      </c>
      <c r="S395" t="s">
        <v>308</v>
      </c>
      <c r="T395" t="s">
        <v>418</v>
      </c>
      <c r="U395" t="s">
        <v>414</v>
      </c>
      <c r="V395">
        <v>6897</v>
      </c>
      <c r="W395">
        <v>18</v>
      </c>
      <c r="X395">
        <v>0</v>
      </c>
    </row>
    <row r="396" spans="1:24" x14ac:dyDescent="0.25">
      <c r="A396" t="s">
        <v>309</v>
      </c>
      <c r="B396" t="s">
        <v>310</v>
      </c>
      <c r="C396" t="s">
        <v>417</v>
      </c>
      <c r="D396" t="s">
        <v>413</v>
      </c>
      <c r="E396">
        <v>4793</v>
      </c>
      <c r="F396">
        <v>86</v>
      </c>
      <c r="G396">
        <v>0</v>
      </c>
      <c r="R396" s="2" t="s">
        <v>309</v>
      </c>
      <c r="S396" t="s">
        <v>310</v>
      </c>
      <c r="T396" t="s">
        <v>417</v>
      </c>
      <c r="U396" t="s">
        <v>413</v>
      </c>
      <c r="V396">
        <v>4260</v>
      </c>
      <c r="W396">
        <v>41</v>
      </c>
      <c r="X396">
        <v>0</v>
      </c>
    </row>
    <row r="397" spans="1:24" x14ac:dyDescent="0.25">
      <c r="A397" t="s">
        <v>311</v>
      </c>
      <c r="B397" t="s">
        <v>312</v>
      </c>
      <c r="C397" t="s">
        <v>418</v>
      </c>
      <c r="D397" t="s">
        <v>414</v>
      </c>
      <c r="E397">
        <v>8607</v>
      </c>
      <c r="F397">
        <v>37</v>
      </c>
      <c r="G397">
        <v>0</v>
      </c>
      <c r="R397" s="2" t="s">
        <v>311</v>
      </c>
      <c r="S397" t="s">
        <v>312</v>
      </c>
      <c r="T397" t="s">
        <v>418</v>
      </c>
      <c r="U397" t="s">
        <v>414</v>
      </c>
      <c r="V397">
        <v>7356</v>
      </c>
      <c r="W397">
        <v>18</v>
      </c>
      <c r="X397">
        <v>0</v>
      </c>
    </row>
    <row r="398" spans="1:24" x14ac:dyDescent="0.25">
      <c r="A398" t="s">
        <v>313</v>
      </c>
      <c r="B398" s="2" t="s">
        <v>395</v>
      </c>
      <c r="C398" t="s">
        <v>417</v>
      </c>
      <c r="D398" t="s">
        <v>413</v>
      </c>
      <c r="E398">
        <v>5920</v>
      </c>
      <c r="F398">
        <v>78</v>
      </c>
      <c r="G398">
        <v>0</v>
      </c>
      <c r="R398" s="2" t="s">
        <v>313</v>
      </c>
      <c r="S398" t="s">
        <v>395</v>
      </c>
      <c r="T398" t="s">
        <v>417</v>
      </c>
      <c r="U398" t="s">
        <v>413</v>
      </c>
      <c r="V398">
        <v>5382</v>
      </c>
      <c r="W398">
        <v>39</v>
      </c>
      <c r="X398">
        <v>0</v>
      </c>
    </row>
    <row r="399" spans="1:24" x14ac:dyDescent="0.25">
      <c r="A399" t="s">
        <v>314</v>
      </c>
      <c r="B399" t="s">
        <v>281</v>
      </c>
      <c r="C399" t="s">
        <v>417</v>
      </c>
      <c r="D399" t="s">
        <v>413</v>
      </c>
      <c r="E399">
        <v>5363</v>
      </c>
      <c r="F399">
        <v>80</v>
      </c>
      <c r="G399">
        <v>0</v>
      </c>
      <c r="R399" s="2" t="s">
        <v>314</v>
      </c>
      <c r="S399" t="s">
        <v>281</v>
      </c>
      <c r="T399" t="s">
        <v>417</v>
      </c>
      <c r="U399" t="s">
        <v>413</v>
      </c>
      <c r="V399">
        <v>4876</v>
      </c>
      <c r="W399">
        <v>42</v>
      </c>
      <c r="X399">
        <v>0</v>
      </c>
    </row>
    <row r="400" spans="1:24" x14ac:dyDescent="0.25">
      <c r="A400" s="2" t="s">
        <v>455</v>
      </c>
      <c r="B400" s="2" t="s">
        <v>461</v>
      </c>
      <c r="C400" s="2" t="s">
        <v>404</v>
      </c>
      <c r="D400" s="2" t="s">
        <v>412</v>
      </c>
      <c r="E400">
        <v>5257</v>
      </c>
      <c r="F400">
        <v>97</v>
      </c>
      <c r="G400">
        <v>0</v>
      </c>
      <c r="R400" s="2" t="s">
        <v>455</v>
      </c>
      <c r="S400" s="2" t="s">
        <v>461</v>
      </c>
      <c r="T400" s="2" t="s">
        <v>404</v>
      </c>
      <c r="U400" s="2" t="s">
        <v>412</v>
      </c>
      <c r="X400">
        <v>0</v>
      </c>
    </row>
    <row r="401" spans="1:24" x14ac:dyDescent="0.25">
      <c r="A401" s="2" t="s">
        <v>456</v>
      </c>
      <c r="B401" s="2" t="s">
        <v>462</v>
      </c>
      <c r="C401" s="2" t="s">
        <v>418</v>
      </c>
      <c r="D401" s="2" t="s">
        <v>414</v>
      </c>
      <c r="E401">
        <v>8297</v>
      </c>
      <c r="F401">
        <v>30</v>
      </c>
      <c r="G401">
        <v>0</v>
      </c>
      <c r="R401" s="2" t="s">
        <v>456</v>
      </c>
      <c r="S401" s="2" t="s">
        <v>462</v>
      </c>
      <c r="T401" s="2" t="s">
        <v>418</v>
      </c>
      <c r="U401" s="2" t="s">
        <v>414</v>
      </c>
      <c r="X401">
        <v>0</v>
      </c>
    </row>
    <row r="402" spans="1:24" x14ac:dyDescent="0.25">
      <c r="A402" s="2" t="s">
        <v>457</v>
      </c>
      <c r="B402" s="2" t="s">
        <v>463</v>
      </c>
      <c r="C402" s="2" t="s">
        <v>405</v>
      </c>
      <c r="D402" s="2" t="s">
        <v>412</v>
      </c>
      <c r="E402">
        <v>2641</v>
      </c>
      <c r="F402">
        <v>197</v>
      </c>
      <c r="G402">
        <v>0</v>
      </c>
      <c r="R402" s="2" t="s">
        <v>457</v>
      </c>
      <c r="S402" s="2" t="s">
        <v>463</v>
      </c>
      <c r="T402" s="2" t="s">
        <v>405</v>
      </c>
      <c r="U402" s="2" t="s">
        <v>412</v>
      </c>
      <c r="X402">
        <v>0</v>
      </c>
    </row>
    <row r="403" spans="1:24" x14ac:dyDescent="0.25">
      <c r="A403" s="2" t="s">
        <v>458</v>
      </c>
      <c r="B403" s="2" t="s">
        <v>464</v>
      </c>
      <c r="C403" s="2" t="s">
        <v>453</v>
      </c>
      <c r="D403" s="2" t="s">
        <v>413</v>
      </c>
      <c r="E403">
        <v>7541</v>
      </c>
      <c r="F403">
        <v>50</v>
      </c>
      <c r="G403">
        <v>0</v>
      </c>
      <c r="R403" s="2" t="s">
        <v>458</v>
      </c>
      <c r="S403" s="2" t="s">
        <v>464</v>
      </c>
      <c r="T403" s="2" t="s">
        <v>453</v>
      </c>
      <c r="U403" s="2" t="s">
        <v>413</v>
      </c>
      <c r="X403">
        <v>0</v>
      </c>
    </row>
    <row r="404" spans="1:24" x14ac:dyDescent="0.25">
      <c r="A404" s="2" t="s">
        <v>459</v>
      </c>
      <c r="B404" t="s">
        <v>465</v>
      </c>
      <c r="C404" s="2" t="s">
        <v>418</v>
      </c>
      <c r="D404" s="2" t="s">
        <v>414</v>
      </c>
      <c r="E404">
        <v>9886</v>
      </c>
      <c r="F404">
        <v>27</v>
      </c>
      <c r="G404">
        <v>0</v>
      </c>
      <c r="R404" s="2" t="s">
        <v>459</v>
      </c>
      <c r="S404" t="s">
        <v>465</v>
      </c>
      <c r="T404" s="2" t="s">
        <v>418</v>
      </c>
      <c r="U404" s="2" t="s">
        <v>414</v>
      </c>
      <c r="X404">
        <v>0</v>
      </c>
    </row>
    <row r="405" spans="1:24" x14ac:dyDescent="0.25">
      <c r="A405" s="2" t="s">
        <v>460</v>
      </c>
      <c r="B405" s="2" t="s">
        <v>466</v>
      </c>
      <c r="C405" s="2" t="s">
        <v>418</v>
      </c>
      <c r="D405" s="2" t="s">
        <v>414</v>
      </c>
      <c r="E405">
        <v>7863</v>
      </c>
      <c r="F405">
        <v>36</v>
      </c>
      <c r="G405">
        <v>0</v>
      </c>
      <c r="R405" s="2" t="s">
        <v>460</v>
      </c>
      <c r="S405" s="2" t="s">
        <v>466</v>
      </c>
      <c r="T405" s="2" t="s">
        <v>418</v>
      </c>
      <c r="U405" s="2" t="s">
        <v>414</v>
      </c>
      <c r="X405">
        <v>0</v>
      </c>
    </row>
  </sheetData>
  <sortState xmlns:xlrd2="http://schemas.microsoft.com/office/spreadsheetml/2017/richdata2" ref="R2:AA366">
    <sortCondition ref="R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8"/>
  <sheetViews>
    <sheetView workbookViewId="0">
      <selection activeCell="M11" sqref="M11"/>
    </sheetView>
  </sheetViews>
  <sheetFormatPr defaultRowHeight="13.2" x14ac:dyDescent="0.25"/>
  <cols>
    <col min="1" max="21" width="13.77734375" customWidth="1"/>
  </cols>
  <sheetData>
    <row r="1" spans="1:14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G1" s="66" t="s">
        <v>529</v>
      </c>
      <c r="H1" s="67"/>
      <c r="J1" s="68" t="s">
        <v>533</v>
      </c>
      <c r="K1" s="69"/>
      <c r="N1" s="27" t="s">
        <v>494</v>
      </c>
    </row>
    <row r="2" spans="1:14" x14ac:dyDescent="0.25">
      <c r="A2" t="s">
        <v>405</v>
      </c>
      <c r="B2" t="s">
        <v>406</v>
      </c>
      <c r="C2" s="15">
        <v>1</v>
      </c>
      <c r="D2" s="15">
        <v>0.5</v>
      </c>
      <c r="E2" s="15">
        <v>0.2</v>
      </c>
      <c r="G2" s="72" t="s">
        <v>530</v>
      </c>
      <c r="H2" s="6">
        <f t="array" ref="H2">IFERROR(INDEX(C2:E26,MATCH('eHP Calc'!F17&amp;'eHP Calc'!F18,A2:A26&amp;B2:B26,0),MATCH('eHP Calc'!C21,C1:E1,0)),1)</f>
        <v>1</v>
      </c>
      <c r="J2" s="59" t="s">
        <v>532</v>
      </c>
      <c r="K2" s="6">
        <f>1-_xlfn.IFS('eHP Calc'!I17="Non-Safe",'Background Tables'!K4,'eHP Calc'!I17="Safe",'Background Tables'!K3)</f>
        <v>1</v>
      </c>
      <c r="N2" s="22" t="s">
        <v>476</v>
      </c>
    </row>
    <row r="3" spans="1:14" x14ac:dyDescent="0.25">
      <c r="A3" t="s">
        <v>405</v>
      </c>
      <c r="B3" t="s">
        <v>407</v>
      </c>
      <c r="C3" s="15">
        <v>1</v>
      </c>
      <c r="D3" s="15">
        <v>0.6</v>
      </c>
      <c r="E3" s="15">
        <v>0.2</v>
      </c>
      <c r="G3" s="72" t="s">
        <v>525</v>
      </c>
      <c r="H3" s="6">
        <f t="array" ref="H3">IFERROR(INDEX(C2:E26,MATCH('eHP Calc'!F17&amp;'eHP Calc'!F18,A2:A26&amp;B2:B26,0),MATCH('eHP Calc'!F61,C1:E1,0)),1)</f>
        <v>1</v>
      </c>
      <c r="J3" s="59" t="s">
        <v>531</v>
      </c>
      <c r="K3" s="6">
        <f>1-((100-2*MAX(MIN(('eHP Calc'!I16+'eHP Calc'!I18),25),-25))/100)*((100-2*'eHP Calc'!I18)/100)</f>
        <v>0</v>
      </c>
    </row>
    <row r="4" spans="1:14" x14ac:dyDescent="0.25">
      <c r="A4" t="s">
        <v>405</v>
      </c>
      <c r="B4" t="s">
        <v>408</v>
      </c>
      <c r="C4" s="15">
        <v>1.2</v>
      </c>
      <c r="D4" s="15">
        <v>0.6</v>
      </c>
      <c r="E4" s="15">
        <v>0.6</v>
      </c>
      <c r="J4" s="59" t="s">
        <v>492</v>
      </c>
      <c r="K4" s="6">
        <f>1-((100-2*MAX(MIN(('eHP Calc'!I16),25),-25))/100)*((100-2*'eHP Calc'!I18)/100)</f>
        <v>0</v>
      </c>
    </row>
    <row r="5" spans="1:14" x14ac:dyDescent="0.25">
      <c r="A5" t="s">
        <v>405</v>
      </c>
      <c r="B5" t="s">
        <v>409</v>
      </c>
      <c r="C5" s="15">
        <v>0.9</v>
      </c>
      <c r="D5" s="15">
        <v>0.7</v>
      </c>
      <c r="E5" s="15">
        <v>0.4</v>
      </c>
    </row>
    <row r="6" spans="1:14" x14ac:dyDescent="0.25">
      <c r="A6" t="s">
        <v>404</v>
      </c>
      <c r="B6" t="s">
        <v>406</v>
      </c>
      <c r="C6" s="15">
        <v>1</v>
      </c>
      <c r="D6" s="15">
        <v>0.75</v>
      </c>
      <c r="E6" s="15">
        <v>0.4</v>
      </c>
      <c r="J6" s="73" t="s">
        <v>534</v>
      </c>
      <c r="K6" s="74"/>
    </row>
    <row r="7" spans="1:14" x14ac:dyDescent="0.25">
      <c r="A7" t="s">
        <v>404</v>
      </c>
      <c r="B7" t="s">
        <v>408</v>
      </c>
      <c r="C7" s="15">
        <v>1.4</v>
      </c>
      <c r="D7" s="15">
        <v>0.9</v>
      </c>
      <c r="E7" s="15">
        <v>0.7</v>
      </c>
      <c r="J7" s="73" t="s">
        <v>535</v>
      </c>
      <c r="K7" s="32">
        <f t="array" ref="K7">IFERROR(MAX(0,INDEX(C40:C48,MATCH('eHP Calc'!F17&amp;'eHP Calc'!F18,A40:A48&amp;B40:B48,0))-'eHP Calc'!I20),1)</f>
        <v>1</v>
      </c>
    </row>
    <row r="8" spans="1:14" x14ac:dyDescent="0.25">
      <c r="A8" t="s">
        <v>404</v>
      </c>
      <c r="B8" t="s">
        <v>415</v>
      </c>
      <c r="C8" s="15">
        <v>1.45</v>
      </c>
      <c r="D8" s="15">
        <v>1.05</v>
      </c>
      <c r="E8" s="15">
        <v>0.7</v>
      </c>
      <c r="G8" s="2" t="str">
        <f>IFERROR(_xlfn.IFS('eHP Calc'!$F$17="General",C29,'eHP Calc'!$F$17="DD",D29,'eHP Calc'!$F$17="CL",E29,'eHP Calc'!$F$17="CA",F29,'eHP Calc'!$F$17="BB",G29)," ")</f>
        <v>General</v>
      </c>
      <c r="J8" s="73" t="s">
        <v>539</v>
      </c>
      <c r="K8" s="32">
        <f>IFERROR(MAX(0,(15-'eHP Calc'!I21)/'eHP Calc'!L16),1)</f>
        <v>1</v>
      </c>
    </row>
    <row r="9" spans="1:14" x14ac:dyDescent="0.25">
      <c r="A9" t="s">
        <v>404</v>
      </c>
      <c r="B9" t="s">
        <v>473</v>
      </c>
      <c r="C9" s="15">
        <v>1.45</v>
      </c>
      <c r="D9" s="15">
        <v>1.1000000000000001</v>
      </c>
      <c r="E9" s="15">
        <v>0.75</v>
      </c>
      <c r="G9" s="2">
        <f>IFERROR(_xlfn.IFS('eHP Calc'!$F$17="General",C30,'eHP Calc'!$F$17="DD",D30,'eHP Calc'!$F$17="CL",E30,'eHP Calc'!$F$17="CA",F30,'eHP Calc'!$F$17="BB",G30),"")</f>
        <v>0</v>
      </c>
      <c r="J9" s="73" t="s">
        <v>537</v>
      </c>
      <c r="K9" s="32">
        <f t="array" ref="K9">IFERROR(INDEX(D40:D48,MATCH('eHP Calc'!F17&amp;'eHP Calc'!F18,A40:A48&amp;B40:B48,0))*MAX(0,(1-'eHP Calc'!I22)),1)</f>
        <v>1</v>
      </c>
    </row>
    <row r="10" spans="1:14" x14ac:dyDescent="0.25">
      <c r="A10" t="s">
        <v>404</v>
      </c>
      <c r="B10" t="s">
        <v>409</v>
      </c>
      <c r="C10" s="15">
        <v>1</v>
      </c>
      <c r="D10" s="15">
        <v>0.8</v>
      </c>
      <c r="E10" s="15">
        <v>0.6</v>
      </c>
      <c r="G10" s="2">
        <f>IFERROR(_xlfn.IFS('eHP Calc'!$F$17="General",C31,'eHP Calc'!$F$17="DD",D31,'eHP Calc'!$F$17="CL",E31,'eHP Calc'!$F$17="CA",F31,'eHP Calc'!$F$17="BB",G31),"")</f>
        <v>0</v>
      </c>
      <c r="H10" s="2" t="s">
        <v>447</v>
      </c>
      <c r="J10" s="73" t="s">
        <v>536</v>
      </c>
      <c r="K10" s="74"/>
    </row>
    <row r="11" spans="1:14" x14ac:dyDescent="0.25">
      <c r="A11" t="s">
        <v>404</v>
      </c>
      <c r="B11" t="s">
        <v>416</v>
      </c>
      <c r="C11" s="15">
        <v>1.1000000000000001</v>
      </c>
      <c r="D11" s="15">
        <v>0.9</v>
      </c>
      <c r="E11" s="15">
        <v>0.7</v>
      </c>
      <c r="G11" s="2">
        <f>IFERROR(_xlfn.IFS('eHP Calc'!$F$17="General",C32,'eHP Calc'!$F$17="DD",D32,'eHP Calc'!$F$17="CL",E32,'eHP Calc'!$F$17="CA",F32,'eHP Calc'!$F$17="BB",G32),"")</f>
        <v>0</v>
      </c>
      <c r="J11" s="75" t="s">
        <v>535</v>
      </c>
      <c r="K11" s="32">
        <f t="array" ref="K11">IFERROR(MAX(0,INDEX(C40:C48,MATCH('eHP Calc'!F17&amp;'eHP Calc'!F18,A40:A48&amp;B40:B48,0))-(0.3+'eHP Calc'!I20)),1)</f>
        <v>1</v>
      </c>
    </row>
    <row r="12" spans="1:14" x14ac:dyDescent="0.25">
      <c r="A12" t="s">
        <v>417</v>
      </c>
      <c r="B12" t="s">
        <v>406</v>
      </c>
      <c r="C12" s="15">
        <v>1</v>
      </c>
      <c r="D12" s="15">
        <v>0.9</v>
      </c>
      <c r="E12" s="15">
        <v>0.5</v>
      </c>
      <c r="G12" s="2">
        <f>IFERROR(_xlfn.IFS('eHP Calc'!$F$17="General",C33,'eHP Calc'!$F$17="DD",D33,'eHP Calc'!$F$17="CL",E33,'eHP Calc'!$F$17="CA",F33,'eHP Calc'!$F$17="BB",G33),"")</f>
        <v>0</v>
      </c>
      <c r="J12" s="75" t="s">
        <v>539</v>
      </c>
      <c r="K12" s="32">
        <f>IFERROR(MAX(0,(9-'eHP Calc'!I21)/'eHP Calc'!L16),1)</f>
        <v>1</v>
      </c>
    </row>
    <row r="13" spans="1:14" x14ac:dyDescent="0.25">
      <c r="A13" t="s">
        <v>417</v>
      </c>
      <c r="B13" t="s">
        <v>408</v>
      </c>
      <c r="C13" s="15">
        <v>1.35</v>
      </c>
      <c r="D13" s="15">
        <v>0.95</v>
      </c>
      <c r="E13" s="15">
        <v>0.7</v>
      </c>
      <c r="G13" s="2">
        <f>IFERROR(_xlfn.IFS('eHP Calc'!$F$17="General",C34,'eHP Calc'!$F$17="DD",D34,'eHP Calc'!$F$17="CL",E34,'eHP Calc'!$F$17="CA",F34,'eHP Calc'!$F$17="BB",G34),"")</f>
        <v>0</v>
      </c>
      <c r="J13" s="75" t="s">
        <v>537</v>
      </c>
      <c r="K13" s="32">
        <f t="array" ref="K13">IFERROR(INDEX(D40:D48,MATCH('eHP Calc'!F17&amp;'eHP Calc'!F18,A40:A48&amp;B40:B48,0))*MAX(0,(0.8-'eHP Calc'!I22)),1)</f>
        <v>1</v>
      </c>
    </row>
    <row r="14" spans="1:14" x14ac:dyDescent="0.25">
      <c r="A14" t="s">
        <v>417</v>
      </c>
      <c r="B14" t="s">
        <v>415</v>
      </c>
      <c r="C14" s="15">
        <v>1.35</v>
      </c>
      <c r="D14" s="15">
        <v>1</v>
      </c>
      <c r="E14" s="15">
        <v>0.75</v>
      </c>
      <c r="G14">
        <f>IFERROR(_xlfn.IFS('eHP Calc'!$F$17="General",C35,'eHP Calc'!$F$17="DD",D35,'eHP Calc'!$F$17="CL",E35,'eHP Calc'!$F$17="CA",F35,'eHP Calc'!$F$17="BB",G35),"")</f>
        <v>0</v>
      </c>
    </row>
    <row r="15" spans="1:14" x14ac:dyDescent="0.25">
      <c r="A15" t="s">
        <v>417</v>
      </c>
      <c r="B15" t="s">
        <v>409</v>
      </c>
      <c r="C15" s="15">
        <v>0.75</v>
      </c>
      <c r="D15" s="15">
        <v>1.1000000000000001</v>
      </c>
      <c r="E15" s="15">
        <v>0.75</v>
      </c>
      <c r="J15" s="28"/>
    </row>
    <row r="16" spans="1:14" x14ac:dyDescent="0.25">
      <c r="A16" t="s">
        <v>418</v>
      </c>
      <c r="B16" t="s">
        <v>406</v>
      </c>
      <c r="C16" s="15">
        <v>0.7</v>
      </c>
      <c r="D16" s="15">
        <v>1</v>
      </c>
      <c r="E16" s="29">
        <v>0.9</v>
      </c>
      <c r="K16" s="49" t="s">
        <v>538</v>
      </c>
    </row>
    <row r="17" spans="1:10" x14ac:dyDescent="0.25">
      <c r="A17" t="s">
        <v>418</v>
      </c>
      <c r="B17" t="s">
        <v>408</v>
      </c>
      <c r="C17" s="15">
        <v>1.4</v>
      </c>
      <c r="D17" s="15">
        <v>1.1000000000000001</v>
      </c>
      <c r="E17" s="29">
        <v>0.9</v>
      </c>
    </row>
    <row r="18" spans="1:10" x14ac:dyDescent="0.25">
      <c r="A18" t="s">
        <v>418</v>
      </c>
      <c r="B18" t="s">
        <v>409</v>
      </c>
      <c r="C18" s="15">
        <v>0.45</v>
      </c>
      <c r="D18" s="15">
        <v>1.3</v>
      </c>
      <c r="E18" s="15">
        <v>1.1000000000000001</v>
      </c>
    </row>
    <row r="19" spans="1:10" x14ac:dyDescent="0.25">
      <c r="A19" t="s">
        <v>418</v>
      </c>
      <c r="B19" t="s">
        <v>416</v>
      </c>
      <c r="C19" s="15">
        <v>0.55000000000000004</v>
      </c>
      <c r="D19" s="15">
        <v>1.45</v>
      </c>
      <c r="E19" s="15">
        <v>1.25</v>
      </c>
    </row>
    <row r="20" spans="1:10" x14ac:dyDescent="0.25">
      <c r="A20" t="s">
        <v>418</v>
      </c>
      <c r="B20" t="s">
        <v>420</v>
      </c>
      <c r="C20" s="15">
        <v>1.4</v>
      </c>
      <c r="D20" s="15">
        <v>1.1000000000000001</v>
      </c>
      <c r="E20" s="15">
        <v>0.9</v>
      </c>
    </row>
    <row r="21" spans="1:10" x14ac:dyDescent="0.25">
      <c r="A21" t="s">
        <v>418</v>
      </c>
      <c r="B21" t="s">
        <v>421</v>
      </c>
      <c r="C21" s="15">
        <v>1.45</v>
      </c>
      <c r="D21" s="15">
        <v>1.05</v>
      </c>
      <c r="E21" s="15">
        <v>0.7</v>
      </c>
      <c r="J21" s="2"/>
    </row>
    <row r="22" spans="1:10" x14ac:dyDescent="0.25">
      <c r="A22" t="s">
        <v>418</v>
      </c>
      <c r="B22" t="s">
        <v>419</v>
      </c>
      <c r="C22" s="15">
        <v>0.6</v>
      </c>
      <c r="D22" s="15">
        <v>1.35</v>
      </c>
      <c r="E22" s="15">
        <v>1.1499999999999999</v>
      </c>
    </row>
    <row r="23" spans="1:10" x14ac:dyDescent="0.25">
      <c r="A23" t="s">
        <v>428</v>
      </c>
      <c r="B23" t="s">
        <v>428</v>
      </c>
      <c r="C23" s="15">
        <v>1</v>
      </c>
      <c r="D23" s="15">
        <v>1</v>
      </c>
      <c r="E23" s="15">
        <v>1</v>
      </c>
    </row>
    <row r="24" spans="1:10" x14ac:dyDescent="0.25">
      <c r="A24" t="s">
        <v>405</v>
      </c>
      <c r="B24" t="s">
        <v>429</v>
      </c>
      <c r="C24" s="15">
        <v>0.8</v>
      </c>
      <c r="D24" s="15">
        <v>1</v>
      </c>
      <c r="E24" s="15">
        <v>1.3</v>
      </c>
    </row>
    <row r="25" spans="1:10" x14ac:dyDescent="0.25">
      <c r="A25" t="s">
        <v>404</v>
      </c>
      <c r="B25" t="s">
        <v>429</v>
      </c>
      <c r="C25" s="15">
        <v>0.8</v>
      </c>
      <c r="D25" s="15">
        <v>1</v>
      </c>
      <c r="E25" s="15">
        <v>1.3</v>
      </c>
    </row>
    <row r="26" spans="1:10" x14ac:dyDescent="0.25">
      <c r="A26" t="s">
        <v>417</v>
      </c>
      <c r="B26" t="s">
        <v>429</v>
      </c>
      <c r="C26" s="15">
        <v>0.8</v>
      </c>
      <c r="D26" s="15">
        <v>1</v>
      </c>
      <c r="E26" s="15">
        <v>1.3</v>
      </c>
    </row>
    <row r="28" spans="1:10" x14ac:dyDescent="0.25">
      <c r="A28" t="s">
        <v>426</v>
      </c>
      <c r="B28" s="18" t="s">
        <v>427</v>
      </c>
      <c r="C28" t="s">
        <v>428</v>
      </c>
      <c r="D28" t="s">
        <v>405</v>
      </c>
      <c r="E28" t="s">
        <v>404</v>
      </c>
      <c r="F28" t="s">
        <v>417</v>
      </c>
      <c r="G28" t="s">
        <v>418</v>
      </c>
      <c r="H28" t="s">
        <v>423</v>
      </c>
      <c r="I28" s="2" t="s">
        <v>437</v>
      </c>
      <c r="J28" t="s">
        <v>446</v>
      </c>
    </row>
    <row r="29" spans="1:10" x14ac:dyDescent="0.25">
      <c r="A29">
        <v>100</v>
      </c>
      <c r="B29" s="16" t="s">
        <v>428</v>
      </c>
      <c r="C29" t="s">
        <v>428</v>
      </c>
      <c r="D29" t="s">
        <v>406</v>
      </c>
      <c r="E29" t="s">
        <v>406</v>
      </c>
      <c r="F29" t="s">
        <v>406</v>
      </c>
      <c r="G29" t="s">
        <v>406</v>
      </c>
      <c r="I29" s="2"/>
      <c r="J29" t="s">
        <v>444</v>
      </c>
    </row>
    <row r="30" spans="1:10" x14ac:dyDescent="0.25">
      <c r="A30">
        <v>120</v>
      </c>
      <c r="B30" s="17" t="s">
        <v>405</v>
      </c>
      <c r="D30" t="s">
        <v>407</v>
      </c>
      <c r="E30" t="s">
        <v>408</v>
      </c>
      <c r="F30" t="s">
        <v>408</v>
      </c>
      <c r="G30" t="s">
        <v>408</v>
      </c>
      <c r="H30" t="s">
        <v>412</v>
      </c>
      <c r="I30" s="2" t="s">
        <v>405</v>
      </c>
      <c r="J30" t="s">
        <v>445</v>
      </c>
    </row>
    <row r="31" spans="1:10" x14ac:dyDescent="0.25">
      <c r="B31" s="16" t="s">
        <v>404</v>
      </c>
      <c r="D31" t="s">
        <v>408</v>
      </c>
      <c r="E31" t="s">
        <v>415</v>
      </c>
      <c r="F31" t="s">
        <v>415</v>
      </c>
      <c r="G31" t="s">
        <v>409</v>
      </c>
      <c r="H31" t="s">
        <v>413</v>
      </c>
      <c r="I31" s="2" t="s">
        <v>404</v>
      </c>
    </row>
    <row r="32" spans="1:10" x14ac:dyDescent="0.25">
      <c r="B32" s="17" t="s">
        <v>417</v>
      </c>
      <c r="D32" t="s">
        <v>409</v>
      </c>
      <c r="E32" t="s">
        <v>473</v>
      </c>
      <c r="F32" t="s">
        <v>409</v>
      </c>
      <c r="G32" t="s">
        <v>416</v>
      </c>
      <c r="H32" t="s">
        <v>414</v>
      </c>
      <c r="I32" s="2" t="s">
        <v>417</v>
      </c>
    </row>
    <row r="33" spans="1:9" x14ac:dyDescent="0.25">
      <c r="B33" s="16" t="s">
        <v>418</v>
      </c>
      <c r="D33" t="s">
        <v>429</v>
      </c>
      <c r="E33" t="s">
        <v>409</v>
      </c>
      <c r="F33" t="s">
        <v>429</v>
      </c>
      <c r="G33" t="s">
        <v>420</v>
      </c>
      <c r="I33" s="2" t="s">
        <v>453</v>
      </c>
    </row>
    <row r="34" spans="1:9" x14ac:dyDescent="0.25">
      <c r="E34" t="s">
        <v>416</v>
      </c>
      <c r="G34" t="s">
        <v>421</v>
      </c>
      <c r="I34" s="2" t="s">
        <v>418</v>
      </c>
    </row>
    <row r="35" spans="1:9" x14ac:dyDescent="0.25">
      <c r="E35" t="s">
        <v>429</v>
      </c>
      <c r="G35" t="s">
        <v>419</v>
      </c>
      <c r="I35" s="2" t="s">
        <v>434</v>
      </c>
    </row>
    <row r="36" spans="1:9" x14ac:dyDescent="0.25">
      <c r="I36" s="2" t="s">
        <v>435</v>
      </c>
    </row>
    <row r="37" spans="1:9" x14ac:dyDescent="0.25">
      <c r="I37" s="2" t="s">
        <v>432</v>
      </c>
    </row>
    <row r="38" spans="1:9" x14ac:dyDescent="0.25">
      <c r="I38" s="2" t="s">
        <v>431</v>
      </c>
    </row>
    <row r="39" spans="1:9" x14ac:dyDescent="0.25">
      <c r="A39" s="2" t="s">
        <v>410</v>
      </c>
      <c r="B39" s="2" t="s">
        <v>513</v>
      </c>
      <c r="C39" s="2" t="s">
        <v>514</v>
      </c>
      <c r="D39" s="2" t="s">
        <v>515</v>
      </c>
      <c r="I39" s="2" t="s">
        <v>433</v>
      </c>
    </row>
    <row r="40" spans="1:9" x14ac:dyDescent="0.25">
      <c r="A40" t="s">
        <v>405</v>
      </c>
      <c r="B40" t="s">
        <v>408</v>
      </c>
      <c r="C40">
        <v>0.01</v>
      </c>
      <c r="D40">
        <v>0.6</v>
      </c>
      <c r="I40" s="2" t="s">
        <v>436</v>
      </c>
    </row>
    <row r="41" spans="1:9" x14ac:dyDescent="0.25">
      <c r="A41" t="s">
        <v>404</v>
      </c>
      <c r="B41" s="2" t="s">
        <v>408</v>
      </c>
      <c r="C41">
        <v>0.03</v>
      </c>
      <c r="D41">
        <v>0.6</v>
      </c>
      <c r="I41" s="2" t="s">
        <v>452</v>
      </c>
    </row>
    <row r="42" spans="1:9" x14ac:dyDescent="0.25">
      <c r="A42" t="s">
        <v>404</v>
      </c>
      <c r="B42" t="s">
        <v>415</v>
      </c>
      <c r="C42">
        <v>0.03</v>
      </c>
      <c r="D42">
        <v>0.6</v>
      </c>
    </row>
    <row r="43" spans="1:9" x14ac:dyDescent="0.25">
      <c r="A43" t="s">
        <v>404</v>
      </c>
      <c r="B43" t="s">
        <v>473</v>
      </c>
      <c r="C43">
        <v>0.03</v>
      </c>
      <c r="D43">
        <v>0.6</v>
      </c>
    </row>
    <row r="44" spans="1:9" x14ac:dyDescent="0.25">
      <c r="A44" t="s">
        <v>417</v>
      </c>
      <c r="B44" t="s">
        <v>408</v>
      </c>
      <c r="C44">
        <v>0.08</v>
      </c>
      <c r="D44">
        <v>0.6</v>
      </c>
    </row>
    <row r="45" spans="1:9" x14ac:dyDescent="0.25">
      <c r="A45" t="s">
        <v>417</v>
      </c>
      <c r="B45" t="s">
        <v>415</v>
      </c>
      <c r="C45">
        <v>0.08</v>
      </c>
      <c r="D45">
        <v>0.6</v>
      </c>
    </row>
    <row r="46" spans="1:9" x14ac:dyDescent="0.25">
      <c r="A46" t="s">
        <v>418</v>
      </c>
      <c r="B46" t="s">
        <v>408</v>
      </c>
      <c r="C46">
        <v>0.5</v>
      </c>
      <c r="D46">
        <v>0.6</v>
      </c>
    </row>
    <row r="47" spans="1:9" x14ac:dyDescent="0.25">
      <c r="A47" t="s">
        <v>418</v>
      </c>
      <c r="B47" t="s">
        <v>420</v>
      </c>
      <c r="C47">
        <v>0.3</v>
      </c>
      <c r="D47">
        <v>1.2</v>
      </c>
    </row>
    <row r="48" spans="1:9" x14ac:dyDescent="0.25">
      <c r="A48" t="s">
        <v>418</v>
      </c>
      <c r="B48" t="s">
        <v>421</v>
      </c>
      <c r="C48">
        <v>0.3</v>
      </c>
      <c r="D48">
        <v>1.2</v>
      </c>
    </row>
  </sheetData>
  <mergeCells count="2">
    <mergeCell ref="G1:H1"/>
    <mergeCell ref="J1:K1"/>
  </mergeCells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2019-07-22T23:26:17Z</dcterms:modified>
</cp:coreProperties>
</file>